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worksheets/sheet1.xml" ContentType="application/vnd.openxmlformats-officedocument.spreadsheetml.workshee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4.xml" ContentType="application/vnd.openxmlformats-officedocument.drawingml.chart+xml"/>
  <Override PartName="/xl/charts/chart6.xml" ContentType="application/vnd.openxmlformats-officedocument.drawingml.chart+xml"/>
  <Override PartName="/xl/charts/chart2.xml" ContentType="application/vnd.openxmlformats-officedocument.drawingml.char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charts/chart3.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Wpc-backup\Process\BB\CY2016\AT\"/>
    </mc:Choice>
  </mc:AlternateContent>
  <bookViews>
    <workbookView xWindow="-12" yWindow="6096" windowWidth="28836" windowHeight="6156" tabRatio="671"/>
  </bookViews>
  <sheets>
    <sheet name="DMREZ" sheetId="1" r:id="rId1"/>
    <sheet name="DMR" sheetId="2" r:id="rId2"/>
    <sheet name="dmr NC" sheetId="3" r:id="rId3"/>
    <sheet name="AT_" sheetId="4" r:id="rId4"/>
    <sheet name="CLA_" sheetId="5" r:id="rId5"/>
    <sheet name="LA_" sheetId="6" r:id="rId6"/>
    <sheet name="PT_" sheetId="7" r:id="rId7"/>
    <sheet name="DF_" sheetId="17" r:id="rId8"/>
    <sheet name="DW_" sheetId="8" r:id="rId9"/>
    <sheet name="MASS" sheetId="18" r:id="rId10"/>
    <sheet name="Grit" sheetId="10" r:id="rId11"/>
    <sheet name="CHEM_" sheetId="12" r:id="rId12"/>
    <sheet name="FER" sheetId="14" r:id="rId13"/>
    <sheet name="GRAPHS" sheetId="13" r:id="rId14"/>
    <sheet name="Energy Report" sheetId="15" r:id="rId15"/>
    <sheet name="Sheet1" sheetId="16" state="hidden" r:id="rId16"/>
  </sheets>
  <definedNames>
    <definedName name="\C">CLA_!$E$67</definedName>
    <definedName name="_NC1">#REF!</definedName>
    <definedName name="Dewatering">#REF!</definedName>
    <definedName name="Dewatering1">#REF!</definedName>
    <definedName name="FROTH">#REF!</definedName>
    <definedName name="FROTH1">#REF!</definedName>
    <definedName name="Gravity">#REF!</definedName>
    <definedName name="Gravity1">#REF!</definedName>
    <definedName name="NC">#REF!</definedName>
    <definedName name="NC_NR">#REF!</definedName>
    <definedName name="NC_NR1">#REF!</definedName>
    <definedName name="_xlnm.Print_Area" localSheetId="7">DF_!$B$3:$Z$39</definedName>
    <definedName name="_xlnm.Print_Area" localSheetId="14">'Energy Report'!$A:$S</definedName>
    <definedName name="_xlnm.Print_Area" localSheetId="12">FER!$B$1:$U$28</definedName>
    <definedName name="_xlnm.Print_Area" localSheetId="9">MASS!$B$5:$AD$41</definedName>
    <definedName name="_xlnm.Print_Area" localSheetId="15">Sheet1!$A$1:$X$38</definedName>
    <definedName name="_xlnm.Print_Area">#REF!</definedName>
    <definedName name="SECONDARY">#REF!</definedName>
    <definedName name="SECONDARY1">#REF!</definedName>
  </definedNames>
  <calcPr calcId="152511"/>
</workbook>
</file>

<file path=xl/calcChain.xml><?xml version="1.0" encoding="utf-8"?>
<calcChain xmlns="http://schemas.openxmlformats.org/spreadsheetml/2006/main">
  <c r="S42" i="12" l="1"/>
  <c r="AN42" i="12" l="1"/>
  <c r="AS28" i="1" l="1"/>
  <c r="AS29" i="1"/>
  <c r="AS30" i="1"/>
  <c r="AS31" i="1"/>
  <c r="AS32" i="1"/>
  <c r="AS33" i="1"/>
  <c r="AS34" i="1"/>
  <c r="AS35" i="1"/>
  <c r="AS36" i="1"/>
  <c r="AS37" i="1"/>
  <c r="AS38" i="1"/>
  <c r="AS39" i="1"/>
  <c r="AS40" i="1"/>
  <c r="AS41" i="1"/>
  <c r="AS12" i="1"/>
  <c r="AS13" i="1"/>
  <c r="AS14" i="1"/>
  <c r="AS15" i="1"/>
  <c r="AS16" i="1"/>
  <c r="AS17" i="1"/>
  <c r="AS18" i="1"/>
  <c r="AS19" i="1"/>
  <c r="AS20" i="1"/>
  <c r="AS21" i="1"/>
  <c r="AS22" i="1"/>
  <c r="AS23" i="1"/>
  <c r="AS24" i="1"/>
  <c r="AS25" i="1"/>
  <c r="AS26" i="1"/>
  <c r="AS27" i="1"/>
  <c r="AS11" i="1"/>
  <c r="AO31" i="1"/>
  <c r="AO32" i="1"/>
  <c r="AO33" i="1"/>
  <c r="AO34" i="1"/>
  <c r="AO35" i="1"/>
  <c r="AO36" i="1"/>
  <c r="AO37" i="1"/>
  <c r="AO38" i="1"/>
  <c r="AO39" i="1"/>
  <c r="AO40" i="1"/>
  <c r="AO41" i="1"/>
  <c r="AO12" i="1"/>
  <c r="AO13" i="1"/>
  <c r="AO14" i="1"/>
  <c r="AO15" i="1"/>
  <c r="AO16" i="1"/>
  <c r="AO17" i="1"/>
  <c r="AO18" i="1"/>
  <c r="AO19" i="1"/>
  <c r="AO20" i="1"/>
  <c r="AO21" i="1"/>
  <c r="AO22" i="1"/>
  <c r="AO23" i="1"/>
  <c r="AO24" i="1"/>
  <c r="AO25" i="1"/>
  <c r="AO26" i="1"/>
  <c r="AO27" i="1"/>
  <c r="AO28" i="1"/>
  <c r="AO29" i="1"/>
  <c r="AO30" i="1"/>
  <c r="AO11" i="1"/>
  <c r="AG44" i="1" l="1"/>
  <c r="DF54" i="4" l="1"/>
  <c r="EG42" i="4" l="1"/>
  <c r="EF42" i="4"/>
  <c r="HV14" i="4"/>
  <c r="H64" i="15" l="1"/>
  <c r="H63" i="15"/>
  <c r="AG41" i="12" l="1"/>
  <c r="AG40" i="12"/>
  <c r="AG39" i="12"/>
  <c r="AG38" i="12"/>
  <c r="AJ35" i="12" l="1"/>
  <c r="AG34" i="12"/>
  <c r="AG33" i="12"/>
  <c r="AG32" i="12"/>
  <c r="AG31" i="12"/>
  <c r="AG26" i="12" l="1"/>
  <c r="DW42" i="6" l="1"/>
  <c r="DX42" i="6"/>
  <c r="DY42" i="6"/>
  <c r="I24" i="5"/>
  <c r="H24" i="5"/>
  <c r="I23" i="5"/>
  <c r="H23" i="5"/>
  <c r="X22" i="5"/>
  <c r="I22" i="5"/>
  <c r="H22" i="5"/>
  <c r="X21" i="5"/>
  <c r="I21" i="5"/>
  <c r="J21" i="4" s="1"/>
  <c r="H21" i="5"/>
  <c r="I21" i="4" s="1"/>
  <c r="X20" i="5"/>
  <c r="I20" i="5"/>
  <c r="J20" i="4" s="1"/>
  <c r="H20" i="5"/>
  <c r="I20" i="4" s="1"/>
  <c r="X19" i="5"/>
  <c r="X18" i="5"/>
  <c r="DL48" i="4" l="1"/>
  <c r="AN12" i="12" l="1"/>
  <c r="AN38" i="12"/>
  <c r="AN36" i="12"/>
  <c r="AN15" i="12"/>
  <c r="AN11" i="12"/>
  <c r="AN37" i="12"/>
  <c r="AN14" i="12"/>
  <c r="AN13" i="12"/>
  <c r="AN39" i="12"/>
  <c r="AN35" i="12"/>
  <c r="AN34" i="12"/>
  <c r="AN33" i="12"/>
  <c r="AC27" i="12"/>
  <c r="AC28" i="12"/>
  <c r="AC29" i="12"/>
  <c r="DH49" i="4" l="1"/>
  <c r="DH48" i="4"/>
  <c r="AN32" i="12"/>
  <c r="AN28" i="12"/>
  <c r="AN24" i="12"/>
  <c r="AN30" i="12"/>
  <c r="AN26" i="12"/>
  <c r="AN29" i="12"/>
  <c r="AN25" i="12"/>
  <c r="AN31" i="12"/>
  <c r="AN27" i="12"/>
  <c r="R29" i="12"/>
  <c r="R30" i="12"/>
  <c r="R31" i="12"/>
  <c r="AN40" i="12" l="1"/>
  <c r="AN23" i="12"/>
  <c r="AN10" i="12"/>
  <c r="AN20" i="12" l="1"/>
  <c r="AN18" i="12"/>
  <c r="AN22" i="12"/>
  <c r="AN19" i="12"/>
  <c r="AN17" i="12"/>
  <c r="AN16" i="12"/>
  <c r="AN21" i="12"/>
  <c r="I19" i="5"/>
  <c r="H19" i="5"/>
  <c r="I18" i="5"/>
  <c r="H18" i="5"/>
  <c r="I17" i="5"/>
  <c r="H17" i="5"/>
  <c r="I16" i="5"/>
  <c r="H16" i="5"/>
  <c r="I15" i="5"/>
  <c r="H15" i="5"/>
  <c r="H14" i="5"/>
  <c r="H13" i="5"/>
  <c r="H12" i="5"/>
  <c r="H11" i="5"/>
  <c r="BF77" i="17" l="1"/>
  <c r="BE77" i="17"/>
  <c r="BD77" i="17"/>
  <c r="BC77" i="17"/>
  <c r="BB77" i="17"/>
  <c r="BA77" i="17"/>
  <c r="AZ77" i="17"/>
  <c r="AY77" i="17"/>
  <c r="AX77" i="17"/>
  <c r="AW77" i="17"/>
  <c r="AT76" i="17"/>
  <c r="AS76" i="17"/>
  <c r="AR76" i="17"/>
  <c r="AQ76" i="17"/>
  <c r="AP76" i="17"/>
  <c r="AO76" i="17"/>
  <c r="BB71" i="17"/>
  <c r="BA71" i="17"/>
  <c r="AZ71" i="17"/>
  <c r="AY71" i="17"/>
  <c r="AX71" i="17"/>
  <c r="AW71" i="17"/>
  <c r="AV71" i="17"/>
  <c r="AU71" i="17"/>
  <c r="AT71" i="17"/>
  <c r="AS71" i="17"/>
  <c r="AR71" i="17"/>
  <c r="AQ71" i="17"/>
  <c r="AP71" i="17"/>
  <c r="AO71" i="17"/>
  <c r="BG68" i="17"/>
  <c r="BF68" i="17"/>
  <c r="BE68" i="17"/>
  <c r="BD68" i="17"/>
  <c r="BC68" i="17"/>
  <c r="BB68" i="17"/>
  <c r="BA68" i="17"/>
  <c r="AZ68" i="17"/>
  <c r="AY68" i="17"/>
  <c r="AX68" i="17"/>
  <c r="AW68" i="17"/>
  <c r="AP56" i="17"/>
  <c r="AO56" i="17"/>
  <c r="AN56" i="17"/>
  <c r="AM56" i="17"/>
  <c r="AL56" i="17"/>
  <c r="AK56" i="17"/>
  <c r="BB55" i="17"/>
  <c r="BA55" i="17"/>
  <c r="AZ55" i="17"/>
  <c r="AY55" i="17"/>
  <c r="AX55" i="17"/>
  <c r="AW55" i="17"/>
  <c r="AV55" i="17"/>
  <c r="AU55" i="17"/>
  <c r="AT55" i="17"/>
  <c r="AM55" i="17"/>
  <c r="AL55" i="17"/>
  <c r="AK55" i="17"/>
  <c r="AJ55" i="17"/>
  <c r="AT73" i="17" l="1"/>
  <c r="AU73" i="17"/>
  <c r="AV73" i="17"/>
  <c r="AW73" i="17"/>
  <c r="AX73" i="17"/>
  <c r="AY73" i="17"/>
  <c r="AZ73" i="17"/>
  <c r="BA73" i="17"/>
  <c r="BB73" i="17"/>
  <c r="BC73" i="17"/>
  <c r="BD73" i="17"/>
  <c r="BE73" i="17"/>
  <c r="BF73" i="17"/>
  <c r="BG64" i="17"/>
  <c r="BG65" i="17"/>
  <c r="BA64" i="17"/>
  <c r="BB64" i="17"/>
  <c r="BC64" i="17"/>
  <c r="BD64" i="17"/>
  <c r="BE64" i="17"/>
  <c r="BF64" i="17"/>
  <c r="AJ65" i="17"/>
  <c r="AK65" i="17"/>
  <c r="AL65" i="17"/>
  <c r="AM65" i="17"/>
  <c r="AS66" i="17"/>
  <c r="AS67" i="17"/>
  <c r="AR66" i="17"/>
  <c r="AQ66" i="17"/>
  <c r="AP66" i="17"/>
  <c r="AO65" i="17"/>
  <c r="AO66" i="17"/>
  <c r="AN65" i="17"/>
  <c r="R12" i="12" l="1"/>
  <c r="R13" i="12"/>
  <c r="R14" i="12"/>
  <c r="AC15" i="12" l="1"/>
  <c r="AC16" i="12"/>
  <c r="AC17" i="12"/>
  <c r="AC18" i="12"/>
  <c r="AC19" i="12"/>
  <c r="AC20" i="12"/>
  <c r="AC21" i="12"/>
  <c r="AC22" i="12"/>
  <c r="AC23" i="12"/>
  <c r="AC24" i="12"/>
  <c r="H30" i="5" l="1"/>
  <c r="H29" i="5"/>
  <c r="H28" i="5"/>
  <c r="H27" i="5"/>
  <c r="AJ84" i="17" l="1"/>
  <c r="AM83" i="17"/>
  <c r="AL83" i="17"/>
  <c r="AK83" i="17"/>
  <c r="AJ83" i="17"/>
  <c r="BG82" i="17"/>
  <c r="BF82" i="17"/>
  <c r="BE82" i="17"/>
  <c r="BD82" i="17"/>
  <c r="BC82" i="17"/>
  <c r="BB82" i="17"/>
  <c r="BA82" i="17"/>
  <c r="AZ82" i="17"/>
  <c r="AQ82" i="17"/>
  <c r="AP82" i="17"/>
  <c r="AO82" i="17"/>
  <c r="BD63" i="17"/>
  <c r="BC63" i="17"/>
  <c r="BB63" i="17"/>
  <c r="BA63" i="17"/>
  <c r="AZ63" i="17"/>
  <c r="AY63" i="17"/>
  <c r="AX63" i="17"/>
  <c r="AW63" i="17"/>
  <c r="AV63" i="17"/>
  <c r="AU63" i="17"/>
  <c r="AM62" i="17"/>
  <c r="AL62" i="17"/>
  <c r="AJ60" i="17"/>
  <c r="AJ59" i="17"/>
  <c r="AJ58" i="17"/>
  <c r="BA57" i="17"/>
  <c r="AZ57" i="17"/>
  <c r="AY57" i="17"/>
  <c r="AX57" i="17"/>
  <c r="AT57" i="17"/>
  <c r="AS57" i="17"/>
  <c r="AR57" i="17"/>
  <c r="AQ57" i="17"/>
  <c r="AP57" i="17"/>
  <c r="AO57" i="17"/>
  <c r="AN57" i="17"/>
  <c r="AM57" i="17"/>
  <c r="AL57" i="17"/>
  <c r="AK57" i="17"/>
  <c r="AJ57" i="17"/>
  <c r="BG56" i="17"/>
  <c r="BF56" i="17"/>
  <c r="BE56" i="17"/>
  <c r="BD56" i="17"/>
  <c r="BC56" i="17"/>
  <c r="BB56" i="17"/>
  <c r="BA56" i="17"/>
  <c r="AZ56" i="17"/>
  <c r="AY56" i="17"/>
  <c r="AX56" i="17"/>
  <c r="AW56" i="17"/>
  <c r="AV56" i="17"/>
  <c r="AU56" i="17"/>
  <c r="AT56" i="17"/>
  <c r="AS56" i="17"/>
  <c r="AR56" i="17"/>
  <c r="AQ56" i="17"/>
  <c r="AJ56" i="17"/>
  <c r="X26" i="8" l="1"/>
  <c r="X25" i="8"/>
  <c r="X24" i="8"/>
  <c r="X35" i="5" l="1"/>
  <c r="Q21" i="15" l="1"/>
  <c r="EI42" i="4" s="1"/>
  <c r="AC25" i="12" l="1"/>
  <c r="AC26" i="12"/>
  <c r="AC30" i="12"/>
  <c r="AJ67" i="17" l="1"/>
  <c r="BF66" i="17"/>
  <c r="BE66" i="17"/>
  <c r="BD66" i="17"/>
  <c r="BC66" i="17"/>
  <c r="BB66" i="17"/>
  <c r="BA66" i="17"/>
  <c r="AZ66" i="17"/>
  <c r="AY66" i="17"/>
  <c r="AX66" i="17"/>
  <c r="AW66" i="17"/>
  <c r="AJ66" i="17"/>
  <c r="AP65" i="17"/>
  <c r="BE63" i="17"/>
  <c r="F39" i="5" l="1"/>
  <c r="E39" i="4" s="1"/>
  <c r="I41" i="5" l="1"/>
  <c r="H41" i="5"/>
  <c r="I40" i="5"/>
  <c r="H40" i="5"/>
  <c r="I39" i="5"/>
  <c r="H39" i="5"/>
  <c r="L38" i="5"/>
  <c r="I38" i="5"/>
  <c r="J38" i="4" s="1"/>
  <c r="H38" i="5"/>
  <c r="L37" i="5"/>
  <c r="I37" i="5"/>
  <c r="J37" i="4" s="1"/>
  <c r="H37" i="5"/>
  <c r="I36" i="5"/>
  <c r="J36" i="4" s="1"/>
  <c r="H36" i="5"/>
  <c r="I35" i="5"/>
  <c r="J35" i="4" s="1"/>
  <c r="H35" i="5"/>
  <c r="I34" i="5"/>
  <c r="H34" i="5"/>
  <c r="T33" i="5"/>
  <c r="I33" i="5"/>
  <c r="H33" i="5"/>
  <c r="I32" i="5"/>
  <c r="H32" i="5"/>
  <c r="V31" i="5"/>
  <c r="I31" i="5"/>
  <c r="H31" i="5"/>
  <c r="I30" i="5"/>
  <c r="I29" i="5"/>
  <c r="AF28" i="5"/>
  <c r="AH28" i="4" s="1"/>
  <c r="I28" i="5"/>
  <c r="AF27" i="5"/>
  <c r="AH27" i="4" s="1"/>
  <c r="I27" i="5"/>
  <c r="DK26" i="5"/>
  <c r="E26" i="8" s="1"/>
  <c r="I26" i="5"/>
  <c r="H26" i="5"/>
  <c r="DK25" i="5"/>
  <c r="E25" i="8" s="1"/>
  <c r="L25" i="5"/>
  <c r="I25" i="5"/>
  <c r="H25" i="5"/>
  <c r="DK24" i="5"/>
  <c r="E24" i="8" s="1"/>
  <c r="L24" i="5"/>
  <c r="DK23" i="5"/>
  <c r="E23" i="8" s="1"/>
  <c r="P23" i="5"/>
  <c r="L23" i="5"/>
  <c r="DK22" i="5"/>
  <c r="E22" i="8" s="1"/>
  <c r="P22" i="5"/>
  <c r="L22" i="5"/>
  <c r="DK21" i="5"/>
  <c r="E21" i="8" s="1"/>
  <c r="AH21" i="5"/>
  <c r="DK20" i="5"/>
  <c r="E20" i="8" s="1"/>
  <c r="DO19" i="5"/>
  <c r="DK19" i="5"/>
  <c r="E19" i="8" s="1"/>
  <c r="DO18" i="5"/>
  <c r="DO17" i="5"/>
  <c r="DO16" i="5"/>
  <c r="DO15" i="5"/>
  <c r="I11" i="5"/>
  <c r="AK85" i="17"/>
  <c r="AJ85" i="17"/>
  <c r="BD84" i="17"/>
  <c r="BC84" i="17"/>
  <c r="BB84" i="17"/>
  <c r="BA84" i="17"/>
  <c r="AZ84" i="17"/>
  <c r="AY84" i="17"/>
  <c r="AX84" i="17"/>
  <c r="AW84" i="17"/>
  <c r="AV84" i="17"/>
  <c r="AU84" i="17"/>
  <c r="AT84" i="17"/>
  <c r="AS84" i="17"/>
  <c r="AR84" i="17"/>
  <c r="AQ84" i="17"/>
  <c r="AP75" i="17"/>
  <c r="AO75" i="17"/>
  <c r="AN75" i="17"/>
  <c r="AM75" i="17"/>
  <c r="AL75" i="17"/>
  <c r="AK75" i="17"/>
  <c r="AJ75" i="17"/>
  <c r="BG74" i="17"/>
  <c r="BF74" i="17"/>
  <c r="BE74" i="17"/>
  <c r="BD74" i="17"/>
  <c r="AX72" i="17"/>
  <c r="AW72" i="17"/>
  <c r="AV72" i="17"/>
  <c r="AU72" i="17"/>
  <c r="AT72" i="17"/>
  <c r="AS72" i="17"/>
  <c r="AR72" i="17"/>
  <c r="AQ72" i="17"/>
  <c r="AP72" i="17"/>
  <c r="AO72" i="17"/>
  <c r="AN72" i="17"/>
  <c r="AM72" i="17"/>
  <c r="AL72" i="17"/>
  <c r="AJ72" i="17"/>
  <c r="BG71" i="17"/>
  <c r="AQ69" i="17"/>
  <c r="AP69" i="17"/>
  <c r="AO69" i="17"/>
  <c r="AN69" i="17"/>
  <c r="AM69" i="17"/>
  <c r="AL69" i="17"/>
  <c r="AV68" i="17"/>
  <c r="AU68" i="17"/>
  <c r="AT68" i="17"/>
  <c r="AS68" i="17"/>
  <c r="AR68" i="17"/>
  <c r="AQ68" i="17"/>
  <c r="AP68" i="17"/>
  <c r="AU65" i="17"/>
  <c r="AT65" i="17"/>
  <c r="AS65" i="17"/>
  <c r="AR65" i="17"/>
  <c r="AQ65" i="17"/>
  <c r="AZ62" i="17"/>
  <c r="AY62" i="17"/>
  <c r="AX62" i="17"/>
  <c r="AW62" i="17"/>
  <c r="AV62" i="17"/>
  <c r="AU62" i="17"/>
  <c r="AT62" i="17"/>
  <c r="AK60" i="17"/>
  <c r="AK59" i="17"/>
  <c r="AL58" i="17"/>
  <c r="AK58" i="17"/>
  <c r="BG57" i="17"/>
  <c r="BF57" i="17"/>
  <c r="BE57" i="17"/>
  <c r="R24" i="12" l="1"/>
  <c r="AD30" i="12" l="1"/>
  <c r="X19" i="8"/>
  <c r="X18" i="8"/>
  <c r="X17" i="8"/>
  <c r="AD28" i="12" l="1"/>
  <c r="AD29" i="12"/>
  <c r="AD27" i="12"/>
  <c r="AD21" i="12"/>
  <c r="AD25" i="12"/>
  <c r="AD22" i="12"/>
  <c r="AD26" i="12"/>
  <c r="AD20" i="12"/>
  <c r="AD24" i="12"/>
  <c r="AC21" i="8" l="1"/>
  <c r="AD21" i="8"/>
  <c r="AF21" i="8" s="1"/>
  <c r="AE21" i="8"/>
  <c r="AD15" i="12" l="1"/>
  <c r="AD16" i="12"/>
  <c r="AD17" i="12"/>
  <c r="AD18" i="12"/>
  <c r="AD19" i="12"/>
  <c r="AZ41" i="1" l="1"/>
  <c r="X23" i="8"/>
  <c r="X22" i="8"/>
  <c r="X21" i="8"/>
  <c r="BG84" i="17"/>
  <c r="BF84" i="17"/>
  <c r="AN82" i="17"/>
  <c r="AM82" i="17"/>
  <c r="AL82" i="17"/>
  <c r="AK82" i="17"/>
  <c r="AJ82" i="17"/>
  <c r="BG81" i="17"/>
  <c r="BF81" i="17"/>
  <c r="BE81" i="17"/>
  <c r="BD81" i="17"/>
  <c r="BC81" i="17"/>
  <c r="BB81" i="17"/>
  <c r="BA81" i="17"/>
  <c r="AM77" i="17"/>
  <c r="AJ77" i="17"/>
  <c r="AJ76" i="17"/>
  <c r="BA75" i="17"/>
  <c r="AZ75" i="17"/>
  <c r="AY75" i="17"/>
  <c r="AX75" i="17"/>
  <c r="AW75" i="17"/>
  <c r="AT75" i="17"/>
  <c r="AS75" i="17"/>
  <c r="AR75" i="17"/>
  <c r="AQ75" i="17"/>
  <c r="AJ74" i="17"/>
  <c r="AJ73" i="17"/>
  <c r="AJ71" i="17"/>
  <c r="BA70" i="17"/>
  <c r="AZ70" i="17"/>
  <c r="AY70" i="17"/>
  <c r="AX70" i="17"/>
  <c r="AW70" i="17"/>
  <c r="AV70" i="17"/>
  <c r="AU70" i="17"/>
  <c r="AT70" i="17"/>
  <c r="AY69" i="17"/>
  <c r="AX69" i="17"/>
  <c r="AW69" i="17"/>
  <c r="AV69" i="17"/>
  <c r="AU69" i="17"/>
  <c r="AT69" i="17"/>
  <c r="AS69" i="17"/>
  <c r="AR69" i="17"/>
  <c r="AK69" i="17"/>
  <c r="AJ69" i="17"/>
  <c r="AJ68" i="17"/>
  <c r="AJ63" i="17"/>
  <c r="AJ62" i="17"/>
  <c r="AQ61" i="17"/>
  <c r="AJ61" i="17"/>
  <c r="AT60" i="17"/>
  <c r="AS60" i="17"/>
  <c r="AR60" i="17"/>
  <c r="AQ60" i="17"/>
  <c r="AP60" i="17"/>
  <c r="AO60" i="17"/>
  <c r="AN60" i="17"/>
  <c r="AM60" i="17"/>
  <c r="AL60" i="17"/>
  <c r="BG59" i="17"/>
  <c r="BF59" i="17"/>
  <c r="BE58" i="17"/>
  <c r="BG55" i="17"/>
  <c r="BF55" i="17"/>
  <c r="BE55" i="17"/>
  <c r="BD55" i="17"/>
  <c r="BC55" i="17"/>
  <c r="AS55" i="17"/>
  <c r="AR55" i="17"/>
  <c r="AQ55" i="17"/>
  <c r="AP55" i="17"/>
  <c r="AO55" i="17"/>
  <c r="AN55" i="17"/>
  <c r="X24" i="5" l="1"/>
  <c r="K20" i="5"/>
  <c r="K19" i="5"/>
  <c r="AE18" i="5"/>
  <c r="K18" i="5"/>
  <c r="BG85" i="17" l="1"/>
  <c r="BF85" i="17"/>
  <c r="BE85" i="17"/>
  <c r="BD85" i="17"/>
  <c r="BC85" i="17"/>
  <c r="BB85" i="17"/>
  <c r="BA85" i="17"/>
  <c r="AZ85" i="17"/>
  <c r="AD23" i="12" l="1"/>
  <c r="R18" i="12"/>
  <c r="R19" i="12"/>
  <c r="R20" i="12"/>
  <c r="R21" i="12"/>
  <c r="R22" i="12"/>
  <c r="R23" i="12"/>
  <c r="R25" i="12"/>
  <c r="L36" i="5"/>
  <c r="L35" i="5"/>
  <c r="J30" i="4"/>
  <c r="R23" i="5"/>
  <c r="R22" i="5"/>
  <c r="AD20" i="5"/>
  <c r="AF20" i="4" s="1"/>
  <c r="AD19" i="5"/>
  <c r="AD18" i="5"/>
  <c r="AD17" i="5"/>
  <c r="J17" i="4"/>
  <c r="AD16" i="5"/>
  <c r="AD15" i="5"/>
  <c r="BB76" i="17"/>
  <c r="BA76" i="17"/>
  <c r="AZ76" i="17"/>
  <c r="AY76" i="17"/>
  <c r="AX76" i="17"/>
  <c r="AW76" i="17"/>
  <c r="AV76" i="17"/>
  <c r="AU76" i="17"/>
  <c r="BC74" i="17"/>
  <c r="BB74" i="17"/>
  <c r="BA74" i="17"/>
  <c r="AZ74" i="17"/>
  <c r="AY74" i="17"/>
  <c r="AX74" i="17"/>
  <c r="AW74" i="17"/>
  <c r="AV74" i="17"/>
  <c r="AU74" i="17"/>
  <c r="AT74" i="17"/>
  <c r="AS74" i="17"/>
  <c r="AR74" i="17"/>
  <c r="AQ74" i="17"/>
  <c r="AP74" i="17"/>
  <c r="AO74" i="17"/>
  <c r="AN74" i="17"/>
  <c r="AM74" i="17"/>
  <c r="AS73" i="17"/>
  <c r="AR73" i="17"/>
  <c r="AQ73" i="17"/>
  <c r="AP73" i="17"/>
  <c r="AN71" i="17"/>
  <c r="AM71" i="17"/>
  <c r="AL71" i="17"/>
  <c r="AK71" i="17"/>
  <c r="BF70" i="17"/>
  <c r="BE70" i="17"/>
  <c r="BD70" i="17"/>
  <c r="BC70" i="17"/>
  <c r="BB70" i="17"/>
  <c r="AP70" i="17"/>
  <c r="AO70" i="17"/>
  <c r="AN70" i="17"/>
  <c r="BD61" i="17"/>
  <c r="BC61" i="17"/>
  <c r="BB61" i="17"/>
  <c r="BA61" i="17"/>
  <c r="AZ61" i="17"/>
  <c r="AY61" i="17"/>
  <c r="AX61" i="17"/>
  <c r="AW61" i="17"/>
  <c r="AW57" i="17"/>
  <c r="AV57" i="17"/>
  <c r="AU57" i="17"/>
  <c r="S20" i="1" l="1"/>
  <c r="J31" i="4"/>
  <c r="EJ17" i="1"/>
  <c r="AJ37" i="12" l="1"/>
  <c r="AJ34" i="12"/>
  <c r="AJ29" i="12"/>
  <c r="AJ30" i="12"/>
  <c r="AJ31" i="12"/>
  <c r="AJ32" i="12"/>
  <c r="AJ33" i="12"/>
  <c r="AJ36" i="12"/>
  <c r="B32" i="15" l="1"/>
  <c r="AJ12" i="12" l="1"/>
  <c r="AJ10" i="12"/>
  <c r="AJ27" i="12"/>
  <c r="AJ28" i="12"/>
  <c r="AJ38" i="12"/>
  <c r="AJ39" i="12"/>
  <c r="AJ40" i="12"/>
  <c r="AJ11" i="12"/>
  <c r="AJ13" i="12"/>
  <c r="AJ14" i="12"/>
  <c r="AJ19" i="12"/>
  <c r="AJ20" i="12"/>
  <c r="AJ21" i="12"/>
  <c r="AJ22" i="12"/>
  <c r="AJ23" i="12"/>
  <c r="AJ24" i="12"/>
  <c r="AJ25" i="12"/>
  <c r="HC32" i="4" l="1"/>
  <c r="HC33" i="4"/>
  <c r="HC34" i="4"/>
  <c r="HC35" i="4"/>
  <c r="HC36" i="4"/>
  <c r="HC37" i="4"/>
  <c r="R34" i="12" l="1"/>
  <c r="S34" i="12" s="1"/>
  <c r="R35" i="12"/>
  <c r="S35" i="12" s="1"/>
  <c r="R36" i="12"/>
  <c r="R37" i="12"/>
  <c r="R38" i="12"/>
  <c r="R39" i="12"/>
  <c r="AP85" i="17" l="1"/>
  <c r="AO85" i="17"/>
  <c r="AN85" i="17"/>
  <c r="AP84" i="17"/>
  <c r="AY83" i="17"/>
  <c r="AS83" i="17"/>
  <c r="AR83" i="17"/>
  <c r="AQ83" i="17"/>
  <c r="AP83" i="17"/>
  <c r="AM80" i="17"/>
  <c r="AJ80" i="17"/>
  <c r="BC79" i="17"/>
  <c r="BB79" i="17"/>
  <c r="BA79" i="17"/>
  <c r="AZ79" i="17"/>
  <c r="AY79" i="17"/>
  <c r="AX79" i="17"/>
  <c r="AV79" i="17"/>
  <c r="AU79" i="17"/>
  <c r="AT79" i="17"/>
  <c r="AS79" i="17"/>
  <c r="AR79" i="17"/>
  <c r="AQ79" i="17"/>
  <c r="AP79" i="17"/>
  <c r="AM79" i="17"/>
  <c r="AJ79" i="17"/>
  <c r="BC78" i="17"/>
  <c r="BB78" i="17"/>
  <c r="BA78" i="17"/>
  <c r="AZ78" i="17"/>
  <c r="AM78" i="17"/>
  <c r="AJ78" i="17"/>
  <c r="BC76" i="17"/>
  <c r="AM76" i="17"/>
  <c r="BC75" i="17"/>
  <c r="BB75" i="17"/>
  <c r="AV75" i="17"/>
  <c r="AU75" i="17"/>
  <c r="AM73" i="17"/>
  <c r="BC72" i="17"/>
  <c r="BB72" i="17"/>
  <c r="BA72" i="17"/>
  <c r="AZ72" i="17"/>
  <c r="AY72" i="17"/>
  <c r="BC71" i="17"/>
  <c r="BG70" i="17"/>
  <c r="BC69" i="17"/>
  <c r="BB69" i="17"/>
  <c r="BA69" i="17"/>
  <c r="AZ69" i="17"/>
  <c r="AO68" i="17"/>
  <c r="AN68" i="17"/>
  <c r="AM68" i="17"/>
  <c r="AL68" i="17"/>
  <c r="AK68" i="17"/>
  <c r="BG67" i="17"/>
  <c r="BC67" i="17"/>
  <c r="BB67" i="17"/>
  <c r="BA67" i="17"/>
  <c r="AZ67" i="17"/>
  <c r="AY67" i="17"/>
  <c r="AX67" i="17"/>
  <c r="AW67" i="17"/>
  <c r="AV67" i="17"/>
  <c r="AU67" i="17"/>
  <c r="AT67" i="17"/>
  <c r="AR67" i="17"/>
  <c r="AQ67" i="17"/>
  <c r="AP67" i="17"/>
  <c r="AM67" i="17"/>
  <c r="BG66" i="17"/>
  <c r="AV66" i="17"/>
  <c r="AU66" i="17"/>
  <c r="AT66" i="17"/>
  <c r="AM66" i="17"/>
  <c r="BC65" i="17"/>
  <c r="BB65" i="17"/>
  <c r="BA65" i="17"/>
  <c r="AZ65" i="17"/>
  <c r="AY65" i="17"/>
  <c r="AX65" i="17"/>
  <c r="AW65" i="17"/>
  <c r="AV65" i="17"/>
  <c r="AT63" i="17"/>
  <c r="AS63" i="17"/>
  <c r="AR63" i="17"/>
  <c r="AQ63" i="17"/>
  <c r="AP63" i="17"/>
  <c r="AM63" i="17"/>
  <c r="BC62" i="17"/>
  <c r="BB62" i="17"/>
  <c r="BA62" i="17"/>
  <c r="AS62" i="17"/>
  <c r="AR62" i="17"/>
  <c r="AQ62" i="17"/>
  <c r="AP62" i="17"/>
  <c r="AV61" i="17"/>
  <c r="AU61" i="17"/>
  <c r="AT61" i="17"/>
  <c r="AS61" i="17"/>
  <c r="AR61" i="17"/>
  <c r="AP61" i="17"/>
  <c r="AM61" i="17"/>
  <c r="BC60" i="17"/>
  <c r="BB60" i="17"/>
  <c r="BA60" i="17"/>
  <c r="AZ60" i="17"/>
  <c r="AY60" i="17"/>
  <c r="AX60" i="17"/>
  <c r="AW60" i="17"/>
  <c r="AV60" i="17"/>
  <c r="AU60" i="17"/>
  <c r="BC59" i="17"/>
  <c r="BB59" i="17"/>
  <c r="BA59" i="17"/>
  <c r="AZ59" i="17"/>
  <c r="AY59" i="17"/>
  <c r="AX59" i="17"/>
  <c r="AW59" i="17"/>
  <c r="AV59" i="17"/>
  <c r="AU59" i="17"/>
  <c r="AT59" i="17"/>
  <c r="AS59" i="17"/>
  <c r="AR59" i="17"/>
  <c r="AQ59" i="17"/>
  <c r="AP59" i="17"/>
  <c r="AO59" i="17"/>
  <c r="AN59" i="17"/>
  <c r="AM59" i="17"/>
  <c r="AL59" i="17"/>
  <c r="BG58" i="17"/>
  <c r="BF58" i="17"/>
  <c r="BD58" i="17"/>
  <c r="BC58" i="17"/>
  <c r="BB58" i="17"/>
  <c r="BA58" i="17"/>
  <c r="AZ58" i="17"/>
  <c r="AY58" i="17"/>
  <c r="AX58" i="17"/>
  <c r="AW58" i="17"/>
  <c r="AV58" i="17"/>
  <c r="AU58" i="17"/>
  <c r="AT58" i="17"/>
  <c r="AS58" i="17"/>
  <c r="AR58" i="17"/>
  <c r="AQ58" i="17"/>
  <c r="AP58" i="17"/>
  <c r="AO58" i="17"/>
  <c r="AN58" i="17"/>
  <c r="AM58" i="17"/>
  <c r="BD57" i="17"/>
  <c r="BC57" i="17"/>
  <c r="BB57" i="17"/>
  <c r="HC31" i="4"/>
  <c r="HC30" i="4"/>
  <c r="HC29" i="4"/>
  <c r="HC28" i="4"/>
  <c r="HC27" i="4"/>
  <c r="HC26" i="4"/>
  <c r="HC25" i="4"/>
  <c r="HC24" i="4"/>
  <c r="X11" i="8"/>
  <c r="BG25" i="5"/>
  <c r="X14" i="5"/>
  <c r="X13" i="5"/>
  <c r="X12" i="5"/>
  <c r="G11" i="12" l="1"/>
  <c r="G12" i="12"/>
  <c r="G13" i="12"/>
  <c r="G14" i="12"/>
  <c r="AP86" i="17"/>
  <c r="Q25" i="15" l="1"/>
  <c r="J32" i="4" l="1"/>
  <c r="AJ15" i="12" l="1"/>
  <c r="AJ26" i="12" l="1"/>
  <c r="AJ16" i="12" l="1"/>
  <c r="AC37" i="12"/>
  <c r="AD37" i="12" s="1"/>
  <c r="AC31" i="12"/>
  <c r="AD31" i="12" s="1"/>
  <c r="AC32" i="12"/>
  <c r="AD32" i="12" s="1"/>
  <c r="AC33" i="12"/>
  <c r="AD33" i="12" s="1"/>
  <c r="AC34" i="12"/>
  <c r="AD34" i="12" s="1"/>
  <c r="AC35" i="12"/>
  <c r="AD35" i="12" s="1"/>
  <c r="AC36" i="12"/>
  <c r="AD36" i="12" s="1"/>
  <c r="S30" i="12"/>
  <c r="S31" i="12"/>
  <c r="R32" i="12"/>
  <c r="S32" i="12" s="1"/>
  <c r="R33" i="12"/>
  <c r="S33" i="12" s="1"/>
  <c r="X35" i="8"/>
  <c r="BS40" i="7"/>
  <c r="BT40" i="7"/>
  <c r="CB39" i="4"/>
  <c r="AE39" i="1" s="1"/>
  <c r="CB40" i="4"/>
  <c r="D21" i="5"/>
  <c r="D20" i="5"/>
  <c r="V19" i="5"/>
  <c r="D19" i="5"/>
  <c r="V18" i="5"/>
  <c r="D18" i="5"/>
  <c r="D17" i="5"/>
  <c r="D16" i="5"/>
  <c r="D15" i="5"/>
  <c r="I14" i="5"/>
  <c r="I13" i="5"/>
  <c r="AW79" i="17"/>
  <c r="AK78" i="17"/>
  <c r="AK77" i="17"/>
  <c r="AN76" i="17"/>
  <c r="AL76" i="17"/>
  <c r="AK76" i="17"/>
  <c r="BG75" i="17"/>
  <c r="BF75" i="17"/>
  <c r="BE75" i="17"/>
  <c r="BD75" i="17"/>
  <c r="AK74" i="17"/>
  <c r="AN73" i="17"/>
  <c r="AK73" i="17"/>
  <c r="AK72" i="17"/>
  <c r="AK67" i="17"/>
  <c r="AK66" i="17"/>
  <c r="BD65" i="17"/>
  <c r="AO63" i="17"/>
  <c r="AK63" i="17"/>
  <c r="BD62" i="17"/>
  <c r="AO62" i="17"/>
  <c r="AN62" i="17"/>
  <c r="AK62" i="17"/>
  <c r="AK61" i="17"/>
  <c r="BD59" i="17"/>
  <c r="AJ17" i="12" l="1"/>
  <c r="AJ18" i="12"/>
  <c r="S12" i="4" l="1"/>
  <c r="R11" i="12"/>
  <c r="R15" i="12"/>
  <c r="R16" i="12"/>
  <c r="R17" i="12"/>
  <c r="AC11" i="12"/>
  <c r="AC12" i="12"/>
  <c r="AC13" i="12"/>
  <c r="AC14" i="12"/>
  <c r="R26" i="12" l="1"/>
  <c r="R27" i="12"/>
  <c r="R28" i="12"/>
  <c r="S29" i="12"/>
  <c r="AZ30" i="1" l="1"/>
  <c r="AZ29" i="1"/>
  <c r="AZ28" i="1"/>
  <c r="AZ27" i="1"/>
  <c r="AZ26" i="1"/>
  <c r="AZ25" i="1"/>
  <c r="AZ24" i="1"/>
  <c r="AZ23" i="1"/>
  <c r="AZ22" i="1"/>
  <c r="D12" i="1" l="1"/>
  <c r="AO79" i="17"/>
  <c r="AN79" i="17"/>
  <c r="BD78" i="17"/>
  <c r="AN78" i="17"/>
  <c r="AL78" i="17"/>
  <c r="AO73" i="17"/>
  <c r="BD72" i="17"/>
  <c r="AN66" i="17"/>
  <c r="AL63" i="17"/>
  <c r="BE78" i="17" l="1"/>
  <c r="BE72" i="17"/>
  <c r="BF72" i="17"/>
  <c r="BG72" i="17"/>
  <c r="AL73" i="17"/>
  <c r="HV13" i="4" l="1"/>
  <c r="HV12" i="4"/>
  <c r="HV11" i="4"/>
  <c r="O26" i="8" l="1"/>
  <c r="O22" i="8"/>
  <c r="O18" i="8"/>
  <c r="O14" i="8"/>
  <c r="J40" i="4"/>
  <c r="J34" i="4"/>
  <c r="I33" i="4"/>
  <c r="I31" i="4"/>
  <c r="I29" i="4"/>
  <c r="I27" i="4"/>
  <c r="J24" i="4"/>
  <c r="D23" i="5"/>
  <c r="C23" i="4" s="1"/>
  <c r="K22" i="5"/>
  <c r="F22" i="5"/>
  <c r="D22" i="5"/>
  <c r="C22" i="4" s="1"/>
  <c r="F21" i="5"/>
  <c r="E21" i="4" s="1"/>
  <c r="F20" i="5"/>
  <c r="E20" i="4" s="1"/>
  <c r="C20" i="4"/>
  <c r="F19" i="5"/>
  <c r="E19" i="4" s="1"/>
  <c r="Q18" i="4"/>
  <c r="F18" i="5"/>
  <c r="E18" i="4" s="1"/>
  <c r="V17" i="5"/>
  <c r="F17" i="5"/>
  <c r="E17" i="4" s="1"/>
  <c r="C17" i="4"/>
  <c r="V16" i="5"/>
  <c r="Q16" i="4" s="1"/>
  <c r="C15" i="4"/>
  <c r="DO14" i="5"/>
  <c r="I14" i="8" s="1"/>
  <c r="D14" i="5"/>
  <c r="C14" i="4" s="1"/>
  <c r="DO13" i="5"/>
  <c r="D13" i="5"/>
  <c r="C13" i="4" s="1"/>
  <c r="D12" i="5"/>
  <c r="C12" i="4" s="1"/>
  <c r="AN80" i="17"/>
  <c r="AL80" i="17"/>
  <c r="AK80" i="17"/>
  <c r="AL79" i="17"/>
  <c r="AK79" i="17"/>
  <c r="BG77" i="17"/>
  <c r="AL77" i="17"/>
  <c r="AL74" i="17"/>
  <c r="BD71" i="17"/>
  <c r="BF67" i="17"/>
  <c r="BE67" i="17"/>
  <c r="BD67" i="17"/>
  <c r="BG62" i="17"/>
  <c r="BG61" i="17"/>
  <c r="BE61" i="17"/>
  <c r="BG60" i="17"/>
  <c r="EC11" i="4"/>
  <c r="CK11" i="4"/>
  <c r="CM11" i="4"/>
  <c r="CB38" i="4"/>
  <c r="CB35" i="4"/>
  <c r="CB34" i="4"/>
  <c r="CB31" i="4"/>
  <c r="CB28" i="4"/>
  <c r="CB27" i="4"/>
  <c r="AE27" i="1" s="1"/>
  <c r="CB26" i="4"/>
  <c r="AE26" i="1" s="1"/>
  <c r="CB24" i="4"/>
  <c r="AE24" i="1" s="1"/>
  <c r="CB23" i="4"/>
  <c r="AE23" i="1" s="1"/>
  <c r="CB22" i="4"/>
  <c r="CB19" i="4"/>
  <c r="CB17" i="4"/>
  <c r="CB16" i="4"/>
  <c r="CB15" i="4"/>
  <c r="CB14" i="4"/>
  <c r="CB12" i="4"/>
  <c r="CB11" i="4"/>
  <c r="L38" i="15"/>
  <c r="BP25" i="1"/>
  <c r="C48" i="15"/>
  <c r="V36" i="8"/>
  <c r="AM22" i="8"/>
  <c r="HJ41" i="4"/>
  <c r="HJ40" i="4"/>
  <c r="HJ39" i="4"/>
  <c r="HJ38" i="4"/>
  <c r="HJ37" i="4"/>
  <c r="HJ36" i="4"/>
  <c r="HJ35" i="4"/>
  <c r="HJ34" i="4"/>
  <c r="HJ33" i="4"/>
  <c r="HJ32" i="4"/>
  <c r="HJ31" i="4"/>
  <c r="HJ30" i="4"/>
  <c r="HJ29" i="4"/>
  <c r="HJ28" i="4"/>
  <c r="HJ27" i="4"/>
  <c r="HJ26" i="4"/>
  <c r="HJ25" i="4"/>
  <c r="HJ24" i="4"/>
  <c r="HJ23" i="4"/>
  <c r="HJ22" i="4"/>
  <c r="HJ21" i="4"/>
  <c r="HJ20" i="4"/>
  <c r="HJ19" i="4"/>
  <c r="HJ18" i="4"/>
  <c r="HJ17" i="4"/>
  <c r="HJ16" i="4"/>
  <c r="HJ15" i="4"/>
  <c r="V35" i="8"/>
  <c r="S28" i="12"/>
  <c r="V29" i="8" s="1"/>
  <c r="V33" i="8"/>
  <c r="S27" i="12"/>
  <c r="V28" i="8" s="1"/>
  <c r="V34" i="8"/>
  <c r="V34" i="5"/>
  <c r="Q34" i="4" s="1"/>
  <c r="BE84" i="17"/>
  <c r="BG76" i="17"/>
  <c r="BF76" i="17"/>
  <c r="BE76" i="17"/>
  <c r="BD76" i="17"/>
  <c r="U41" i="5"/>
  <c r="U40" i="5"/>
  <c r="T40" i="5"/>
  <c r="U39" i="5"/>
  <c r="T39" i="5"/>
  <c r="U38" i="5"/>
  <c r="T38" i="5"/>
  <c r="V37" i="5"/>
  <c r="Q37" i="4" s="1"/>
  <c r="U37" i="5"/>
  <c r="T37" i="5"/>
  <c r="V36" i="5"/>
  <c r="Q36" i="4" s="1"/>
  <c r="U36" i="5"/>
  <c r="T36" i="5"/>
  <c r="V35" i="5"/>
  <c r="Q35" i="4" s="1"/>
  <c r="U35" i="5"/>
  <c r="T35" i="5"/>
  <c r="P35" i="5"/>
  <c r="O35" i="5"/>
  <c r="M35" i="5"/>
  <c r="I35" i="4"/>
  <c r="U34" i="5"/>
  <c r="T34" i="5"/>
  <c r="P34" i="5"/>
  <c r="O34" i="5"/>
  <c r="N34" i="5"/>
  <c r="M34" i="5"/>
  <c r="L34" i="5"/>
  <c r="I34" i="4"/>
  <c r="AE33" i="5"/>
  <c r="V33" i="5"/>
  <c r="Q33" i="4" s="1"/>
  <c r="U33" i="5"/>
  <c r="P33" i="5"/>
  <c r="O33" i="5"/>
  <c r="N33" i="5"/>
  <c r="M33" i="5"/>
  <c r="L33" i="5"/>
  <c r="AE32" i="5"/>
  <c r="AG32" i="4" s="1"/>
  <c r="V32" i="5"/>
  <c r="Q32" i="4" s="1"/>
  <c r="U32" i="5"/>
  <c r="T32" i="5"/>
  <c r="R32" i="5"/>
  <c r="P32" i="5"/>
  <c r="O32" i="5"/>
  <c r="N32" i="5"/>
  <c r="M32" i="5"/>
  <c r="L32" i="5"/>
  <c r="Q31" i="4"/>
  <c r="V30" i="5"/>
  <c r="Q30" i="4" s="1"/>
  <c r="V29" i="5"/>
  <c r="Q29" i="4" s="1"/>
  <c r="V28" i="5"/>
  <c r="Q28" i="4" s="1"/>
  <c r="Q28" i="5"/>
  <c r="V27" i="5"/>
  <c r="Q27" i="4" s="1"/>
  <c r="Q27" i="5"/>
  <c r="V26" i="5"/>
  <c r="Q26" i="4" s="1"/>
  <c r="Q26" i="5"/>
  <c r="V25" i="5"/>
  <c r="Q25" i="4" s="1"/>
  <c r="V24" i="5"/>
  <c r="Q24" i="4" s="1"/>
  <c r="V23" i="5"/>
  <c r="Q23" i="4" s="1"/>
  <c r="V22" i="5"/>
  <c r="Q22" i="4" s="1"/>
  <c r="AF21" i="5"/>
  <c r="AH21" i="4" s="1"/>
  <c r="V21" i="5"/>
  <c r="Q21" i="4" s="1"/>
  <c r="AF20" i="5"/>
  <c r="AH20" i="4" s="1"/>
  <c r="V20" i="5"/>
  <c r="Q20" i="4" s="1"/>
  <c r="AF19" i="5"/>
  <c r="AH19" i="4" s="1"/>
  <c r="AF18" i="5"/>
  <c r="AH18" i="4" s="1"/>
  <c r="AF17" i="5"/>
  <c r="AH17" i="4" s="1"/>
  <c r="V15" i="5"/>
  <c r="Q15" i="4" s="1"/>
  <c r="J28" i="4"/>
  <c r="J27" i="4"/>
  <c r="J26" i="4"/>
  <c r="I26" i="4"/>
  <c r="J25" i="4"/>
  <c r="I25" i="4"/>
  <c r="X23" i="5"/>
  <c r="S23" i="4" s="1"/>
  <c r="J23" i="4"/>
  <c r="S18" i="4"/>
  <c r="X17" i="5"/>
  <c r="S17" i="4" s="1"/>
  <c r="AW11" i="5"/>
  <c r="BC11" i="4" s="1"/>
  <c r="AR11" i="5"/>
  <c r="AX11" i="4" s="1"/>
  <c r="AQ11" i="5"/>
  <c r="AW11" i="4" s="1"/>
  <c r="AN63" i="17"/>
  <c r="BE60" i="17"/>
  <c r="BD60" i="17"/>
  <c r="AM24" i="8"/>
  <c r="AD12" i="12"/>
  <c r="AM13" i="8" s="1"/>
  <c r="Q22" i="8"/>
  <c r="M41" i="12"/>
  <c r="N41" i="12"/>
  <c r="W7" i="8" s="1"/>
  <c r="R10" i="12"/>
  <c r="P39" i="8"/>
  <c r="O39" i="8"/>
  <c r="P38" i="8"/>
  <c r="O38" i="8"/>
  <c r="P37" i="8"/>
  <c r="O37" i="8"/>
  <c r="P36" i="8"/>
  <c r="O36" i="8"/>
  <c r="P35" i="8"/>
  <c r="O35" i="8"/>
  <c r="P34" i="8"/>
  <c r="O34" i="8"/>
  <c r="P33" i="8"/>
  <c r="O33" i="8"/>
  <c r="P32" i="8"/>
  <c r="O32" i="8"/>
  <c r="P31" i="8"/>
  <c r="O31" i="8"/>
  <c r="P30" i="8"/>
  <c r="O30" i="8"/>
  <c r="P29" i="8"/>
  <c r="O29" i="8"/>
  <c r="P28" i="8"/>
  <c r="O28" i="8"/>
  <c r="P27" i="8"/>
  <c r="O27" i="8"/>
  <c r="P26" i="8"/>
  <c r="P25" i="8"/>
  <c r="O25" i="8"/>
  <c r="P24" i="8"/>
  <c r="O24" i="8"/>
  <c r="P23" i="8"/>
  <c r="W23" i="8" s="1"/>
  <c r="O23" i="8"/>
  <c r="P22" i="8"/>
  <c r="P21" i="8"/>
  <c r="O21" i="8"/>
  <c r="P20" i="8"/>
  <c r="O20" i="8"/>
  <c r="P19" i="8"/>
  <c r="O19" i="8"/>
  <c r="P18" i="8"/>
  <c r="P17" i="8"/>
  <c r="O17" i="8"/>
  <c r="P16" i="8"/>
  <c r="O16" i="8"/>
  <c r="P15" i="8"/>
  <c r="O15" i="8"/>
  <c r="P14" i="8"/>
  <c r="P13" i="8"/>
  <c r="O13" i="8"/>
  <c r="DQ40" i="5"/>
  <c r="GH40" i="4" s="1"/>
  <c r="DQ39" i="5"/>
  <c r="GH39" i="4" s="1"/>
  <c r="DO39" i="5"/>
  <c r="I39" i="8" s="1"/>
  <c r="DQ38" i="5"/>
  <c r="K38" i="8" s="1"/>
  <c r="DO38" i="5"/>
  <c r="GF38" i="4" s="1"/>
  <c r="DQ37" i="5"/>
  <c r="DO37" i="5"/>
  <c r="DQ36" i="5"/>
  <c r="K36" i="8" s="1"/>
  <c r="DO36" i="5"/>
  <c r="GT36" i="4" s="1"/>
  <c r="DQ35" i="5"/>
  <c r="K35" i="8" s="1"/>
  <c r="DO35" i="5"/>
  <c r="GF35" i="4" s="1"/>
  <c r="DQ34" i="5"/>
  <c r="K34" i="8" s="1"/>
  <c r="DO34" i="5"/>
  <c r="I34" i="8" s="1"/>
  <c r="BN17" i="5"/>
  <c r="EX17" i="4" s="1"/>
  <c r="BG17" i="5"/>
  <c r="EQ17" i="4" s="1"/>
  <c r="BN16" i="5"/>
  <c r="EX16" i="4" s="1"/>
  <c r="BG16" i="5"/>
  <c r="EQ16" i="4" s="1"/>
  <c r="BN15" i="5"/>
  <c r="EX15" i="4" s="1"/>
  <c r="BG15" i="5"/>
  <c r="EQ15" i="4" s="1"/>
  <c r="AO67" i="17"/>
  <c r="AN67" i="17"/>
  <c r="AL67" i="17"/>
  <c r="AL66" i="17"/>
  <c r="AM32" i="8"/>
  <c r="AF103" i="4"/>
  <c r="AM29" i="8"/>
  <c r="CR50" i="4"/>
  <c r="CS50" i="4"/>
  <c r="CS49" i="4"/>
  <c r="CR49" i="4"/>
  <c r="U27" i="5"/>
  <c r="U26" i="5"/>
  <c r="U25" i="5"/>
  <c r="U24" i="5"/>
  <c r="U23" i="5"/>
  <c r="U22" i="5"/>
  <c r="U21" i="5"/>
  <c r="U20" i="5"/>
  <c r="U19" i="5"/>
  <c r="U18" i="5"/>
  <c r="U17" i="5"/>
  <c r="U16" i="5"/>
  <c r="AF11" i="5"/>
  <c r="BF61" i="17"/>
  <c r="CB13" i="4"/>
  <c r="CB20" i="4"/>
  <c r="CB21" i="4"/>
  <c r="CB25" i="4"/>
  <c r="AE25" i="1" s="1"/>
  <c r="CB29" i="4"/>
  <c r="CB32" i="4"/>
  <c r="CB33" i="4"/>
  <c r="CB36" i="4"/>
  <c r="CB37" i="4"/>
  <c r="CB18" i="4"/>
  <c r="CB30" i="4"/>
  <c r="AC10" i="12"/>
  <c r="AD10" i="12" s="1"/>
  <c r="I16" i="4"/>
  <c r="X27" i="8"/>
  <c r="Q26" i="8"/>
  <c r="Q25" i="8"/>
  <c r="Q24" i="8"/>
  <c r="R24" i="8" s="1"/>
  <c r="DP24" i="4" s="1"/>
  <c r="Q23" i="8"/>
  <c r="Q21" i="8"/>
  <c r="Q20" i="8"/>
  <c r="Q19" i="8"/>
  <c r="R19" i="8" s="1"/>
  <c r="Q18" i="8"/>
  <c r="Q17" i="8"/>
  <c r="Q16" i="8"/>
  <c r="Q15" i="8"/>
  <c r="U15" i="8" s="1"/>
  <c r="Q14" i="8"/>
  <c r="Q13" i="8"/>
  <c r="R13" i="8" s="1"/>
  <c r="G25" i="12"/>
  <c r="DU26" i="4" s="1"/>
  <c r="G26" i="12"/>
  <c r="W99" i="4" s="1"/>
  <c r="G22" i="12"/>
  <c r="DU23" i="4" s="1"/>
  <c r="G23" i="12"/>
  <c r="G24" i="12"/>
  <c r="DU25" i="4" s="1"/>
  <c r="AM25" i="8"/>
  <c r="J39" i="4"/>
  <c r="J33" i="4"/>
  <c r="X29" i="5"/>
  <c r="S29" i="4" s="1"/>
  <c r="X28" i="5"/>
  <c r="S28" i="4" s="1"/>
  <c r="AP27" i="5"/>
  <c r="AV27" i="4" s="1"/>
  <c r="X27" i="5"/>
  <c r="S27" i="4" s="1"/>
  <c r="AP26" i="5"/>
  <c r="AV26" i="4" s="1"/>
  <c r="AE26" i="5"/>
  <c r="AG26" i="4" s="1"/>
  <c r="X26" i="5"/>
  <c r="S26" i="4" s="1"/>
  <c r="X25" i="5"/>
  <c r="S25" i="4" s="1"/>
  <c r="S22" i="4"/>
  <c r="S21" i="4"/>
  <c r="I19" i="4"/>
  <c r="J18" i="4"/>
  <c r="I18" i="4"/>
  <c r="I17" i="4"/>
  <c r="J16" i="4"/>
  <c r="V14" i="5"/>
  <c r="Q14" i="4" s="1"/>
  <c r="BG79" i="17"/>
  <c r="BF79" i="17"/>
  <c r="BE79" i="17"/>
  <c r="BD79" i="17"/>
  <c r="S12" i="12"/>
  <c r="N35" i="18"/>
  <c r="L28" i="5"/>
  <c r="L27" i="5"/>
  <c r="L26" i="5"/>
  <c r="K25" i="5"/>
  <c r="L25" i="4" s="1"/>
  <c r="K24" i="5"/>
  <c r="L24" i="4" s="1"/>
  <c r="K23" i="5"/>
  <c r="L23" i="4" s="1"/>
  <c r="AC22" i="5"/>
  <c r="AE22" i="4" s="1"/>
  <c r="AB22" i="5"/>
  <c r="AD22" i="4" s="1"/>
  <c r="AA22" i="5"/>
  <c r="AB22" i="4" s="1"/>
  <c r="Z22" i="5"/>
  <c r="AA22" i="4" s="1"/>
  <c r="Y22" i="5"/>
  <c r="T22" i="4" s="1"/>
  <c r="W22" i="5"/>
  <c r="R22" i="4" s="1"/>
  <c r="T22" i="5"/>
  <c r="S22" i="5"/>
  <c r="Q22" i="5"/>
  <c r="O22" i="5"/>
  <c r="N22" i="4" s="1"/>
  <c r="N22" i="5"/>
  <c r="M22" i="5"/>
  <c r="L21" i="5"/>
  <c r="L20" i="5"/>
  <c r="L19" i="5"/>
  <c r="L18" i="5"/>
  <c r="L17" i="5"/>
  <c r="AF16" i="5"/>
  <c r="AH16" i="4" s="1"/>
  <c r="AE16" i="5"/>
  <c r="AG16" i="4" s="1"/>
  <c r="AC16" i="5"/>
  <c r="AB16" i="5"/>
  <c r="AD16" i="4" s="1"/>
  <c r="AA16" i="5"/>
  <c r="Z16" i="5"/>
  <c r="AA16" i="4" s="1"/>
  <c r="Y16" i="5"/>
  <c r="T16" i="4" s="1"/>
  <c r="X16" i="5"/>
  <c r="S16" i="4" s="1"/>
  <c r="W16" i="5"/>
  <c r="R16" i="4" s="1"/>
  <c r="T16" i="5"/>
  <c r="S16" i="5"/>
  <c r="R16" i="5"/>
  <c r="Q16" i="5"/>
  <c r="P16" i="5"/>
  <c r="O16" i="5"/>
  <c r="N16" i="5"/>
  <c r="M16" i="5"/>
  <c r="L16" i="5"/>
  <c r="AO24" i="4"/>
  <c r="AO23" i="4"/>
  <c r="AN23" i="4"/>
  <c r="AO22" i="4"/>
  <c r="AN22" i="4"/>
  <c r="G32" i="12"/>
  <c r="W105" i="4" s="1"/>
  <c r="G28" i="12"/>
  <c r="W101" i="4" s="1"/>
  <c r="G29" i="12"/>
  <c r="DU30" i="4" s="1"/>
  <c r="G30" i="12"/>
  <c r="W103" i="4" s="1"/>
  <c r="G31" i="12"/>
  <c r="W104" i="4" s="1"/>
  <c r="G27" i="12"/>
  <c r="BF62" i="17"/>
  <c r="AO61" i="17"/>
  <c r="AN61" i="17"/>
  <c r="AL61" i="17"/>
  <c r="W23" i="5"/>
  <c r="R23" i="4" s="1"/>
  <c r="W24" i="5"/>
  <c r="R24" i="4" s="1"/>
  <c r="AB15" i="5"/>
  <c r="AD15" i="4" s="1"/>
  <c r="AB14" i="5"/>
  <c r="AD14" i="4" s="1"/>
  <c r="AB13" i="5"/>
  <c r="AD13" i="4" s="1"/>
  <c r="AB12" i="5"/>
  <c r="AD12" i="4" s="1"/>
  <c r="BG83" i="17"/>
  <c r="BC83" i="17"/>
  <c r="BB83" i="17"/>
  <c r="AX83" i="17"/>
  <c r="AU83" i="17"/>
  <c r="AK84" i="17"/>
  <c r="AL84" i="17"/>
  <c r="AM84" i="17"/>
  <c r="AN84" i="17"/>
  <c r="AO84" i="17"/>
  <c r="AT83" i="17"/>
  <c r="AV83" i="17"/>
  <c r="BD83" i="17"/>
  <c r="BE83" i="17"/>
  <c r="BF83" i="17"/>
  <c r="BA83" i="17"/>
  <c r="AZ83" i="17"/>
  <c r="AW83" i="17"/>
  <c r="CP49" i="4"/>
  <c r="AM17" i="8"/>
  <c r="AD13" i="12"/>
  <c r="AD14" i="12"/>
  <c r="AM15" i="8" s="1"/>
  <c r="DT29" i="4"/>
  <c r="DT28" i="4"/>
  <c r="Y100" i="4" s="1"/>
  <c r="DT27" i="4"/>
  <c r="K38" i="5"/>
  <c r="L38" i="4" s="1"/>
  <c r="K37" i="5"/>
  <c r="L37" i="4" s="1"/>
  <c r="K36" i="5"/>
  <c r="L36" i="4" s="1"/>
  <c r="AE35" i="5"/>
  <c r="AG35" i="4" s="1"/>
  <c r="K35" i="5"/>
  <c r="L35" i="4" s="1"/>
  <c r="BJ34" i="5"/>
  <c r="ET34" i="4" s="1"/>
  <c r="AE34" i="5"/>
  <c r="AG34" i="4" s="1"/>
  <c r="K34" i="5"/>
  <c r="L34" i="4" s="1"/>
  <c r="BJ33" i="5"/>
  <c r="ET33" i="4" s="1"/>
  <c r="K33" i="5"/>
  <c r="L33" i="4" s="1"/>
  <c r="BJ32" i="5"/>
  <c r="ET32" i="4" s="1"/>
  <c r="K32" i="5"/>
  <c r="L32" i="4" s="1"/>
  <c r="BJ31" i="5"/>
  <c r="ET31" i="4" s="1"/>
  <c r="AE31" i="5"/>
  <c r="AG31" i="4" s="1"/>
  <c r="K31" i="5"/>
  <c r="L31" i="4" s="1"/>
  <c r="BJ30" i="5"/>
  <c r="ET30" i="4" s="1"/>
  <c r="AE30" i="5"/>
  <c r="AG30" i="4" s="1"/>
  <c r="K30" i="5"/>
  <c r="L30" i="4" s="1"/>
  <c r="BJ29" i="5"/>
  <c r="ET29" i="4" s="1"/>
  <c r="AE29" i="5"/>
  <c r="AG29" i="4" s="1"/>
  <c r="K29" i="5"/>
  <c r="L29" i="4" s="1"/>
  <c r="D29" i="5"/>
  <c r="C29" i="4" s="1"/>
  <c r="BJ28" i="5"/>
  <c r="ET28" i="4" s="1"/>
  <c r="AE28" i="5"/>
  <c r="AG28" i="4" s="1"/>
  <c r="K28" i="5"/>
  <c r="L28" i="4" s="1"/>
  <c r="D28" i="5"/>
  <c r="C28" i="4" s="1"/>
  <c r="BJ27" i="5"/>
  <c r="ET27" i="4" s="1"/>
  <c r="AE27" i="5"/>
  <c r="AG27" i="4" s="1"/>
  <c r="K27" i="5"/>
  <c r="L27" i="4" s="1"/>
  <c r="D27" i="5"/>
  <c r="C27" i="4" s="1"/>
  <c r="BJ26" i="5"/>
  <c r="ET26" i="4" s="1"/>
  <c r="K26" i="5"/>
  <c r="L26" i="4" s="1"/>
  <c r="D26" i="5"/>
  <c r="C26" i="4" s="1"/>
  <c r="BJ25" i="5"/>
  <c r="ET25" i="4" s="1"/>
  <c r="D25" i="5"/>
  <c r="C25" i="4" s="1"/>
  <c r="BJ24" i="5"/>
  <c r="ET24" i="4" s="1"/>
  <c r="D24" i="5"/>
  <c r="C24" i="4" s="1"/>
  <c r="BJ23" i="5"/>
  <c r="ET23" i="4" s="1"/>
  <c r="BJ22" i="5"/>
  <c r="ET22" i="4" s="1"/>
  <c r="S20" i="4"/>
  <c r="F16" i="5"/>
  <c r="E16" i="4" s="1"/>
  <c r="I15" i="4"/>
  <c r="F15" i="5"/>
  <c r="E15" i="4" s="1"/>
  <c r="I14" i="4"/>
  <c r="F14" i="5"/>
  <c r="E14" i="4" s="1"/>
  <c r="BG73" i="17"/>
  <c r="AN83" i="17"/>
  <c r="AO83" i="17"/>
  <c r="S26" i="12"/>
  <c r="V27" i="8" s="1"/>
  <c r="AM85" i="17"/>
  <c r="AL85" i="17"/>
  <c r="BG78" i="17"/>
  <c r="BF78" i="17"/>
  <c r="BF71" i="17"/>
  <c r="BE71" i="17"/>
  <c r="BF65" i="17"/>
  <c r="BE65" i="17"/>
  <c r="BE62" i="17"/>
  <c r="BF60" i="17"/>
  <c r="BE59" i="17"/>
  <c r="DK39" i="5"/>
  <c r="E39" i="8" s="1"/>
  <c r="DK38" i="5"/>
  <c r="E38" i="8" s="1"/>
  <c r="DK37" i="5"/>
  <c r="DK36" i="5"/>
  <c r="E36" i="8" s="1"/>
  <c r="X36" i="5"/>
  <c r="S36" i="4" s="1"/>
  <c r="DK35" i="5"/>
  <c r="E35" i="8" s="1"/>
  <c r="DK34" i="5"/>
  <c r="E34" i="8" s="1"/>
  <c r="DK33" i="5"/>
  <c r="E33" i="8" s="1"/>
  <c r="DK32" i="5"/>
  <c r="E32" i="8" s="1"/>
  <c r="DK31" i="5"/>
  <c r="E31" i="8" s="1"/>
  <c r="S31" i="5"/>
  <c r="R31" i="5"/>
  <c r="Q31" i="5"/>
  <c r="P31" i="5"/>
  <c r="O31" i="5"/>
  <c r="N31" i="5"/>
  <c r="M31" i="5"/>
  <c r="L31" i="5"/>
  <c r="DK30" i="5"/>
  <c r="S30" i="5"/>
  <c r="R30" i="5"/>
  <c r="Q30" i="5"/>
  <c r="P30" i="5"/>
  <c r="O30" i="5"/>
  <c r="N30" i="5"/>
  <c r="M30" i="5"/>
  <c r="L30" i="5"/>
  <c r="DK29" i="5"/>
  <c r="E29" i="8" s="1"/>
  <c r="AH29" i="5"/>
  <c r="S29" i="5"/>
  <c r="R29" i="5"/>
  <c r="Q29" i="5"/>
  <c r="P29" i="5"/>
  <c r="O29" i="5"/>
  <c r="N29" i="5"/>
  <c r="M29" i="5"/>
  <c r="L29" i="5"/>
  <c r="DK28" i="5"/>
  <c r="E28" i="8" s="1"/>
  <c r="S28" i="5"/>
  <c r="R28" i="5"/>
  <c r="P28" i="5"/>
  <c r="O28" i="5"/>
  <c r="N28" i="5"/>
  <c r="M28" i="5"/>
  <c r="DK27" i="5"/>
  <c r="E27" i="8" s="1"/>
  <c r="S27" i="5"/>
  <c r="R27" i="5"/>
  <c r="P27" i="5"/>
  <c r="O27" i="5"/>
  <c r="N27" i="5"/>
  <c r="M27" i="5"/>
  <c r="AH98" i="4"/>
  <c r="AA26" i="5"/>
  <c r="AB26" i="4" s="1"/>
  <c r="Z26" i="5"/>
  <c r="AA26" i="4" s="1"/>
  <c r="Y26" i="5"/>
  <c r="T26" i="4" s="1"/>
  <c r="W26" i="5"/>
  <c r="R26" i="4" s="1"/>
  <c r="T26" i="5"/>
  <c r="S26" i="5"/>
  <c r="R26" i="5"/>
  <c r="P26" i="5"/>
  <c r="O26" i="5"/>
  <c r="N26" i="5"/>
  <c r="M26" i="5"/>
  <c r="AA25" i="5"/>
  <c r="AB25" i="4" s="1"/>
  <c r="Z25" i="5"/>
  <c r="AA25" i="4" s="1"/>
  <c r="Y25" i="5"/>
  <c r="T25" i="4" s="1"/>
  <c r="W25" i="5"/>
  <c r="R25" i="4" s="1"/>
  <c r="T25" i="5"/>
  <c r="S25" i="5"/>
  <c r="R25" i="5"/>
  <c r="Q25" i="5"/>
  <c r="P25" i="5"/>
  <c r="O25" i="5"/>
  <c r="N25" i="5"/>
  <c r="M25" i="5"/>
  <c r="AA24" i="5"/>
  <c r="AB24" i="4" s="1"/>
  <c r="Z24" i="5"/>
  <c r="AA24" i="4" s="1"/>
  <c r="Y24" i="5"/>
  <c r="T24" i="4" s="1"/>
  <c r="T24" i="5"/>
  <c r="S24" i="5"/>
  <c r="R24" i="5"/>
  <c r="Q24" i="5"/>
  <c r="P24" i="5"/>
  <c r="O24" i="5"/>
  <c r="N24" i="5"/>
  <c r="M24" i="5"/>
  <c r="AA23" i="5"/>
  <c r="AB23" i="4" s="1"/>
  <c r="Z23" i="5"/>
  <c r="AA23" i="4" s="1"/>
  <c r="Y23" i="5"/>
  <c r="T23" i="4" s="1"/>
  <c r="T23" i="5"/>
  <c r="S23" i="5"/>
  <c r="Q23" i="5"/>
  <c r="O23" i="5"/>
  <c r="N23" i="5"/>
  <c r="M23" i="5"/>
  <c r="AA21" i="5"/>
  <c r="AB21" i="4" s="1"/>
  <c r="Z21" i="5"/>
  <c r="AA21" i="4" s="1"/>
  <c r="Y21" i="5"/>
  <c r="T21" i="4" s="1"/>
  <c r="W21" i="5"/>
  <c r="R21" i="4" s="1"/>
  <c r="T21" i="5"/>
  <c r="S21" i="5"/>
  <c r="R21" i="5"/>
  <c r="Q21" i="5"/>
  <c r="P21" i="5"/>
  <c r="O21" i="5"/>
  <c r="N21" i="5"/>
  <c r="M21" i="5"/>
  <c r="K21" i="5"/>
  <c r="L21" i="4" s="1"/>
  <c r="AA20" i="5"/>
  <c r="AB20" i="4" s="1"/>
  <c r="Z20" i="5"/>
  <c r="AA20" i="4" s="1"/>
  <c r="Y20" i="5"/>
  <c r="T20" i="4" s="1"/>
  <c r="W20" i="5"/>
  <c r="R20" i="4" s="1"/>
  <c r="T20" i="5"/>
  <c r="S20" i="5"/>
  <c r="R20" i="5"/>
  <c r="Q20" i="5"/>
  <c r="P20" i="5"/>
  <c r="O20" i="5"/>
  <c r="N20" i="5"/>
  <c r="M20" i="5"/>
  <c r="L20" i="4"/>
  <c r="AA19" i="5"/>
  <c r="AB19" i="4" s="1"/>
  <c r="Z19" i="5"/>
  <c r="AA19" i="4" s="1"/>
  <c r="Y19" i="5"/>
  <c r="T19" i="4" s="1"/>
  <c r="W19" i="5"/>
  <c r="R19" i="4" s="1"/>
  <c r="T19" i="5"/>
  <c r="S19" i="5"/>
  <c r="R19" i="5"/>
  <c r="Q19" i="5"/>
  <c r="P19" i="5"/>
  <c r="O19" i="5"/>
  <c r="N19" i="5"/>
  <c r="M19" i="5"/>
  <c r="L19" i="4"/>
  <c r="DK18" i="5"/>
  <c r="E18" i="8" s="1"/>
  <c r="AA18" i="5"/>
  <c r="AB18" i="4" s="1"/>
  <c r="Z18" i="5"/>
  <c r="AA18" i="4" s="1"/>
  <c r="Y18" i="5"/>
  <c r="T18" i="4" s="1"/>
  <c r="W18" i="5"/>
  <c r="R18" i="4" s="1"/>
  <c r="T18" i="5"/>
  <c r="S18" i="5"/>
  <c r="R18" i="5"/>
  <c r="Q18" i="5"/>
  <c r="P18" i="5"/>
  <c r="O18" i="5"/>
  <c r="N18" i="5"/>
  <c r="M18" i="5"/>
  <c r="DK17" i="5"/>
  <c r="E17" i="8" s="1"/>
  <c r="AA17" i="5"/>
  <c r="AB17" i="4" s="1"/>
  <c r="Z17" i="5"/>
  <c r="AA17" i="4" s="1"/>
  <c r="Y17" i="5"/>
  <c r="T17" i="4" s="1"/>
  <c r="W17" i="5"/>
  <c r="R17" i="4" s="1"/>
  <c r="T17" i="5"/>
  <c r="S17" i="5"/>
  <c r="R17" i="5"/>
  <c r="Q17" i="5"/>
  <c r="P17" i="5"/>
  <c r="O17" i="5"/>
  <c r="N17" i="5"/>
  <c r="M17" i="5"/>
  <c r="AA15" i="5"/>
  <c r="AB15" i="4" s="1"/>
  <c r="Z15" i="5"/>
  <c r="AA15" i="4" s="1"/>
  <c r="Y15" i="5"/>
  <c r="T15" i="4" s="1"/>
  <c r="X15" i="5"/>
  <c r="S15" i="4" s="1"/>
  <c r="W15" i="5"/>
  <c r="R15" i="4" s="1"/>
  <c r="U15" i="5"/>
  <c r="T15" i="5"/>
  <c r="S15" i="5"/>
  <c r="R15" i="5"/>
  <c r="Q15" i="5"/>
  <c r="P15" i="5"/>
  <c r="O15" i="5"/>
  <c r="N15" i="5"/>
  <c r="M15" i="5"/>
  <c r="L15" i="5"/>
  <c r="G15" i="5"/>
  <c r="F15" i="4" s="1"/>
  <c r="AA14" i="5"/>
  <c r="AB14" i="4" s="1"/>
  <c r="Z14" i="5"/>
  <c r="Y14" i="5"/>
  <c r="T14" i="4" s="1"/>
  <c r="S14" i="4"/>
  <c r="W14" i="5"/>
  <c r="R14" i="4" s="1"/>
  <c r="U14" i="5"/>
  <c r="T14" i="5"/>
  <c r="S14" i="5"/>
  <c r="R14" i="5"/>
  <c r="Q14" i="5"/>
  <c r="P14" i="5"/>
  <c r="O14" i="5"/>
  <c r="N14" i="5"/>
  <c r="M14" i="5"/>
  <c r="L14" i="5"/>
  <c r="AA13" i="5"/>
  <c r="AB13" i="4" s="1"/>
  <c r="Z13" i="5"/>
  <c r="AA13" i="4" s="1"/>
  <c r="Y13" i="5"/>
  <c r="T13" i="4" s="1"/>
  <c r="S13" i="4"/>
  <c r="W13" i="5"/>
  <c r="R13" i="4" s="1"/>
  <c r="V13" i="5"/>
  <c r="Q13" i="4" s="1"/>
  <c r="U13" i="5"/>
  <c r="T13" i="5"/>
  <c r="S13" i="5"/>
  <c r="R13" i="5"/>
  <c r="Q13" i="5"/>
  <c r="P13" i="5"/>
  <c r="O13" i="5"/>
  <c r="N13" i="5"/>
  <c r="M13" i="5"/>
  <c r="L13" i="5"/>
  <c r="I13" i="4"/>
  <c r="EB52" i="4"/>
  <c r="CC35" i="5"/>
  <c r="FT35" i="4" s="1"/>
  <c r="CB35" i="5"/>
  <c r="FS35" i="4" s="1"/>
  <c r="CC34" i="5"/>
  <c r="FT34" i="4" s="1"/>
  <c r="CB34" i="5"/>
  <c r="FS34" i="4" s="1"/>
  <c r="CC33" i="5"/>
  <c r="FT33" i="4" s="1"/>
  <c r="CB33" i="5"/>
  <c r="FS33" i="4" s="1"/>
  <c r="W33" i="5"/>
  <c r="R33" i="4" s="1"/>
  <c r="S33" i="5"/>
  <c r="R33" i="5"/>
  <c r="Q33" i="5"/>
  <c r="J33" i="5"/>
  <c r="K33" i="4" s="1"/>
  <c r="CC32" i="5"/>
  <c r="FT32" i="4" s="1"/>
  <c r="CB32" i="5"/>
  <c r="FS32" i="4" s="1"/>
  <c r="W32" i="5"/>
  <c r="R32" i="4" s="1"/>
  <c r="S32" i="5"/>
  <c r="Q32" i="5"/>
  <c r="J32" i="5"/>
  <c r="K32" i="4" s="1"/>
  <c r="CC31" i="5"/>
  <c r="FT31" i="4" s="1"/>
  <c r="CB31" i="5"/>
  <c r="FS31" i="4" s="1"/>
  <c r="W31" i="5"/>
  <c r="R31" i="4" s="1"/>
  <c r="U31" i="5"/>
  <c r="T31" i="5"/>
  <c r="J31" i="5"/>
  <c r="CC30" i="5"/>
  <c r="FT30" i="4" s="1"/>
  <c r="CB30" i="5"/>
  <c r="FS30" i="4" s="1"/>
  <c r="W30" i="5"/>
  <c r="R30" i="4" s="1"/>
  <c r="U30" i="5"/>
  <c r="T30" i="5"/>
  <c r="J30" i="5"/>
  <c r="K30" i="4" s="1"/>
  <c r="CC29" i="5"/>
  <c r="FT29" i="4" s="1"/>
  <c r="CB29" i="5"/>
  <c r="FS29" i="4" s="1"/>
  <c r="W29" i="5"/>
  <c r="R29" i="4" s="1"/>
  <c r="U29" i="5"/>
  <c r="T29" i="5"/>
  <c r="J29" i="5"/>
  <c r="CC28" i="5"/>
  <c r="FT28" i="4" s="1"/>
  <c r="CB28" i="5"/>
  <c r="FS28" i="4" s="1"/>
  <c r="W28" i="5"/>
  <c r="R28" i="4" s="1"/>
  <c r="U28" i="5"/>
  <c r="T28" i="5"/>
  <c r="J28" i="5"/>
  <c r="K28" i="4" s="1"/>
  <c r="CC27" i="5"/>
  <c r="FT27" i="4" s="1"/>
  <c r="CB27" i="5"/>
  <c r="FS27" i="4" s="1"/>
  <c r="W27" i="5"/>
  <c r="R27" i="4" s="1"/>
  <c r="T27" i="5"/>
  <c r="J27" i="5"/>
  <c r="K27" i="4" s="1"/>
  <c r="CC26" i="5"/>
  <c r="FT26" i="4" s="1"/>
  <c r="CB26" i="5"/>
  <c r="J26" i="5"/>
  <c r="K26" i="4" s="1"/>
  <c r="CC25" i="5"/>
  <c r="FT25" i="4" s="1"/>
  <c r="CB25" i="5"/>
  <c r="AE25" i="5"/>
  <c r="AG25" i="4" s="1"/>
  <c r="J25" i="5"/>
  <c r="K25" i="4" s="1"/>
  <c r="CC24" i="5"/>
  <c r="FT24" i="4" s="1"/>
  <c r="CB24" i="5"/>
  <c r="AE24" i="5"/>
  <c r="AG24" i="4" s="1"/>
  <c r="J24" i="5"/>
  <c r="K24" i="4" s="1"/>
  <c r="CC23" i="5"/>
  <c r="FT23" i="4" s="1"/>
  <c r="CB23" i="5"/>
  <c r="FS23" i="4" s="1"/>
  <c r="AE23" i="5"/>
  <c r="AG23" i="4" s="1"/>
  <c r="J23" i="5"/>
  <c r="K23" i="4" s="1"/>
  <c r="AE22" i="5"/>
  <c r="AG22" i="4" s="1"/>
  <c r="J22" i="5"/>
  <c r="K22" i="4" s="1"/>
  <c r="AE21" i="5"/>
  <c r="AG21" i="4" s="1"/>
  <c r="J21" i="5"/>
  <c r="K21" i="4" s="1"/>
  <c r="AE20" i="5"/>
  <c r="AG20" i="4" s="1"/>
  <c r="J20" i="5"/>
  <c r="K20" i="4" s="1"/>
  <c r="AE19" i="5"/>
  <c r="AG19" i="4" s="1"/>
  <c r="J19" i="5"/>
  <c r="AG18" i="4"/>
  <c r="J18" i="5"/>
  <c r="K18" i="4" s="1"/>
  <c r="K17" i="5"/>
  <c r="L17" i="4" s="1"/>
  <c r="J17" i="5"/>
  <c r="K16" i="5"/>
  <c r="L16" i="4" s="1"/>
  <c r="J16" i="5"/>
  <c r="K16" i="4" s="1"/>
  <c r="V11" i="5"/>
  <c r="Q11" i="4" s="1"/>
  <c r="AU20" i="18"/>
  <c r="AU18" i="18"/>
  <c r="U12" i="18"/>
  <c r="AX8" i="18"/>
  <c r="AV27" i="18"/>
  <c r="AV23" i="18"/>
  <c r="AU23" i="18"/>
  <c r="AU19" i="18"/>
  <c r="AU27" i="18" s="1"/>
  <c r="AU17" i="18"/>
  <c r="E7" i="18"/>
  <c r="D7" i="18"/>
  <c r="AS6" i="18"/>
  <c r="V5" i="18"/>
  <c r="D74" i="4"/>
  <c r="E74" i="4" s="1"/>
  <c r="F74" i="4" s="1"/>
  <c r="G74" i="4" s="1"/>
  <c r="H74" i="4" s="1"/>
  <c r="I74" i="4" s="1"/>
  <c r="J74" i="4" s="1"/>
  <c r="K74" i="4" s="1"/>
  <c r="L74" i="4" s="1"/>
  <c r="M74" i="4" s="1"/>
  <c r="N74" i="4" s="1"/>
  <c r="O74" i="4" s="1"/>
  <c r="P74" i="4" s="1"/>
  <c r="Q74" i="4" s="1"/>
  <c r="R74" i="4" s="1"/>
  <c r="S74" i="4" s="1"/>
  <c r="T74" i="4" s="1"/>
  <c r="U74" i="4" s="1"/>
  <c r="V74" i="4" s="1"/>
  <c r="W74" i="4" s="1"/>
  <c r="X74" i="4" s="1"/>
  <c r="Y74" i="4" s="1"/>
  <c r="Z74" i="4" s="1"/>
  <c r="AA74" i="4" s="1"/>
  <c r="AB74" i="4" s="1"/>
  <c r="AC74" i="4" s="1"/>
  <c r="AD74" i="4" s="1"/>
  <c r="AE74" i="4" s="1"/>
  <c r="AF74" i="4" s="1"/>
  <c r="AG74" i="4" s="1"/>
  <c r="AH74" i="4" s="1"/>
  <c r="AI74" i="4" s="1"/>
  <c r="AJ74" i="4" s="1"/>
  <c r="AK74" i="4" s="1"/>
  <c r="AL74" i="4" s="1"/>
  <c r="AM74" i="4" s="1"/>
  <c r="AN74" i="4" s="1"/>
  <c r="F37" i="18"/>
  <c r="R40" i="5"/>
  <c r="Q40" i="5"/>
  <c r="P40" i="5"/>
  <c r="O40" i="5"/>
  <c r="N40" i="5"/>
  <c r="M40" i="5"/>
  <c r="L40" i="5"/>
  <c r="K40" i="5"/>
  <c r="L40" i="4" s="1"/>
  <c r="J40" i="5"/>
  <c r="K40" i="4" s="1"/>
  <c r="G40" i="5"/>
  <c r="F40" i="4" s="1"/>
  <c r="R39" i="5"/>
  <c r="Q39" i="5"/>
  <c r="P39" i="5"/>
  <c r="O39" i="5"/>
  <c r="N39" i="5"/>
  <c r="M39" i="5"/>
  <c r="L39" i="5"/>
  <c r="K39" i="5"/>
  <c r="L39" i="4" s="1"/>
  <c r="J39" i="5"/>
  <c r="K39" i="4" s="1"/>
  <c r="I39" i="4"/>
  <c r="G39" i="5"/>
  <c r="F39" i="4" s="1"/>
  <c r="R38" i="5"/>
  <c r="Q38" i="5"/>
  <c r="P38" i="5"/>
  <c r="O38" i="5"/>
  <c r="N38" i="5"/>
  <c r="M38" i="5"/>
  <c r="J38" i="5"/>
  <c r="K38" i="4" s="1"/>
  <c r="I38" i="4"/>
  <c r="G38" i="5"/>
  <c r="F38" i="4" s="1"/>
  <c r="R37" i="5"/>
  <c r="Q37" i="5"/>
  <c r="P37" i="5"/>
  <c r="O37" i="5"/>
  <c r="N37" i="5"/>
  <c r="M37" i="5"/>
  <c r="J37" i="5"/>
  <c r="K37" i="4" s="1"/>
  <c r="I37" i="4"/>
  <c r="G37" i="5"/>
  <c r="R36" i="5"/>
  <c r="Q36" i="5"/>
  <c r="P36" i="5"/>
  <c r="O36" i="5"/>
  <c r="N36" i="5"/>
  <c r="M36" i="5"/>
  <c r="J36" i="5"/>
  <c r="K36" i="4" s="1"/>
  <c r="G36" i="5"/>
  <c r="F36" i="4" s="1"/>
  <c r="Z35" i="5"/>
  <c r="AA35" i="4" s="1"/>
  <c r="Y35" i="5"/>
  <c r="T35" i="4" s="1"/>
  <c r="W35" i="5"/>
  <c r="R35" i="4" s="1"/>
  <c r="S35" i="5"/>
  <c r="R35" i="5"/>
  <c r="Q35" i="5"/>
  <c r="N35" i="5"/>
  <c r="J35" i="5"/>
  <c r="K35" i="4" s="1"/>
  <c r="G35" i="5"/>
  <c r="F35" i="4" s="1"/>
  <c r="Z34" i="5"/>
  <c r="AA34" i="4" s="1"/>
  <c r="Y34" i="5"/>
  <c r="T34" i="4" s="1"/>
  <c r="X34" i="5"/>
  <c r="S34" i="4" s="1"/>
  <c r="W34" i="5"/>
  <c r="R34" i="4" s="1"/>
  <c r="S34" i="5"/>
  <c r="R34" i="5"/>
  <c r="Q34" i="5"/>
  <c r="J34" i="5"/>
  <c r="K34" i="4" s="1"/>
  <c r="G34" i="5"/>
  <c r="F34" i="4" s="1"/>
  <c r="Z33" i="5"/>
  <c r="AA33" i="4" s="1"/>
  <c r="Y33" i="5"/>
  <c r="T33" i="4" s="1"/>
  <c r="X33" i="5"/>
  <c r="S33" i="4" s="1"/>
  <c r="G33" i="5"/>
  <c r="F33" i="4" s="1"/>
  <c r="DM32" i="5"/>
  <c r="DL32" i="5"/>
  <c r="F32" i="8" s="1"/>
  <c r="DJ32" i="5"/>
  <c r="D32" i="8" s="1"/>
  <c r="DI32" i="5"/>
  <c r="Z32" i="5"/>
  <c r="AA32" i="4" s="1"/>
  <c r="Y32" i="5"/>
  <c r="T32" i="4" s="1"/>
  <c r="X32" i="5"/>
  <c r="S32" i="4" s="1"/>
  <c r="G32" i="5"/>
  <c r="F32" i="4" s="1"/>
  <c r="DM31" i="5"/>
  <c r="DL31" i="5"/>
  <c r="F31" i="8" s="1"/>
  <c r="DJ31" i="5"/>
  <c r="D31" i="8" s="1"/>
  <c r="DI31" i="5"/>
  <c r="C31" i="8" s="1"/>
  <c r="Z31" i="5"/>
  <c r="AA31" i="4" s="1"/>
  <c r="Y31" i="5"/>
  <c r="T31" i="4" s="1"/>
  <c r="X31" i="5"/>
  <c r="S31" i="4" s="1"/>
  <c r="G31" i="5"/>
  <c r="F31" i="4" s="1"/>
  <c r="DM30" i="5"/>
  <c r="DL30" i="5"/>
  <c r="F30" i="8" s="1"/>
  <c r="DJ30" i="5"/>
  <c r="D30" i="8" s="1"/>
  <c r="DI30" i="5"/>
  <c r="C30" i="8" s="1"/>
  <c r="Z30" i="5"/>
  <c r="AA30" i="4" s="1"/>
  <c r="Y30" i="5"/>
  <c r="T30" i="4" s="1"/>
  <c r="X30" i="5"/>
  <c r="S30" i="4" s="1"/>
  <c r="G30" i="5"/>
  <c r="F30" i="4" s="1"/>
  <c r="DM29" i="5"/>
  <c r="DL29" i="5"/>
  <c r="F29" i="8" s="1"/>
  <c r="DJ29" i="5"/>
  <c r="D29" i="8" s="1"/>
  <c r="DI29" i="5"/>
  <c r="C29" i="8" s="1"/>
  <c r="Z29" i="5"/>
  <c r="AA29" i="4" s="1"/>
  <c r="Y29" i="5"/>
  <c r="T29" i="4" s="1"/>
  <c r="G29" i="5"/>
  <c r="F29" i="4" s="1"/>
  <c r="DM28" i="5"/>
  <c r="DL28" i="5"/>
  <c r="F28" i="8" s="1"/>
  <c r="DJ28" i="5"/>
  <c r="D28" i="8" s="1"/>
  <c r="DI28" i="5"/>
  <c r="C28" i="8" s="1"/>
  <c r="Z28" i="5"/>
  <c r="AA28" i="4" s="1"/>
  <c r="Y28" i="5"/>
  <c r="T28" i="4" s="1"/>
  <c r="G28" i="5"/>
  <c r="F28" i="4" s="1"/>
  <c r="DM27" i="5"/>
  <c r="DL27" i="5"/>
  <c r="F27" i="8" s="1"/>
  <c r="DJ27" i="5"/>
  <c r="D27" i="8" s="1"/>
  <c r="DI27" i="5"/>
  <c r="C27" i="8" s="1"/>
  <c r="Z27" i="5"/>
  <c r="AA27" i="4" s="1"/>
  <c r="Y27" i="5"/>
  <c r="T27" i="4" s="1"/>
  <c r="G27" i="5"/>
  <c r="F27" i="4" s="1"/>
  <c r="DM26" i="5"/>
  <c r="DL26" i="5"/>
  <c r="F26" i="8" s="1"/>
  <c r="DJ26" i="5"/>
  <c r="D26" i="8" s="1"/>
  <c r="DI26" i="5"/>
  <c r="C26" i="8" s="1"/>
  <c r="DM25" i="5"/>
  <c r="DL25" i="5"/>
  <c r="F25" i="8" s="1"/>
  <c r="DJ25" i="5"/>
  <c r="D25" i="8" s="1"/>
  <c r="DI25" i="5"/>
  <c r="C25" i="8" s="1"/>
  <c r="DM24" i="5"/>
  <c r="DL24" i="5"/>
  <c r="F24" i="8" s="1"/>
  <c r="DJ24" i="5"/>
  <c r="D24" i="8" s="1"/>
  <c r="DI24" i="5"/>
  <c r="C24" i="8" s="1"/>
  <c r="DM23" i="5"/>
  <c r="DL23" i="5"/>
  <c r="F23" i="8" s="1"/>
  <c r="DJ23" i="5"/>
  <c r="D23" i="8" s="1"/>
  <c r="DI23" i="5"/>
  <c r="C23" i="8" s="1"/>
  <c r="DM22" i="5"/>
  <c r="DL22" i="5"/>
  <c r="F22" i="8" s="1"/>
  <c r="DJ22" i="5"/>
  <c r="D22" i="8" s="1"/>
  <c r="DI22" i="5"/>
  <c r="C22" i="8" s="1"/>
  <c r="DM21" i="5"/>
  <c r="DL21" i="5"/>
  <c r="F21" i="8" s="1"/>
  <c r="DJ21" i="5"/>
  <c r="D21" i="8" s="1"/>
  <c r="DI21" i="5"/>
  <c r="C21" i="8" s="1"/>
  <c r="DM20" i="5"/>
  <c r="DL20" i="5"/>
  <c r="F20" i="8" s="1"/>
  <c r="DJ20" i="5"/>
  <c r="D20" i="8" s="1"/>
  <c r="DI20" i="5"/>
  <c r="C20" i="8" s="1"/>
  <c r="DK12" i="5"/>
  <c r="E12" i="8" s="1"/>
  <c r="AA37" i="17"/>
  <c r="AA38" i="17"/>
  <c r="DS38" i="17" s="1"/>
  <c r="AA30" i="17"/>
  <c r="AE30" i="17" s="1"/>
  <c r="AA34" i="17"/>
  <c r="AA35" i="17"/>
  <c r="AA31" i="17"/>
  <c r="DS31" i="17" s="1"/>
  <c r="AA36" i="17"/>
  <c r="DS36" i="17" s="1"/>
  <c r="AA32" i="17"/>
  <c r="AA33" i="17"/>
  <c r="AA29" i="17"/>
  <c r="AQ39" i="10"/>
  <c r="AQ42" i="10" s="1"/>
  <c r="AP39" i="10"/>
  <c r="AP42" i="10" s="1"/>
  <c r="AO39" i="10"/>
  <c r="AO42" i="10" s="1"/>
  <c r="AN39" i="10"/>
  <c r="AN42" i="10" s="1"/>
  <c r="AM39" i="10"/>
  <c r="AM40" i="10" s="1"/>
  <c r="AL39" i="10"/>
  <c r="AL42" i="10" s="1"/>
  <c r="AK39" i="10"/>
  <c r="AK42" i="10" s="1"/>
  <c r="AJ39" i="10"/>
  <c r="AJ42" i="10" s="1"/>
  <c r="AI39" i="10"/>
  <c r="AI42" i="10" s="1"/>
  <c r="AH39" i="10"/>
  <c r="AG39" i="10"/>
  <c r="AG42" i="10" s="1"/>
  <c r="AF39" i="10"/>
  <c r="AF42" i="10" s="1"/>
  <c r="AE39" i="10"/>
  <c r="AE42" i="10" s="1"/>
  <c r="AD39" i="10"/>
  <c r="AD42" i="10" s="1"/>
  <c r="AC39" i="10"/>
  <c r="AC42" i="10" s="1"/>
  <c r="AB39" i="10"/>
  <c r="AB42" i="10"/>
  <c r="AA39" i="10"/>
  <c r="AA42" i="10" s="1"/>
  <c r="Z39" i="10"/>
  <c r="Z42" i="10" s="1"/>
  <c r="Y39" i="10"/>
  <c r="Y42" i="10" s="1"/>
  <c r="X39" i="10"/>
  <c r="W40" i="10" s="1"/>
  <c r="X42" i="10"/>
  <c r="W39" i="10"/>
  <c r="W42" i="10" s="1"/>
  <c r="V39" i="10"/>
  <c r="V42" i="10" s="1"/>
  <c r="U39" i="10"/>
  <c r="U42" i="10" s="1"/>
  <c r="T39" i="10"/>
  <c r="T42" i="10" s="1"/>
  <c r="S39" i="10"/>
  <c r="S42" i="10" s="1"/>
  <c r="R39" i="10"/>
  <c r="Q39" i="10"/>
  <c r="Q42" i="10" s="1"/>
  <c r="P39" i="10"/>
  <c r="P42" i="10" s="1"/>
  <c r="O39" i="10"/>
  <c r="O42" i="10" s="1"/>
  <c r="N39" i="10"/>
  <c r="N42" i="10" s="1"/>
  <c r="M39" i="10"/>
  <c r="M42" i="10" s="1"/>
  <c r="L39" i="10"/>
  <c r="L42" i="10" s="1"/>
  <c r="K39" i="10"/>
  <c r="K42" i="10" s="1"/>
  <c r="J39" i="10"/>
  <c r="J42" i="10" s="1"/>
  <c r="I39" i="10"/>
  <c r="I42" i="10" s="1"/>
  <c r="H39" i="10"/>
  <c r="H42" i="10" s="1"/>
  <c r="G39" i="10"/>
  <c r="G42" i="10" s="1"/>
  <c r="F39" i="10"/>
  <c r="F42" i="10" s="1"/>
  <c r="E39" i="10"/>
  <c r="E42" i="10" s="1"/>
  <c r="D39" i="10"/>
  <c r="D42" i="10" s="1"/>
  <c r="C39" i="10"/>
  <c r="C42" i="10" s="1"/>
  <c r="B39" i="10"/>
  <c r="AG40" i="10"/>
  <c r="AB40" i="10"/>
  <c r="AH42" i="10"/>
  <c r="L40" i="10"/>
  <c r="F36" i="5"/>
  <c r="E36" i="4" s="1"/>
  <c r="E36" i="5"/>
  <c r="D36" i="4" s="1"/>
  <c r="D36" i="5"/>
  <c r="C36" i="4" s="1"/>
  <c r="F35" i="5"/>
  <c r="E35" i="4" s="1"/>
  <c r="E35" i="5"/>
  <c r="D35" i="4" s="1"/>
  <c r="D35" i="5"/>
  <c r="C35" i="4" s="1"/>
  <c r="F34" i="5"/>
  <c r="E34" i="4" s="1"/>
  <c r="E34" i="5"/>
  <c r="D34" i="4" s="1"/>
  <c r="D34" i="5"/>
  <c r="C34" i="4" s="1"/>
  <c r="F33" i="5"/>
  <c r="E33" i="4" s="1"/>
  <c r="E33" i="5"/>
  <c r="D33" i="4" s="1"/>
  <c r="D33" i="5"/>
  <c r="C33" i="4" s="1"/>
  <c r="F32" i="5"/>
  <c r="E32" i="4" s="1"/>
  <c r="E32" i="5"/>
  <c r="D32" i="4" s="1"/>
  <c r="D32" i="5"/>
  <c r="C32" i="4" s="1"/>
  <c r="F31" i="5"/>
  <c r="E31" i="4" s="1"/>
  <c r="E31" i="5"/>
  <c r="D31" i="4" s="1"/>
  <c r="D31" i="5"/>
  <c r="C31" i="4" s="1"/>
  <c r="F30" i="5"/>
  <c r="E30" i="4" s="1"/>
  <c r="E30" i="5"/>
  <c r="D30" i="4" s="1"/>
  <c r="D30" i="5"/>
  <c r="C30" i="4" s="1"/>
  <c r="F29" i="5"/>
  <c r="E29" i="4" s="1"/>
  <c r="E29" i="5"/>
  <c r="D29" i="4" s="1"/>
  <c r="F28" i="5"/>
  <c r="E28" i="4" s="1"/>
  <c r="E28" i="5"/>
  <c r="D28" i="4" s="1"/>
  <c r="F27" i="5"/>
  <c r="E27" i="4" s="1"/>
  <c r="E27" i="5"/>
  <c r="D27" i="4" s="1"/>
  <c r="G26" i="5"/>
  <c r="F26" i="4" s="1"/>
  <c r="F26" i="5"/>
  <c r="E26" i="4" s="1"/>
  <c r="E26" i="5"/>
  <c r="D26" i="4" s="1"/>
  <c r="G25" i="5"/>
  <c r="F25" i="4" s="1"/>
  <c r="F25" i="5"/>
  <c r="E25" i="4" s="1"/>
  <c r="E25" i="5"/>
  <c r="D25" i="4" s="1"/>
  <c r="G24" i="5"/>
  <c r="F24" i="4" s="1"/>
  <c r="F24" i="5"/>
  <c r="E24" i="4" s="1"/>
  <c r="E24" i="5"/>
  <c r="G23" i="5"/>
  <c r="F23" i="4" s="1"/>
  <c r="F23" i="5"/>
  <c r="E23" i="4" s="1"/>
  <c r="E23" i="5"/>
  <c r="D23" i="4" s="1"/>
  <c r="G22" i="5"/>
  <c r="F22" i="4" s="1"/>
  <c r="E22" i="5"/>
  <c r="D22" i="4" s="1"/>
  <c r="G21" i="5"/>
  <c r="F21" i="4" s="1"/>
  <c r="E21" i="5"/>
  <c r="D21" i="4" s="1"/>
  <c r="AA13" i="17"/>
  <c r="CF15" i="4" s="1"/>
  <c r="G15" i="1" s="1"/>
  <c r="G20" i="5"/>
  <c r="F20" i="4" s="1"/>
  <c r="G19" i="5"/>
  <c r="F19" i="4" s="1"/>
  <c r="G18" i="5"/>
  <c r="F18" i="4" s="1"/>
  <c r="G17" i="5"/>
  <c r="F17" i="4" s="1"/>
  <c r="G16" i="5"/>
  <c r="F16" i="4" s="1"/>
  <c r="D1" i="5"/>
  <c r="AI124" i="17"/>
  <c r="AI123" i="17"/>
  <c r="AI122" i="17"/>
  <c r="AI121" i="17"/>
  <c r="AI120" i="17"/>
  <c r="AI119" i="17"/>
  <c r="AI118" i="17"/>
  <c r="AI117" i="17"/>
  <c r="AI116" i="17"/>
  <c r="AI115" i="17"/>
  <c r="AI114" i="17"/>
  <c r="AI113" i="17"/>
  <c r="AI112" i="17"/>
  <c r="AI111" i="17"/>
  <c r="AI110" i="17"/>
  <c r="AI109" i="17"/>
  <c r="AI108" i="17"/>
  <c r="AI107" i="17"/>
  <c r="AI106" i="17"/>
  <c r="AI105" i="17"/>
  <c r="AI104" i="17"/>
  <c r="AI103" i="17"/>
  <c r="AI102" i="17"/>
  <c r="AI101" i="17"/>
  <c r="AI100" i="17"/>
  <c r="AI99" i="17"/>
  <c r="AI98" i="17"/>
  <c r="AI97" i="17"/>
  <c r="AI96" i="17"/>
  <c r="AI95" i="17"/>
  <c r="AI94" i="17"/>
  <c r="CJ42" i="17"/>
  <c r="CJ44" i="17" s="1"/>
  <c r="CI42" i="17"/>
  <c r="CI44" i="17" s="1"/>
  <c r="CH42" i="17"/>
  <c r="CH44" i="17" s="1"/>
  <c r="CG42" i="17"/>
  <c r="CG44" i="17" s="1"/>
  <c r="CF42" i="17"/>
  <c r="CF44" i="17" s="1"/>
  <c r="CE42" i="17"/>
  <c r="CE44" i="17" s="1"/>
  <c r="CD42" i="17"/>
  <c r="CD44" i="17" s="1"/>
  <c r="CC42" i="17"/>
  <c r="CC44" i="17" s="1"/>
  <c r="CB42" i="17"/>
  <c r="CB44" i="17" s="1"/>
  <c r="CA42" i="17"/>
  <c r="CA44" i="17" s="1"/>
  <c r="BZ42" i="17"/>
  <c r="BZ44" i="17" s="1"/>
  <c r="BY42" i="17"/>
  <c r="BY44" i="17" s="1"/>
  <c r="BX42" i="17"/>
  <c r="BX44" i="17" s="1"/>
  <c r="BW42" i="17"/>
  <c r="BW44" i="17" s="1"/>
  <c r="BV42" i="17"/>
  <c r="BV44" i="17" s="1"/>
  <c r="BU42" i="17"/>
  <c r="BU44" i="17" s="1"/>
  <c r="BT42" i="17"/>
  <c r="BT44" i="17" s="1"/>
  <c r="BS42" i="17"/>
  <c r="BS44" i="17" s="1"/>
  <c r="BR42" i="17"/>
  <c r="BR44" i="17" s="1"/>
  <c r="BQ42" i="17"/>
  <c r="BQ44" i="17" s="1"/>
  <c r="BP42" i="17"/>
  <c r="BP44" i="17" s="1"/>
  <c r="BO42" i="17"/>
  <c r="BO44" i="17" s="1"/>
  <c r="BN42" i="17"/>
  <c r="BN44" i="17" s="1"/>
  <c r="BM42" i="17"/>
  <c r="BM44" i="17" s="1"/>
  <c r="BG42" i="17"/>
  <c r="BG44" i="17" s="1"/>
  <c r="BF42" i="17"/>
  <c r="BF44" i="17" s="1"/>
  <c r="BE42" i="17"/>
  <c r="BE44" i="17" s="1"/>
  <c r="BD42" i="17"/>
  <c r="BD44" i="17" s="1"/>
  <c r="BC42" i="17"/>
  <c r="BC44" i="17" s="1"/>
  <c r="BB42" i="17"/>
  <c r="BB44" i="17" s="1"/>
  <c r="BA42" i="17"/>
  <c r="BA44" i="17" s="1"/>
  <c r="AZ42" i="17"/>
  <c r="AZ44" i="17" s="1"/>
  <c r="AY42" i="17"/>
  <c r="AY44" i="17" s="1"/>
  <c r="AX42" i="17"/>
  <c r="AX44" i="17" s="1"/>
  <c r="AW42" i="17"/>
  <c r="AW44" i="17" s="1"/>
  <c r="AV42" i="17"/>
  <c r="AV44" i="17" s="1"/>
  <c r="AU42" i="17"/>
  <c r="AU44" i="17" s="1"/>
  <c r="AT42" i="17"/>
  <c r="AT44" i="17" s="1"/>
  <c r="AS42" i="17"/>
  <c r="AS44" i="17" s="1"/>
  <c r="AR42" i="17"/>
  <c r="AR44" i="17" s="1"/>
  <c r="AQ42" i="17"/>
  <c r="AQ44" i="17" s="1"/>
  <c r="AP42" i="17"/>
  <c r="AP44" i="17" s="1"/>
  <c r="AO42" i="17"/>
  <c r="AO44" i="17" s="1"/>
  <c r="AN42" i="17"/>
  <c r="AN44" i="17" s="1"/>
  <c r="AM42" i="17"/>
  <c r="AM44" i="17" s="1"/>
  <c r="AL42" i="17"/>
  <c r="AL44" i="17" s="1"/>
  <c r="AK42" i="17"/>
  <c r="AK44" i="17" s="1"/>
  <c r="AJ42" i="17"/>
  <c r="AJ44" i="17" s="1"/>
  <c r="CJ41" i="17"/>
  <c r="CI41" i="17"/>
  <c r="CH41" i="17"/>
  <c r="CG41" i="17"/>
  <c r="CF41" i="17"/>
  <c r="CE41" i="17"/>
  <c r="CD41" i="17"/>
  <c r="CC41" i="17"/>
  <c r="CB41" i="17"/>
  <c r="CA41" i="17"/>
  <c r="BZ41" i="17"/>
  <c r="BY41" i="17"/>
  <c r="BX41" i="17"/>
  <c r="BW41" i="17"/>
  <c r="BV41" i="17"/>
  <c r="BU41" i="17"/>
  <c r="BT41" i="17"/>
  <c r="BS41" i="17"/>
  <c r="BR41" i="17"/>
  <c r="BQ41" i="17"/>
  <c r="BP41" i="17"/>
  <c r="BO41" i="17"/>
  <c r="BN41" i="17"/>
  <c r="BM41" i="17"/>
  <c r="BG41" i="17"/>
  <c r="BF41" i="17"/>
  <c r="BE41" i="17"/>
  <c r="BD41" i="17"/>
  <c r="BC41" i="17"/>
  <c r="BB41" i="17"/>
  <c r="BA41" i="17"/>
  <c r="AZ41" i="17"/>
  <c r="AY41" i="17"/>
  <c r="AX41" i="17"/>
  <c r="AW41" i="17"/>
  <c r="AV41" i="17"/>
  <c r="AU41" i="17"/>
  <c r="AT41" i="17"/>
  <c r="AS41" i="17"/>
  <c r="AR41" i="17"/>
  <c r="AQ41" i="17"/>
  <c r="AP41" i="17"/>
  <c r="AO41" i="17"/>
  <c r="AN41" i="17"/>
  <c r="AM41" i="17"/>
  <c r="AL41" i="17"/>
  <c r="AK41" i="17"/>
  <c r="AJ41" i="17"/>
  <c r="CJ40" i="17"/>
  <c r="CJ43" i="17" s="1"/>
  <c r="CI40" i="17"/>
  <c r="CI43" i="17" s="1"/>
  <c r="CH40" i="17"/>
  <c r="CH43" i="17" s="1"/>
  <c r="CG40" i="17"/>
  <c r="CG43" i="17" s="1"/>
  <c r="CF40" i="17"/>
  <c r="CF43" i="17" s="1"/>
  <c r="CE40" i="17"/>
  <c r="CE43" i="17" s="1"/>
  <c r="CD40" i="17"/>
  <c r="CD43" i="17" s="1"/>
  <c r="CC40" i="17"/>
  <c r="CC43" i="17" s="1"/>
  <c r="CB40" i="17"/>
  <c r="CB43" i="17" s="1"/>
  <c r="CA40" i="17"/>
  <c r="CA43" i="17" s="1"/>
  <c r="BZ40" i="17"/>
  <c r="BZ43" i="17" s="1"/>
  <c r="BY40" i="17"/>
  <c r="BY43" i="17" s="1"/>
  <c r="BX40" i="17"/>
  <c r="BX43" i="17" s="1"/>
  <c r="BW40" i="17"/>
  <c r="BW43" i="17" s="1"/>
  <c r="BV40" i="17"/>
  <c r="BV43" i="17" s="1"/>
  <c r="BU40" i="17"/>
  <c r="BU43" i="17" s="1"/>
  <c r="BT40" i="17"/>
  <c r="BT43" i="17" s="1"/>
  <c r="BS40" i="17"/>
  <c r="BS43" i="17" s="1"/>
  <c r="BR40" i="17"/>
  <c r="BR43" i="17" s="1"/>
  <c r="BQ40" i="17"/>
  <c r="BQ43" i="17" s="1"/>
  <c r="BP40" i="17"/>
  <c r="BP43" i="17" s="1"/>
  <c r="BO40" i="17"/>
  <c r="BO43" i="17" s="1"/>
  <c r="BN40" i="17"/>
  <c r="BN43" i="17" s="1"/>
  <c r="BM40" i="17"/>
  <c r="BM43" i="17" s="1"/>
  <c r="BG40" i="17"/>
  <c r="BG43" i="17" s="1"/>
  <c r="BF40" i="17"/>
  <c r="BF43" i="17" s="1"/>
  <c r="BE40" i="17"/>
  <c r="BE43" i="17" s="1"/>
  <c r="BD40" i="17"/>
  <c r="BD43" i="17" s="1"/>
  <c r="BC40" i="17"/>
  <c r="BC43" i="17" s="1"/>
  <c r="BB40" i="17"/>
  <c r="BB43" i="17" s="1"/>
  <c r="BA40" i="17"/>
  <c r="BA43" i="17" s="1"/>
  <c r="AZ40" i="17"/>
  <c r="AZ43" i="17" s="1"/>
  <c r="AY40" i="17"/>
  <c r="AY43" i="17" s="1"/>
  <c r="AX40" i="17"/>
  <c r="AX43" i="17" s="1"/>
  <c r="AW40" i="17"/>
  <c r="AW43" i="17" s="1"/>
  <c r="AV40" i="17"/>
  <c r="AV43" i="17" s="1"/>
  <c r="AU40" i="17"/>
  <c r="AU43" i="17" s="1"/>
  <c r="AT40" i="17"/>
  <c r="AT43" i="17" s="1"/>
  <c r="AS40" i="17"/>
  <c r="AS43" i="17" s="1"/>
  <c r="AR40" i="17"/>
  <c r="AR43" i="17" s="1"/>
  <c r="AQ40" i="17"/>
  <c r="AQ43" i="17" s="1"/>
  <c r="AP40" i="17"/>
  <c r="AP43" i="17" s="1"/>
  <c r="AO40" i="17"/>
  <c r="AO43" i="17" s="1"/>
  <c r="AN40" i="17"/>
  <c r="AN43" i="17" s="1"/>
  <c r="AM40" i="17"/>
  <c r="AM43" i="17" s="1"/>
  <c r="AL40" i="17"/>
  <c r="AL43" i="17" s="1"/>
  <c r="AK40" i="17"/>
  <c r="AK43" i="17" s="1"/>
  <c r="AJ40" i="17"/>
  <c r="AJ43" i="17" s="1"/>
  <c r="CK39" i="17"/>
  <c r="BJ39" i="17"/>
  <c r="BI39" i="17"/>
  <c r="BH39" i="17"/>
  <c r="DL39" i="17"/>
  <c r="DJ39" i="17"/>
  <c r="DH39" i="17"/>
  <c r="DF39" i="17"/>
  <c r="DD39" i="17"/>
  <c r="DB39" i="17"/>
  <c r="CZ39" i="17"/>
  <c r="CX39" i="17"/>
  <c r="CV39" i="17"/>
  <c r="CT39" i="17"/>
  <c r="CR39" i="17"/>
  <c r="CP39" i="17"/>
  <c r="CK38" i="17"/>
  <c r="CL38" i="17" s="1"/>
  <c r="BJ38" i="17"/>
  <c r="BI38" i="17"/>
  <c r="BH38" i="17"/>
  <c r="DL38" i="17"/>
  <c r="DJ38" i="17"/>
  <c r="DH38" i="17"/>
  <c r="DF38" i="17"/>
  <c r="DD38" i="17"/>
  <c r="DB38" i="17"/>
  <c r="CZ38" i="17"/>
  <c r="CX38" i="17"/>
  <c r="CV38" i="17"/>
  <c r="CT38" i="17"/>
  <c r="CR38" i="17"/>
  <c r="CP38" i="17"/>
  <c r="CK37" i="17"/>
  <c r="BJ37" i="17"/>
  <c r="BI37" i="17"/>
  <c r="BH37" i="17"/>
  <c r="DL37" i="17"/>
  <c r="DJ37" i="17"/>
  <c r="DH37" i="17"/>
  <c r="DF37" i="17"/>
  <c r="DD37" i="17"/>
  <c r="DB37" i="17"/>
  <c r="CZ37" i="17"/>
  <c r="CX37" i="17"/>
  <c r="CV37" i="17"/>
  <c r="CT37" i="17"/>
  <c r="CR37" i="17"/>
  <c r="CP37" i="17"/>
  <c r="CK36" i="17"/>
  <c r="CL36" i="17" s="1"/>
  <c r="CM36" i="17" s="1"/>
  <c r="BJ36" i="17"/>
  <c r="BI36" i="17"/>
  <c r="BH36" i="17"/>
  <c r="DL36" i="17"/>
  <c r="DJ36" i="17"/>
  <c r="DH36" i="17"/>
  <c r="DF36" i="17"/>
  <c r="DD36" i="17"/>
  <c r="DB36" i="17"/>
  <c r="CZ36" i="17"/>
  <c r="CX36" i="17"/>
  <c r="CV36" i="17"/>
  <c r="CT36" i="17"/>
  <c r="CR36" i="17"/>
  <c r="CP36" i="17"/>
  <c r="CK35" i="17"/>
  <c r="BJ35" i="17"/>
  <c r="BI35" i="17"/>
  <c r="BH35" i="17"/>
  <c r="DJ35" i="17"/>
  <c r="DF35" i="17"/>
  <c r="DE35" i="17"/>
  <c r="DD35" i="17"/>
  <c r="DC35" i="17"/>
  <c r="DB35" i="17"/>
  <c r="DA35" i="17"/>
  <c r="CZ35" i="17"/>
  <c r="CY35" i="17"/>
  <c r="CX35" i="17"/>
  <c r="CW35" i="17"/>
  <c r="CV35" i="17"/>
  <c r="CU35" i="17"/>
  <c r="CT35" i="17"/>
  <c r="CS35" i="17"/>
  <c r="CR35" i="17"/>
  <c r="CQ35" i="17"/>
  <c r="CP35" i="17"/>
  <c r="CK34" i="17"/>
  <c r="BJ34" i="17"/>
  <c r="BI34" i="17"/>
  <c r="BH34" i="17"/>
  <c r="DM34" i="17"/>
  <c r="DL34" i="17"/>
  <c r="DK34" i="17"/>
  <c r="DJ34" i="17"/>
  <c r="DI34" i="17"/>
  <c r="DH34" i="17"/>
  <c r="DG34" i="17"/>
  <c r="DF34" i="17"/>
  <c r="DE34" i="17"/>
  <c r="DD34" i="17"/>
  <c r="DC34" i="17"/>
  <c r="DB34" i="17"/>
  <c r="DA34" i="17"/>
  <c r="CZ34" i="17"/>
  <c r="CY34" i="17"/>
  <c r="CX34" i="17"/>
  <c r="CW34" i="17"/>
  <c r="CV34" i="17"/>
  <c r="CU34" i="17"/>
  <c r="CT34" i="17"/>
  <c r="CS34" i="17"/>
  <c r="CR34" i="17"/>
  <c r="CQ34" i="17"/>
  <c r="CP34" i="17"/>
  <c r="CK33" i="17"/>
  <c r="BJ33" i="17"/>
  <c r="BI33" i="17"/>
  <c r="BH33" i="17"/>
  <c r="DM33" i="17"/>
  <c r="DL33" i="17"/>
  <c r="DK33" i="17"/>
  <c r="DJ33" i="17"/>
  <c r="DI33" i="17"/>
  <c r="DH33" i="17"/>
  <c r="DG33" i="17"/>
  <c r="DF33" i="17"/>
  <c r="DE33" i="17"/>
  <c r="DD33" i="17"/>
  <c r="DC33" i="17"/>
  <c r="DB33" i="17"/>
  <c r="DA33" i="17"/>
  <c r="CZ33" i="17"/>
  <c r="CY33" i="17"/>
  <c r="CX33" i="17"/>
  <c r="CW33" i="17"/>
  <c r="CV33" i="17"/>
  <c r="CU33" i="17"/>
  <c r="CT33" i="17"/>
  <c r="CS33" i="17"/>
  <c r="CR33" i="17"/>
  <c r="CQ33" i="17"/>
  <c r="CP33" i="17"/>
  <c r="CK32" i="17"/>
  <c r="BJ32" i="17"/>
  <c r="BI32" i="17"/>
  <c r="BH32" i="17"/>
  <c r="DM32" i="17"/>
  <c r="DL32" i="17"/>
  <c r="DK32" i="17"/>
  <c r="DJ32" i="17"/>
  <c r="DI32" i="17"/>
  <c r="DH32" i="17"/>
  <c r="DG32" i="17"/>
  <c r="DF32" i="17"/>
  <c r="DE32" i="17"/>
  <c r="DD32" i="17"/>
  <c r="DC32" i="17"/>
  <c r="DB32" i="17"/>
  <c r="DA32" i="17"/>
  <c r="CZ32" i="17"/>
  <c r="CY32" i="17"/>
  <c r="CX32" i="17"/>
  <c r="CW32" i="17"/>
  <c r="CV32" i="17"/>
  <c r="CU32" i="17"/>
  <c r="CT32" i="17"/>
  <c r="CS32" i="17"/>
  <c r="CR32" i="17"/>
  <c r="CQ32" i="17"/>
  <c r="CP32" i="17"/>
  <c r="CK31" i="17"/>
  <c r="BJ31" i="17"/>
  <c r="BI31" i="17"/>
  <c r="BH31" i="17"/>
  <c r="DM31" i="17"/>
  <c r="DL31" i="17"/>
  <c r="DK31" i="17"/>
  <c r="DJ31" i="17"/>
  <c r="DI31" i="17"/>
  <c r="DH31" i="17"/>
  <c r="DG31" i="17"/>
  <c r="DF31" i="17"/>
  <c r="DE31" i="17"/>
  <c r="DD31" i="17"/>
  <c r="DC31" i="17"/>
  <c r="DB31" i="17"/>
  <c r="DA31" i="17"/>
  <c r="CZ31" i="17"/>
  <c r="CY31" i="17"/>
  <c r="CX31" i="17"/>
  <c r="CW31" i="17"/>
  <c r="CV31" i="17"/>
  <c r="CU31" i="17"/>
  <c r="CT31" i="17"/>
  <c r="CS31" i="17"/>
  <c r="CR31" i="17"/>
  <c r="CQ31" i="17"/>
  <c r="CP31" i="17"/>
  <c r="CK30" i="17"/>
  <c r="BJ30" i="17"/>
  <c r="BI30" i="17"/>
  <c r="BH30" i="17"/>
  <c r="DM30" i="17"/>
  <c r="DL30" i="17"/>
  <c r="DK30" i="17"/>
  <c r="DJ30" i="17"/>
  <c r="DI30" i="17"/>
  <c r="DH30" i="17"/>
  <c r="DG30" i="17"/>
  <c r="DF30" i="17"/>
  <c r="DE30" i="17"/>
  <c r="DD30" i="17"/>
  <c r="DC30" i="17"/>
  <c r="DB30" i="17"/>
  <c r="DA30" i="17"/>
  <c r="CZ30" i="17"/>
  <c r="CY30" i="17"/>
  <c r="CX30" i="17"/>
  <c r="CW30" i="17"/>
  <c r="CV30" i="17"/>
  <c r="CU30" i="17"/>
  <c r="CT30" i="17"/>
  <c r="CS30" i="17"/>
  <c r="CR30" i="17"/>
  <c r="CQ30" i="17"/>
  <c r="CP30" i="17"/>
  <c r="CK29" i="17"/>
  <c r="BJ29" i="17"/>
  <c r="BI29" i="17"/>
  <c r="BH29" i="17"/>
  <c r="DM29" i="17"/>
  <c r="DL29" i="17"/>
  <c r="DK29" i="17"/>
  <c r="DJ29" i="17"/>
  <c r="DI29" i="17"/>
  <c r="DH29" i="17"/>
  <c r="DG29" i="17"/>
  <c r="DF29" i="17"/>
  <c r="DE29" i="17"/>
  <c r="DD29" i="17"/>
  <c r="DC29" i="17"/>
  <c r="DB29" i="17"/>
  <c r="DA29" i="17"/>
  <c r="CZ29" i="17"/>
  <c r="CY29" i="17"/>
  <c r="CX29" i="17"/>
  <c r="CW29" i="17"/>
  <c r="CV29" i="17"/>
  <c r="CU29" i="17"/>
  <c r="CT29" i="17"/>
  <c r="CS29" i="17"/>
  <c r="CR29" i="17"/>
  <c r="CQ29" i="17"/>
  <c r="CP29" i="17"/>
  <c r="CK28" i="17"/>
  <c r="BJ28" i="17"/>
  <c r="BI28" i="17"/>
  <c r="BH28" i="17"/>
  <c r="DM28" i="17"/>
  <c r="DL28" i="17"/>
  <c r="DK28" i="17"/>
  <c r="DJ28" i="17"/>
  <c r="DI28" i="17"/>
  <c r="DH28" i="17"/>
  <c r="DG28" i="17"/>
  <c r="DF28" i="17"/>
  <c r="DE28" i="17"/>
  <c r="DD28" i="17"/>
  <c r="DC28" i="17"/>
  <c r="DB28" i="17"/>
  <c r="DA28" i="17"/>
  <c r="CZ28" i="17"/>
  <c r="CY28" i="17"/>
  <c r="CX28" i="17"/>
  <c r="CW28" i="17"/>
  <c r="CV28" i="17"/>
  <c r="CU28" i="17"/>
  <c r="CT28" i="17"/>
  <c r="CS28" i="17"/>
  <c r="CR28" i="17"/>
  <c r="CQ28" i="17"/>
  <c r="CP28" i="17"/>
  <c r="CK27" i="17"/>
  <c r="BJ27" i="17"/>
  <c r="BI27" i="17"/>
  <c r="BH27" i="17"/>
  <c r="DM27" i="17"/>
  <c r="DL27" i="17"/>
  <c r="DK27" i="17"/>
  <c r="DJ27" i="17"/>
  <c r="DI27" i="17"/>
  <c r="DH27" i="17"/>
  <c r="DG27" i="17"/>
  <c r="DF27" i="17"/>
  <c r="DE27" i="17"/>
  <c r="DD27" i="17"/>
  <c r="DC27" i="17"/>
  <c r="DB27" i="17"/>
  <c r="DA27" i="17"/>
  <c r="CZ27" i="17"/>
  <c r="CY27" i="17"/>
  <c r="CX27" i="17"/>
  <c r="CW27" i="17"/>
  <c r="CV27" i="17"/>
  <c r="CU27" i="17"/>
  <c r="CT27" i="17"/>
  <c r="CS27" i="17"/>
  <c r="CR27" i="17"/>
  <c r="CQ27" i="17"/>
  <c r="CP27" i="17"/>
  <c r="CK26" i="17"/>
  <c r="BJ26" i="17"/>
  <c r="BI26" i="17"/>
  <c r="BH26" i="17"/>
  <c r="DM26" i="17"/>
  <c r="DL26" i="17"/>
  <c r="DK26" i="17"/>
  <c r="DJ26" i="17"/>
  <c r="DI26" i="17"/>
  <c r="DH26" i="17"/>
  <c r="DG26" i="17"/>
  <c r="DF26" i="17"/>
  <c r="DE26" i="17"/>
  <c r="DD26" i="17"/>
  <c r="DC26" i="17"/>
  <c r="DB26" i="17"/>
  <c r="DA26" i="17"/>
  <c r="CZ26" i="17"/>
  <c r="CY26" i="17"/>
  <c r="CX26" i="17"/>
  <c r="CW26" i="17"/>
  <c r="CV26" i="17"/>
  <c r="CU26" i="17"/>
  <c r="CT26" i="17"/>
  <c r="CS26" i="17"/>
  <c r="CR26" i="17"/>
  <c r="CQ26" i="17"/>
  <c r="CP26" i="17"/>
  <c r="CK25" i="17"/>
  <c r="BJ25" i="17"/>
  <c r="BI25" i="17"/>
  <c r="BH25" i="17"/>
  <c r="DM25" i="17"/>
  <c r="DL25" i="17"/>
  <c r="DK25" i="17"/>
  <c r="DJ25" i="17"/>
  <c r="DI25" i="17"/>
  <c r="DH25" i="17"/>
  <c r="DG25" i="17"/>
  <c r="DF25" i="17"/>
  <c r="DE25" i="17"/>
  <c r="DD25" i="17"/>
  <c r="DC25" i="17"/>
  <c r="DB25" i="17"/>
  <c r="DA25" i="17"/>
  <c r="CZ25" i="17"/>
  <c r="CY25" i="17"/>
  <c r="CX25" i="17"/>
  <c r="CW25" i="17"/>
  <c r="CV25" i="17"/>
  <c r="CU25" i="17"/>
  <c r="CT25" i="17"/>
  <c r="CS25" i="17"/>
  <c r="CR25" i="17"/>
  <c r="CQ25" i="17"/>
  <c r="CP25" i="17"/>
  <c r="CK24" i="17"/>
  <c r="BJ24" i="17"/>
  <c r="BI24" i="17"/>
  <c r="BH24" i="17"/>
  <c r="DM24" i="17"/>
  <c r="DL24" i="17"/>
  <c r="DK24" i="17"/>
  <c r="DJ24" i="17"/>
  <c r="DI24" i="17"/>
  <c r="DH24" i="17"/>
  <c r="DG24" i="17"/>
  <c r="DF24" i="17"/>
  <c r="DE24" i="17"/>
  <c r="DD24" i="17"/>
  <c r="DC24" i="17"/>
  <c r="DB24" i="17"/>
  <c r="DA24" i="17"/>
  <c r="CZ24" i="17"/>
  <c r="CY24" i="17"/>
  <c r="CX24" i="17"/>
  <c r="CW24" i="17"/>
  <c r="CV24" i="17"/>
  <c r="CU24" i="17"/>
  <c r="CT24" i="17"/>
  <c r="CS24" i="17"/>
  <c r="CR24" i="17"/>
  <c r="CQ24" i="17"/>
  <c r="CP24" i="17"/>
  <c r="CK23" i="17"/>
  <c r="BJ23" i="17"/>
  <c r="BI23" i="17"/>
  <c r="BH23" i="17"/>
  <c r="DM23" i="17"/>
  <c r="DL23" i="17"/>
  <c r="DK23" i="17"/>
  <c r="DJ23" i="17"/>
  <c r="DI23" i="17"/>
  <c r="DH23" i="17"/>
  <c r="DG23" i="17"/>
  <c r="DF23" i="17"/>
  <c r="DE23" i="17"/>
  <c r="DD23" i="17"/>
  <c r="DC23" i="17"/>
  <c r="DB23" i="17"/>
  <c r="DA23" i="17"/>
  <c r="CZ23" i="17"/>
  <c r="CY23" i="17"/>
  <c r="CX23" i="17"/>
  <c r="CW23" i="17"/>
  <c r="CV23" i="17"/>
  <c r="CU23" i="17"/>
  <c r="CT23" i="17"/>
  <c r="CS23" i="17"/>
  <c r="CR23" i="17"/>
  <c r="CQ23" i="17"/>
  <c r="CP23" i="17"/>
  <c r="CK22" i="17"/>
  <c r="BJ22" i="17"/>
  <c r="BI22" i="17"/>
  <c r="BH22" i="17"/>
  <c r="DM22" i="17"/>
  <c r="DL22" i="17"/>
  <c r="DK22" i="17"/>
  <c r="DJ22" i="17"/>
  <c r="DI22" i="17"/>
  <c r="DH22" i="17"/>
  <c r="DG22" i="17"/>
  <c r="DF22" i="17"/>
  <c r="DE22" i="17"/>
  <c r="DD22" i="17"/>
  <c r="DC22" i="17"/>
  <c r="DB22" i="17"/>
  <c r="DA22" i="17"/>
  <c r="CZ22" i="17"/>
  <c r="CY22" i="17"/>
  <c r="CX22" i="17"/>
  <c r="CW22" i="17"/>
  <c r="CV22" i="17"/>
  <c r="CU22" i="17"/>
  <c r="CT22" i="17"/>
  <c r="CS22" i="17"/>
  <c r="CR22" i="17"/>
  <c r="CQ22" i="17"/>
  <c r="CP22" i="17"/>
  <c r="CK21" i="17"/>
  <c r="BJ21" i="17"/>
  <c r="BI21" i="17"/>
  <c r="BH21" i="17"/>
  <c r="DM21" i="17"/>
  <c r="DL21" i="17"/>
  <c r="DK21" i="17"/>
  <c r="DJ21" i="17"/>
  <c r="DI21" i="17"/>
  <c r="DH21" i="17"/>
  <c r="DG21" i="17"/>
  <c r="DF21" i="17"/>
  <c r="DE21" i="17"/>
  <c r="DD21" i="17"/>
  <c r="DC21" i="17"/>
  <c r="DB21" i="17"/>
  <c r="DA21" i="17"/>
  <c r="CZ21" i="17"/>
  <c r="CY21" i="17"/>
  <c r="CX21" i="17"/>
  <c r="CW21" i="17"/>
  <c r="CV21" i="17"/>
  <c r="CU21" i="17"/>
  <c r="CT21" i="17"/>
  <c r="CS21" i="17"/>
  <c r="CR21" i="17"/>
  <c r="CQ21" i="17"/>
  <c r="CP21" i="17"/>
  <c r="CK20" i="17"/>
  <c r="BJ20" i="17"/>
  <c r="BI20" i="17"/>
  <c r="BH20" i="17"/>
  <c r="DM20" i="17"/>
  <c r="DL20" i="17"/>
  <c r="DK20" i="17"/>
  <c r="DJ20" i="17"/>
  <c r="DI20" i="17"/>
  <c r="DH20" i="17"/>
  <c r="DG20" i="17"/>
  <c r="DF20" i="17"/>
  <c r="DE20" i="17"/>
  <c r="DD20" i="17"/>
  <c r="DC20" i="17"/>
  <c r="DB20" i="17"/>
  <c r="DA20" i="17"/>
  <c r="CZ20" i="17"/>
  <c r="CY20" i="17"/>
  <c r="CX20" i="17"/>
  <c r="CW20" i="17"/>
  <c r="CV20" i="17"/>
  <c r="CU20" i="17"/>
  <c r="CT20" i="17"/>
  <c r="CS20" i="17"/>
  <c r="CR20" i="17"/>
  <c r="CQ20" i="17"/>
  <c r="CP20" i="17"/>
  <c r="CK19" i="17"/>
  <c r="BJ19" i="17"/>
  <c r="BI19" i="17"/>
  <c r="BH19" i="17"/>
  <c r="DM19" i="17"/>
  <c r="DL19" i="17"/>
  <c r="DK19" i="17"/>
  <c r="DJ19" i="17"/>
  <c r="DI19" i="17"/>
  <c r="DH19" i="17"/>
  <c r="DG19" i="17"/>
  <c r="DF19" i="17"/>
  <c r="DE19" i="17"/>
  <c r="DD19" i="17"/>
  <c r="DC19" i="17"/>
  <c r="DB19" i="17"/>
  <c r="DA19" i="17"/>
  <c r="CZ19" i="17"/>
  <c r="CY19" i="17"/>
  <c r="CX19" i="17"/>
  <c r="CW19" i="17"/>
  <c r="CV19" i="17"/>
  <c r="CU19" i="17"/>
  <c r="CT19" i="17"/>
  <c r="CS19" i="17"/>
  <c r="CR19" i="17"/>
  <c r="CQ19" i="17"/>
  <c r="CP19" i="17"/>
  <c r="CK18" i="17"/>
  <c r="CL18" i="17" s="1"/>
  <c r="CM18" i="17" s="1"/>
  <c r="BJ18" i="17"/>
  <c r="BI18" i="17"/>
  <c r="BH18" i="17"/>
  <c r="DM18" i="17"/>
  <c r="DK18" i="17"/>
  <c r="DI18" i="17"/>
  <c r="DG18" i="17"/>
  <c r="DE18" i="17"/>
  <c r="DC18" i="17"/>
  <c r="DA18" i="17"/>
  <c r="CY18" i="17"/>
  <c r="CW18" i="17"/>
  <c r="CU18" i="17"/>
  <c r="CS18" i="17"/>
  <c r="CQ18" i="17"/>
  <c r="CK17" i="17"/>
  <c r="CL17" i="17" s="1"/>
  <c r="CM17" i="17" s="1"/>
  <c r="BJ17" i="17"/>
  <c r="BI17" i="17"/>
  <c r="BH17" i="17"/>
  <c r="DM17" i="17"/>
  <c r="DK17" i="17"/>
  <c r="DI17" i="17"/>
  <c r="DG17" i="17"/>
  <c r="DE17" i="17"/>
  <c r="DC17" i="17"/>
  <c r="DA17" i="17"/>
  <c r="CY17" i="17"/>
  <c r="CW17" i="17"/>
  <c r="CU17" i="17"/>
  <c r="CS17" i="17"/>
  <c r="CQ17" i="17"/>
  <c r="CK16" i="17"/>
  <c r="CL16" i="17" s="1"/>
  <c r="CM16" i="17" s="1"/>
  <c r="BJ16" i="17"/>
  <c r="BI16" i="17"/>
  <c r="BH16" i="17"/>
  <c r="DM16" i="17"/>
  <c r="DK16" i="17"/>
  <c r="DI16" i="17"/>
  <c r="DG16" i="17"/>
  <c r="DE16" i="17"/>
  <c r="DC16" i="17"/>
  <c r="DA16" i="17"/>
  <c r="CY16" i="17"/>
  <c r="CW16" i="17"/>
  <c r="CU16" i="17"/>
  <c r="CS16" i="17"/>
  <c r="CQ16" i="17"/>
  <c r="CK15" i="17"/>
  <c r="CL15" i="17" s="1"/>
  <c r="BJ15" i="17"/>
  <c r="BI15" i="17"/>
  <c r="BH15" i="17"/>
  <c r="DM15" i="17"/>
  <c r="DK15" i="17"/>
  <c r="DI15" i="17"/>
  <c r="DG15" i="17"/>
  <c r="DE15" i="17"/>
  <c r="DA15" i="17"/>
  <c r="CW15" i="17"/>
  <c r="CS15" i="17"/>
  <c r="CK14" i="17"/>
  <c r="CL14" i="17" s="1"/>
  <c r="CM14" i="17" s="1"/>
  <c r="BJ14" i="17"/>
  <c r="BI14" i="17"/>
  <c r="BH14" i="17"/>
  <c r="DM14" i="17"/>
  <c r="DK14" i="17"/>
  <c r="DI14" i="17"/>
  <c r="DG14" i="17"/>
  <c r="DE14" i="17"/>
  <c r="DC14" i="17"/>
  <c r="DA14" i="17"/>
  <c r="CY14" i="17"/>
  <c r="CW14" i="17"/>
  <c r="CU14" i="17"/>
  <c r="CS14" i="17"/>
  <c r="CQ14" i="17"/>
  <c r="CK13" i="17"/>
  <c r="CL13" i="17" s="1"/>
  <c r="CM13" i="17" s="1"/>
  <c r="BJ13" i="17"/>
  <c r="BI13" i="17"/>
  <c r="BH13" i="17"/>
  <c r="DM13" i="17"/>
  <c r="DK13" i="17"/>
  <c r="DI13" i="17"/>
  <c r="DG13" i="17"/>
  <c r="DE13" i="17"/>
  <c r="DC13" i="17"/>
  <c r="DA13" i="17"/>
  <c r="CY13" i="17"/>
  <c r="CW13" i="17"/>
  <c r="CU13" i="17"/>
  <c r="CS13" i="17"/>
  <c r="CQ13" i="17"/>
  <c r="CK12" i="17"/>
  <c r="CL12" i="17" s="1"/>
  <c r="CM12" i="17" s="1"/>
  <c r="BJ12" i="17"/>
  <c r="BI12" i="17"/>
  <c r="BH12" i="17"/>
  <c r="DM12" i="17"/>
  <c r="DK12" i="17"/>
  <c r="DI12" i="17"/>
  <c r="DG12" i="17"/>
  <c r="DE12" i="17"/>
  <c r="DC12" i="17"/>
  <c r="DA12" i="17"/>
  <c r="CY12" i="17"/>
  <c r="CW12" i="17"/>
  <c r="CU12" i="17"/>
  <c r="CS12" i="17"/>
  <c r="CQ12" i="17"/>
  <c r="CK11" i="17"/>
  <c r="CL11" i="17" s="1"/>
  <c r="CM11" i="17" s="1"/>
  <c r="BJ11" i="17"/>
  <c r="BI11" i="17"/>
  <c r="BH11" i="17"/>
  <c r="DM11" i="17"/>
  <c r="DK11" i="17"/>
  <c r="DI11" i="17"/>
  <c r="DG11" i="17"/>
  <c r="DE11" i="17"/>
  <c r="DC11" i="17"/>
  <c r="DA11" i="17"/>
  <c r="CY11" i="17"/>
  <c r="CW11" i="17"/>
  <c r="CU11" i="17"/>
  <c r="CS11" i="17"/>
  <c r="CQ11" i="17"/>
  <c r="CK10" i="17"/>
  <c r="CL10" i="17" s="1"/>
  <c r="BJ10" i="17"/>
  <c r="BI10" i="17"/>
  <c r="BH10" i="17"/>
  <c r="DM10" i="17"/>
  <c r="DK10" i="17"/>
  <c r="DI10" i="17"/>
  <c r="DG10" i="17"/>
  <c r="DE10" i="17"/>
  <c r="DC10" i="17"/>
  <c r="DA10" i="17"/>
  <c r="CY10" i="17"/>
  <c r="CW10" i="17"/>
  <c r="CU10" i="17"/>
  <c r="CS10" i="17"/>
  <c r="CQ10" i="17"/>
  <c r="CK9" i="17"/>
  <c r="BJ9" i="17"/>
  <c r="BI9" i="17"/>
  <c r="BH9" i="17"/>
  <c r="DM9" i="17"/>
  <c r="DK9" i="17"/>
  <c r="DI9" i="17"/>
  <c r="DG9" i="17"/>
  <c r="DE9" i="17"/>
  <c r="DC9" i="17"/>
  <c r="DA9" i="17"/>
  <c r="CY9" i="17"/>
  <c r="CW9" i="17"/>
  <c r="CU9" i="17"/>
  <c r="CS9" i="17"/>
  <c r="CQ9" i="17"/>
  <c r="CL37" i="17"/>
  <c r="CM37" i="17" s="1"/>
  <c r="CM38" i="17"/>
  <c r="CL39" i="17"/>
  <c r="CM39" i="17" s="1"/>
  <c r="AC16" i="17"/>
  <c r="AC18" i="17"/>
  <c r="DV18" i="17" s="1"/>
  <c r="C41" i="17"/>
  <c r="C40" i="17"/>
  <c r="C42" i="17"/>
  <c r="E41" i="17"/>
  <c r="E40" i="17"/>
  <c r="E42" i="17"/>
  <c r="G41" i="17"/>
  <c r="G40" i="17"/>
  <c r="G42" i="17"/>
  <c r="I41" i="17"/>
  <c r="I40" i="17"/>
  <c r="I42" i="17"/>
  <c r="K41" i="17"/>
  <c r="K40" i="17"/>
  <c r="K42" i="17"/>
  <c r="M41" i="17"/>
  <c r="M40" i="17"/>
  <c r="M42" i="17"/>
  <c r="O41" i="17"/>
  <c r="O40" i="17"/>
  <c r="O42" i="17"/>
  <c r="Q41" i="17"/>
  <c r="Q40" i="17"/>
  <c r="Q42" i="17"/>
  <c r="S41" i="17"/>
  <c r="S40" i="17"/>
  <c r="S42" i="17"/>
  <c r="U41" i="17"/>
  <c r="U40" i="17"/>
  <c r="U42" i="17"/>
  <c r="W41" i="17"/>
  <c r="W40" i="17"/>
  <c r="W42" i="17"/>
  <c r="Y41" i="17"/>
  <c r="Y40" i="17"/>
  <c r="Y42" i="17"/>
  <c r="BI42" i="17"/>
  <c r="CK40" i="17"/>
  <c r="CP15" i="17"/>
  <c r="AB15" i="17"/>
  <c r="DU15" i="17" s="1"/>
  <c r="CR15" i="17"/>
  <c r="CT15" i="17"/>
  <c r="CV15" i="17"/>
  <c r="CX15" i="17"/>
  <c r="CZ15" i="17"/>
  <c r="DB15" i="17"/>
  <c r="DD15" i="17"/>
  <c r="DF15" i="17"/>
  <c r="DH15" i="17"/>
  <c r="DJ15" i="17"/>
  <c r="DL15" i="17"/>
  <c r="CP17" i="17"/>
  <c r="AB17" i="17"/>
  <c r="CH19" i="4" s="1"/>
  <c r="F19" i="1" s="1"/>
  <c r="CR17" i="17"/>
  <c r="CT17" i="17"/>
  <c r="CV17" i="17"/>
  <c r="CX17" i="17"/>
  <c r="CZ17" i="17"/>
  <c r="DB17" i="17"/>
  <c r="DD17" i="17"/>
  <c r="DF17" i="17"/>
  <c r="DH17" i="17"/>
  <c r="DJ17" i="17"/>
  <c r="DL17" i="17"/>
  <c r="AA9" i="17"/>
  <c r="DS9" i="17" s="1"/>
  <c r="AC9" i="17"/>
  <c r="CI11" i="4" s="1"/>
  <c r="AA10" i="17"/>
  <c r="AC10" i="17"/>
  <c r="CI12" i="4" s="1"/>
  <c r="AA11" i="17"/>
  <c r="AE11" i="17" s="1"/>
  <c r="AC11" i="17"/>
  <c r="CI13" i="4" s="1"/>
  <c r="AA12" i="17"/>
  <c r="AC12" i="17"/>
  <c r="CI14" i="4" s="1"/>
  <c r="AC13" i="17"/>
  <c r="DV13" i="17" s="1"/>
  <c r="AA14" i="17"/>
  <c r="AE14" i="17" s="1"/>
  <c r="AC14" i="17"/>
  <c r="AA15" i="17"/>
  <c r="AF15" i="17" s="1"/>
  <c r="AA17" i="17"/>
  <c r="AE17" i="17" s="1"/>
  <c r="D42" i="17"/>
  <c r="D41" i="17"/>
  <c r="D40" i="17"/>
  <c r="F42" i="17"/>
  <c r="F41" i="17"/>
  <c r="F40" i="17"/>
  <c r="H42" i="17"/>
  <c r="H41" i="17"/>
  <c r="H40" i="17"/>
  <c r="J42" i="17"/>
  <c r="J41" i="17"/>
  <c r="J40" i="17"/>
  <c r="L42" i="17"/>
  <c r="L41" i="17"/>
  <c r="L40" i="17"/>
  <c r="N42" i="17"/>
  <c r="N41" i="17"/>
  <c r="N40" i="17"/>
  <c r="P42" i="17"/>
  <c r="P41" i="17"/>
  <c r="P40" i="17"/>
  <c r="R42" i="17"/>
  <c r="R41" i="17"/>
  <c r="R40" i="17"/>
  <c r="T42" i="17"/>
  <c r="T41" i="17"/>
  <c r="T40" i="17"/>
  <c r="V42" i="17"/>
  <c r="V41" i="17"/>
  <c r="V40" i="17"/>
  <c r="X42" i="17"/>
  <c r="X41" i="17"/>
  <c r="X40" i="17"/>
  <c r="Z42" i="17"/>
  <c r="Z41" i="17"/>
  <c r="Z40" i="17"/>
  <c r="BH42" i="17"/>
  <c r="BH40" i="17"/>
  <c r="BJ42" i="17"/>
  <c r="BJ40" i="17"/>
  <c r="CP16" i="17"/>
  <c r="AB16" i="17"/>
  <c r="CH18" i="4" s="1"/>
  <c r="CR16" i="17"/>
  <c r="CT16" i="17"/>
  <c r="CV16" i="17"/>
  <c r="CX16" i="17"/>
  <c r="CZ16" i="17"/>
  <c r="DB16" i="17"/>
  <c r="DD16" i="17"/>
  <c r="DF16" i="17"/>
  <c r="DH16" i="17"/>
  <c r="DJ16" i="17"/>
  <c r="DL16" i="17"/>
  <c r="CP18" i="17"/>
  <c r="AB18" i="17"/>
  <c r="DU18" i="17" s="1"/>
  <c r="CR18" i="17"/>
  <c r="CT18" i="17"/>
  <c r="CV18" i="17"/>
  <c r="CX18" i="17"/>
  <c r="CZ18" i="17"/>
  <c r="DB18" i="17"/>
  <c r="DD18" i="17"/>
  <c r="DF18" i="17"/>
  <c r="DH18" i="17"/>
  <c r="DJ18" i="17"/>
  <c r="DL18" i="17"/>
  <c r="AB9" i="17"/>
  <c r="CH11" i="4" s="1"/>
  <c r="F11" i="1" s="1"/>
  <c r="CL9" i="17"/>
  <c r="CM9" i="17" s="1"/>
  <c r="CP9" i="17"/>
  <c r="CR9" i="17"/>
  <c r="CT9" i="17"/>
  <c r="CV9" i="17"/>
  <c r="CX9" i="17"/>
  <c r="CZ9" i="17"/>
  <c r="DB9" i="17"/>
  <c r="DD9" i="17"/>
  <c r="DF9" i="17"/>
  <c r="DH9" i="17"/>
  <c r="DJ9" i="17"/>
  <c r="DL9" i="17"/>
  <c r="AB10" i="17"/>
  <c r="CH12" i="4" s="1"/>
  <c r="F12" i="1" s="1"/>
  <c r="CP10" i="17"/>
  <c r="CR10" i="17"/>
  <c r="CT10" i="17"/>
  <c r="CV10" i="17"/>
  <c r="CX10" i="17"/>
  <c r="CZ10" i="17"/>
  <c r="DB10" i="17"/>
  <c r="DD10" i="17"/>
  <c r="DF10" i="17"/>
  <c r="DH10" i="17"/>
  <c r="DJ10" i="17"/>
  <c r="DL10" i="17"/>
  <c r="AB11" i="17"/>
  <c r="CH13" i="4" s="1"/>
  <c r="CP11" i="17"/>
  <c r="CR11" i="17"/>
  <c r="CT11" i="17"/>
  <c r="CV11" i="17"/>
  <c r="CX11" i="17"/>
  <c r="CZ11" i="17"/>
  <c r="DB11" i="17"/>
  <c r="DD11" i="17"/>
  <c r="DF11" i="17"/>
  <c r="DH11" i="17"/>
  <c r="DJ11" i="17"/>
  <c r="DL11" i="17"/>
  <c r="AB12" i="17"/>
  <c r="DU12" i="17" s="1"/>
  <c r="CP12" i="17"/>
  <c r="CR12" i="17"/>
  <c r="CT12" i="17"/>
  <c r="CV12" i="17"/>
  <c r="CX12" i="17"/>
  <c r="CZ12" i="17"/>
  <c r="DB12" i="17"/>
  <c r="DD12" i="17"/>
  <c r="DF12" i="17"/>
  <c r="DH12" i="17"/>
  <c r="DJ12" i="17"/>
  <c r="DL12" i="17"/>
  <c r="AB13" i="17"/>
  <c r="DU13" i="17" s="1"/>
  <c r="CP13" i="17"/>
  <c r="CR13" i="17"/>
  <c r="CT13" i="17"/>
  <c r="CV13" i="17"/>
  <c r="CX13" i="17"/>
  <c r="CZ13" i="17"/>
  <c r="DB13" i="17"/>
  <c r="DD13" i="17"/>
  <c r="DF13" i="17"/>
  <c r="DH13" i="17"/>
  <c r="DJ13" i="17"/>
  <c r="DL13" i="17"/>
  <c r="AB14" i="17"/>
  <c r="DU14" i="17" s="1"/>
  <c r="CP14" i="17"/>
  <c r="CR14" i="17"/>
  <c r="CT14" i="17"/>
  <c r="CV14" i="17"/>
  <c r="CX14" i="17"/>
  <c r="CZ14" i="17"/>
  <c r="DB14" i="17"/>
  <c r="DD14" i="17"/>
  <c r="DF14" i="17"/>
  <c r="DH14" i="17"/>
  <c r="DJ14" i="17"/>
  <c r="DL14" i="17"/>
  <c r="AC15" i="17"/>
  <c r="CI17" i="4" s="1"/>
  <c r="CQ15" i="17"/>
  <c r="CU15" i="17"/>
  <c r="CY15" i="17"/>
  <c r="DC15" i="17"/>
  <c r="AA16" i="17"/>
  <c r="AC17" i="17"/>
  <c r="CI19" i="4" s="1"/>
  <c r="H19" i="1" s="1"/>
  <c r="AA18" i="17"/>
  <c r="AF18" i="17" s="1"/>
  <c r="DG35" i="17"/>
  <c r="DI35" i="17"/>
  <c r="DK35" i="17"/>
  <c r="DM35" i="17"/>
  <c r="CQ36" i="17"/>
  <c r="AB36" i="17"/>
  <c r="CH38" i="4" s="1"/>
  <c r="CS36" i="17"/>
  <c r="CU36" i="17"/>
  <c r="CW36" i="17"/>
  <c r="CY36" i="17"/>
  <c r="DA36" i="17"/>
  <c r="DC36" i="17"/>
  <c r="DE36" i="17"/>
  <c r="DG36" i="17"/>
  <c r="DI36" i="17"/>
  <c r="DK36" i="17"/>
  <c r="AB19" i="17"/>
  <c r="CL19" i="17"/>
  <c r="CM19" i="17" s="1"/>
  <c r="AB20" i="17"/>
  <c r="DU20" i="17" s="1"/>
  <c r="CL20" i="17"/>
  <c r="CM20" i="17" s="1"/>
  <c r="AB21" i="17"/>
  <c r="CH23" i="4" s="1"/>
  <c r="CL21" i="17"/>
  <c r="CM21" i="17" s="1"/>
  <c r="AB22" i="17"/>
  <c r="CL22" i="17"/>
  <c r="CM22" i="17" s="1"/>
  <c r="AB23" i="17"/>
  <c r="CH25" i="4" s="1"/>
  <c r="F25" i="1" s="1"/>
  <c r="CL23" i="17"/>
  <c r="CM23" i="17" s="1"/>
  <c r="AB24" i="17"/>
  <c r="CH26" i="4" s="1"/>
  <c r="CL24" i="17"/>
  <c r="CM24" i="17" s="1"/>
  <c r="AB25" i="17"/>
  <c r="CH27" i="4" s="1"/>
  <c r="F27" i="1" s="1"/>
  <c r="CL25" i="17"/>
  <c r="CM25" i="17" s="1"/>
  <c r="AB26" i="17"/>
  <c r="DU26" i="17" s="1"/>
  <c r="CL26" i="17"/>
  <c r="CM26" i="17" s="1"/>
  <c r="AB27" i="17"/>
  <c r="CH29" i="4" s="1"/>
  <c r="F29" i="1" s="1"/>
  <c r="CL27" i="17"/>
  <c r="CM27" i="17" s="1"/>
  <c r="AB28" i="17"/>
  <c r="DU28" i="17" s="1"/>
  <c r="CL28" i="17"/>
  <c r="CM28" i="17" s="1"/>
  <c r="AB29" i="17"/>
  <c r="DU29" i="17" s="1"/>
  <c r="CL29" i="17"/>
  <c r="CM29" i="17" s="1"/>
  <c r="AB30" i="17"/>
  <c r="DU30" i="17" s="1"/>
  <c r="CL30" i="17"/>
  <c r="CM30" i="17" s="1"/>
  <c r="AB31" i="17"/>
  <c r="CH33" i="4" s="1"/>
  <c r="CL31" i="17"/>
  <c r="CM31" i="17" s="1"/>
  <c r="AB32" i="17"/>
  <c r="CH34" i="4" s="1"/>
  <c r="CL32" i="17"/>
  <c r="CM32" i="17" s="1"/>
  <c r="AB33" i="17"/>
  <c r="CH35" i="4" s="1"/>
  <c r="CL33" i="17"/>
  <c r="CM33" i="17" s="1"/>
  <c r="AB34" i="17"/>
  <c r="DU34" i="17" s="1"/>
  <c r="CL34" i="17"/>
  <c r="CM34" i="17" s="1"/>
  <c r="AB35" i="17"/>
  <c r="DU35" i="17" s="1"/>
  <c r="CL35" i="17"/>
  <c r="CM35" i="17" s="1"/>
  <c r="AA19" i="17"/>
  <c r="AE19" i="17" s="1"/>
  <c r="AC19" i="17"/>
  <c r="DV19" i="17" s="1"/>
  <c r="AA20" i="17"/>
  <c r="AF20" i="17" s="1"/>
  <c r="AC20" i="17"/>
  <c r="DV20" i="17" s="1"/>
  <c r="AA21" i="17"/>
  <c r="DS21" i="17" s="1"/>
  <c r="AC21" i="17"/>
  <c r="DV21" i="17" s="1"/>
  <c r="AA22" i="17"/>
  <c r="AC22" i="17"/>
  <c r="CI24" i="4" s="1"/>
  <c r="H24" i="1" s="1"/>
  <c r="AA23" i="17"/>
  <c r="CF25" i="4" s="1"/>
  <c r="AC23" i="17"/>
  <c r="CI25" i="4" s="1"/>
  <c r="AA24" i="17"/>
  <c r="DS24" i="17" s="1"/>
  <c r="AC24" i="17"/>
  <c r="DV24" i="17" s="1"/>
  <c r="AA25" i="17"/>
  <c r="AF25" i="17" s="1"/>
  <c r="AC25" i="17"/>
  <c r="DV25" i="17" s="1"/>
  <c r="AA26" i="17"/>
  <c r="AC26" i="17"/>
  <c r="DV26" i="17" s="1"/>
  <c r="AA27" i="17"/>
  <c r="AE27" i="17" s="1"/>
  <c r="AC27" i="17"/>
  <c r="DV27" i="17" s="1"/>
  <c r="AA28" i="17"/>
  <c r="AE28" i="17" s="1"/>
  <c r="AC28" i="17"/>
  <c r="DV28" i="17" s="1"/>
  <c r="AC29" i="17"/>
  <c r="AC30" i="17"/>
  <c r="CI32" i="4" s="1"/>
  <c r="AC31" i="17"/>
  <c r="CI33" i="4" s="1"/>
  <c r="AC32" i="17"/>
  <c r="AC33" i="17"/>
  <c r="DV33" i="17" s="1"/>
  <c r="AC34" i="17"/>
  <c r="DV34" i="17" s="1"/>
  <c r="AC35" i="17"/>
  <c r="CI37" i="4" s="1"/>
  <c r="DH35" i="17"/>
  <c r="DL35" i="17"/>
  <c r="AB37" i="17"/>
  <c r="DU37" i="17" s="1"/>
  <c r="AB38" i="17"/>
  <c r="DU38" i="17" s="1"/>
  <c r="AB39" i="17"/>
  <c r="DU39" i="17" s="1"/>
  <c r="AC36" i="17"/>
  <c r="CI38" i="4" s="1"/>
  <c r="DM36" i="17"/>
  <c r="AC37" i="17"/>
  <c r="CQ37" i="17"/>
  <c r="CS37" i="17"/>
  <c r="CU37" i="17"/>
  <c r="CW37" i="17"/>
  <c r="CY37" i="17"/>
  <c r="DA37" i="17"/>
  <c r="DC37" i="17"/>
  <c r="DE37" i="17"/>
  <c r="DG37" i="17"/>
  <c r="DI37" i="17"/>
  <c r="DK37" i="17"/>
  <c r="DM37" i="17"/>
  <c r="AC38" i="17"/>
  <c r="DV38" i="17" s="1"/>
  <c r="CQ38" i="17"/>
  <c r="CS38" i="17"/>
  <c r="CU38" i="17"/>
  <c r="CW38" i="17"/>
  <c r="CY38" i="17"/>
  <c r="DA38" i="17"/>
  <c r="DC38" i="17"/>
  <c r="DE38" i="17"/>
  <c r="DG38" i="17"/>
  <c r="DI38" i="17"/>
  <c r="DK38" i="17"/>
  <c r="DM38" i="17"/>
  <c r="AA39" i="17"/>
  <c r="CF41" i="4" s="1"/>
  <c r="G41" i="1" s="1"/>
  <c r="AC39" i="17"/>
  <c r="DV39" i="17" s="1"/>
  <c r="CQ39" i="17"/>
  <c r="CS39" i="17"/>
  <c r="CU39" i="17"/>
  <c r="CW39" i="17"/>
  <c r="CY39" i="17"/>
  <c r="DA39" i="17"/>
  <c r="DC39" i="17"/>
  <c r="DE39" i="17"/>
  <c r="DG39" i="17"/>
  <c r="DI39" i="17"/>
  <c r="DK39" i="17"/>
  <c r="DM39" i="17"/>
  <c r="EN41" i="4"/>
  <c r="DS13" i="17"/>
  <c r="DZ13" i="17" s="1"/>
  <c r="EN36" i="4"/>
  <c r="AI36" i="1" s="1"/>
  <c r="BK80" i="17" s="1"/>
  <c r="EN37" i="4"/>
  <c r="EN38" i="4"/>
  <c r="EN39" i="4"/>
  <c r="AI39" i="1" s="1"/>
  <c r="BK83" i="17" s="1"/>
  <c r="EN40" i="4"/>
  <c r="CG36" i="5"/>
  <c r="FX36" i="4" s="1"/>
  <c r="CF36" i="5"/>
  <c r="FW36" i="4" s="1"/>
  <c r="CE36" i="5"/>
  <c r="FV36" i="4" s="1"/>
  <c r="AT36" i="1" s="1"/>
  <c r="CD36" i="5"/>
  <c r="FU36" i="4" s="1"/>
  <c r="CC36" i="5"/>
  <c r="FT36" i="4" s="1"/>
  <c r="CB36" i="5"/>
  <c r="FS36" i="4" s="1"/>
  <c r="CA36" i="5"/>
  <c r="FR36" i="4" s="1"/>
  <c r="BZ36" i="5"/>
  <c r="FQ36" i="4" s="1"/>
  <c r="BY36" i="5"/>
  <c r="FP36" i="4" s="1"/>
  <c r="BX36" i="5"/>
  <c r="FO36" i="4" s="1"/>
  <c r="BW36" i="5"/>
  <c r="FN36" i="4" s="1"/>
  <c r="BV36" i="5"/>
  <c r="FM36" i="4" s="1"/>
  <c r="BU36" i="5"/>
  <c r="FL36" i="4" s="1"/>
  <c r="BT36" i="5"/>
  <c r="FD36" i="4" s="1"/>
  <c r="BS36" i="5"/>
  <c r="FC36" i="4" s="1"/>
  <c r="BR36" i="5"/>
  <c r="FB36" i="4" s="1"/>
  <c r="BQ36" i="5"/>
  <c r="FA36" i="4" s="1"/>
  <c r="BP36" i="5"/>
  <c r="EZ36" i="4" s="1"/>
  <c r="CG35" i="5"/>
  <c r="FX35" i="4" s="1"/>
  <c r="CF35" i="5"/>
  <c r="FW35" i="4" s="1"/>
  <c r="CE35" i="5"/>
  <c r="CD35" i="5"/>
  <c r="FU35" i="4" s="1"/>
  <c r="CA35" i="5"/>
  <c r="FR35" i="4" s="1"/>
  <c r="BZ35" i="5"/>
  <c r="FQ35" i="4" s="1"/>
  <c r="BY35" i="5"/>
  <c r="BX35" i="5"/>
  <c r="FO35" i="4" s="1"/>
  <c r="BW35" i="5"/>
  <c r="FN35" i="4" s="1"/>
  <c r="BV35" i="5"/>
  <c r="FM35" i="4" s="1"/>
  <c r="BU35" i="5"/>
  <c r="FL35" i="4" s="1"/>
  <c r="BT35" i="5"/>
  <c r="FD35" i="4" s="1"/>
  <c r="BS35" i="5"/>
  <c r="FC35" i="4" s="1"/>
  <c r="BR35" i="5"/>
  <c r="FB35" i="4" s="1"/>
  <c r="BQ35" i="5"/>
  <c r="FA35" i="4" s="1"/>
  <c r="BP35" i="5"/>
  <c r="EZ35" i="4" s="1"/>
  <c r="CG34" i="5"/>
  <c r="FX34" i="4" s="1"/>
  <c r="CF34" i="5"/>
  <c r="FW34" i="4" s="1"/>
  <c r="CE34" i="5"/>
  <c r="FV34" i="4" s="1"/>
  <c r="CD34" i="5"/>
  <c r="FU34" i="4" s="1"/>
  <c r="CA34" i="5"/>
  <c r="FR34" i="4" s="1"/>
  <c r="BZ34" i="5"/>
  <c r="FQ34" i="4" s="1"/>
  <c r="BY34" i="5"/>
  <c r="FP34" i="4" s="1"/>
  <c r="BX34" i="5"/>
  <c r="FO34" i="4" s="1"/>
  <c r="BW34" i="5"/>
  <c r="FN34" i="4" s="1"/>
  <c r="BV34" i="5"/>
  <c r="FM34" i="4" s="1"/>
  <c r="BU34" i="5"/>
  <c r="FL34" i="4" s="1"/>
  <c r="BT34" i="5"/>
  <c r="FD34" i="4" s="1"/>
  <c r="BS34" i="5"/>
  <c r="FC34" i="4" s="1"/>
  <c r="BR34" i="5"/>
  <c r="FB34" i="4" s="1"/>
  <c r="BQ34" i="5"/>
  <c r="FA34" i="4" s="1"/>
  <c r="BP34" i="5"/>
  <c r="EZ34" i="4" s="1"/>
  <c r="CR33" i="5"/>
  <c r="GM33" i="4" s="1"/>
  <c r="CQ33" i="5"/>
  <c r="GK33" i="4" s="1"/>
  <c r="CP33" i="5"/>
  <c r="CO33" i="5"/>
  <c r="CN33" i="5"/>
  <c r="CM33" i="5"/>
  <c r="CL33" i="5"/>
  <c r="CK33" i="5"/>
  <c r="CJ33" i="5"/>
  <c r="CI33" i="5"/>
  <c r="CH33" i="5"/>
  <c r="FY33" i="4" s="1"/>
  <c r="CG33" i="5"/>
  <c r="FX33" i="4" s="1"/>
  <c r="CF33" i="5"/>
  <c r="FW33" i="4" s="1"/>
  <c r="AB33" i="1" s="1"/>
  <c r="CE33" i="5"/>
  <c r="FV33" i="4" s="1"/>
  <c r="CD33" i="5"/>
  <c r="CA33" i="5"/>
  <c r="FR33" i="4" s="1"/>
  <c r="BZ33" i="5"/>
  <c r="FQ33" i="4" s="1"/>
  <c r="BY33" i="5"/>
  <c r="FP33" i="4" s="1"/>
  <c r="BX33" i="5"/>
  <c r="BW33" i="5"/>
  <c r="FN33" i="4" s="1"/>
  <c r="BV33" i="5"/>
  <c r="FM33" i="4" s="1"/>
  <c r="BU33" i="5"/>
  <c r="FL33" i="4" s="1"/>
  <c r="BT33" i="5"/>
  <c r="FD33" i="4" s="1"/>
  <c r="BS33" i="5"/>
  <c r="FC33" i="4" s="1"/>
  <c r="BR33" i="5"/>
  <c r="FB33" i="4" s="1"/>
  <c r="BQ33" i="5"/>
  <c r="FA33" i="4" s="1"/>
  <c r="BP33" i="5"/>
  <c r="EZ33" i="4" s="1"/>
  <c r="CR32" i="5"/>
  <c r="GM32" i="4" s="1"/>
  <c r="CQ32" i="5"/>
  <c r="GK32" i="4" s="1"/>
  <c r="CP32" i="5"/>
  <c r="CO32" i="5"/>
  <c r="CN32" i="5"/>
  <c r="CM32" i="5"/>
  <c r="CL32" i="5"/>
  <c r="CK32" i="5"/>
  <c r="CJ32" i="5"/>
  <c r="CI32" i="5"/>
  <c r="CH32" i="5"/>
  <c r="FY32" i="4" s="1"/>
  <c r="CG32" i="5"/>
  <c r="CF32" i="5"/>
  <c r="FW32" i="4" s="1"/>
  <c r="CE32" i="5"/>
  <c r="FV32" i="4" s="1"/>
  <c r="AT32" i="1" s="1"/>
  <c r="CD32" i="5"/>
  <c r="FU32" i="4" s="1"/>
  <c r="CA32" i="5"/>
  <c r="FR32" i="4" s="1"/>
  <c r="BZ32" i="5"/>
  <c r="FQ32" i="4" s="1"/>
  <c r="BY32" i="5"/>
  <c r="FP32" i="4" s="1"/>
  <c r="BX32" i="5"/>
  <c r="FO32" i="4" s="1"/>
  <c r="BW32" i="5"/>
  <c r="FN32" i="4" s="1"/>
  <c r="BV32" i="5"/>
  <c r="FM32" i="4" s="1"/>
  <c r="BU32" i="5"/>
  <c r="FL32" i="4" s="1"/>
  <c r="BT32" i="5"/>
  <c r="FD32" i="4" s="1"/>
  <c r="BS32" i="5"/>
  <c r="FC32" i="4" s="1"/>
  <c r="BR32" i="5"/>
  <c r="FB32" i="4" s="1"/>
  <c r="BQ32" i="5"/>
  <c r="FA32" i="4" s="1"/>
  <c r="BP32" i="5"/>
  <c r="EZ32" i="4" s="1"/>
  <c r="CR31" i="5"/>
  <c r="GM31" i="4" s="1"/>
  <c r="CQ31" i="5"/>
  <c r="GK31" i="4" s="1"/>
  <c r="CP31" i="5"/>
  <c r="CO31" i="5"/>
  <c r="CN31" i="5"/>
  <c r="CM31" i="5"/>
  <c r="CL31" i="5"/>
  <c r="CK31" i="5"/>
  <c r="CJ31" i="5"/>
  <c r="CI31" i="5"/>
  <c r="CH31" i="5"/>
  <c r="FY31" i="4" s="1"/>
  <c r="CG31" i="5"/>
  <c r="FX31" i="4" s="1"/>
  <c r="CF31" i="5"/>
  <c r="FW31" i="4" s="1"/>
  <c r="CE31" i="5"/>
  <c r="FV31" i="4" s="1"/>
  <c r="CD31" i="5"/>
  <c r="FU31" i="4" s="1"/>
  <c r="CA31" i="5"/>
  <c r="FR31" i="4" s="1"/>
  <c r="BZ31" i="5"/>
  <c r="FQ31" i="4" s="1"/>
  <c r="BY31" i="5"/>
  <c r="FP31" i="4" s="1"/>
  <c r="BX31" i="5"/>
  <c r="FO31" i="4" s="1"/>
  <c r="BW31" i="5"/>
  <c r="FN31" i="4" s="1"/>
  <c r="BV31" i="5"/>
  <c r="FM31" i="4" s="1"/>
  <c r="BU31" i="5"/>
  <c r="FL31" i="4" s="1"/>
  <c r="BT31" i="5"/>
  <c r="FD31" i="4" s="1"/>
  <c r="BS31" i="5"/>
  <c r="FC31" i="4" s="1"/>
  <c r="BR31" i="5"/>
  <c r="FB31" i="4" s="1"/>
  <c r="BQ31" i="5"/>
  <c r="FA31" i="4" s="1"/>
  <c r="BP31" i="5"/>
  <c r="EZ31" i="4" s="1"/>
  <c r="CR30" i="5"/>
  <c r="GM30" i="4" s="1"/>
  <c r="CQ30" i="5"/>
  <c r="CP30" i="5"/>
  <c r="CO30" i="5"/>
  <c r="CN30" i="5"/>
  <c r="CM30" i="5"/>
  <c r="CL30" i="5"/>
  <c r="CK30" i="5"/>
  <c r="CJ30" i="5"/>
  <c r="CI30" i="5"/>
  <c r="CH30" i="5"/>
  <c r="FY30" i="4" s="1"/>
  <c r="CG30" i="5"/>
  <c r="FX30" i="4" s="1"/>
  <c r="CF30" i="5"/>
  <c r="FW30" i="4" s="1"/>
  <c r="CE30" i="5"/>
  <c r="FV30" i="4" s="1"/>
  <c r="CD30" i="5"/>
  <c r="FU30" i="4" s="1"/>
  <c r="CA30" i="5"/>
  <c r="FR30" i="4" s="1"/>
  <c r="BZ30" i="5"/>
  <c r="FQ30" i="4" s="1"/>
  <c r="BY30" i="5"/>
  <c r="FP30" i="4" s="1"/>
  <c r="BX30" i="5"/>
  <c r="FO30" i="4" s="1"/>
  <c r="BW30" i="5"/>
  <c r="FN30" i="4" s="1"/>
  <c r="BV30" i="5"/>
  <c r="FM30" i="4" s="1"/>
  <c r="BU30" i="5"/>
  <c r="FL30" i="4" s="1"/>
  <c r="BT30" i="5"/>
  <c r="FD30" i="4" s="1"/>
  <c r="BS30" i="5"/>
  <c r="FC30" i="4" s="1"/>
  <c r="BR30" i="5"/>
  <c r="FB30" i="4" s="1"/>
  <c r="BQ30" i="5"/>
  <c r="BP30" i="5"/>
  <c r="EZ30" i="4" s="1"/>
  <c r="CR29" i="5"/>
  <c r="GM29" i="4" s="1"/>
  <c r="CQ29" i="5"/>
  <c r="GK29" i="4" s="1"/>
  <c r="CP29" i="5"/>
  <c r="CO29" i="5"/>
  <c r="CN29" i="5"/>
  <c r="CM29" i="5"/>
  <c r="CL29" i="5"/>
  <c r="CK29" i="5"/>
  <c r="CJ29" i="5"/>
  <c r="CI29" i="5"/>
  <c r="CH29" i="5"/>
  <c r="CG29" i="5"/>
  <c r="FX29" i="4" s="1"/>
  <c r="CF29" i="5"/>
  <c r="FW29" i="4" s="1"/>
  <c r="CE29" i="5"/>
  <c r="FV29" i="4" s="1"/>
  <c r="CD29" i="5"/>
  <c r="FU29" i="4" s="1"/>
  <c r="CA29" i="5"/>
  <c r="FR29" i="4" s="1"/>
  <c r="BZ29" i="5"/>
  <c r="FQ29" i="4" s="1"/>
  <c r="BY29" i="5"/>
  <c r="FP29" i="4" s="1"/>
  <c r="BX29" i="5"/>
  <c r="FO29" i="4" s="1"/>
  <c r="BW29" i="5"/>
  <c r="FN29" i="4" s="1"/>
  <c r="BV29" i="5"/>
  <c r="FM29" i="4" s="1"/>
  <c r="BU29" i="5"/>
  <c r="FL29" i="4" s="1"/>
  <c r="BT29" i="5"/>
  <c r="BS29" i="5"/>
  <c r="FC29" i="4" s="1"/>
  <c r="BR29" i="5"/>
  <c r="FB29" i="4" s="1"/>
  <c r="BQ29" i="5"/>
  <c r="FA29" i="4" s="1"/>
  <c r="BP29" i="5"/>
  <c r="EZ29" i="4" s="1"/>
  <c r="CR28" i="5"/>
  <c r="GM28" i="4" s="1"/>
  <c r="CQ28" i="5"/>
  <c r="GK28" i="4" s="1"/>
  <c r="CP28" i="5"/>
  <c r="CO28" i="5"/>
  <c r="CN28" i="5"/>
  <c r="CM28" i="5"/>
  <c r="CL28" i="5"/>
  <c r="CK28" i="5"/>
  <c r="CJ28" i="5"/>
  <c r="CI28" i="5"/>
  <c r="CH28" i="5"/>
  <c r="FY28" i="4" s="1"/>
  <c r="CG28" i="5"/>
  <c r="FX28" i="4" s="1"/>
  <c r="CF28" i="5"/>
  <c r="FW28" i="4" s="1"/>
  <c r="CE28" i="5"/>
  <c r="FV28" i="4" s="1"/>
  <c r="AT28" i="1" s="1"/>
  <c r="CD28" i="5"/>
  <c r="FU28" i="4" s="1"/>
  <c r="CA28" i="5"/>
  <c r="FR28" i="4" s="1"/>
  <c r="BZ28" i="5"/>
  <c r="FQ28" i="4" s="1"/>
  <c r="BY28" i="5"/>
  <c r="FP28" i="4" s="1"/>
  <c r="BX28" i="5"/>
  <c r="FO28" i="4" s="1"/>
  <c r="BW28" i="5"/>
  <c r="FN28" i="4" s="1"/>
  <c r="BV28" i="5"/>
  <c r="FM28" i="4" s="1"/>
  <c r="BU28" i="5"/>
  <c r="FL28" i="4" s="1"/>
  <c r="BT28" i="5"/>
  <c r="FD28" i="4" s="1"/>
  <c r="BS28" i="5"/>
  <c r="FC28" i="4" s="1"/>
  <c r="BR28" i="5"/>
  <c r="FB28" i="4" s="1"/>
  <c r="BQ28" i="5"/>
  <c r="FA28" i="4" s="1"/>
  <c r="BP28" i="5"/>
  <c r="EZ28" i="4" s="1"/>
  <c r="CR27" i="5"/>
  <c r="GM27" i="4" s="1"/>
  <c r="CQ27" i="5"/>
  <c r="GK27" i="4" s="1"/>
  <c r="CP27" i="5"/>
  <c r="CO27" i="5"/>
  <c r="CN27" i="5"/>
  <c r="CM27" i="5"/>
  <c r="CL27" i="5"/>
  <c r="CK27" i="5"/>
  <c r="CJ27" i="5"/>
  <c r="CI27" i="5"/>
  <c r="CH27" i="5"/>
  <c r="FY27" i="4" s="1"/>
  <c r="CG27" i="5"/>
  <c r="FX27" i="4" s="1"/>
  <c r="CF27" i="5"/>
  <c r="FW27" i="4" s="1"/>
  <c r="CE27" i="5"/>
  <c r="FV27" i="4" s="1"/>
  <c r="CD27" i="5"/>
  <c r="FU27" i="4" s="1"/>
  <c r="CA27" i="5"/>
  <c r="FR27" i="4" s="1"/>
  <c r="BZ27" i="5"/>
  <c r="FQ27" i="4" s="1"/>
  <c r="BY27" i="5"/>
  <c r="FP27" i="4" s="1"/>
  <c r="BX27" i="5"/>
  <c r="FO27" i="4" s="1"/>
  <c r="BW27" i="5"/>
  <c r="FN27" i="4" s="1"/>
  <c r="BV27" i="5"/>
  <c r="FM27" i="4" s="1"/>
  <c r="BU27" i="5"/>
  <c r="FL27" i="4" s="1"/>
  <c r="BT27" i="5"/>
  <c r="FD27" i="4" s="1"/>
  <c r="BS27" i="5"/>
  <c r="FC27" i="4" s="1"/>
  <c r="BR27" i="5"/>
  <c r="FB27" i="4" s="1"/>
  <c r="BQ27" i="5"/>
  <c r="FA27" i="4" s="1"/>
  <c r="BP27" i="5"/>
  <c r="EZ27" i="4" s="1"/>
  <c r="CR26" i="5"/>
  <c r="GM26" i="4" s="1"/>
  <c r="CQ26" i="5"/>
  <c r="GK26" i="4" s="1"/>
  <c r="CP26" i="5"/>
  <c r="CO26" i="5"/>
  <c r="CN26" i="5"/>
  <c r="CM26" i="5"/>
  <c r="CL26" i="5"/>
  <c r="CK26" i="5"/>
  <c r="CJ26" i="5"/>
  <c r="CI26" i="5"/>
  <c r="CH26" i="5"/>
  <c r="FY26" i="4" s="1"/>
  <c r="CG26" i="5"/>
  <c r="FX26" i="4" s="1"/>
  <c r="Z26" i="1" s="1"/>
  <c r="CF26" i="5"/>
  <c r="FW26" i="4" s="1"/>
  <c r="CE26" i="5"/>
  <c r="CD26" i="5"/>
  <c r="FU26" i="4" s="1"/>
  <c r="CA26" i="5"/>
  <c r="FR26" i="4" s="1"/>
  <c r="BZ26" i="5"/>
  <c r="FQ26" i="4" s="1"/>
  <c r="BY26" i="5"/>
  <c r="FP26" i="4" s="1"/>
  <c r="BX26" i="5"/>
  <c r="FO26" i="4" s="1"/>
  <c r="BW26" i="5"/>
  <c r="FN26" i="4" s="1"/>
  <c r="BV26" i="5"/>
  <c r="FM26" i="4" s="1"/>
  <c r="BU26" i="5"/>
  <c r="FL26" i="4" s="1"/>
  <c r="BT26" i="5"/>
  <c r="FD26" i="4" s="1"/>
  <c r="BS26" i="5"/>
  <c r="FC26" i="4" s="1"/>
  <c r="BR26" i="5"/>
  <c r="FB26" i="4" s="1"/>
  <c r="BQ26" i="5"/>
  <c r="FA26" i="4" s="1"/>
  <c r="BP26" i="5"/>
  <c r="EZ26" i="4" s="1"/>
  <c r="CR25" i="5"/>
  <c r="GM25" i="4" s="1"/>
  <c r="CQ25" i="5"/>
  <c r="GK25" i="4" s="1"/>
  <c r="CP25" i="5"/>
  <c r="CO25" i="5"/>
  <c r="CN25" i="5"/>
  <c r="CM25" i="5"/>
  <c r="CL25" i="5"/>
  <c r="CK25" i="5"/>
  <c r="CJ25" i="5"/>
  <c r="CI25" i="5"/>
  <c r="CH25" i="5"/>
  <c r="FY25" i="4" s="1"/>
  <c r="CG25" i="5"/>
  <c r="FX25" i="4" s="1"/>
  <c r="CF25" i="5"/>
  <c r="FW25" i="4" s="1"/>
  <c r="CE25" i="5"/>
  <c r="FV25" i="4" s="1"/>
  <c r="CD25" i="5"/>
  <c r="FU25" i="4" s="1"/>
  <c r="CA25" i="5"/>
  <c r="FR25" i="4" s="1"/>
  <c r="BZ25" i="5"/>
  <c r="FQ25" i="4" s="1"/>
  <c r="BY25" i="5"/>
  <c r="FP25" i="4" s="1"/>
  <c r="BX25" i="5"/>
  <c r="FO25" i="4" s="1"/>
  <c r="BW25" i="5"/>
  <c r="FN25" i="4" s="1"/>
  <c r="BV25" i="5"/>
  <c r="FM25" i="4" s="1"/>
  <c r="BU25" i="5"/>
  <c r="FL25" i="4" s="1"/>
  <c r="BT25" i="5"/>
  <c r="FD25" i="4" s="1"/>
  <c r="BS25" i="5"/>
  <c r="FC25" i="4" s="1"/>
  <c r="BR25" i="5"/>
  <c r="FB25" i="4" s="1"/>
  <c r="BQ25" i="5"/>
  <c r="FA25" i="4" s="1"/>
  <c r="BP25" i="5"/>
  <c r="EZ25" i="4" s="1"/>
  <c r="CR24" i="5"/>
  <c r="GM24" i="4" s="1"/>
  <c r="CQ24" i="5"/>
  <c r="GK24" i="4" s="1"/>
  <c r="CP24" i="5"/>
  <c r="CO24" i="5"/>
  <c r="CN24" i="5"/>
  <c r="CM24" i="5"/>
  <c r="CL24" i="5"/>
  <c r="CK24" i="5"/>
  <c r="CJ24" i="5"/>
  <c r="CI24" i="5"/>
  <c r="CH24" i="5"/>
  <c r="FY24" i="4" s="1"/>
  <c r="CG24" i="5"/>
  <c r="FX24" i="4" s="1"/>
  <c r="CF24" i="5"/>
  <c r="FW24" i="4" s="1"/>
  <c r="CE24" i="5"/>
  <c r="FV24" i="4" s="1"/>
  <c r="AT24" i="1" s="1"/>
  <c r="CD24" i="5"/>
  <c r="FU24" i="4" s="1"/>
  <c r="CA24" i="5"/>
  <c r="FR24" i="4" s="1"/>
  <c r="BZ24" i="5"/>
  <c r="FQ24" i="4" s="1"/>
  <c r="BY24" i="5"/>
  <c r="FP24" i="4" s="1"/>
  <c r="BX24" i="5"/>
  <c r="FO24" i="4" s="1"/>
  <c r="BW24" i="5"/>
  <c r="FN24" i="4" s="1"/>
  <c r="BV24" i="5"/>
  <c r="FM24" i="4" s="1"/>
  <c r="BU24" i="5"/>
  <c r="FL24" i="4" s="1"/>
  <c r="BT24" i="5"/>
  <c r="FD24" i="4" s="1"/>
  <c r="BS24" i="5"/>
  <c r="FC24" i="4" s="1"/>
  <c r="BR24" i="5"/>
  <c r="FB24" i="4" s="1"/>
  <c r="BQ24" i="5"/>
  <c r="FA24" i="4" s="1"/>
  <c r="BP24" i="5"/>
  <c r="EZ24" i="4" s="1"/>
  <c r="S24" i="4"/>
  <c r="CR23" i="5"/>
  <c r="GM23" i="4" s="1"/>
  <c r="CQ23" i="5"/>
  <c r="GK23" i="4" s="1"/>
  <c r="CP23" i="5"/>
  <c r="CO23" i="5"/>
  <c r="CN23" i="5"/>
  <c r="CM23" i="5"/>
  <c r="CL23" i="5"/>
  <c r="CK23" i="5"/>
  <c r="CJ23" i="5"/>
  <c r="CI23" i="5"/>
  <c r="CH23" i="5"/>
  <c r="FY23" i="4" s="1"/>
  <c r="CG23" i="5"/>
  <c r="FX23" i="4" s="1"/>
  <c r="CF23" i="5"/>
  <c r="FW23" i="4" s="1"/>
  <c r="CE23" i="5"/>
  <c r="FV23" i="4" s="1"/>
  <c r="AT23" i="1" s="1"/>
  <c r="CD23" i="5"/>
  <c r="FU23" i="4" s="1"/>
  <c r="CA23" i="5"/>
  <c r="FR23" i="4" s="1"/>
  <c r="BZ23" i="5"/>
  <c r="FQ23" i="4" s="1"/>
  <c r="BY23" i="5"/>
  <c r="FP23" i="4" s="1"/>
  <c r="BX23" i="5"/>
  <c r="FO23" i="4" s="1"/>
  <c r="BW23" i="5"/>
  <c r="BV23" i="5"/>
  <c r="FM23" i="4" s="1"/>
  <c r="BU23" i="5"/>
  <c r="FL23" i="4" s="1"/>
  <c r="BT23" i="5"/>
  <c r="FD23" i="4" s="1"/>
  <c r="BS23" i="5"/>
  <c r="FC23" i="4" s="1"/>
  <c r="BR23" i="5"/>
  <c r="FB23" i="4" s="1"/>
  <c r="BQ23" i="5"/>
  <c r="FA23" i="4" s="1"/>
  <c r="BP23" i="5"/>
  <c r="EZ23" i="4" s="1"/>
  <c r="CR22" i="5"/>
  <c r="GM22" i="4" s="1"/>
  <c r="CQ22" i="5"/>
  <c r="GK22" i="4" s="1"/>
  <c r="CP22" i="5"/>
  <c r="CO22" i="5"/>
  <c r="CN22" i="5"/>
  <c r="CM22" i="5"/>
  <c r="CL22" i="5"/>
  <c r="CK22" i="5"/>
  <c r="CJ22" i="5"/>
  <c r="CI22" i="5"/>
  <c r="CH22" i="5"/>
  <c r="FY22" i="4" s="1"/>
  <c r="CG22" i="5"/>
  <c r="FX22" i="4" s="1"/>
  <c r="CF22" i="5"/>
  <c r="CE22" i="5"/>
  <c r="FV22" i="4" s="1"/>
  <c r="CD22" i="5"/>
  <c r="FU22" i="4" s="1"/>
  <c r="CC22" i="5"/>
  <c r="FT22" i="4" s="1"/>
  <c r="CB22" i="5"/>
  <c r="FS22" i="4" s="1"/>
  <c r="CA22" i="5"/>
  <c r="FR22" i="4" s="1"/>
  <c r="BZ22" i="5"/>
  <c r="FQ22" i="4" s="1"/>
  <c r="BY22" i="5"/>
  <c r="FP22" i="4" s="1"/>
  <c r="BX22" i="5"/>
  <c r="FO22" i="4" s="1"/>
  <c r="BW22" i="5"/>
  <c r="FN22" i="4" s="1"/>
  <c r="BV22" i="5"/>
  <c r="FM22" i="4" s="1"/>
  <c r="BU22" i="5"/>
  <c r="FL22" i="4" s="1"/>
  <c r="BT22" i="5"/>
  <c r="FD22" i="4" s="1"/>
  <c r="BS22" i="5"/>
  <c r="FC22" i="4" s="1"/>
  <c r="BR22" i="5"/>
  <c r="FB22" i="4" s="1"/>
  <c r="BQ22" i="5"/>
  <c r="FA22" i="4" s="1"/>
  <c r="BP22" i="5"/>
  <c r="EZ22" i="4" s="1"/>
  <c r="CR21" i="5"/>
  <c r="GM21" i="4" s="1"/>
  <c r="CQ21" i="5"/>
  <c r="GK21" i="4" s="1"/>
  <c r="CP21" i="5"/>
  <c r="CO21" i="5"/>
  <c r="CN21" i="5"/>
  <c r="CM21" i="5"/>
  <c r="CL21" i="5"/>
  <c r="CK21" i="5"/>
  <c r="CJ21" i="5"/>
  <c r="CI21" i="5"/>
  <c r="CH21" i="5"/>
  <c r="FY21" i="4" s="1"/>
  <c r="CG21" i="5"/>
  <c r="FX21" i="4" s="1"/>
  <c r="CF21" i="5"/>
  <c r="FW21" i="4" s="1"/>
  <c r="CE21" i="5"/>
  <c r="FV21" i="4" s="1"/>
  <c r="CD21" i="5"/>
  <c r="FU21" i="4" s="1"/>
  <c r="CC21" i="5"/>
  <c r="FT21" i="4" s="1"/>
  <c r="CB21" i="5"/>
  <c r="FS21" i="4" s="1"/>
  <c r="CA21" i="5"/>
  <c r="FR21" i="4" s="1"/>
  <c r="BZ21" i="5"/>
  <c r="FQ21" i="4" s="1"/>
  <c r="BY21" i="5"/>
  <c r="FP21" i="4" s="1"/>
  <c r="BX21" i="5"/>
  <c r="FO21" i="4" s="1"/>
  <c r="BW21" i="5"/>
  <c r="FN21" i="4" s="1"/>
  <c r="BV21" i="5"/>
  <c r="FM21" i="4" s="1"/>
  <c r="BU21" i="5"/>
  <c r="FL21" i="4" s="1"/>
  <c r="BT21" i="5"/>
  <c r="FD21" i="4" s="1"/>
  <c r="BS21" i="5"/>
  <c r="FC21" i="4" s="1"/>
  <c r="BR21" i="5"/>
  <c r="FB21" i="4" s="1"/>
  <c r="BQ21" i="5"/>
  <c r="FA21" i="4" s="1"/>
  <c r="BP21" i="5"/>
  <c r="EZ21" i="4" s="1"/>
  <c r="CR20" i="5"/>
  <c r="GM20" i="4" s="1"/>
  <c r="CQ20" i="5"/>
  <c r="GK20" i="4" s="1"/>
  <c r="CP20" i="5"/>
  <c r="CO20" i="5"/>
  <c r="CN20" i="5"/>
  <c r="CM20" i="5"/>
  <c r="CL20" i="5"/>
  <c r="CK20" i="5"/>
  <c r="CJ20" i="5"/>
  <c r="CI20" i="5"/>
  <c r="CH20" i="5"/>
  <c r="FY20" i="4" s="1"/>
  <c r="CG20" i="5"/>
  <c r="FX20" i="4" s="1"/>
  <c r="CF20" i="5"/>
  <c r="FW20" i="4" s="1"/>
  <c r="CE20" i="5"/>
  <c r="FV20" i="4" s="1"/>
  <c r="CD20" i="5"/>
  <c r="FU20" i="4" s="1"/>
  <c r="CC20" i="5"/>
  <c r="FT20" i="4" s="1"/>
  <c r="CB20" i="5"/>
  <c r="FS20" i="4" s="1"/>
  <c r="CA20" i="5"/>
  <c r="FR20" i="4" s="1"/>
  <c r="BZ20" i="5"/>
  <c r="FQ20" i="4" s="1"/>
  <c r="BY20" i="5"/>
  <c r="FP20" i="4" s="1"/>
  <c r="BX20" i="5"/>
  <c r="FO20" i="4" s="1"/>
  <c r="BW20" i="5"/>
  <c r="FN20" i="4" s="1"/>
  <c r="BV20" i="5"/>
  <c r="FM20" i="4" s="1"/>
  <c r="BU20" i="5"/>
  <c r="FL20" i="4" s="1"/>
  <c r="BT20" i="5"/>
  <c r="FD20" i="4" s="1"/>
  <c r="BS20" i="5"/>
  <c r="FC20" i="4" s="1"/>
  <c r="BR20" i="5"/>
  <c r="FB20" i="4" s="1"/>
  <c r="BQ20" i="5"/>
  <c r="FA20" i="4" s="1"/>
  <c r="BP20" i="5"/>
  <c r="EZ20" i="4" s="1"/>
  <c r="CR19" i="5"/>
  <c r="GM19" i="4" s="1"/>
  <c r="CQ19" i="5"/>
  <c r="GK19" i="4" s="1"/>
  <c r="CP19" i="5"/>
  <c r="CO19" i="5"/>
  <c r="CN19" i="5"/>
  <c r="CM19" i="5"/>
  <c r="CL19" i="5"/>
  <c r="CK19" i="5"/>
  <c r="CJ19" i="5"/>
  <c r="CI19" i="5"/>
  <c r="CH19" i="5"/>
  <c r="FY19" i="4" s="1"/>
  <c r="CG19" i="5"/>
  <c r="FX19" i="4" s="1"/>
  <c r="CF19" i="5"/>
  <c r="FW19" i="4" s="1"/>
  <c r="CE19" i="5"/>
  <c r="FV19" i="4" s="1"/>
  <c r="CD19" i="5"/>
  <c r="FU19" i="4" s="1"/>
  <c r="CC19" i="5"/>
  <c r="FT19" i="4" s="1"/>
  <c r="AR19" i="1" s="1"/>
  <c r="CB19" i="5"/>
  <c r="FS19" i="4" s="1"/>
  <c r="CA19" i="5"/>
  <c r="FR19" i="4" s="1"/>
  <c r="BZ19" i="5"/>
  <c r="FQ19" i="4" s="1"/>
  <c r="BY19" i="5"/>
  <c r="FP19" i="4" s="1"/>
  <c r="BX19" i="5"/>
  <c r="FO19" i="4" s="1"/>
  <c r="BW19" i="5"/>
  <c r="FN19" i="4" s="1"/>
  <c r="BV19" i="5"/>
  <c r="FM19" i="4" s="1"/>
  <c r="BU19" i="5"/>
  <c r="FL19" i="4" s="1"/>
  <c r="BT19" i="5"/>
  <c r="FD19" i="4" s="1"/>
  <c r="BS19" i="5"/>
  <c r="FC19" i="4" s="1"/>
  <c r="BR19" i="5"/>
  <c r="FB19" i="4" s="1"/>
  <c r="BQ19" i="5"/>
  <c r="FA19" i="4" s="1"/>
  <c r="BP19" i="5"/>
  <c r="EZ19" i="4" s="1"/>
  <c r="CR18" i="5"/>
  <c r="GM18" i="4" s="1"/>
  <c r="CQ18" i="5"/>
  <c r="GK18" i="4" s="1"/>
  <c r="CP18" i="5"/>
  <c r="CO18" i="5"/>
  <c r="CN18" i="5"/>
  <c r="CM18" i="5"/>
  <c r="CL18" i="5"/>
  <c r="CK18" i="5"/>
  <c r="CJ18" i="5"/>
  <c r="CI18" i="5"/>
  <c r="CH18" i="5"/>
  <c r="FY18" i="4" s="1"/>
  <c r="CG18" i="5"/>
  <c r="FX18" i="4" s="1"/>
  <c r="CF18" i="5"/>
  <c r="FW18" i="4" s="1"/>
  <c r="CE18" i="5"/>
  <c r="FV18" i="4" s="1"/>
  <c r="CD18" i="5"/>
  <c r="FU18" i="4" s="1"/>
  <c r="CC18" i="5"/>
  <c r="FT18" i="4" s="1"/>
  <c r="CB18" i="5"/>
  <c r="FS18" i="4" s="1"/>
  <c r="CA18" i="5"/>
  <c r="FR18" i="4" s="1"/>
  <c r="BZ18" i="5"/>
  <c r="FQ18" i="4" s="1"/>
  <c r="BY18" i="5"/>
  <c r="FP18" i="4" s="1"/>
  <c r="BX18" i="5"/>
  <c r="FO18" i="4" s="1"/>
  <c r="BW18" i="5"/>
  <c r="FN18" i="4" s="1"/>
  <c r="BV18" i="5"/>
  <c r="FM18" i="4" s="1"/>
  <c r="BU18" i="5"/>
  <c r="FL18" i="4" s="1"/>
  <c r="BT18" i="5"/>
  <c r="FD18" i="4" s="1"/>
  <c r="BS18" i="5"/>
  <c r="FC18" i="4" s="1"/>
  <c r="BR18" i="5"/>
  <c r="FB18" i="4" s="1"/>
  <c r="BQ18" i="5"/>
  <c r="FA18" i="4" s="1"/>
  <c r="BP18" i="5"/>
  <c r="EZ18" i="4" s="1"/>
  <c r="CR17" i="5"/>
  <c r="GM17" i="4" s="1"/>
  <c r="CQ17" i="5"/>
  <c r="GK17" i="4" s="1"/>
  <c r="CP17" i="5"/>
  <c r="CO17" i="5"/>
  <c r="CN17" i="5"/>
  <c r="CM17" i="5"/>
  <c r="CL17" i="5"/>
  <c r="CK17" i="5"/>
  <c r="CJ17" i="5"/>
  <c r="CI17" i="5"/>
  <c r="CH17" i="5"/>
  <c r="FY17" i="4" s="1"/>
  <c r="CG17" i="5"/>
  <c r="FX17" i="4" s="1"/>
  <c r="CF17" i="5"/>
  <c r="FW17" i="4" s="1"/>
  <c r="CE17" i="5"/>
  <c r="FV17" i="4" s="1"/>
  <c r="CD17" i="5"/>
  <c r="FU17" i="4" s="1"/>
  <c r="CC17" i="5"/>
  <c r="FT17" i="4" s="1"/>
  <c r="CB17" i="5"/>
  <c r="FS17" i="4" s="1"/>
  <c r="CA17" i="5"/>
  <c r="FR17" i="4" s="1"/>
  <c r="BZ17" i="5"/>
  <c r="FQ17" i="4" s="1"/>
  <c r="BY17" i="5"/>
  <c r="FP17" i="4" s="1"/>
  <c r="BX17" i="5"/>
  <c r="FO17" i="4" s="1"/>
  <c r="BW17" i="5"/>
  <c r="FN17" i="4" s="1"/>
  <c r="BV17" i="5"/>
  <c r="FM17" i="4" s="1"/>
  <c r="BU17" i="5"/>
  <c r="FL17" i="4" s="1"/>
  <c r="BT17" i="5"/>
  <c r="FD17" i="4" s="1"/>
  <c r="BS17" i="5"/>
  <c r="FC17" i="4" s="1"/>
  <c r="BR17" i="5"/>
  <c r="FB17" i="4" s="1"/>
  <c r="BQ17" i="5"/>
  <c r="FA17" i="4" s="1"/>
  <c r="BP17" i="5"/>
  <c r="EZ17" i="4" s="1"/>
  <c r="CR16" i="5"/>
  <c r="GM16" i="4" s="1"/>
  <c r="CQ16" i="5"/>
  <c r="GK16" i="4" s="1"/>
  <c r="CP16" i="5"/>
  <c r="CO16" i="5"/>
  <c r="CN16" i="5"/>
  <c r="CM16" i="5"/>
  <c r="CL16" i="5"/>
  <c r="CK16" i="5"/>
  <c r="CJ16" i="5"/>
  <c r="CI16" i="5"/>
  <c r="CH16" i="5"/>
  <c r="FY16" i="4" s="1"/>
  <c r="CG16" i="5"/>
  <c r="FX16" i="4" s="1"/>
  <c r="CF16" i="5"/>
  <c r="FW16" i="4" s="1"/>
  <c r="CE16" i="5"/>
  <c r="FV16" i="4" s="1"/>
  <c r="CD16" i="5"/>
  <c r="FU16" i="4" s="1"/>
  <c r="CC16" i="5"/>
  <c r="FT16" i="4" s="1"/>
  <c r="CB16" i="5"/>
  <c r="FS16" i="4" s="1"/>
  <c r="CA16" i="5"/>
  <c r="FR16" i="4" s="1"/>
  <c r="BZ16" i="5"/>
  <c r="FQ16" i="4" s="1"/>
  <c r="BY16" i="5"/>
  <c r="FP16" i="4" s="1"/>
  <c r="BX16" i="5"/>
  <c r="FO16" i="4" s="1"/>
  <c r="BW16" i="5"/>
  <c r="FN16" i="4" s="1"/>
  <c r="BV16" i="5"/>
  <c r="FM16" i="4" s="1"/>
  <c r="BU16" i="5"/>
  <c r="FL16" i="4" s="1"/>
  <c r="BT16" i="5"/>
  <c r="FD16" i="4" s="1"/>
  <c r="BS16" i="5"/>
  <c r="FC16" i="4" s="1"/>
  <c r="BR16" i="5"/>
  <c r="FB16" i="4" s="1"/>
  <c r="BQ16" i="5"/>
  <c r="FA16" i="4" s="1"/>
  <c r="BP16" i="5"/>
  <c r="EZ16" i="4" s="1"/>
  <c r="CR15" i="5"/>
  <c r="GM15" i="4" s="1"/>
  <c r="CQ15" i="5"/>
  <c r="GK15" i="4" s="1"/>
  <c r="CP15" i="5"/>
  <c r="CO15" i="5"/>
  <c r="CN15" i="5"/>
  <c r="CM15" i="5"/>
  <c r="CL15" i="5"/>
  <c r="CK15" i="5"/>
  <c r="CJ15" i="5"/>
  <c r="CI15" i="5"/>
  <c r="CH15" i="5"/>
  <c r="FY15" i="4" s="1"/>
  <c r="CG15" i="5"/>
  <c r="FX15" i="4" s="1"/>
  <c r="Z15" i="1" s="1"/>
  <c r="CF15" i="5"/>
  <c r="FW15" i="4" s="1"/>
  <c r="CE15" i="5"/>
  <c r="FV15" i="4" s="1"/>
  <c r="CD15" i="5"/>
  <c r="FU15" i="4" s="1"/>
  <c r="CC15" i="5"/>
  <c r="FT15" i="4" s="1"/>
  <c r="AR15" i="1" s="1"/>
  <c r="CB15" i="5"/>
  <c r="FS15" i="4" s="1"/>
  <c r="CA15" i="5"/>
  <c r="FR15" i="4" s="1"/>
  <c r="BZ15" i="5"/>
  <c r="FQ15" i="4" s="1"/>
  <c r="BY15" i="5"/>
  <c r="FP15" i="4" s="1"/>
  <c r="BX15" i="5"/>
  <c r="FO15" i="4" s="1"/>
  <c r="BW15" i="5"/>
  <c r="FN15" i="4" s="1"/>
  <c r="BV15" i="5"/>
  <c r="FM15" i="4" s="1"/>
  <c r="BU15" i="5"/>
  <c r="FL15" i="4" s="1"/>
  <c r="BT15" i="5"/>
  <c r="FD15" i="4" s="1"/>
  <c r="BS15" i="5"/>
  <c r="FC15" i="4" s="1"/>
  <c r="BR15" i="5"/>
  <c r="FB15" i="4" s="1"/>
  <c r="BQ15" i="5"/>
  <c r="FA15" i="4" s="1"/>
  <c r="BP15" i="5"/>
  <c r="EZ15" i="4" s="1"/>
  <c r="FN23" i="4"/>
  <c r="CP50" i="4"/>
  <c r="BO51" i="7"/>
  <c r="AE114" i="4"/>
  <c r="AJ114" i="4"/>
  <c r="AK114" i="4"/>
  <c r="AL114" i="4"/>
  <c r="AM114" i="4"/>
  <c r="AN114" i="4"/>
  <c r="AJ17" i="5"/>
  <c r="AK17" i="5"/>
  <c r="AJ18" i="5"/>
  <c r="AK18" i="5"/>
  <c r="AJ19" i="5"/>
  <c r="AK19" i="5"/>
  <c r="AJ20" i="5"/>
  <c r="AK20" i="5"/>
  <c r="AJ21" i="5"/>
  <c r="AK21" i="5"/>
  <c r="AJ22" i="5"/>
  <c r="AK22" i="5"/>
  <c r="AJ23" i="5"/>
  <c r="AK23" i="5"/>
  <c r="AJ24" i="5"/>
  <c r="AK24" i="5"/>
  <c r="AJ25" i="5"/>
  <c r="AK25" i="5"/>
  <c r="AJ26" i="5"/>
  <c r="AK26" i="5"/>
  <c r="AJ27" i="5"/>
  <c r="AK27" i="5"/>
  <c r="AJ28" i="5"/>
  <c r="AK28" i="5"/>
  <c r="AJ29" i="5"/>
  <c r="AK29" i="5"/>
  <c r="AJ30" i="5"/>
  <c r="AK30" i="5"/>
  <c r="AJ31" i="5"/>
  <c r="AK31" i="5"/>
  <c r="AJ32" i="5"/>
  <c r="AK32" i="5"/>
  <c r="AJ33" i="5"/>
  <c r="AK33" i="5"/>
  <c r="AJ34" i="5"/>
  <c r="AK34" i="5"/>
  <c r="AJ35" i="5"/>
  <c r="AK35" i="5"/>
  <c r="AJ36" i="5"/>
  <c r="AK36" i="5"/>
  <c r="AJ37" i="5"/>
  <c r="AK37" i="5"/>
  <c r="AJ38" i="5"/>
  <c r="AK38" i="5"/>
  <c r="DR38" i="5"/>
  <c r="GI38" i="4" s="1"/>
  <c r="DP38" i="5"/>
  <c r="GG38" i="4" s="1"/>
  <c r="DN38" i="5"/>
  <c r="DM38" i="5"/>
  <c r="DL38" i="5"/>
  <c r="F38" i="8" s="1"/>
  <c r="DJ38" i="5"/>
  <c r="D38" i="8" s="1"/>
  <c r="DI38" i="5"/>
  <c r="C38" i="8" s="1"/>
  <c r="DH38" i="5"/>
  <c r="GX38" i="4" s="1"/>
  <c r="DG38" i="5"/>
  <c r="GW38" i="4" s="1"/>
  <c r="DF38" i="5"/>
  <c r="GV38" i="4" s="1"/>
  <c r="DE38" i="5"/>
  <c r="DD38" i="5"/>
  <c r="DC38" i="5"/>
  <c r="GY38" i="4" s="1"/>
  <c r="DB38" i="5"/>
  <c r="GE38" i="4" s="1"/>
  <c r="DA38" i="5"/>
  <c r="GP38" i="4" s="1"/>
  <c r="CZ38" i="5"/>
  <c r="GN38" i="4" s="1"/>
  <c r="CY38" i="5"/>
  <c r="GR38" i="4" s="1"/>
  <c r="CX38" i="5"/>
  <c r="CW38" i="5"/>
  <c r="CV38" i="5"/>
  <c r="GS38" i="4" s="1"/>
  <c r="CU38" i="5"/>
  <c r="GU38" i="4" s="1"/>
  <c r="CT38" i="5"/>
  <c r="GQ38" i="4" s="1"/>
  <c r="CS38" i="5"/>
  <c r="GO38" i="4" s="1"/>
  <c r="CR38" i="5"/>
  <c r="GM38" i="4" s="1"/>
  <c r="CQ38" i="5"/>
  <c r="GK38" i="4" s="1"/>
  <c r="CP38" i="5"/>
  <c r="CO38" i="5"/>
  <c r="CN38" i="5"/>
  <c r="CM38" i="5"/>
  <c r="CL38" i="5"/>
  <c r="CK38" i="5"/>
  <c r="CJ38" i="5"/>
  <c r="CI38" i="5"/>
  <c r="CH38" i="5"/>
  <c r="FY38" i="4" s="1"/>
  <c r="CG38" i="5"/>
  <c r="FX38" i="4" s="1"/>
  <c r="CF38" i="5"/>
  <c r="FW38" i="4" s="1"/>
  <c r="CE38" i="5"/>
  <c r="FV38" i="4" s="1"/>
  <c r="CD38" i="5"/>
  <c r="FU38" i="4" s="1"/>
  <c r="CC38" i="5"/>
  <c r="FT38" i="4" s="1"/>
  <c r="CB38" i="5"/>
  <c r="FS38" i="4" s="1"/>
  <c r="CA38" i="5"/>
  <c r="FR38" i="4" s="1"/>
  <c r="BZ38" i="5"/>
  <c r="BY38" i="5"/>
  <c r="FP38" i="4" s="1"/>
  <c r="BX38" i="5"/>
  <c r="FO38" i="4" s="1"/>
  <c r="BW38" i="5"/>
  <c r="FN38" i="4" s="1"/>
  <c r="BV38" i="5"/>
  <c r="FM38" i="4" s="1"/>
  <c r="BU38" i="5"/>
  <c r="FL38" i="4" s="1"/>
  <c r="BT38" i="5"/>
  <c r="FD38" i="4" s="1"/>
  <c r="BS38" i="5"/>
  <c r="FC38" i="4" s="1"/>
  <c r="BR38" i="5"/>
  <c r="BQ38" i="5"/>
  <c r="FA38" i="4" s="1"/>
  <c r="BP38" i="5"/>
  <c r="EZ38" i="4" s="1"/>
  <c r="BO38" i="5"/>
  <c r="EY38" i="4" s="1"/>
  <c r="BN38" i="5"/>
  <c r="EX38" i="4" s="1"/>
  <c r="BM38" i="5"/>
  <c r="EW38" i="4" s="1"/>
  <c r="BL38" i="5"/>
  <c r="EV38" i="4" s="1"/>
  <c r="BK38" i="5"/>
  <c r="EU38" i="4" s="1"/>
  <c r="BJ38" i="5"/>
  <c r="ET38" i="4" s="1"/>
  <c r="BI38" i="5"/>
  <c r="ES38" i="4" s="1"/>
  <c r="BH38" i="5"/>
  <c r="ER38" i="4" s="1"/>
  <c r="BG38" i="5"/>
  <c r="EQ38" i="4" s="1"/>
  <c r="BF38" i="5"/>
  <c r="BQ38" i="4" s="1"/>
  <c r="BE38" i="5"/>
  <c r="BP38" i="4" s="1"/>
  <c r="BD38" i="5"/>
  <c r="BJ38" i="4" s="1"/>
  <c r="BC38" i="5"/>
  <c r="BI38" i="4" s="1"/>
  <c r="BB38" i="5"/>
  <c r="BH38" i="4" s="1"/>
  <c r="BA38" i="5"/>
  <c r="BG38" i="4" s="1"/>
  <c r="AZ38" i="5"/>
  <c r="BF38" i="4" s="1"/>
  <c r="AY38" i="5"/>
  <c r="BE38" i="4" s="1"/>
  <c r="AX38" i="5"/>
  <c r="BD38" i="4" s="1"/>
  <c r="AW38" i="5"/>
  <c r="BC38" i="4" s="1"/>
  <c r="AV38" i="5"/>
  <c r="BB38" i="4" s="1"/>
  <c r="AU38" i="5"/>
  <c r="BA38" i="4" s="1"/>
  <c r="AT38" i="5"/>
  <c r="AZ38" i="4" s="1"/>
  <c r="AS38" i="5"/>
  <c r="AY38" i="4" s="1"/>
  <c r="AR38" i="5"/>
  <c r="AX38" i="4" s="1"/>
  <c r="AQ38" i="5"/>
  <c r="AW38" i="4" s="1"/>
  <c r="AP38" i="5"/>
  <c r="AO38" i="5"/>
  <c r="AN38" i="5"/>
  <c r="AM38" i="5"/>
  <c r="AL38" i="5"/>
  <c r="AI38" i="5"/>
  <c r="AK38" i="4" s="1"/>
  <c r="AH38" i="5"/>
  <c r="AJ38" i="4" s="1"/>
  <c r="AG38" i="5"/>
  <c r="AI38" i="4" s="1"/>
  <c r="AF38" i="5"/>
  <c r="AH38" i="4" s="1"/>
  <c r="K110" i="4" s="1"/>
  <c r="AE38" i="5"/>
  <c r="AG38" i="4" s="1"/>
  <c r="AD38" i="5"/>
  <c r="AF38" i="4" s="1"/>
  <c r="AC38" i="5"/>
  <c r="AE38" i="4" s="1"/>
  <c r="AB38" i="5"/>
  <c r="AD38" i="4" s="1"/>
  <c r="AA38" i="5"/>
  <c r="AB38" i="4" s="1"/>
  <c r="Z38" i="5"/>
  <c r="AA38" i="4" s="1"/>
  <c r="Y38" i="5"/>
  <c r="T38" i="4" s="1"/>
  <c r="X38" i="5"/>
  <c r="S38" i="4" s="1"/>
  <c r="W38" i="5"/>
  <c r="R38" i="4" s="1"/>
  <c r="V38" i="5"/>
  <c r="Q38" i="4" s="1"/>
  <c r="S38" i="5"/>
  <c r="F38" i="5"/>
  <c r="E38" i="4" s="1"/>
  <c r="E38" i="5"/>
  <c r="D38" i="4" s="1"/>
  <c r="D38" i="5"/>
  <c r="C38" i="4" s="1"/>
  <c r="DR37" i="5"/>
  <c r="GI37" i="4" s="1"/>
  <c r="DP37" i="5"/>
  <c r="GG37" i="4" s="1"/>
  <c r="DN37" i="5"/>
  <c r="DM37" i="5"/>
  <c r="DL37" i="5"/>
  <c r="F37" i="8" s="1"/>
  <c r="DJ37" i="5"/>
  <c r="DI37" i="5"/>
  <c r="C37" i="8" s="1"/>
  <c r="DH37" i="5"/>
  <c r="GX37" i="4" s="1"/>
  <c r="DG37" i="5"/>
  <c r="GW37" i="4" s="1"/>
  <c r="DF37" i="5"/>
  <c r="GV37" i="4" s="1"/>
  <c r="DE37" i="5"/>
  <c r="DD37" i="5"/>
  <c r="DC37" i="5"/>
  <c r="GY37" i="4" s="1"/>
  <c r="DB37" i="5"/>
  <c r="GE37" i="4" s="1"/>
  <c r="DA37" i="5"/>
  <c r="GP37" i="4" s="1"/>
  <c r="CZ37" i="5"/>
  <c r="GC37" i="4" s="1"/>
  <c r="CY37" i="5"/>
  <c r="GR37" i="4" s="1"/>
  <c r="CX37" i="5"/>
  <c r="CW37" i="5"/>
  <c r="CV37" i="5"/>
  <c r="GS37" i="4" s="1"/>
  <c r="CU37" i="5"/>
  <c r="GU37" i="4" s="1"/>
  <c r="CT37" i="5"/>
  <c r="GQ37" i="4" s="1"/>
  <c r="CS37" i="5"/>
  <c r="GO37" i="4" s="1"/>
  <c r="CR37" i="5"/>
  <c r="GM37" i="4" s="1"/>
  <c r="CQ37" i="5"/>
  <c r="GK37" i="4" s="1"/>
  <c r="CP37" i="5"/>
  <c r="CO37" i="5"/>
  <c r="CN37" i="5"/>
  <c r="CM37" i="5"/>
  <c r="CL37" i="5"/>
  <c r="CK37" i="5"/>
  <c r="CJ37" i="5"/>
  <c r="CI37" i="5"/>
  <c r="CH37" i="5"/>
  <c r="FY37" i="4" s="1"/>
  <c r="CG37" i="5"/>
  <c r="FX37" i="4" s="1"/>
  <c r="CF37" i="5"/>
  <c r="FW37" i="4" s="1"/>
  <c r="CE37" i="5"/>
  <c r="FV37" i="4" s="1"/>
  <c r="CD37" i="5"/>
  <c r="FU37" i="4" s="1"/>
  <c r="CC37" i="5"/>
  <c r="FT37" i="4" s="1"/>
  <c r="CB37" i="5"/>
  <c r="FS37" i="4" s="1"/>
  <c r="CA37" i="5"/>
  <c r="FR37" i="4" s="1"/>
  <c r="BZ37" i="5"/>
  <c r="FQ37" i="4" s="1"/>
  <c r="BY37" i="5"/>
  <c r="FP37" i="4" s="1"/>
  <c r="BX37" i="5"/>
  <c r="FO37" i="4" s="1"/>
  <c r="BW37" i="5"/>
  <c r="FN37" i="4" s="1"/>
  <c r="BV37" i="5"/>
  <c r="FM37" i="4" s="1"/>
  <c r="BU37" i="5"/>
  <c r="FL37" i="4" s="1"/>
  <c r="BT37" i="5"/>
  <c r="FD37" i="4" s="1"/>
  <c r="BS37" i="5"/>
  <c r="FC37" i="4" s="1"/>
  <c r="BR37" i="5"/>
  <c r="FB37" i="4" s="1"/>
  <c r="BQ37" i="5"/>
  <c r="FA37" i="4" s="1"/>
  <c r="BP37" i="5"/>
  <c r="EZ37" i="4" s="1"/>
  <c r="BO37" i="5"/>
  <c r="EY37" i="4" s="1"/>
  <c r="BN37" i="5"/>
  <c r="EX37" i="4" s="1"/>
  <c r="BM37" i="5"/>
  <c r="EW37" i="4" s="1"/>
  <c r="BL37" i="5"/>
  <c r="EV37" i="4" s="1"/>
  <c r="BK37" i="5"/>
  <c r="EU37" i="4" s="1"/>
  <c r="BJ37" i="5"/>
  <c r="ET37" i="4" s="1"/>
  <c r="BI37" i="5"/>
  <c r="ES37" i="4" s="1"/>
  <c r="BH37" i="5"/>
  <c r="ER37" i="4" s="1"/>
  <c r="BG37" i="5"/>
  <c r="EQ37" i="4" s="1"/>
  <c r="BF37" i="5"/>
  <c r="BQ37" i="4" s="1"/>
  <c r="J109" i="4" s="1"/>
  <c r="BE37" i="5"/>
  <c r="BP37" i="4" s="1"/>
  <c r="BD37" i="5"/>
  <c r="BJ37" i="4" s="1"/>
  <c r="BC37" i="5"/>
  <c r="BI37" i="4" s="1"/>
  <c r="BB37" i="5"/>
  <c r="BA37" i="5"/>
  <c r="BG37" i="4" s="1"/>
  <c r="AZ37" i="5"/>
  <c r="BF37" i="4" s="1"/>
  <c r="AY37" i="5"/>
  <c r="BE37" i="4" s="1"/>
  <c r="AX37" i="5"/>
  <c r="BD37" i="4" s="1"/>
  <c r="AW37" i="5"/>
  <c r="BC37" i="4" s="1"/>
  <c r="AV37" i="5"/>
  <c r="BB37" i="4" s="1"/>
  <c r="AU37" i="5"/>
  <c r="BA37" i="4" s="1"/>
  <c r="AT37" i="5"/>
  <c r="AZ37" i="4" s="1"/>
  <c r="AS37" i="5"/>
  <c r="AY37" i="4" s="1"/>
  <c r="AR37" i="5"/>
  <c r="AX37" i="4" s="1"/>
  <c r="AQ37" i="5"/>
  <c r="AW37" i="4" s="1"/>
  <c r="AP37" i="5"/>
  <c r="AV37" i="4" s="1"/>
  <c r="AO37" i="5"/>
  <c r="AN37" i="5"/>
  <c r="AM37" i="5"/>
  <c r="AL37" i="5"/>
  <c r="AI37" i="5"/>
  <c r="AK37" i="4" s="1"/>
  <c r="AH37" i="5"/>
  <c r="AJ37" i="4" s="1"/>
  <c r="AG37" i="5"/>
  <c r="AI37" i="4" s="1"/>
  <c r="AF37" i="5"/>
  <c r="AH37" i="4" s="1"/>
  <c r="AE37" i="5"/>
  <c r="AG37" i="4" s="1"/>
  <c r="AD37" i="5"/>
  <c r="AF37" i="4" s="1"/>
  <c r="AC37" i="5"/>
  <c r="AE37" i="4" s="1"/>
  <c r="AB37" i="5"/>
  <c r="AD37" i="4" s="1"/>
  <c r="AA37" i="5"/>
  <c r="AB37" i="4" s="1"/>
  <c r="Z37" i="5"/>
  <c r="AA37" i="4" s="1"/>
  <c r="Y37" i="5"/>
  <c r="T37" i="4" s="1"/>
  <c r="X37" i="5"/>
  <c r="S37" i="4" s="1"/>
  <c r="W37" i="5"/>
  <c r="R37" i="4" s="1"/>
  <c r="S37" i="5"/>
  <c r="F37" i="5"/>
  <c r="E37" i="4" s="1"/>
  <c r="E37" i="5"/>
  <c r="D37" i="4" s="1"/>
  <c r="D37" i="5"/>
  <c r="C37" i="4" s="1"/>
  <c r="DR36" i="5"/>
  <c r="L36" i="8" s="1"/>
  <c r="DP36" i="5"/>
  <c r="GG36" i="4" s="1"/>
  <c r="DN36" i="5"/>
  <c r="DM36" i="5"/>
  <c r="DL36" i="5"/>
  <c r="F36" i="8" s="1"/>
  <c r="DJ36" i="5"/>
  <c r="D36" i="8" s="1"/>
  <c r="DI36" i="5"/>
  <c r="C36" i="8" s="1"/>
  <c r="DH36" i="5"/>
  <c r="GX36" i="4" s="1"/>
  <c r="DG36" i="5"/>
  <c r="GW36" i="4" s="1"/>
  <c r="DF36" i="5"/>
  <c r="GV36" i="4" s="1"/>
  <c r="DE36" i="5"/>
  <c r="DD36" i="5"/>
  <c r="DC36" i="5"/>
  <c r="GY36" i="4" s="1"/>
  <c r="DB36" i="5"/>
  <c r="GE36" i="4" s="1"/>
  <c r="DA36" i="5"/>
  <c r="GP36" i="4" s="1"/>
  <c r="CZ36" i="5"/>
  <c r="GC36" i="4" s="1"/>
  <c r="CY36" i="5"/>
  <c r="GR36" i="4" s="1"/>
  <c r="CX36" i="5"/>
  <c r="CW36" i="5"/>
  <c r="CV36" i="5"/>
  <c r="GS36" i="4" s="1"/>
  <c r="CU36" i="5"/>
  <c r="GU36" i="4" s="1"/>
  <c r="CT36" i="5"/>
  <c r="GQ36" i="4" s="1"/>
  <c r="CS36" i="5"/>
  <c r="GO36" i="4" s="1"/>
  <c r="CR36" i="5"/>
  <c r="GM36" i="4" s="1"/>
  <c r="CQ36" i="5"/>
  <c r="GK36" i="4" s="1"/>
  <c r="CP36" i="5"/>
  <c r="CO36" i="5"/>
  <c r="CN36" i="5"/>
  <c r="CM36" i="5"/>
  <c r="CL36" i="5"/>
  <c r="CK36" i="5"/>
  <c r="CJ36" i="5"/>
  <c r="CI36" i="5"/>
  <c r="CH36" i="5"/>
  <c r="FY36" i="4" s="1"/>
  <c r="BO36" i="5"/>
  <c r="EY36" i="4" s="1"/>
  <c r="BN36" i="5"/>
  <c r="EX36" i="4" s="1"/>
  <c r="BM36" i="5"/>
  <c r="EW36" i="4" s="1"/>
  <c r="BL36" i="5"/>
  <c r="EV36" i="4" s="1"/>
  <c r="BK36" i="5"/>
  <c r="EU36" i="4" s="1"/>
  <c r="BJ36" i="5"/>
  <c r="ET36" i="4" s="1"/>
  <c r="BI36" i="5"/>
  <c r="ES36" i="4" s="1"/>
  <c r="BH36" i="5"/>
  <c r="ER36" i="4" s="1"/>
  <c r="BG36" i="5"/>
  <c r="EQ36" i="4" s="1"/>
  <c r="BF36" i="5"/>
  <c r="BQ36" i="4" s="1"/>
  <c r="BE36" i="5"/>
  <c r="BP36" i="4" s="1"/>
  <c r="BD36" i="5"/>
  <c r="BJ36" i="4" s="1"/>
  <c r="BC36" i="5"/>
  <c r="BI36" i="4" s="1"/>
  <c r="BB36" i="5"/>
  <c r="BH36" i="4" s="1"/>
  <c r="BA36" i="5"/>
  <c r="BG36" i="4" s="1"/>
  <c r="AZ36" i="5"/>
  <c r="BF36" i="4" s="1"/>
  <c r="AY36" i="5"/>
  <c r="BE36" i="4" s="1"/>
  <c r="AX36" i="5"/>
  <c r="BD36" i="4" s="1"/>
  <c r="AW36" i="5"/>
  <c r="BC36" i="4" s="1"/>
  <c r="AV36" i="5"/>
  <c r="BB36" i="4" s="1"/>
  <c r="AU36" i="5"/>
  <c r="BA36" i="4" s="1"/>
  <c r="AT36" i="5"/>
  <c r="AZ36" i="4" s="1"/>
  <c r="AS36" i="5"/>
  <c r="AY36" i="4" s="1"/>
  <c r="AR36" i="5"/>
  <c r="AX36" i="4" s="1"/>
  <c r="AQ36" i="5"/>
  <c r="AW36" i="4" s="1"/>
  <c r="AP36" i="5"/>
  <c r="AV36" i="4" s="1"/>
  <c r="AO36" i="5"/>
  <c r="AN36" i="5"/>
  <c r="AM36" i="5"/>
  <c r="AL36" i="5"/>
  <c r="AI36" i="5"/>
  <c r="AK36" i="4" s="1"/>
  <c r="AH36" i="5"/>
  <c r="AJ36" i="4" s="1"/>
  <c r="AG36" i="5"/>
  <c r="AI36" i="4" s="1"/>
  <c r="AF36" i="5"/>
  <c r="AH36" i="4" s="1"/>
  <c r="AE36" i="5"/>
  <c r="AG36" i="4" s="1"/>
  <c r="AD36" i="5"/>
  <c r="AF36" i="4" s="1"/>
  <c r="AC36" i="5"/>
  <c r="AE36" i="4" s="1"/>
  <c r="AB36" i="5"/>
  <c r="AD36" i="4" s="1"/>
  <c r="AA36" i="5"/>
  <c r="AB36" i="4" s="1"/>
  <c r="Z36" i="5"/>
  <c r="AA36" i="4" s="1"/>
  <c r="Y36" i="5"/>
  <c r="T36" i="4" s="1"/>
  <c r="W36" i="5"/>
  <c r="R36" i="4" s="1"/>
  <c r="S36" i="5"/>
  <c r="DR35" i="5"/>
  <c r="L35" i="8" s="1"/>
  <c r="DP35" i="5"/>
  <c r="GG35" i="4" s="1"/>
  <c r="DN35" i="5"/>
  <c r="DM35" i="5"/>
  <c r="DL35" i="5"/>
  <c r="F35" i="8" s="1"/>
  <c r="DJ35" i="5"/>
  <c r="D35" i="8" s="1"/>
  <c r="DI35" i="5"/>
  <c r="C35" i="8" s="1"/>
  <c r="DH35" i="5"/>
  <c r="GX35" i="4" s="1"/>
  <c r="DG35" i="5"/>
  <c r="GW35" i="4" s="1"/>
  <c r="DF35" i="5"/>
  <c r="GV35" i="4" s="1"/>
  <c r="DE35" i="5"/>
  <c r="DD35" i="5"/>
  <c r="DC35" i="5"/>
  <c r="GY35" i="4" s="1"/>
  <c r="DB35" i="5"/>
  <c r="GE35" i="4" s="1"/>
  <c r="DA35" i="5"/>
  <c r="GD35" i="4" s="1"/>
  <c r="CZ35" i="5"/>
  <c r="GC35" i="4" s="1"/>
  <c r="CY35" i="5"/>
  <c r="GR35" i="4" s="1"/>
  <c r="CX35" i="5"/>
  <c r="CW35" i="5"/>
  <c r="CV35" i="5"/>
  <c r="GS35" i="4" s="1"/>
  <c r="CU35" i="5"/>
  <c r="GU35" i="4" s="1"/>
  <c r="CT35" i="5"/>
  <c r="GQ35" i="4" s="1"/>
  <c r="CS35" i="5"/>
  <c r="GO35" i="4" s="1"/>
  <c r="CR35" i="5"/>
  <c r="GM35" i="4" s="1"/>
  <c r="CQ35" i="5"/>
  <c r="GK35" i="4" s="1"/>
  <c r="CP35" i="5"/>
  <c r="CO35" i="5"/>
  <c r="CN35" i="5"/>
  <c r="CM35" i="5"/>
  <c r="CL35" i="5"/>
  <c r="CK35" i="5"/>
  <c r="CJ35" i="5"/>
  <c r="CI35" i="5"/>
  <c r="CH35" i="5"/>
  <c r="BO35" i="5"/>
  <c r="EY35" i="4" s="1"/>
  <c r="BN35" i="5"/>
  <c r="EX35" i="4" s="1"/>
  <c r="BM35" i="5"/>
  <c r="EW35" i="4" s="1"/>
  <c r="BL35" i="5"/>
  <c r="EV35" i="4" s="1"/>
  <c r="BK35" i="5"/>
  <c r="EU35" i="4" s="1"/>
  <c r="BJ35" i="5"/>
  <c r="ET35" i="4" s="1"/>
  <c r="BI35" i="5"/>
  <c r="ES35" i="4" s="1"/>
  <c r="BH35" i="5"/>
  <c r="ER35" i="4" s="1"/>
  <c r="BG35" i="5"/>
  <c r="EQ35" i="4" s="1"/>
  <c r="BF35" i="5"/>
  <c r="BQ35" i="4" s="1"/>
  <c r="BE35" i="5"/>
  <c r="BP35" i="4" s="1"/>
  <c r="BD35" i="5"/>
  <c r="BJ35" i="4" s="1"/>
  <c r="BC35" i="5"/>
  <c r="BI35" i="4" s="1"/>
  <c r="BB35" i="5"/>
  <c r="BH35" i="4" s="1"/>
  <c r="BA35" i="5"/>
  <c r="BG35" i="4" s="1"/>
  <c r="AZ35" i="5"/>
  <c r="BF35" i="4" s="1"/>
  <c r="AY35" i="5"/>
  <c r="AX35" i="5"/>
  <c r="BD35" i="4" s="1"/>
  <c r="AW35" i="5"/>
  <c r="BC35" i="4" s="1"/>
  <c r="AV35" i="5"/>
  <c r="BB35" i="4" s="1"/>
  <c r="AU35" i="5"/>
  <c r="BA35" i="4" s="1"/>
  <c r="AT35" i="5"/>
  <c r="AZ35" i="4" s="1"/>
  <c r="AS35" i="5"/>
  <c r="AY35" i="4" s="1"/>
  <c r="AR35" i="5"/>
  <c r="AX35" i="4" s="1"/>
  <c r="AQ35" i="5"/>
  <c r="AW35" i="4" s="1"/>
  <c r="AP35" i="5"/>
  <c r="AV35" i="4" s="1"/>
  <c r="AO35" i="5"/>
  <c r="AN35" i="5"/>
  <c r="AM35" i="5"/>
  <c r="AL35" i="5"/>
  <c r="AI35" i="5"/>
  <c r="AK35" i="4" s="1"/>
  <c r="AH35" i="5"/>
  <c r="AJ35" i="4" s="1"/>
  <c r="AG35" i="5"/>
  <c r="AI35" i="4" s="1"/>
  <c r="AF35" i="5"/>
  <c r="AH35" i="4" s="1"/>
  <c r="AD35" i="5"/>
  <c r="AF35" i="4" s="1"/>
  <c r="AC35" i="5"/>
  <c r="AE35" i="4" s="1"/>
  <c r="AB35" i="5"/>
  <c r="AD35" i="4" s="1"/>
  <c r="AA35" i="5"/>
  <c r="AB35" i="4" s="1"/>
  <c r="DR34" i="5"/>
  <c r="GI34" i="4" s="1"/>
  <c r="DP34" i="5"/>
  <c r="GG34" i="4" s="1"/>
  <c r="DN34" i="5"/>
  <c r="DM34" i="5"/>
  <c r="DL34" i="5"/>
  <c r="F34" i="8" s="1"/>
  <c r="DJ34" i="5"/>
  <c r="D34" i="8" s="1"/>
  <c r="DI34" i="5"/>
  <c r="C34" i="8" s="1"/>
  <c r="DH34" i="5"/>
  <c r="GX34" i="4" s="1"/>
  <c r="DG34" i="5"/>
  <c r="GW34" i="4" s="1"/>
  <c r="DF34" i="5"/>
  <c r="DE34" i="5"/>
  <c r="DD34" i="5"/>
  <c r="DC34" i="5"/>
  <c r="GY34" i="4" s="1"/>
  <c r="DB34" i="5"/>
  <c r="GE34" i="4" s="1"/>
  <c r="DA34" i="5"/>
  <c r="CZ34" i="5"/>
  <c r="GN34" i="4" s="1"/>
  <c r="CY34" i="5"/>
  <c r="GR34" i="4" s="1"/>
  <c r="CX34" i="5"/>
  <c r="CW34" i="5"/>
  <c r="CV34" i="5"/>
  <c r="GS34" i="4" s="1"/>
  <c r="CU34" i="5"/>
  <c r="GU34" i="4" s="1"/>
  <c r="CT34" i="5"/>
  <c r="GQ34" i="4" s="1"/>
  <c r="CS34" i="5"/>
  <c r="GO34" i="4" s="1"/>
  <c r="CR34" i="5"/>
  <c r="GM34" i="4" s="1"/>
  <c r="CQ34" i="5"/>
  <c r="GK34" i="4" s="1"/>
  <c r="CP34" i="5"/>
  <c r="CO34" i="5"/>
  <c r="CN34" i="5"/>
  <c r="CM34" i="5"/>
  <c r="CL34" i="5"/>
  <c r="CK34" i="5"/>
  <c r="CJ34" i="5"/>
  <c r="CI34" i="5"/>
  <c r="CH34" i="5"/>
  <c r="FY34" i="4" s="1"/>
  <c r="BO34" i="5"/>
  <c r="EY34" i="4" s="1"/>
  <c r="BN34" i="5"/>
  <c r="EX34" i="4" s="1"/>
  <c r="BM34" i="5"/>
  <c r="EW34" i="4" s="1"/>
  <c r="BL34" i="5"/>
  <c r="EV34" i="4" s="1"/>
  <c r="BK34" i="5"/>
  <c r="EU34" i="4" s="1"/>
  <c r="BI34" i="5"/>
  <c r="ES34" i="4" s="1"/>
  <c r="BH34" i="5"/>
  <c r="ER34" i="4" s="1"/>
  <c r="BG34" i="5"/>
  <c r="EQ34" i="4" s="1"/>
  <c r="BF34" i="5"/>
  <c r="BQ34" i="4" s="1"/>
  <c r="BE34" i="5"/>
  <c r="BP34" i="4" s="1"/>
  <c r="BD34" i="5"/>
  <c r="BJ34" i="4" s="1"/>
  <c r="BC34" i="5"/>
  <c r="BI34" i="4" s="1"/>
  <c r="BB34" i="5"/>
  <c r="BH34" i="4" s="1"/>
  <c r="BA34" i="5"/>
  <c r="BG34" i="4" s="1"/>
  <c r="AZ34" i="5"/>
  <c r="BF34" i="4" s="1"/>
  <c r="AY34" i="5"/>
  <c r="BE34" i="4" s="1"/>
  <c r="AX34" i="5"/>
  <c r="BD34" i="4" s="1"/>
  <c r="AW34" i="5"/>
  <c r="BC34" i="4" s="1"/>
  <c r="AV34" i="5"/>
  <c r="BB34" i="4" s="1"/>
  <c r="AU34" i="5"/>
  <c r="BA34" i="4" s="1"/>
  <c r="AT34" i="5"/>
  <c r="AZ34" i="4" s="1"/>
  <c r="AS34" i="5"/>
  <c r="AY34" i="4" s="1"/>
  <c r="AR34" i="5"/>
  <c r="AX34" i="4" s="1"/>
  <c r="AQ34" i="5"/>
  <c r="AW34" i="4" s="1"/>
  <c r="AP34" i="5"/>
  <c r="AV34" i="4" s="1"/>
  <c r="AO34" i="5"/>
  <c r="AN34" i="5"/>
  <c r="AM34" i="5"/>
  <c r="AL34" i="5"/>
  <c r="AI34" i="5"/>
  <c r="AK34" i="4" s="1"/>
  <c r="AH34" i="5"/>
  <c r="AJ34" i="4" s="1"/>
  <c r="AG34" i="5"/>
  <c r="AI34" i="4" s="1"/>
  <c r="AF34" i="5"/>
  <c r="AH34" i="4" s="1"/>
  <c r="AD34" i="5"/>
  <c r="AF34" i="4" s="1"/>
  <c r="AC34" i="5"/>
  <c r="AE34" i="4" s="1"/>
  <c r="AB34" i="5"/>
  <c r="AD34" i="4" s="1"/>
  <c r="AA34" i="5"/>
  <c r="AB34" i="4" s="1"/>
  <c r="DR33" i="5"/>
  <c r="GI33" i="4" s="1"/>
  <c r="DQ33" i="5"/>
  <c r="K33" i="8" s="1"/>
  <c r="DP33" i="5"/>
  <c r="GG33" i="4" s="1"/>
  <c r="DO33" i="5"/>
  <c r="GT33" i="4" s="1"/>
  <c r="DN33" i="5"/>
  <c r="DM33" i="5"/>
  <c r="DL33" i="5"/>
  <c r="F33" i="8" s="1"/>
  <c r="DJ33" i="5"/>
  <c r="D33" i="8" s="1"/>
  <c r="DI33" i="5"/>
  <c r="C33" i="8" s="1"/>
  <c r="DH33" i="5"/>
  <c r="GX33" i="4" s="1"/>
  <c r="DG33" i="5"/>
  <c r="GW33" i="4" s="1"/>
  <c r="DF33" i="5"/>
  <c r="GV33" i="4" s="1"/>
  <c r="DE33" i="5"/>
  <c r="DD33" i="5"/>
  <c r="DC33" i="5"/>
  <c r="DB33" i="5"/>
  <c r="GE33" i="4" s="1"/>
  <c r="DA33" i="5"/>
  <c r="GP33" i="4" s="1"/>
  <c r="CZ33" i="5"/>
  <c r="GC33" i="4" s="1"/>
  <c r="CY33" i="5"/>
  <c r="GR33" i="4" s="1"/>
  <c r="CX33" i="5"/>
  <c r="CW33" i="5"/>
  <c r="CV33" i="5"/>
  <c r="GS33" i="4" s="1"/>
  <c r="CU33" i="5"/>
  <c r="GU33" i="4" s="1"/>
  <c r="CT33" i="5"/>
  <c r="GQ33" i="4" s="1"/>
  <c r="CS33" i="5"/>
  <c r="GO33" i="4" s="1"/>
  <c r="BO33" i="5"/>
  <c r="EY33" i="4" s="1"/>
  <c r="BN33" i="5"/>
  <c r="EX33" i="4" s="1"/>
  <c r="BM33" i="5"/>
  <c r="EW33" i="4" s="1"/>
  <c r="BL33" i="5"/>
  <c r="EV33" i="4" s="1"/>
  <c r="BK33" i="5"/>
  <c r="EU33" i="4" s="1"/>
  <c r="BI33" i="5"/>
  <c r="ES33" i="4" s="1"/>
  <c r="BH33" i="5"/>
  <c r="ER33" i="4" s="1"/>
  <c r="BG33" i="5"/>
  <c r="EQ33" i="4" s="1"/>
  <c r="BF33" i="5"/>
  <c r="BQ33" i="4" s="1"/>
  <c r="BE33" i="5"/>
  <c r="BP33" i="4" s="1"/>
  <c r="I105" i="4" s="1"/>
  <c r="BD33" i="5"/>
  <c r="BJ33" i="4" s="1"/>
  <c r="BC33" i="5"/>
  <c r="BI33" i="4" s="1"/>
  <c r="BB33" i="5"/>
  <c r="BH33" i="4" s="1"/>
  <c r="BA33" i="5"/>
  <c r="BG33" i="4" s="1"/>
  <c r="AZ33" i="5"/>
  <c r="BF33" i="4" s="1"/>
  <c r="AY33" i="5"/>
  <c r="BE33" i="4" s="1"/>
  <c r="AX33" i="5"/>
  <c r="BD33" i="4" s="1"/>
  <c r="AW33" i="5"/>
  <c r="BC33" i="4" s="1"/>
  <c r="AV33" i="5"/>
  <c r="BB33" i="4" s="1"/>
  <c r="AU33" i="5"/>
  <c r="BA33" i="4" s="1"/>
  <c r="AT33" i="5"/>
  <c r="AZ33" i="4" s="1"/>
  <c r="AS33" i="5"/>
  <c r="AY33" i="4" s="1"/>
  <c r="AR33" i="5"/>
  <c r="AX33" i="4" s="1"/>
  <c r="AQ33" i="5"/>
  <c r="AW33" i="4" s="1"/>
  <c r="AP33" i="5"/>
  <c r="AV33" i="4" s="1"/>
  <c r="AO33" i="5"/>
  <c r="AN33" i="5"/>
  <c r="AM33" i="5"/>
  <c r="AL33" i="5"/>
  <c r="AI33" i="5"/>
  <c r="AK33" i="4" s="1"/>
  <c r="AH33" i="5"/>
  <c r="AJ33" i="4" s="1"/>
  <c r="AG33" i="5"/>
  <c r="AI33" i="4" s="1"/>
  <c r="AF33" i="5"/>
  <c r="AH33" i="4" s="1"/>
  <c r="AD33" i="5"/>
  <c r="AF33" i="4" s="1"/>
  <c r="AC33" i="5"/>
  <c r="AE33" i="4" s="1"/>
  <c r="AB33" i="5"/>
  <c r="AD33" i="4" s="1"/>
  <c r="AA33" i="5"/>
  <c r="AB33" i="4" s="1"/>
  <c r="DR32" i="5"/>
  <c r="GI32" i="4" s="1"/>
  <c r="DQ32" i="5"/>
  <c r="DP32" i="5"/>
  <c r="J32" i="8" s="1"/>
  <c r="DO32" i="5"/>
  <c r="GT32" i="4" s="1"/>
  <c r="DN32" i="5"/>
  <c r="DH32" i="5"/>
  <c r="GX32" i="4" s="1"/>
  <c r="DG32" i="5"/>
  <c r="GW32" i="4" s="1"/>
  <c r="DF32" i="5"/>
  <c r="GV32" i="4" s="1"/>
  <c r="DE32" i="5"/>
  <c r="DD32" i="5"/>
  <c r="DC32" i="5"/>
  <c r="GY32" i="4" s="1"/>
  <c r="DB32" i="5"/>
  <c r="GE32" i="4" s="1"/>
  <c r="DA32" i="5"/>
  <c r="GP32" i="4" s="1"/>
  <c r="CZ32" i="5"/>
  <c r="CY32" i="5"/>
  <c r="GR32" i="4" s="1"/>
  <c r="CX32" i="5"/>
  <c r="CW32" i="5"/>
  <c r="CV32" i="5"/>
  <c r="GS32" i="4" s="1"/>
  <c r="CU32" i="5"/>
  <c r="GU32" i="4" s="1"/>
  <c r="CT32" i="5"/>
  <c r="GQ32" i="4" s="1"/>
  <c r="CS32" i="5"/>
  <c r="GO32" i="4" s="1"/>
  <c r="BO32" i="5"/>
  <c r="EY32" i="4" s="1"/>
  <c r="BN32" i="5"/>
  <c r="EX32" i="4" s="1"/>
  <c r="BM32" i="5"/>
  <c r="EW32" i="4" s="1"/>
  <c r="BL32" i="5"/>
  <c r="EV32" i="4" s="1"/>
  <c r="BK32" i="5"/>
  <c r="EU32" i="4" s="1"/>
  <c r="BI32" i="5"/>
  <c r="ES32" i="4" s="1"/>
  <c r="BH32" i="5"/>
  <c r="ER32" i="4" s="1"/>
  <c r="BG32" i="5"/>
  <c r="EQ32" i="4" s="1"/>
  <c r="BF32" i="5"/>
  <c r="BQ32" i="4" s="1"/>
  <c r="BE32" i="5"/>
  <c r="BP32" i="4" s="1"/>
  <c r="BD32" i="5"/>
  <c r="BJ32" i="4" s="1"/>
  <c r="BC32" i="5"/>
  <c r="BI32" i="4" s="1"/>
  <c r="BB32" i="5"/>
  <c r="BH32" i="4" s="1"/>
  <c r="BA32" i="5"/>
  <c r="BG32" i="4" s="1"/>
  <c r="AZ32" i="5"/>
  <c r="BF32" i="4" s="1"/>
  <c r="AY32" i="5"/>
  <c r="BE32" i="4" s="1"/>
  <c r="AX32" i="5"/>
  <c r="BD32" i="4" s="1"/>
  <c r="AW32" i="5"/>
  <c r="BC32" i="4" s="1"/>
  <c r="AV32" i="5"/>
  <c r="BB32" i="4" s="1"/>
  <c r="AU32" i="5"/>
  <c r="BA32" i="4" s="1"/>
  <c r="AT32" i="5"/>
  <c r="AZ32" i="4" s="1"/>
  <c r="AS32" i="5"/>
  <c r="AY32" i="4" s="1"/>
  <c r="AR32" i="5"/>
  <c r="AX32" i="4" s="1"/>
  <c r="AQ32" i="5"/>
  <c r="AW32" i="4" s="1"/>
  <c r="AP32" i="5"/>
  <c r="AV32" i="4" s="1"/>
  <c r="AO32" i="5"/>
  <c r="AN32" i="5"/>
  <c r="AM32" i="5"/>
  <c r="AL32" i="5"/>
  <c r="AI32" i="5"/>
  <c r="AK32" i="4" s="1"/>
  <c r="AH32" i="5"/>
  <c r="AJ32" i="4" s="1"/>
  <c r="AG32" i="5"/>
  <c r="AI32" i="4" s="1"/>
  <c r="L104" i="4" s="1"/>
  <c r="AF32" i="5"/>
  <c r="AH32" i="4" s="1"/>
  <c r="AD32" i="5"/>
  <c r="AF32" i="4" s="1"/>
  <c r="AC32" i="5"/>
  <c r="AE32" i="4" s="1"/>
  <c r="AB32" i="5"/>
  <c r="AD32" i="4" s="1"/>
  <c r="AA32" i="5"/>
  <c r="AB32" i="4" s="1"/>
  <c r="DR31" i="5"/>
  <c r="GI31" i="4" s="1"/>
  <c r="DQ31" i="5"/>
  <c r="K31" i="8" s="1"/>
  <c r="DP31" i="5"/>
  <c r="GG31" i="4" s="1"/>
  <c r="DO31" i="5"/>
  <c r="GT31" i="4" s="1"/>
  <c r="DN31" i="5"/>
  <c r="DH31" i="5"/>
  <c r="GX31" i="4" s="1"/>
  <c r="DG31" i="5"/>
  <c r="GW31" i="4" s="1"/>
  <c r="DF31" i="5"/>
  <c r="GV31" i="4" s="1"/>
  <c r="DE31" i="5"/>
  <c r="DD31" i="5"/>
  <c r="DC31" i="5"/>
  <c r="DB31" i="5"/>
  <c r="GE31" i="4" s="1"/>
  <c r="DA31" i="5"/>
  <c r="GP31" i="4" s="1"/>
  <c r="CZ31" i="5"/>
  <c r="GC31" i="4" s="1"/>
  <c r="CY31" i="5"/>
  <c r="GR31" i="4" s="1"/>
  <c r="CX31" i="5"/>
  <c r="CW31" i="5"/>
  <c r="CV31" i="5"/>
  <c r="GS31" i="4" s="1"/>
  <c r="CU31" i="5"/>
  <c r="GU31" i="4" s="1"/>
  <c r="CT31" i="5"/>
  <c r="GQ31" i="4" s="1"/>
  <c r="CS31" i="5"/>
  <c r="GO31" i="4" s="1"/>
  <c r="BO31" i="5"/>
  <c r="EY31" i="4" s="1"/>
  <c r="BN31" i="5"/>
  <c r="EX31" i="4" s="1"/>
  <c r="BM31" i="5"/>
  <c r="EW31" i="4" s="1"/>
  <c r="BL31" i="5"/>
  <c r="EV31" i="4" s="1"/>
  <c r="BK31" i="5"/>
  <c r="EU31" i="4" s="1"/>
  <c r="BI31" i="5"/>
  <c r="ES31" i="4" s="1"/>
  <c r="BH31" i="5"/>
  <c r="ER31" i="4" s="1"/>
  <c r="BG31" i="5"/>
  <c r="EQ31" i="4" s="1"/>
  <c r="BF31" i="5"/>
  <c r="BQ31" i="4" s="1"/>
  <c r="BE31" i="5"/>
  <c r="BP31" i="4" s="1"/>
  <c r="BD31" i="5"/>
  <c r="BJ31" i="4" s="1"/>
  <c r="BC31" i="5"/>
  <c r="BI31" i="4" s="1"/>
  <c r="BB31" i="5"/>
  <c r="BH31" i="4" s="1"/>
  <c r="BA31" i="5"/>
  <c r="BG31" i="4" s="1"/>
  <c r="AZ31" i="5"/>
  <c r="BF31" i="4" s="1"/>
  <c r="AY31" i="5"/>
  <c r="BE31" i="4" s="1"/>
  <c r="AX31" i="5"/>
  <c r="BD31" i="4" s="1"/>
  <c r="AW31" i="5"/>
  <c r="BC31" i="4" s="1"/>
  <c r="AV31" i="5"/>
  <c r="BB31" i="4" s="1"/>
  <c r="AU31" i="5"/>
  <c r="BA31" i="4" s="1"/>
  <c r="AT31" i="5"/>
  <c r="AZ31" i="4" s="1"/>
  <c r="AS31" i="5"/>
  <c r="AY31" i="4" s="1"/>
  <c r="AR31" i="5"/>
  <c r="AX31" i="4" s="1"/>
  <c r="AQ31" i="5"/>
  <c r="AW31" i="4" s="1"/>
  <c r="AP31" i="5"/>
  <c r="AV31" i="4" s="1"/>
  <c r="AO31" i="5"/>
  <c r="AN31" i="5"/>
  <c r="AM31" i="5"/>
  <c r="AL31" i="5"/>
  <c r="AI31" i="5"/>
  <c r="AK31" i="4" s="1"/>
  <c r="AH31" i="5"/>
  <c r="AJ31" i="4" s="1"/>
  <c r="AG31" i="5"/>
  <c r="AI31" i="4" s="1"/>
  <c r="AF31" i="5"/>
  <c r="AH31" i="4" s="1"/>
  <c r="AD31" i="5"/>
  <c r="AF31" i="4" s="1"/>
  <c r="AC31" i="5"/>
  <c r="AE31" i="4" s="1"/>
  <c r="AB31" i="5"/>
  <c r="AD31" i="4" s="1"/>
  <c r="AA31" i="5"/>
  <c r="AB31" i="4" s="1"/>
  <c r="DR30" i="5"/>
  <c r="L30" i="8" s="1"/>
  <c r="DQ30" i="5"/>
  <c r="DP30" i="5"/>
  <c r="GG30" i="4" s="1"/>
  <c r="DO30" i="5"/>
  <c r="GT30" i="4" s="1"/>
  <c r="DN30" i="5"/>
  <c r="DH30" i="5"/>
  <c r="GX30" i="4" s="1"/>
  <c r="DG30" i="5"/>
  <c r="GW30" i="4" s="1"/>
  <c r="DF30" i="5"/>
  <c r="GV30" i="4" s="1"/>
  <c r="DE30" i="5"/>
  <c r="DD30" i="5"/>
  <c r="DC30" i="5"/>
  <c r="GY30" i="4" s="1"/>
  <c r="DB30" i="5"/>
  <c r="GE30" i="4" s="1"/>
  <c r="DA30" i="5"/>
  <c r="GP30" i="4" s="1"/>
  <c r="CZ30" i="5"/>
  <c r="CY30" i="5"/>
  <c r="GR30" i="4" s="1"/>
  <c r="CX30" i="5"/>
  <c r="CW30" i="5"/>
  <c r="CV30" i="5"/>
  <c r="GS30" i="4" s="1"/>
  <c r="CU30" i="5"/>
  <c r="GU30" i="4" s="1"/>
  <c r="CT30" i="5"/>
  <c r="GQ30" i="4" s="1"/>
  <c r="CS30" i="5"/>
  <c r="GO30" i="4" s="1"/>
  <c r="BO30" i="5"/>
  <c r="EY30" i="4" s="1"/>
  <c r="BN30" i="5"/>
  <c r="EX30" i="4" s="1"/>
  <c r="BM30" i="5"/>
  <c r="EW30" i="4" s="1"/>
  <c r="BL30" i="5"/>
  <c r="EV30" i="4" s="1"/>
  <c r="BK30" i="5"/>
  <c r="EU30" i="4" s="1"/>
  <c r="BI30" i="5"/>
  <c r="ES30" i="4" s="1"/>
  <c r="BH30" i="5"/>
  <c r="ER30" i="4" s="1"/>
  <c r="BG30" i="5"/>
  <c r="EQ30" i="4" s="1"/>
  <c r="BF30" i="5"/>
  <c r="BQ30" i="4" s="1"/>
  <c r="BE30" i="5"/>
  <c r="BP30" i="4" s="1"/>
  <c r="BD30" i="5"/>
  <c r="BJ30" i="4" s="1"/>
  <c r="BC30" i="5"/>
  <c r="BI30" i="4" s="1"/>
  <c r="BB30" i="5"/>
  <c r="BH30" i="4" s="1"/>
  <c r="BA30" i="5"/>
  <c r="BG30" i="4" s="1"/>
  <c r="AZ30" i="5"/>
  <c r="BF30" i="4" s="1"/>
  <c r="AY30" i="5"/>
  <c r="BE30" i="4" s="1"/>
  <c r="AX30" i="5"/>
  <c r="BD30" i="4" s="1"/>
  <c r="AW30" i="5"/>
  <c r="BC30" i="4" s="1"/>
  <c r="AV30" i="5"/>
  <c r="BB30" i="4" s="1"/>
  <c r="AU30" i="5"/>
  <c r="BA30" i="4" s="1"/>
  <c r="AT30" i="5"/>
  <c r="AZ30" i="4" s="1"/>
  <c r="AS30" i="5"/>
  <c r="AY30" i="4" s="1"/>
  <c r="AR30" i="5"/>
  <c r="AX30" i="4" s="1"/>
  <c r="AQ30" i="5"/>
  <c r="AW30" i="4" s="1"/>
  <c r="AP30" i="5"/>
  <c r="AV30" i="4" s="1"/>
  <c r="AO30" i="5"/>
  <c r="AN30" i="5"/>
  <c r="AM30" i="5"/>
  <c r="AL30" i="5"/>
  <c r="AI30" i="5"/>
  <c r="AK30" i="4" s="1"/>
  <c r="AH30" i="5"/>
  <c r="AJ30" i="4" s="1"/>
  <c r="AG30" i="5"/>
  <c r="AI30" i="4" s="1"/>
  <c r="AF30" i="5"/>
  <c r="AH30" i="4" s="1"/>
  <c r="AD30" i="5"/>
  <c r="AF30" i="4" s="1"/>
  <c r="AC30" i="5"/>
  <c r="AE30" i="4" s="1"/>
  <c r="AB30" i="5"/>
  <c r="AD30" i="4" s="1"/>
  <c r="AA30" i="5"/>
  <c r="AB30" i="4" s="1"/>
  <c r="DR29" i="5"/>
  <c r="L29" i="8" s="1"/>
  <c r="DQ29" i="5"/>
  <c r="GH29" i="4" s="1"/>
  <c r="DP29" i="5"/>
  <c r="GG29" i="4" s="1"/>
  <c r="DO29" i="5"/>
  <c r="I29" i="8" s="1"/>
  <c r="DN29" i="5"/>
  <c r="DH29" i="5"/>
  <c r="GX29" i="4" s="1"/>
  <c r="DG29" i="5"/>
  <c r="GW29" i="4" s="1"/>
  <c r="DF29" i="5"/>
  <c r="GV29" i="4" s="1"/>
  <c r="DE29" i="5"/>
  <c r="DD29" i="5"/>
  <c r="DC29" i="5"/>
  <c r="DB29" i="5"/>
  <c r="GE29" i="4" s="1"/>
  <c r="DA29" i="5"/>
  <c r="GP29" i="4" s="1"/>
  <c r="CZ29" i="5"/>
  <c r="GC29" i="4" s="1"/>
  <c r="CY29" i="5"/>
  <c r="GR29" i="4" s="1"/>
  <c r="CX29" i="5"/>
  <c r="CW29" i="5"/>
  <c r="CV29" i="5"/>
  <c r="GS29" i="4" s="1"/>
  <c r="CU29" i="5"/>
  <c r="GU29" i="4" s="1"/>
  <c r="CT29" i="5"/>
  <c r="GQ29" i="4" s="1"/>
  <c r="CS29" i="5"/>
  <c r="GO29" i="4" s="1"/>
  <c r="BO29" i="5"/>
  <c r="EY29" i="4" s="1"/>
  <c r="BN29" i="5"/>
  <c r="EX29" i="4" s="1"/>
  <c r="BM29" i="5"/>
  <c r="EW29" i="4" s="1"/>
  <c r="BL29" i="5"/>
  <c r="EV29" i="4" s="1"/>
  <c r="BK29" i="5"/>
  <c r="EU29" i="4" s="1"/>
  <c r="BI29" i="5"/>
  <c r="ES29" i="4" s="1"/>
  <c r="BH29" i="5"/>
  <c r="ER29" i="4" s="1"/>
  <c r="BG29" i="5"/>
  <c r="EQ29" i="4" s="1"/>
  <c r="BF29" i="5"/>
  <c r="BQ29" i="4" s="1"/>
  <c r="BE29" i="5"/>
  <c r="BP29" i="4" s="1"/>
  <c r="BD29" i="5"/>
  <c r="BJ29" i="4" s="1"/>
  <c r="BC29" i="5"/>
  <c r="BI29" i="4" s="1"/>
  <c r="BB29" i="5"/>
  <c r="BH29" i="4" s="1"/>
  <c r="BA29" i="5"/>
  <c r="BG29" i="4" s="1"/>
  <c r="AZ29" i="5"/>
  <c r="BF29" i="4" s="1"/>
  <c r="AY29" i="5"/>
  <c r="BE29" i="4" s="1"/>
  <c r="AX29" i="5"/>
  <c r="BD29" i="4" s="1"/>
  <c r="AW29" i="5"/>
  <c r="BC29" i="4" s="1"/>
  <c r="AV29" i="5"/>
  <c r="BB29" i="4" s="1"/>
  <c r="AU29" i="5"/>
  <c r="BA29" i="4" s="1"/>
  <c r="AT29" i="5"/>
  <c r="AZ29" i="4" s="1"/>
  <c r="AS29" i="5"/>
  <c r="AY29" i="4" s="1"/>
  <c r="AR29" i="5"/>
  <c r="AX29" i="4" s="1"/>
  <c r="AQ29" i="5"/>
  <c r="AW29" i="4" s="1"/>
  <c r="AP29" i="5"/>
  <c r="AV29" i="4" s="1"/>
  <c r="AO29" i="5"/>
  <c r="AN29" i="5"/>
  <c r="AM29" i="5"/>
  <c r="AL29" i="5"/>
  <c r="AI29" i="5"/>
  <c r="AK29" i="4" s="1"/>
  <c r="AG29" i="5"/>
  <c r="AI29" i="4" s="1"/>
  <c r="AF29" i="5"/>
  <c r="AD29" i="5"/>
  <c r="AF29" i="4" s="1"/>
  <c r="AC29" i="5"/>
  <c r="AE29" i="4" s="1"/>
  <c r="AB29" i="5"/>
  <c r="AD29" i="4" s="1"/>
  <c r="AA29" i="5"/>
  <c r="AB29" i="4" s="1"/>
  <c r="DR28" i="5"/>
  <c r="GI28" i="4" s="1"/>
  <c r="DQ28" i="5"/>
  <c r="GH28" i="4" s="1"/>
  <c r="DP28" i="5"/>
  <c r="DO28" i="5"/>
  <c r="GT28" i="4" s="1"/>
  <c r="DN28" i="5"/>
  <c r="DH28" i="5"/>
  <c r="GX28" i="4" s="1"/>
  <c r="DG28" i="5"/>
  <c r="GW28" i="4" s="1"/>
  <c r="DF28" i="5"/>
  <c r="GV28" i="4" s="1"/>
  <c r="DE28" i="5"/>
  <c r="DD28" i="5"/>
  <c r="DC28" i="5"/>
  <c r="GY28" i="4" s="1"/>
  <c r="DB28" i="5"/>
  <c r="GE28" i="4" s="1"/>
  <c r="DA28" i="5"/>
  <c r="GD28" i="4" s="1"/>
  <c r="CZ28" i="5"/>
  <c r="GN28" i="4" s="1"/>
  <c r="CY28" i="5"/>
  <c r="CX28" i="5"/>
  <c r="CW28" i="5"/>
  <c r="CV28" i="5"/>
  <c r="GS28" i="4" s="1"/>
  <c r="CU28" i="5"/>
  <c r="GU28" i="4" s="1"/>
  <c r="CT28" i="5"/>
  <c r="GQ28" i="4" s="1"/>
  <c r="CS28" i="5"/>
  <c r="GO28" i="4" s="1"/>
  <c r="BO28" i="5"/>
  <c r="EY28" i="4" s="1"/>
  <c r="BN28" i="5"/>
  <c r="EX28" i="4" s="1"/>
  <c r="BM28" i="5"/>
  <c r="EW28" i="4" s="1"/>
  <c r="BL28" i="5"/>
  <c r="EV28" i="4" s="1"/>
  <c r="BK28" i="5"/>
  <c r="EU28" i="4" s="1"/>
  <c r="BI28" i="5"/>
  <c r="ES28" i="4" s="1"/>
  <c r="BH28" i="5"/>
  <c r="ER28" i="4" s="1"/>
  <c r="BG28" i="5"/>
  <c r="EQ28" i="4" s="1"/>
  <c r="BF28" i="5"/>
  <c r="BQ28" i="4" s="1"/>
  <c r="J100" i="4" s="1"/>
  <c r="BE28" i="5"/>
  <c r="BP28" i="4" s="1"/>
  <c r="BD28" i="5"/>
  <c r="BJ28" i="4" s="1"/>
  <c r="BC28" i="5"/>
  <c r="BI28" i="4" s="1"/>
  <c r="BB28" i="5"/>
  <c r="BH28" i="4" s="1"/>
  <c r="BA28" i="5"/>
  <c r="BG28" i="4" s="1"/>
  <c r="AZ28" i="5"/>
  <c r="BF28" i="4" s="1"/>
  <c r="AY28" i="5"/>
  <c r="BE28" i="4" s="1"/>
  <c r="AX28" i="5"/>
  <c r="AW28" i="5"/>
  <c r="BC28" i="4" s="1"/>
  <c r="AV28" i="5"/>
  <c r="BB28" i="4" s="1"/>
  <c r="AU28" i="5"/>
  <c r="BA28" i="4" s="1"/>
  <c r="AT28" i="5"/>
  <c r="AZ28" i="4" s="1"/>
  <c r="AS28" i="5"/>
  <c r="AY28" i="4" s="1"/>
  <c r="AR28" i="5"/>
  <c r="AX28" i="4" s="1"/>
  <c r="AQ28" i="5"/>
  <c r="AW28" i="4" s="1"/>
  <c r="AP28" i="5"/>
  <c r="AV28" i="4" s="1"/>
  <c r="AO28" i="5"/>
  <c r="AN28" i="5"/>
  <c r="AM28" i="5"/>
  <c r="AL28" i="5"/>
  <c r="AI28" i="5"/>
  <c r="AK28" i="4" s="1"/>
  <c r="AH28" i="5"/>
  <c r="AJ28" i="4" s="1"/>
  <c r="AG28" i="5"/>
  <c r="AI28" i="4" s="1"/>
  <c r="AD28" i="5"/>
  <c r="AF28" i="4" s="1"/>
  <c r="AC28" i="5"/>
  <c r="AE28" i="4" s="1"/>
  <c r="AB28" i="5"/>
  <c r="AD28" i="4" s="1"/>
  <c r="AA28" i="5"/>
  <c r="AB28" i="4" s="1"/>
  <c r="DR27" i="5"/>
  <c r="GI27" i="4" s="1"/>
  <c r="DQ27" i="5"/>
  <c r="DP27" i="5"/>
  <c r="GG27" i="4" s="1"/>
  <c r="DO27" i="5"/>
  <c r="I27" i="8" s="1"/>
  <c r="DN27" i="5"/>
  <c r="DH27" i="5"/>
  <c r="GX27" i="4" s="1"/>
  <c r="DG27" i="5"/>
  <c r="GW27" i="4" s="1"/>
  <c r="DF27" i="5"/>
  <c r="GV27" i="4" s="1"/>
  <c r="DE27" i="5"/>
  <c r="DD27" i="5"/>
  <c r="DC27" i="5"/>
  <c r="GY27" i="4" s="1"/>
  <c r="DB27" i="5"/>
  <c r="GE27" i="4" s="1"/>
  <c r="DA27" i="5"/>
  <c r="GP27" i="4" s="1"/>
  <c r="CZ27" i="5"/>
  <c r="CY27" i="5"/>
  <c r="GR27" i="4" s="1"/>
  <c r="CX27" i="5"/>
  <c r="CW27" i="5"/>
  <c r="CV27" i="5"/>
  <c r="GS27" i="4" s="1"/>
  <c r="CU27" i="5"/>
  <c r="GU27" i="4" s="1"/>
  <c r="CT27" i="5"/>
  <c r="GQ27" i="4" s="1"/>
  <c r="CS27" i="5"/>
  <c r="GO27" i="4" s="1"/>
  <c r="BO27" i="5"/>
  <c r="EY27" i="4" s="1"/>
  <c r="BN27" i="5"/>
  <c r="EX27" i="4" s="1"/>
  <c r="BM27" i="5"/>
  <c r="EW27" i="4" s="1"/>
  <c r="BL27" i="5"/>
  <c r="EV27" i="4" s="1"/>
  <c r="BK27" i="5"/>
  <c r="EU27" i="4" s="1"/>
  <c r="BI27" i="5"/>
  <c r="ES27" i="4" s="1"/>
  <c r="BH27" i="5"/>
  <c r="ER27" i="4" s="1"/>
  <c r="BG27" i="5"/>
  <c r="EQ27" i="4" s="1"/>
  <c r="BF27" i="5"/>
  <c r="BQ27" i="4" s="1"/>
  <c r="BE27" i="5"/>
  <c r="BP27" i="4" s="1"/>
  <c r="BD27" i="5"/>
  <c r="BJ27" i="4" s="1"/>
  <c r="BC27" i="5"/>
  <c r="BI27" i="4" s="1"/>
  <c r="BB27" i="5"/>
  <c r="BA27" i="5"/>
  <c r="BG27" i="4" s="1"/>
  <c r="AZ27" i="5"/>
  <c r="BF27" i="4" s="1"/>
  <c r="AY27" i="5"/>
  <c r="BE27" i="4" s="1"/>
  <c r="AX27" i="5"/>
  <c r="BD27" i="4" s="1"/>
  <c r="AW27" i="5"/>
  <c r="BC27" i="4" s="1"/>
  <c r="AV27" i="5"/>
  <c r="BB27" i="4" s="1"/>
  <c r="AU27" i="5"/>
  <c r="BA27" i="4" s="1"/>
  <c r="AT27" i="5"/>
  <c r="AZ27" i="4" s="1"/>
  <c r="AS27" i="5"/>
  <c r="AY27" i="4" s="1"/>
  <c r="AR27" i="5"/>
  <c r="AX27" i="4" s="1"/>
  <c r="AQ27" i="5"/>
  <c r="AW27" i="4" s="1"/>
  <c r="AO27" i="5"/>
  <c r="AN27" i="5"/>
  <c r="AM27" i="5"/>
  <c r="AL27" i="5"/>
  <c r="AI27" i="5"/>
  <c r="AK27" i="4" s="1"/>
  <c r="AH27" i="5"/>
  <c r="AJ27" i="4" s="1"/>
  <c r="AG27" i="5"/>
  <c r="AI27" i="4" s="1"/>
  <c r="AD27" i="5"/>
  <c r="AF27" i="4" s="1"/>
  <c r="AC27" i="5"/>
  <c r="AE27" i="4" s="1"/>
  <c r="AB27" i="5"/>
  <c r="AD27" i="4" s="1"/>
  <c r="AA27" i="5"/>
  <c r="AB27" i="4" s="1"/>
  <c r="DR26" i="5"/>
  <c r="GI26" i="4" s="1"/>
  <c r="DQ26" i="5"/>
  <c r="GH26" i="4" s="1"/>
  <c r="DP26" i="5"/>
  <c r="GG26" i="4" s="1"/>
  <c r="DO26" i="5"/>
  <c r="GT26" i="4" s="1"/>
  <c r="DN26" i="5"/>
  <c r="DH26" i="5"/>
  <c r="GX26" i="4" s="1"/>
  <c r="DG26" i="5"/>
  <c r="GW26" i="4" s="1"/>
  <c r="DF26" i="5"/>
  <c r="GV26" i="4" s="1"/>
  <c r="DE26" i="5"/>
  <c r="DD26" i="5"/>
  <c r="DC26" i="5"/>
  <c r="GY26" i="4" s="1"/>
  <c r="DB26" i="5"/>
  <c r="GE26" i="4" s="1"/>
  <c r="DA26" i="5"/>
  <c r="GP26" i="4" s="1"/>
  <c r="CZ26" i="5"/>
  <c r="GN26" i="4" s="1"/>
  <c r="CY26" i="5"/>
  <c r="GR26" i="4" s="1"/>
  <c r="CX26" i="5"/>
  <c r="CW26" i="5"/>
  <c r="CV26" i="5"/>
  <c r="GS26" i="4" s="1"/>
  <c r="CU26" i="5"/>
  <c r="GU26" i="4" s="1"/>
  <c r="CT26" i="5"/>
  <c r="GQ26" i="4" s="1"/>
  <c r="CS26" i="5"/>
  <c r="GO26" i="4" s="1"/>
  <c r="BO26" i="5"/>
  <c r="EY26" i="4" s="1"/>
  <c r="BN26" i="5"/>
  <c r="EX26" i="4" s="1"/>
  <c r="BM26" i="5"/>
  <c r="EW26" i="4" s="1"/>
  <c r="BL26" i="5"/>
  <c r="EV26" i="4" s="1"/>
  <c r="BK26" i="5"/>
  <c r="EU26" i="4" s="1"/>
  <c r="BI26" i="5"/>
  <c r="ES26" i="4" s="1"/>
  <c r="BH26" i="5"/>
  <c r="ER26" i="4" s="1"/>
  <c r="BG26" i="5"/>
  <c r="EQ26" i="4" s="1"/>
  <c r="BF26" i="5"/>
  <c r="BQ26" i="4" s="1"/>
  <c r="BE26" i="5"/>
  <c r="BP26" i="4" s="1"/>
  <c r="BD26" i="5"/>
  <c r="BJ26" i="4" s="1"/>
  <c r="BC26" i="5"/>
  <c r="BI26" i="4" s="1"/>
  <c r="BB26" i="5"/>
  <c r="BH26" i="4" s="1"/>
  <c r="BA26" i="5"/>
  <c r="BG26" i="4" s="1"/>
  <c r="AZ26" i="5"/>
  <c r="BF26" i="4" s="1"/>
  <c r="AY26" i="5"/>
  <c r="BE26" i="4" s="1"/>
  <c r="AX26" i="5"/>
  <c r="BD26" i="4" s="1"/>
  <c r="AW26" i="5"/>
  <c r="BC26" i="4" s="1"/>
  <c r="AV26" i="5"/>
  <c r="BB26" i="4" s="1"/>
  <c r="AU26" i="5"/>
  <c r="BA26" i="4" s="1"/>
  <c r="AT26" i="5"/>
  <c r="AZ26" i="4" s="1"/>
  <c r="AS26" i="5"/>
  <c r="AY26" i="4" s="1"/>
  <c r="AR26" i="5"/>
  <c r="AX26" i="4" s="1"/>
  <c r="AQ26" i="5"/>
  <c r="AW26" i="4" s="1"/>
  <c r="AO26" i="5"/>
  <c r="AN26" i="5"/>
  <c r="AM26" i="5"/>
  <c r="AL26" i="5"/>
  <c r="AI26" i="5"/>
  <c r="AK26" i="4" s="1"/>
  <c r="AH26" i="5"/>
  <c r="AJ26" i="4" s="1"/>
  <c r="AG26" i="5"/>
  <c r="AI26" i="4" s="1"/>
  <c r="AF26" i="5"/>
  <c r="AH26" i="4" s="1"/>
  <c r="AD26" i="5"/>
  <c r="AF26" i="4" s="1"/>
  <c r="AC26" i="5"/>
  <c r="AE26" i="4" s="1"/>
  <c r="AB26" i="5"/>
  <c r="AD26" i="4" s="1"/>
  <c r="DR25" i="5"/>
  <c r="GI25" i="4" s="1"/>
  <c r="DQ25" i="5"/>
  <c r="GH25" i="4" s="1"/>
  <c r="DP25" i="5"/>
  <c r="J25" i="8" s="1"/>
  <c r="DO25" i="5"/>
  <c r="GF25" i="4" s="1"/>
  <c r="DN25" i="5"/>
  <c r="DH25" i="5"/>
  <c r="GX25" i="4" s="1"/>
  <c r="DG25" i="5"/>
  <c r="GW25" i="4" s="1"/>
  <c r="DF25" i="5"/>
  <c r="GV25" i="4" s="1"/>
  <c r="DE25" i="5"/>
  <c r="DD25" i="5"/>
  <c r="DC25" i="5"/>
  <c r="GY25" i="4" s="1"/>
  <c r="DB25" i="5"/>
  <c r="GE25" i="4" s="1"/>
  <c r="DA25" i="5"/>
  <c r="GP25" i="4" s="1"/>
  <c r="CZ25" i="5"/>
  <c r="GC25" i="4" s="1"/>
  <c r="CY25" i="5"/>
  <c r="GR25" i="4" s="1"/>
  <c r="CX25" i="5"/>
  <c r="CW25" i="5"/>
  <c r="CV25" i="5"/>
  <c r="GS25" i="4" s="1"/>
  <c r="CU25" i="5"/>
  <c r="GU25" i="4" s="1"/>
  <c r="CT25" i="5"/>
  <c r="GQ25" i="4" s="1"/>
  <c r="CS25" i="5"/>
  <c r="GO25" i="4" s="1"/>
  <c r="BO25" i="5"/>
  <c r="EY25" i="4" s="1"/>
  <c r="BN25" i="5"/>
  <c r="EX25" i="4" s="1"/>
  <c r="BM25" i="5"/>
  <c r="EW25" i="4" s="1"/>
  <c r="BL25" i="5"/>
  <c r="EV25" i="4" s="1"/>
  <c r="BK25" i="5"/>
  <c r="EU25" i="4" s="1"/>
  <c r="BI25" i="5"/>
  <c r="ES25" i="4" s="1"/>
  <c r="BH25" i="5"/>
  <c r="ER25" i="4" s="1"/>
  <c r="BF25" i="5"/>
  <c r="BQ25" i="4" s="1"/>
  <c r="BE25" i="5"/>
  <c r="BP25" i="4" s="1"/>
  <c r="BD25" i="5"/>
  <c r="BJ25" i="4" s="1"/>
  <c r="BC25" i="5"/>
  <c r="BI25" i="4" s="1"/>
  <c r="BB25" i="5"/>
  <c r="BH25" i="4" s="1"/>
  <c r="BA25" i="5"/>
  <c r="BG25" i="4" s="1"/>
  <c r="AZ25" i="5"/>
  <c r="BF25" i="4" s="1"/>
  <c r="AY25" i="5"/>
  <c r="BE25" i="4" s="1"/>
  <c r="AX25" i="5"/>
  <c r="BD25" i="4" s="1"/>
  <c r="AW25" i="5"/>
  <c r="BC25" i="4" s="1"/>
  <c r="AV25" i="5"/>
  <c r="AU25" i="5"/>
  <c r="BA25" i="4" s="1"/>
  <c r="AT25" i="5"/>
  <c r="AZ25" i="4" s="1"/>
  <c r="AS25" i="5"/>
  <c r="AY25" i="4" s="1"/>
  <c r="AR25" i="5"/>
  <c r="AX25" i="4" s="1"/>
  <c r="AQ25" i="5"/>
  <c r="AW25" i="4" s="1"/>
  <c r="AP25" i="5"/>
  <c r="AV25" i="4" s="1"/>
  <c r="AO25" i="5"/>
  <c r="AN25" i="5"/>
  <c r="AM25" i="5"/>
  <c r="AL25" i="5"/>
  <c r="AI25" i="5"/>
  <c r="AK25" i="4" s="1"/>
  <c r="AH25" i="5"/>
  <c r="AJ25" i="4" s="1"/>
  <c r="AG25" i="5"/>
  <c r="AI25" i="4" s="1"/>
  <c r="AF25" i="5"/>
  <c r="AH25" i="4" s="1"/>
  <c r="AD25" i="5"/>
  <c r="AF25" i="4" s="1"/>
  <c r="AC25" i="5"/>
  <c r="AE25" i="4" s="1"/>
  <c r="AB25" i="5"/>
  <c r="AD25" i="4" s="1"/>
  <c r="DR24" i="5"/>
  <c r="GI24" i="4" s="1"/>
  <c r="DQ24" i="5"/>
  <c r="DP24" i="5"/>
  <c r="GG24" i="4" s="1"/>
  <c r="DO24" i="5"/>
  <c r="I24" i="8" s="1"/>
  <c r="DN24" i="5"/>
  <c r="DH24" i="5"/>
  <c r="GX24" i="4" s="1"/>
  <c r="DG24" i="5"/>
  <c r="DF24" i="5"/>
  <c r="GV24" i="4" s="1"/>
  <c r="DE24" i="5"/>
  <c r="DD24" i="5"/>
  <c r="DC24" i="5"/>
  <c r="GY24" i="4" s="1"/>
  <c r="DB24" i="5"/>
  <c r="GE24" i="4" s="1"/>
  <c r="DA24" i="5"/>
  <c r="GP24" i="4" s="1"/>
  <c r="CZ24" i="5"/>
  <c r="CY24" i="5"/>
  <c r="GR24" i="4" s="1"/>
  <c r="CX24" i="5"/>
  <c r="CW24" i="5"/>
  <c r="CV24" i="5"/>
  <c r="GS24" i="4" s="1"/>
  <c r="CU24" i="5"/>
  <c r="GU24" i="4" s="1"/>
  <c r="CT24" i="5"/>
  <c r="GQ24" i="4" s="1"/>
  <c r="CS24" i="5"/>
  <c r="GO24" i="4" s="1"/>
  <c r="BO24" i="5"/>
  <c r="EY24" i="4" s="1"/>
  <c r="BN24" i="5"/>
  <c r="EX24" i="4" s="1"/>
  <c r="BM24" i="5"/>
  <c r="EW24" i="4" s="1"/>
  <c r="BL24" i="5"/>
  <c r="EV24" i="4" s="1"/>
  <c r="BK24" i="5"/>
  <c r="EU24" i="4" s="1"/>
  <c r="BI24" i="5"/>
  <c r="ES24" i="4" s="1"/>
  <c r="BH24" i="5"/>
  <c r="ER24" i="4" s="1"/>
  <c r="BG24" i="5"/>
  <c r="EQ24" i="4" s="1"/>
  <c r="BF24" i="5"/>
  <c r="BQ24" i="4" s="1"/>
  <c r="BE24" i="5"/>
  <c r="BP24" i="4" s="1"/>
  <c r="BD24" i="5"/>
  <c r="BJ24" i="4" s="1"/>
  <c r="BC24" i="5"/>
  <c r="BI24" i="4" s="1"/>
  <c r="BB24" i="5"/>
  <c r="BH24" i="4" s="1"/>
  <c r="BA24" i="5"/>
  <c r="BG24" i="4" s="1"/>
  <c r="AZ24" i="5"/>
  <c r="BF24" i="4" s="1"/>
  <c r="AY24" i="5"/>
  <c r="BE24" i="4" s="1"/>
  <c r="AX24" i="5"/>
  <c r="BD24" i="4" s="1"/>
  <c r="AW24" i="5"/>
  <c r="BC24" i="4" s="1"/>
  <c r="AV24" i="5"/>
  <c r="BB24" i="4" s="1"/>
  <c r="AU24" i="5"/>
  <c r="BA24" i="4" s="1"/>
  <c r="AT24" i="5"/>
  <c r="AZ24" i="4" s="1"/>
  <c r="AS24" i="5"/>
  <c r="AY24" i="4" s="1"/>
  <c r="AR24" i="5"/>
  <c r="AX24" i="4" s="1"/>
  <c r="AQ24" i="5"/>
  <c r="AW24" i="4" s="1"/>
  <c r="AP24" i="5"/>
  <c r="AV24" i="4" s="1"/>
  <c r="AO24" i="5"/>
  <c r="AN24" i="5"/>
  <c r="AM24" i="5"/>
  <c r="AL24" i="5"/>
  <c r="AI24" i="5"/>
  <c r="AK24" i="4" s="1"/>
  <c r="AH24" i="5"/>
  <c r="AJ24" i="4" s="1"/>
  <c r="AG24" i="5"/>
  <c r="AI24" i="4" s="1"/>
  <c r="AF24" i="5"/>
  <c r="AH24" i="4" s="1"/>
  <c r="AD24" i="5"/>
  <c r="AF24" i="4" s="1"/>
  <c r="AC24" i="5"/>
  <c r="AE24" i="4" s="1"/>
  <c r="AB24" i="5"/>
  <c r="AD24" i="4" s="1"/>
  <c r="DR23" i="5"/>
  <c r="GI23" i="4" s="1"/>
  <c r="DQ23" i="5"/>
  <c r="K23" i="8" s="1"/>
  <c r="DP23" i="5"/>
  <c r="GG23" i="4" s="1"/>
  <c r="DO23" i="5"/>
  <c r="GF23" i="4" s="1"/>
  <c r="DN23" i="5"/>
  <c r="DH23" i="5"/>
  <c r="GX23" i="4" s="1"/>
  <c r="DG23" i="5"/>
  <c r="GW23" i="4" s="1"/>
  <c r="DF23" i="5"/>
  <c r="GV23" i="4" s="1"/>
  <c r="DE23" i="5"/>
  <c r="DD23" i="5"/>
  <c r="DC23" i="5"/>
  <c r="GY23" i="4" s="1"/>
  <c r="DB23" i="5"/>
  <c r="GE23" i="4" s="1"/>
  <c r="DA23" i="5"/>
  <c r="CZ23" i="5"/>
  <c r="GC23" i="4" s="1"/>
  <c r="CY23" i="5"/>
  <c r="GR23" i="4" s="1"/>
  <c r="CX23" i="5"/>
  <c r="CW23" i="5"/>
  <c r="CV23" i="5"/>
  <c r="GS23" i="4" s="1"/>
  <c r="CU23" i="5"/>
  <c r="GU23" i="4" s="1"/>
  <c r="CT23" i="5"/>
  <c r="GQ23" i="4" s="1"/>
  <c r="CS23" i="5"/>
  <c r="GO23" i="4" s="1"/>
  <c r="BO23" i="5"/>
  <c r="EY23" i="4" s="1"/>
  <c r="BN23" i="5"/>
  <c r="EX23" i="4" s="1"/>
  <c r="BM23" i="5"/>
  <c r="EW23" i="4" s="1"/>
  <c r="BL23" i="5"/>
  <c r="EV23" i="4" s="1"/>
  <c r="BK23" i="5"/>
  <c r="EU23" i="4" s="1"/>
  <c r="BI23" i="5"/>
  <c r="ES23" i="4" s="1"/>
  <c r="BH23" i="5"/>
  <c r="ER23" i="4" s="1"/>
  <c r="BG23" i="5"/>
  <c r="EQ23" i="4" s="1"/>
  <c r="BF23" i="5"/>
  <c r="BQ23" i="4" s="1"/>
  <c r="BE23" i="5"/>
  <c r="BP23" i="4" s="1"/>
  <c r="BD23" i="5"/>
  <c r="BJ23" i="4" s="1"/>
  <c r="BC23" i="5"/>
  <c r="BI23" i="4" s="1"/>
  <c r="BB23" i="5"/>
  <c r="BH23" i="4" s="1"/>
  <c r="BA23" i="5"/>
  <c r="BG23" i="4" s="1"/>
  <c r="AZ23" i="5"/>
  <c r="BF23" i="4" s="1"/>
  <c r="AY23" i="5"/>
  <c r="BE23" i="4" s="1"/>
  <c r="AX23" i="5"/>
  <c r="BD23" i="4" s="1"/>
  <c r="AW23" i="5"/>
  <c r="BC23" i="4" s="1"/>
  <c r="AV23" i="5"/>
  <c r="BB23" i="4" s="1"/>
  <c r="AU23" i="5"/>
  <c r="BA23" i="4" s="1"/>
  <c r="AT23" i="5"/>
  <c r="AZ23" i="4" s="1"/>
  <c r="AS23" i="5"/>
  <c r="AY23" i="4" s="1"/>
  <c r="AR23" i="5"/>
  <c r="AX23" i="4" s="1"/>
  <c r="AQ23" i="5"/>
  <c r="AW23" i="4" s="1"/>
  <c r="AP23" i="5"/>
  <c r="AV23" i="4" s="1"/>
  <c r="AO23" i="5"/>
  <c r="AN23" i="5"/>
  <c r="AM23" i="5"/>
  <c r="AL23" i="5"/>
  <c r="AI23" i="5"/>
  <c r="AK23" i="4" s="1"/>
  <c r="AH23" i="5"/>
  <c r="AJ23" i="4" s="1"/>
  <c r="AG23" i="5"/>
  <c r="AI23" i="4" s="1"/>
  <c r="AF23" i="5"/>
  <c r="AH23" i="4" s="1"/>
  <c r="AD23" i="5"/>
  <c r="AF23" i="4" s="1"/>
  <c r="AC23" i="5"/>
  <c r="AE23" i="4" s="1"/>
  <c r="AB23" i="5"/>
  <c r="AD23" i="4" s="1"/>
  <c r="DR22" i="5"/>
  <c r="GI22" i="4" s="1"/>
  <c r="DQ22" i="5"/>
  <c r="DP22" i="5"/>
  <c r="GG22" i="4" s="1"/>
  <c r="DO22" i="5"/>
  <c r="DN22" i="5"/>
  <c r="DH22" i="5"/>
  <c r="GX22" i="4" s="1"/>
  <c r="DG22" i="5"/>
  <c r="GW22" i="4" s="1"/>
  <c r="DF22" i="5"/>
  <c r="GV22" i="4" s="1"/>
  <c r="DE22" i="5"/>
  <c r="DD22" i="5"/>
  <c r="DC22" i="5"/>
  <c r="GY22" i="4" s="1"/>
  <c r="DB22" i="5"/>
  <c r="GE22" i="4" s="1"/>
  <c r="DA22" i="5"/>
  <c r="GP22" i="4" s="1"/>
  <c r="CZ22" i="5"/>
  <c r="GN22" i="4" s="1"/>
  <c r="CY22" i="5"/>
  <c r="GR22" i="4" s="1"/>
  <c r="CX22" i="5"/>
  <c r="CW22" i="5"/>
  <c r="CV22" i="5"/>
  <c r="GS22" i="4" s="1"/>
  <c r="CU22" i="5"/>
  <c r="GU22" i="4" s="1"/>
  <c r="CT22" i="5"/>
  <c r="GQ22" i="4" s="1"/>
  <c r="CS22" i="5"/>
  <c r="GO22" i="4" s="1"/>
  <c r="BO22" i="5"/>
  <c r="EY22" i="4" s="1"/>
  <c r="BN22" i="5"/>
  <c r="EX22" i="4" s="1"/>
  <c r="BM22" i="5"/>
  <c r="EW22" i="4" s="1"/>
  <c r="BL22" i="5"/>
  <c r="EV22" i="4" s="1"/>
  <c r="BK22" i="5"/>
  <c r="EU22" i="4" s="1"/>
  <c r="BI22" i="5"/>
  <c r="ES22" i="4" s="1"/>
  <c r="BH22" i="5"/>
  <c r="ER22" i="4" s="1"/>
  <c r="BG22" i="5"/>
  <c r="EQ22" i="4" s="1"/>
  <c r="BF22" i="5"/>
  <c r="BQ22" i="4" s="1"/>
  <c r="BE22" i="5"/>
  <c r="BP22" i="4" s="1"/>
  <c r="BD22" i="5"/>
  <c r="BJ22" i="4" s="1"/>
  <c r="BC22" i="5"/>
  <c r="BI22" i="4" s="1"/>
  <c r="BB22" i="5"/>
  <c r="BH22" i="4" s="1"/>
  <c r="BA22" i="5"/>
  <c r="BG22" i="4" s="1"/>
  <c r="AZ22" i="5"/>
  <c r="BF22" i="4" s="1"/>
  <c r="AY22" i="5"/>
  <c r="BE22" i="4" s="1"/>
  <c r="AX22" i="5"/>
  <c r="BD22" i="4" s="1"/>
  <c r="AW22" i="5"/>
  <c r="BC22" i="4" s="1"/>
  <c r="AV22" i="5"/>
  <c r="BB22" i="4" s="1"/>
  <c r="AU22" i="5"/>
  <c r="BA22" i="4" s="1"/>
  <c r="AT22" i="5"/>
  <c r="AZ22" i="4" s="1"/>
  <c r="AS22" i="5"/>
  <c r="AY22" i="4" s="1"/>
  <c r="AR22" i="5"/>
  <c r="AX22" i="4" s="1"/>
  <c r="AQ22" i="5"/>
  <c r="AW22" i="4" s="1"/>
  <c r="AP22" i="5"/>
  <c r="AV22" i="4" s="1"/>
  <c r="AO22" i="5"/>
  <c r="AN22" i="5"/>
  <c r="AM22" i="5"/>
  <c r="AL22" i="5"/>
  <c r="AI22" i="5"/>
  <c r="AK22" i="4" s="1"/>
  <c r="AH22" i="5"/>
  <c r="AJ22" i="4" s="1"/>
  <c r="AG22" i="5"/>
  <c r="AI22" i="4" s="1"/>
  <c r="AF22" i="5"/>
  <c r="AH22" i="4" s="1"/>
  <c r="AD22" i="5"/>
  <c r="AF22" i="4" s="1"/>
  <c r="DR21" i="5"/>
  <c r="DQ21" i="5"/>
  <c r="K21" i="8" s="1"/>
  <c r="DP21" i="5"/>
  <c r="GG21" i="4" s="1"/>
  <c r="DO21" i="5"/>
  <c r="GT21" i="4" s="1"/>
  <c r="DN21" i="5"/>
  <c r="DH21" i="5"/>
  <c r="GX21" i="4" s="1"/>
  <c r="DG21" i="5"/>
  <c r="GW21" i="4" s="1"/>
  <c r="DF21" i="5"/>
  <c r="GV21" i="4" s="1"/>
  <c r="DE21" i="5"/>
  <c r="DD21" i="5"/>
  <c r="DC21" i="5"/>
  <c r="GY21" i="4" s="1"/>
  <c r="DB21" i="5"/>
  <c r="GE21" i="4" s="1"/>
  <c r="DA21" i="5"/>
  <c r="GP21" i="4" s="1"/>
  <c r="CZ21" i="5"/>
  <c r="GC21" i="4" s="1"/>
  <c r="CY21" i="5"/>
  <c r="GR21" i="4" s="1"/>
  <c r="CX21" i="5"/>
  <c r="CW21" i="5"/>
  <c r="CV21" i="5"/>
  <c r="GS21" i="4" s="1"/>
  <c r="CU21" i="5"/>
  <c r="GU21" i="4" s="1"/>
  <c r="CT21" i="5"/>
  <c r="GQ21" i="4" s="1"/>
  <c r="CS21" i="5"/>
  <c r="GO21" i="4" s="1"/>
  <c r="BO21" i="5"/>
  <c r="EY21" i="4" s="1"/>
  <c r="BN21" i="5"/>
  <c r="EX21" i="4" s="1"/>
  <c r="BM21" i="5"/>
  <c r="EW21" i="4" s="1"/>
  <c r="BL21" i="5"/>
  <c r="EV21" i="4" s="1"/>
  <c r="BK21" i="5"/>
  <c r="EU21" i="4" s="1"/>
  <c r="BJ21" i="5"/>
  <c r="ET21" i="4" s="1"/>
  <c r="BI21" i="5"/>
  <c r="ES21" i="4" s="1"/>
  <c r="BH21" i="5"/>
  <c r="ER21" i="4" s="1"/>
  <c r="BG21" i="5"/>
  <c r="EQ21" i="4" s="1"/>
  <c r="BF21" i="5"/>
  <c r="BQ21" i="4" s="1"/>
  <c r="BE21" i="5"/>
  <c r="BP21" i="4" s="1"/>
  <c r="BD21" i="5"/>
  <c r="BJ21" i="4" s="1"/>
  <c r="BC21" i="5"/>
  <c r="BI21" i="4" s="1"/>
  <c r="BB21" i="5"/>
  <c r="BH21" i="4" s="1"/>
  <c r="BA21" i="5"/>
  <c r="BG21" i="4" s="1"/>
  <c r="AZ21" i="5"/>
  <c r="BF21" i="4" s="1"/>
  <c r="AY21" i="5"/>
  <c r="BE21" i="4" s="1"/>
  <c r="AX21" i="5"/>
  <c r="BD21" i="4" s="1"/>
  <c r="AW21" i="5"/>
  <c r="BC21" i="4" s="1"/>
  <c r="AV21" i="5"/>
  <c r="BB21" i="4" s="1"/>
  <c r="AU21" i="5"/>
  <c r="BA21" i="4" s="1"/>
  <c r="AT21" i="5"/>
  <c r="AZ21" i="4" s="1"/>
  <c r="AS21" i="5"/>
  <c r="AY21" i="4" s="1"/>
  <c r="AR21" i="5"/>
  <c r="AX21" i="4" s="1"/>
  <c r="AQ21" i="5"/>
  <c r="AW21" i="4" s="1"/>
  <c r="AP21" i="5"/>
  <c r="AV21" i="4" s="1"/>
  <c r="AO21" i="5"/>
  <c r="AN21" i="5"/>
  <c r="AM21" i="5"/>
  <c r="AL21" i="5"/>
  <c r="AI21" i="5"/>
  <c r="AK21" i="4" s="1"/>
  <c r="AJ21" i="4"/>
  <c r="AG21" i="5"/>
  <c r="AI21" i="4" s="1"/>
  <c r="AD21" i="5"/>
  <c r="AF21" i="4" s="1"/>
  <c r="AC21" i="5"/>
  <c r="AE21" i="4" s="1"/>
  <c r="AB21" i="5"/>
  <c r="AD21" i="4" s="1"/>
  <c r="DR20" i="5"/>
  <c r="GI20" i="4" s="1"/>
  <c r="DQ20" i="5"/>
  <c r="K20" i="8" s="1"/>
  <c r="DP20" i="5"/>
  <c r="J20" i="8" s="1"/>
  <c r="DO20" i="5"/>
  <c r="GF20" i="4" s="1"/>
  <c r="DN20" i="5"/>
  <c r="DH20" i="5"/>
  <c r="GX20" i="4" s="1"/>
  <c r="DG20" i="5"/>
  <c r="GW20" i="4" s="1"/>
  <c r="DF20" i="5"/>
  <c r="GV20" i="4" s="1"/>
  <c r="DE20" i="5"/>
  <c r="DD20" i="5"/>
  <c r="DC20" i="5"/>
  <c r="GY20" i="4" s="1"/>
  <c r="DB20" i="5"/>
  <c r="GE20" i="4" s="1"/>
  <c r="DA20" i="5"/>
  <c r="GP20" i="4" s="1"/>
  <c r="CZ20" i="5"/>
  <c r="GN20" i="4" s="1"/>
  <c r="CY20" i="5"/>
  <c r="GR20" i="4" s="1"/>
  <c r="CX20" i="5"/>
  <c r="CW20" i="5"/>
  <c r="CV20" i="5"/>
  <c r="GS20" i="4" s="1"/>
  <c r="CU20" i="5"/>
  <c r="GU20" i="4" s="1"/>
  <c r="CT20" i="5"/>
  <c r="GQ20" i="4" s="1"/>
  <c r="CS20" i="5"/>
  <c r="GO20" i="4" s="1"/>
  <c r="BO20" i="5"/>
  <c r="EY20" i="4" s="1"/>
  <c r="BN20" i="5"/>
  <c r="EX20" i="4" s="1"/>
  <c r="BM20" i="5"/>
  <c r="EW20" i="4" s="1"/>
  <c r="BL20" i="5"/>
  <c r="EV20" i="4" s="1"/>
  <c r="BK20" i="5"/>
  <c r="EU20" i="4" s="1"/>
  <c r="BJ20" i="5"/>
  <c r="ET20" i="4" s="1"/>
  <c r="BI20" i="5"/>
  <c r="ES20" i="4" s="1"/>
  <c r="BH20" i="5"/>
  <c r="ER20" i="4" s="1"/>
  <c r="BG20" i="5"/>
  <c r="EQ20" i="4" s="1"/>
  <c r="BF20" i="5"/>
  <c r="BQ20" i="4" s="1"/>
  <c r="BE20" i="5"/>
  <c r="BP20" i="4" s="1"/>
  <c r="BD20" i="5"/>
  <c r="BJ20" i="4" s="1"/>
  <c r="BC20" i="5"/>
  <c r="BI20" i="4" s="1"/>
  <c r="BB20" i="5"/>
  <c r="BH20" i="4" s="1"/>
  <c r="BA20" i="5"/>
  <c r="BG20" i="4" s="1"/>
  <c r="AZ20" i="5"/>
  <c r="BF20" i="4" s="1"/>
  <c r="AY20" i="5"/>
  <c r="BE20" i="4" s="1"/>
  <c r="AX20" i="5"/>
  <c r="BD20" i="4" s="1"/>
  <c r="AW20" i="5"/>
  <c r="BC20" i="4" s="1"/>
  <c r="AV20" i="5"/>
  <c r="BB20" i="4" s="1"/>
  <c r="AU20" i="5"/>
  <c r="BA20" i="4" s="1"/>
  <c r="AT20" i="5"/>
  <c r="AZ20" i="4" s="1"/>
  <c r="AS20" i="5"/>
  <c r="AY20" i="4" s="1"/>
  <c r="AR20" i="5"/>
  <c r="AX20" i="4" s="1"/>
  <c r="AQ20" i="5"/>
  <c r="AW20" i="4" s="1"/>
  <c r="AP20" i="5"/>
  <c r="AV20" i="4" s="1"/>
  <c r="AO20" i="5"/>
  <c r="AN20" i="5"/>
  <c r="AM20" i="5"/>
  <c r="AL20" i="5"/>
  <c r="AI20" i="5"/>
  <c r="AK20" i="4" s="1"/>
  <c r="AH20" i="5"/>
  <c r="AJ20" i="4" s="1"/>
  <c r="AG20" i="5"/>
  <c r="AI20" i="4" s="1"/>
  <c r="AC20" i="5"/>
  <c r="AE20" i="4" s="1"/>
  <c r="AB20" i="5"/>
  <c r="AD20" i="4" s="1"/>
  <c r="E20" i="5"/>
  <c r="D20" i="4" s="1"/>
  <c r="DR19" i="5"/>
  <c r="L19" i="8" s="1"/>
  <c r="DQ19" i="5"/>
  <c r="DP19" i="5"/>
  <c r="I19" i="8"/>
  <c r="DN19" i="5"/>
  <c r="DM19" i="5"/>
  <c r="DL19" i="5"/>
  <c r="F19" i="8" s="1"/>
  <c r="DJ19" i="5"/>
  <c r="D19" i="8" s="1"/>
  <c r="DI19" i="5"/>
  <c r="C19" i="8" s="1"/>
  <c r="DH19" i="5"/>
  <c r="GX19" i="4" s="1"/>
  <c r="DG19" i="5"/>
  <c r="GW19" i="4" s="1"/>
  <c r="DF19" i="5"/>
  <c r="GV19" i="4" s="1"/>
  <c r="DE19" i="5"/>
  <c r="DD19" i="5"/>
  <c r="DC19" i="5"/>
  <c r="GY19" i="4" s="1"/>
  <c r="DB19" i="5"/>
  <c r="GE19" i="4" s="1"/>
  <c r="DA19" i="5"/>
  <c r="GP19" i="4" s="1"/>
  <c r="CZ19" i="5"/>
  <c r="CY19" i="5"/>
  <c r="CX19" i="5"/>
  <c r="CW19" i="5"/>
  <c r="CV19" i="5"/>
  <c r="GS19" i="4" s="1"/>
  <c r="CU19" i="5"/>
  <c r="GU19" i="4" s="1"/>
  <c r="CT19" i="5"/>
  <c r="GQ19" i="4" s="1"/>
  <c r="CS19" i="5"/>
  <c r="GO19" i="4" s="1"/>
  <c r="BO19" i="5"/>
  <c r="EY19" i="4" s="1"/>
  <c r="BN19" i="5"/>
  <c r="EX19" i="4" s="1"/>
  <c r="BM19" i="5"/>
  <c r="EW19" i="4" s="1"/>
  <c r="BL19" i="5"/>
  <c r="EV19" i="4" s="1"/>
  <c r="BK19" i="5"/>
  <c r="EU19" i="4" s="1"/>
  <c r="BJ19" i="5"/>
  <c r="ET19" i="4" s="1"/>
  <c r="BI19" i="5"/>
  <c r="ES19" i="4" s="1"/>
  <c r="BH19" i="5"/>
  <c r="ER19" i="4" s="1"/>
  <c r="BG19" i="5"/>
  <c r="EQ19" i="4" s="1"/>
  <c r="BF19" i="5"/>
  <c r="BQ19" i="4" s="1"/>
  <c r="BE19" i="5"/>
  <c r="BP19" i="4" s="1"/>
  <c r="BD19" i="5"/>
  <c r="BJ19" i="4" s="1"/>
  <c r="BC19" i="5"/>
  <c r="BI19" i="4" s="1"/>
  <c r="BB19" i="5"/>
  <c r="BH19" i="4" s="1"/>
  <c r="BA19" i="5"/>
  <c r="BG19" i="4" s="1"/>
  <c r="AZ19" i="5"/>
  <c r="BF19" i="4" s="1"/>
  <c r="AY19" i="5"/>
  <c r="BE19" i="4" s="1"/>
  <c r="AX19" i="5"/>
  <c r="BD19" i="4" s="1"/>
  <c r="AW19" i="5"/>
  <c r="BC19" i="4" s="1"/>
  <c r="AV19" i="5"/>
  <c r="BB19" i="4" s="1"/>
  <c r="AU19" i="5"/>
  <c r="BA19" i="4" s="1"/>
  <c r="AT19" i="5"/>
  <c r="AZ19" i="4" s="1"/>
  <c r="AS19" i="5"/>
  <c r="AR19" i="5"/>
  <c r="AX19" i="4" s="1"/>
  <c r="AQ19" i="5"/>
  <c r="AW19" i="4" s="1"/>
  <c r="AP19" i="5"/>
  <c r="AV19" i="4" s="1"/>
  <c r="AO19" i="5"/>
  <c r="AN19" i="5"/>
  <c r="AM19" i="5"/>
  <c r="AL19" i="5"/>
  <c r="AI19" i="5"/>
  <c r="AK19" i="4" s="1"/>
  <c r="AH19" i="5"/>
  <c r="AJ19" i="4" s="1"/>
  <c r="AG19" i="5"/>
  <c r="AI19" i="4" s="1"/>
  <c r="AF19" i="4"/>
  <c r="AC19" i="5"/>
  <c r="AE19" i="4" s="1"/>
  <c r="AB19" i="5"/>
  <c r="AD19" i="4" s="1"/>
  <c r="E19" i="5"/>
  <c r="D19" i="4" s="1"/>
  <c r="DR18" i="5"/>
  <c r="DQ18" i="5"/>
  <c r="GH18" i="4" s="1"/>
  <c r="DP18" i="5"/>
  <c r="J18" i="8" s="1"/>
  <c r="DN18" i="5"/>
  <c r="DM18" i="5"/>
  <c r="DL18" i="5"/>
  <c r="F18" i="8" s="1"/>
  <c r="DJ18" i="5"/>
  <c r="D18" i="8" s="1"/>
  <c r="DI18" i="5"/>
  <c r="C18" i="8" s="1"/>
  <c r="DH18" i="5"/>
  <c r="GX18" i="4" s="1"/>
  <c r="DG18" i="5"/>
  <c r="GW18" i="4" s="1"/>
  <c r="DF18" i="5"/>
  <c r="GV18" i="4" s="1"/>
  <c r="DE18" i="5"/>
  <c r="DD18" i="5"/>
  <c r="DC18" i="5"/>
  <c r="GY18" i="4" s="1"/>
  <c r="DB18" i="5"/>
  <c r="GE18" i="4" s="1"/>
  <c r="DA18" i="5"/>
  <c r="GP18" i="4" s="1"/>
  <c r="CZ18" i="5"/>
  <c r="GN18" i="4" s="1"/>
  <c r="CY18" i="5"/>
  <c r="GR18" i="4" s="1"/>
  <c r="CX18" i="5"/>
  <c r="CW18" i="5"/>
  <c r="CV18" i="5"/>
  <c r="GS18" i="4" s="1"/>
  <c r="CU18" i="5"/>
  <c r="GU18" i="4" s="1"/>
  <c r="CT18" i="5"/>
  <c r="GQ18" i="4" s="1"/>
  <c r="CS18" i="5"/>
  <c r="GO18" i="4" s="1"/>
  <c r="BO18" i="5"/>
  <c r="EY18" i="4" s="1"/>
  <c r="BN18" i="5"/>
  <c r="EX18" i="4" s="1"/>
  <c r="BM18" i="5"/>
  <c r="EW18" i="4" s="1"/>
  <c r="BL18" i="5"/>
  <c r="EV18" i="4" s="1"/>
  <c r="BK18" i="5"/>
  <c r="EU18" i="4" s="1"/>
  <c r="BJ18" i="5"/>
  <c r="ET18" i="4" s="1"/>
  <c r="BI18" i="5"/>
  <c r="ES18" i="4" s="1"/>
  <c r="BH18" i="5"/>
  <c r="ER18" i="4" s="1"/>
  <c r="BG18" i="5"/>
  <c r="EQ18" i="4" s="1"/>
  <c r="BF18" i="5"/>
  <c r="BQ18" i="4" s="1"/>
  <c r="BE18" i="5"/>
  <c r="BP18" i="4" s="1"/>
  <c r="BD18" i="5"/>
  <c r="BJ18" i="4" s="1"/>
  <c r="BC18" i="5"/>
  <c r="BI18" i="4" s="1"/>
  <c r="BB18" i="5"/>
  <c r="BH18" i="4" s="1"/>
  <c r="BA18" i="5"/>
  <c r="BG18" i="4" s="1"/>
  <c r="AZ18" i="5"/>
  <c r="BF18" i="4" s="1"/>
  <c r="AY18" i="5"/>
  <c r="BE18" i="4" s="1"/>
  <c r="AX18" i="5"/>
  <c r="BD18" i="4" s="1"/>
  <c r="AW18" i="5"/>
  <c r="BC18" i="4" s="1"/>
  <c r="AV18" i="5"/>
  <c r="BB18" i="4" s="1"/>
  <c r="AU18" i="5"/>
  <c r="BA18" i="4" s="1"/>
  <c r="AT18" i="5"/>
  <c r="AZ18" i="4" s="1"/>
  <c r="AS18" i="5"/>
  <c r="AY18" i="4" s="1"/>
  <c r="AR18" i="5"/>
  <c r="AX18" i="4" s="1"/>
  <c r="AQ18" i="5"/>
  <c r="AW18" i="4" s="1"/>
  <c r="AP18" i="5"/>
  <c r="AV18" i="4" s="1"/>
  <c r="AO18" i="5"/>
  <c r="AN18" i="5"/>
  <c r="AM18" i="5"/>
  <c r="AL18" i="5"/>
  <c r="AI18" i="5"/>
  <c r="AK18" i="4" s="1"/>
  <c r="AH18" i="5"/>
  <c r="AG18" i="5"/>
  <c r="AI18" i="4" s="1"/>
  <c r="AF18" i="4"/>
  <c r="AC18" i="5"/>
  <c r="AE18" i="4" s="1"/>
  <c r="AB18" i="5"/>
  <c r="AD18" i="4" s="1"/>
  <c r="E18" i="5"/>
  <c r="D18" i="4" s="1"/>
  <c r="DR17" i="5"/>
  <c r="GI17" i="4" s="1"/>
  <c r="DQ17" i="5"/>
  <c r="DP17" i="5"/>
  <c r="GG17" i="4" s="1"/>
  <c r="DN17" i="5"/>
  <c r="DM17" i="5"/>
  <c r="DL17" i="5"/>
  <c r="F17" i="8" s="1"/>
  <c r="DJ17" i="5"/>
  <c r="D17" i="8" s="1"/>
  <c r="DI17" i="5"/>
  <c r="C17" i="8" s="1"/>
  <c r="DH17" i="5"/>
  <c r="GX17" i="4" s="1"/>
  <c r="DG17" i="5"/>
  <c r="GW17" i="4" s="1"/>
  <c r="DF17" i="5"/>
  <c r="GV17" i="4" s="1"/>
  <c r="DE17" i="5"/>
  <c r="DD17" i="5"/>
  <c r="DC17" i="5"/>
  <c r="GY17" i="4" s="1"/>
  <c r="DB17" i="5"/>
  <c r="GE17" i="4" s="1"/>
  <c r="DA17" i="5"/>
  <c r="GP17" i="4" s="1"/>
  <c r="CZ17" i="5"/>
  <c r="GN17" i="4" s="1"/>
  <c r="CY17" i="5"/>
  <c r="GR17" i="4" s="1"/>
  <c r="CX17" i="5"/>
  <c r="CW17" i="5"/>
  <c r="CV17" i="5"/>
  <c r="GS17" i="4" s="1"/>
  <c r="CU17" i="5"/>
  <c r="GU17" i="4" s="1"/>
  <c r="CT17" i="5"/>
  <c r="GQ17" i="4" s="1"/>
  <c r="CS17" i="5"/>
  <c r="GO17" i="4" s="1"/>
  <c r="BO17" i="5"/>
  <c r="EY17" i="4" s="1"/>
  <c r="BM17" i="5"/>
  <c r="EW17" i="4" s="1"/>
  <c r="BL17" i="5"/>
  <c r="EV17" i="4" s="1"/>
  <c r="BK17" i="5"/>
  <c r="EU17" i="4" s="1"/>
  <c r="BJ17" i="5"/>
  <c r="ET17" i="4" s="1"/>
  <c r="BI17" i="5"/>
  <c r="ES17" i="4" s="1"/>
  <c r="BH17" i="5"/>
  <c r="ER17" i="4" s="1"/>
  <c r="BF17" i="5"/>
  <c r="BQ17" i="4" s="1"/>
  <c r="BE17" i="5"/>
  <c r="BP17" i="4" s="1"/>
  <c r="BD17" i="5"/>
  <c r="BJ17" i="4" s="1"/>
  <c r="BC17" i="5"/>
  <c r="BI17" i="4" s="1"/>
  <c r="BB17" i="5"/>
  <c r="BH17" i="4" s="1"/>
  <c r="BA17" i="5"/>
  <c r="BG17" i="4" s="1"/>
  <c r="AZ17" i="5"/>
  <c r="BF17" i="4" s="1"/>
  <c r="AY17" i="5"/>
  <c r="BE17" i="4" s="1"/>
  <c r="AX17" i="5"/>
  <c r="BD17" i="4" s="1"/>
  <c r="AW17" i="5"/>
  <c r="BC17" i="4" s="1"/>
  <c r="AV17" i="5"/>
  <c r="BB17" i="4" s="1"/>
  <c r="AU17" i="5"/>
  <c r="BA17" i="4" s="1"/>
  <c r="AT17" i="5"/>
  <c r="AZ17" i="4" s="1"/>
  <c r="AS17" i="5"/>
  <c r="AY17" i="4" s="1"/>
  <c r="AR17" i="5"/>
  <c r="AX17" i="4" s="1"/>
  <c r="AQ17" i="5"/>
  <c r="AW17" i="4" s="1"/>
  <c r="AP17" i="5"/>
  <c r="AV17" i="4" s="1"/>
  <c r="AO17" i="5"/>
  <c r="AN17" i="5"/>
  <c r="AM17" i="5"/>
  <c r="AL17" i="5"/>
  <c r="AI17" i="5"/>
  <c r="AK17" i="4" s="1"/>
  <c r="AH17" i="5"/>
  <c r="AJ17" i="4" s="1"/>
  <c r="AG17" i="5"/>
  <c r="AI17" i="4" s="1"/>
  <c r="AE17" i="5"/>
  <c r="AG17" i="4" s="1"/>
  <c r="AF17" i="4"/>
  <c r="AC17" i="5"/>
  <c r="AE17" i="4" s="1"/>
  <c r="AB17" i="5"/>
  <c r="AD17" i="4" s="1"/>
  <c r="E17" i="5"/>
  <c r="D17" i="4" s="1"/>
  <c r="I12" i="5"/>
  <c r="J12" i="4" s="1"/>
  <c r="I12" i="4"/>
  <c r="I11" i="4"/>
  <c r="CR51" i="4"/>
  <c r="CS51" i="4"/>
  <c r="CA41" i="4"/>
  <c r="AD41" i="1" s="1"/>
  <c r="AE40" i="1"/>
  <c r="BZ39" i="4"/>
  <c r="CA39" i="4"/>
  <c r="AD39" i="1" s="1"/>
  <c r="CA37" i="4"/>
  <c r="AD37" i="1" s="1"/>
  <c r="BZ35" i="4"/>
  <c r="CA35" i="4"/>
  <c r="AD35" i="1" s="1"/>
  <c r="CA33" i="4"/>
  <c r="AD33" i="1" s="1"/>
  <c r="BZ31" i="4"/>
  <c r="CA31" i="4"/>
  <c r="AD31" i="1" s="1"/>
  <c r="CA29" i="4"/>
  <c r="AD29" i="1" s="1"/>
  <c r="BZ27" i="4"/>
  <c r="CA27" i="4"/>
  <c r="AD27" i="1" s="1"/>
  <c r="CA25" i="4"/>
  <c r="AD25" i="1" s="1"/>
  <c r="BZ23" i="4"/>
  <c r="CA23" i="4"/>
  <c r="AD23" i="1" s="1"/>
  <c r="CA21" i="4"/>
  <c r="AD21" i="1" s="1"/>
  <c r="BZ19" i="4"/>
  <c r="CA17" i="4"/>
  <c r="AD17" i="1" s="1"/>
  <c r="BZ15" i="4"/>
  <c r="CA13" i="4"/>
  <c r="AD13" i="1" s="1"/>
  <c r="CA11" i="4"/>
  <c r="AD11" i="1" s="1"/>
  <c r="BN33" i="4"/>
  <c r="AZ32" i="1"/>
  <c r="EJ31" i="4"/>
  <c r="EJ29" i="4"/>
  <c r="EJ27" i="4"/>
  <c r="BM26" i="4"/>
  <c r="BM24" i="4"/>
  <c r="EJ23" i="4"/>
  <c r="HD22" i="4"/>
  <c r="BM22" i="4"/>
  <c r="EJ21" i="4"/>
  <c r="AZ20" i="1"/>
  <c r="BK20" i="4"/>
  <c r="EJ19" i="4"/>
  <c r="BM18" i="4"/>
  <c r="EJ17" i="4"/>
  <c r="HD16" i="4"/>
  <c r="EJ15" i="4"/>
  <c r="BN15" i="4"/>
  <c r="BL15" i="4"/>
  <c r="BN13" i="4"/>
  <c r="BL13" i="4"/>
  <c r="HE11" i="4"/>
  <c r="BN11" i="4"/>
  <c r="BL11" i="4"/>
  <c r="K31" i="4"/>
  <c r="I30" i="4"/>
  <c r="J29" i="4"/>
  <c r="I28" i="4"/>
  <c r="I24" i="4"/>
  <c r="D24" i="4"/>
  <c r="I23" i="4"/>
  <c r="L22" i="4"/>
  <c r="J22" i="4"/>
  <c r="I22" i="4"/>
  <c r="Q19" i="4"/>
  <c r="J19" i="4"/>
  <c r="L18" i="4"/>
  <c r="E16" i="5"/>
  <c r="D16" i="4" s="1"/>
  <c r="K15" i="5"/>
  <c r="L15" i="4" s="1"/>
  <c r="J15" i="5"/>
  <c r="J15" i="4"/>
  <c r="E15" i="5"/>
  <c r="D15" i="4" s="1"/>
  <c r="CC14" i="5"/>
  <c r="FT14" i="4" s="1"/>
  <c r="K14" i="5"/>
  <c r="L14" i="4" s="1"/>
  <c r="J14" i="5"/>
  <c r="K14" i="4" s="1"/>
  <c r="G14" i="5"/>
  <c r="F14" i="4" s="1"/>
  <c r="E14" i="5"/>
  <c r="D14" i="4" s="1"/>
  <c r="CC13" i="5"/>
  <c r="FT13" i="4" s="1"/>
  <c r="CC12" i="5"/>
  <c r="AZ31" i="1"/>
  <c r="AZ19" i="1"/>
  <c r="AZ21" i="1"/>
  <c r="EI43" i="4"/>
  <c r="HD37" i="4"/>
  <c r="HD25" i="4"/>
  <c r="HD15" i="4"/>
  <c r="HE12" i="4"/>
  <c r="HD11" i="4"/>
  <c r="EJ41" i="4"/>
  <c r="EJ40" i="4"/>
  <c r="EJ39" i="4"/>
  <c r="EJ38" i="4"/>
  <c r="EJ37" i="4"/>
  <c r="EJ36" i="4"/>
  <c r="EJ35" i="4"/>
  <c r="BN35" i="4"/>
  <c r="BL35" i="4"/>
  <c r="EJ34" i="4"/>
  <c r="BN34" i="4"/>
  <c r="BL34" i="4"/>
  <c r="EJ33" i="4"/>
  <c r="BL33" i="4"/>
  <c r="EJ32" i="4"/>
  <c r="EJ30" i="4"/>
  <c r="EJ28" i="4"/>
  <c r="EJ26" i="4"/>
  <c r="BK26" i="4"/>
  <c r="EJ25" i="4"/>
  <c r="BM25" i="4"/>
  <c r="BK25" i="4"/>
  <c r="EJ24" i="4"/>
  <c r="BK24" i="4"/>
  <c r="BM23" i="4"/>
  <c r="BK23" i="4"/>
  <c r="EJ22" i="4"/>
  <c r="BK22" i="4"/>
  <c r="BM21" i="4"/>
  <c r="BK21" i="4"/>
  <c r="EJ20" i="4"/>
  <c r="BM20" i="4"/>
  <c r="BM19" i="4"/>
  <c r="BK19" i="4"/>
  <c r="EJ18" i="4"/>
  <c r="BK18" i="4"/>
  <c r="BM17" i="4"/>
  <c r="BK17" i="4"/>
  <c r="EJ16" i="4"/>
  <c r="EJ14" i="4"/>
  <c r="EJ13" i="4"/>
  <c r="EJ12" i="4"/>
  <c r="EJ11" i="4"/>
  <c r="DJ11" i="4"/>
  <c r="BZ38" i="4"/>
  <c r="BZ34" i="4"/>
  <c r="BZ30" i="4"/>
  <c r="BZ22" i="4"/>
  <c r="CA16" i="4"/>
  <c r="AD16" i="1" s="1"/>
  <c r="BZ14" i="4"/>
  <c r="BZ40" i="4"/>
  <c r="BZ36" i="4"/>
  <c r="BZ32" i="4"/>
  <c r="BZ28" i="4"/>
  <c r="BZ26" i="4"/>
  <c r="BZ24" i="4"/>
  <c r="CA20" i="4"/>
  <c r="AD20" i="1" s="1"/>
  <c r="BZ18" i="4"/>
  <c r="BZ12" i="4"/>
  <c r="HD39" i="4"/>
  <c r="HD35" i="4"/>
  <c r="HD27" i="4"/>
  <c r="HD23" i="4"/>
  <c r="HD21" i="4"/>
  <c r="HD19" i="4"/>
  <c r="HD18" i="4"/>
  <c r="HD17" i="4"/>
  <c r="HE13" i="4"/>
  <c r="HD13" i="4"/>
  <c r="X41" i="5"/>
  <c r="S41" i="4" s="1"/>
  <c r="T41" i="5"/>
  <c r="S40" i="5"/>
  <c r="I40" i="4"/>
  <c r="S39" i="5"/>
  <c r="F37" i="4"/>
  <c r="I36" i="4"/>
  <c r="FU33" i="4"/>
  <c r="FA30" i="4"/>
  <c r="FV26" i="4"/>
  <c r="FS25" i="4"/>
  <c r="BO16" i="5"/>
  <c r="EY16" i="4" s="1"/>
  <c r="BI16" i="5"/>
  <c r="ES16" i="4" s="1"/>
  <c r="AI16" i="5"/>
  <c r="AK16" i="4" s="1"/>
  <c r="BJ15" i="5"/>
  <c r="ET15" i="4" s="1"/>
  <c r="BH15" i="5"/>
  <c r="ER15" i="4" s="1"/>
  <c r="CQ14" i="5"/>
  <c r="GK14" i="4" s="1"/>
  <c r="CE14" i="5"/>
  <c r="FV14" i="4" s="1"/>
  <c r="BQ14" i="5"/>
  <c r="FA14" i="4" s="1"/>
  <c r="BO14" i="5"/>
  <c r="EY14" i="4" s="1"/>
  <c r="BI14" i="5"/>
  <c r="BG14" i="5"/>
  <c r="EQ14" i="4" s="1"/>
  <c r="CE13" i="5"/>
  <c r="FV13" i="4" s="1"/>
  <c r="CD13" i="5"/>
  <c r="FU13" i="4" s="1"/>
  <c r="CB13" i="5"/>
  <c r="FS13" i="4" s="1"/>
  <c r="BQ13" i="5"/>
  <c r="FA13" i="4" s="1"/>
  <c r="BP13" i="5"/>
  <c r="EZ13" i="4" s="1"/>
  <c r="BN13" i="5"/>
  <c r="EX13" i="4" s="1"/>
  <c r="BJ13" i="5"/>
  <c r="ET13" i="4" s="1"/>
  <c r="BI13" i="5"/>
  <c r="ES13" i="4" s="1"/>
  <c r="BH13" i="5"/>
  <c r="ER13" i="4" s="1"/>
  <c r="AH13" i="5"/>
  <c r="AJ13" i="4" s="1"/>
  <c r="J13" i="5"/>
  <c r="K13" i="4" s="1"/>
  <c r="CD12" i="5"/>
  <c r="CB12" i="5"/>
  <c r="FS12" i="4" s="1"/>
  <c r="BP12" i="5"/>
  <c r="EZ12" i="4" s="1"/>
  <c r="BG12" i="5"/>
  <c r="EQ12" i="4" s="1"/>
  <c r="U12" i="5"/>
  <c r="T12" i="5"/>
  <c r="S12" i="5"/>
  <c r="Q12" i="5"/>
  <c r="J12" i="5"/>
  <c r="K12" i="4" s="1"/>
  <c r="CD11" i="5"/>
  <c r="FU11" i="4" s="1"/>
  <c r="CC11" i="5"/>
  <c r="FT11" i="4" s="1"/>
  <c r="CB11" i="5"/>
  <c r="FS11" i="4" s="1"/>
  <c r="BQ11" i="5"/>
  <c r="BP11" i="5"/>
  <c r="EZ11" i="4" s="1"/>
  <c r="BO11" i="5"/>
  <c r="EY11" i="4" s="1"/>
  <c r="BJ11" i="5"/>
  <c r="ET11" i="4" s="1"/>
  <c r="BH11" i="5"/>
  <c r="Z11" i="5"/>
  <c r="AA11" i="4" s="1"/>
  <c r="X11" i="5"/>
  <c r="S11" i="4" s="1"/>
  <c r="U11" i="5"/>
  <c r="T11" i="5"/>
  <c r="R11" i="5"/>
  <c r="Q11" i="5"/>
  <c r="J11" i="5"/>
  <c r="K11" i="4" s="1"/>
  <c r="J11" i="4"/>
  <c r="X39" i="5"/>
  <c r="S39" i="4" s="1"/>
  <c r="V39" i="5"/>
  <c r="Q39" i="4" s="1"/>
  <c r="HD12" i="4"/>
  <c r="HD14" i="4"/>
  <c r="S35" i="4"/>
  <c r="X40" i="5"/>
  <c r="S40" i="4" s="1"/>
  <c r="HD20" i="4"/>
  <c r="HD24" i="4"/>
  <c r="HD26" i="4"/>
  <c r="HD28" i="4"/>
  <c r="HD29" i="4"/>
  <c r="HD30" i="4"/>
  <c r="HD31" i="4"/>
  <c r="HD32" i="4"/>
  <c r="HD33" i="4"/>
  <c r="J41" i="5"/>
  <c r="K41" i="4" s="1"/>
  <c r="HD34" i="4"/>
  <c r="HD36" i="4"/>
  <c r="HD38" i="4"/>
  <c r="S11" i="5"/>
  <c r="R12" i="5"/>
  <c r="V12" i="5"/>
  <c r="Q12" i="4" s="1"/>
  <c r="Q41" i="5"/>
  <c r="R41" i="5"/>
  <c r="S41" i="5"/>
  <c r="V40" i="5"/>
  <c r="Q40" i="4" s="1"/>
  <c r="V41" i="5"/>
  <c r="Q41" i="4" s="1"/>
  <c r="CE11" i="5"/>
  <c r="FV11" i="4" s="1"/>
  <c r="CE12" i="5"/>
  <c r="FV12" i="4" s="1"/>
  <c r="CB14" i="5"/>
  <c r="FS14" i="4" s="1"/>
  <c r="CD14" i="5"/>
  <c r="FU14" i="4" s="1"/>
  <c r="FS24" i="4"/>
  <c r="FV35" i="4"/>
  <c r="BG11" i="5"/>
  <c r="EQ11" i="4" s="1"/>
  <c r="BN11" i="5"/>
  <c r="EX11" i="4" s="1"/>
  <c r="BI11" i="5"/>
  <c r="ES11" i="4" s="1"/>
  <c r="BN12" i="5"/>
  <c r="EX12" i="4" s="1"/>
  <c r="BH12" i="5"/>
  <c r="ER12" i="4" s="1"/>
  <c r="BO12" i="5"/>
  <c r="EY12" i="4" s="1"/>
  <c r="BI12" i="5"/>
  <c r="ES12" i="4" s="1"/>
  <c r="BJ12" i="5"/>
  <c r="ET12" i="4" s="1"/>
  <c r="BQ12" i="5"/>
  <c r="FA12" i="4" s="1"/>
  <c r="BG13" i="5"/>
  <c r="BO13" i="5"/>
  <c r="EY13" i="4" s="1"/>
  <c r="BN14" i="5"/>
  <c r="EX14" i="4" s="1"/>
  <c r="BH14" i="5"/>
  <c r="ER14" i="4" s="1"/>
  <c r="BP14" i="5"/>
  <c r="EZ14" i="4" s="1"/>
  <c r="BJ14" i="5"/>
  <c r="ET14" i="4" s="1"/>
  <c r="BO15" i="5"/>
  <c r="EY15" i="4" s="1"/>
  <c r="BI15" i="5"/>
  <c r="ES15" i="4" s="1"/>
  <c r="BH16" i="5"/>
  <c r="ER16" i="4" s="1"/>
  <c r="BJ16" i="5"/>
  <c r="ET16" i="4" s="1"/>
  <c r="EQ25" i="4"/>
  <c r="AA11" i="5"/>
  <c r="AB11" i="4" s="1"/>
  <c r="Z12" i="5"/>
  <c r="AA12" i="4" s="1"/>
  <c r="AA12" i="5"/>
  <c r="AB12" i="4" s="1"/>
  <c r="AA39" i="5"/>
  <c r="AB39" i="4" s="1"/>
  <c r="AA40" i="5"/>
  <c r="AB40" i="4" s="1"/>
  <c r="AA41" i="5"/>
  <c r="AB41" i="4" s="1"/>
  <c r="Z39" i="5"/>
  <c r="AA39" i="4" s="1"/>
  <c r="Z40" i="5"/>
  <c r="AA40" i="4" s="1"/>
  <c r="Z41" i="5"/>
  <c r="AA41" i="4" s="1"/>
  <c r="AD11" i="5"/>
  <c r="AF11" i="4" s="1"/>
  <c r="AD12" i="5"/>
  <c r="AF12" i="4" s="1"/>
  <c r="AD13" i="5"/>
  <c r="AF13" i="4" s="1"/>
  <c r="AD14" i="5"/>
  <c r="AF16" i="4"/>
  <c r="AD39" i="5"/>
  <c r="AD40" i="5"/>
  <c r="AF40" i="4" s="1"/>
  <c r="S40" i="1" s="1"/>
  <c r="AD41" i="5"/>
  <c r="AF41" i="4" s="1"/>
  <c r="D11" i="5"/>
  <c r="C11" i="4" s="1"/>
  <c r="F11" i="5"/>
  <c r="E11" i="4" s="1"/>
  <c r="F12" i="5"/>
  <c r="E12" i="4" s="1"/>
  <c r="F13" i="5"/>
  <c r="E13" i="4" s="1"/>
  <c r="C16" i="4"/>
  <c r="C18" i="4"/>
  <c r="C19" i="4"/>
  <c r="D39" i="5"/>
  <c r="C39" i="4" s="1"/>
  <c r="D40" i="5"/>
  <c r="C40" i="4" s="1"/>
  <c r="D41" i="5"/>
  <c r="C41" i="4" s="1"/>
  <c r="J13" i="4"/>
  <c r="J41" i="4"/>
  <c r="I32" i="4"/>
  <c r="I41" i="4"/>
  <c r="G33" i="12"/>
  <c r="G34" i="12"/>
  <c r="G35" i="12"/>
  <c r="G36" i="12"/>
  <c r="G16" i="12"/>
  <c r="W89" i="4" s="1"/>
  <c r="G17" i="12"/>
  <c r="W90" i="4" s="1"/>
  <c r="G18" i="12"/>
  <c r="W91" i="4" s="1"/>
  <c r="G19" i="12"/>
  <c r="DU20" i="4" s="1"/>
  <c r="G20" i="12"/>
  <c r="W93" i="4" s="1"/>
  <c r="G21" i="12"/>
  <c r="W94" i="4" s="1"/>
  <c r="EF53" i="1"/>
  <c r="DW53" i="1"/>
  <c r="DV53" i="1"/>
  <c r="G10" i="12"/>
  <c r="W83" i="4" s="1"/>
  <c r="W84" i="4"/>
  <c r="W87" i="4"/>
  <c r="G15" i="12"/>
  <c r="DU16" i="4" s="1"/>
  <c r="EB53" i="1"/>
  <c r="ED53" i="1"/>
  <c r="DX53" i="1"/>
  <c r="DZ53" i="1"/>
  <c r="BK31" i="4"/>
  <c r="BL31" i="4"/>
  <c r="BM31" i="4"/>
  <c r="BN31" i="4"/>
  <c r="BK32" i="4"/>
  <c r="BL32" i="4"/>
  <c r="BM32" i="4"/>
  <c r="BN32" i="4"/>
  <c r="BK33" i="4"/>
  <c r="BM33" i="4"/>
  <c r="BK34" i="4"/>
  <c r="BM34" i="4"/>
  <c r="BK35" i="4"/>
  <c r="BM35" i="4"/>
  <c r="BK36" i="4"/>
  <c r="BL36" i="4"/>
  <c r="BM36" i="4"/>
  <c r="BN36" i="4"/>
  <c r="BK37" i="4"/>
  <c r="BL37" i="4"/>
  <c r="BM37" i="4"/>
  <c r="BN37" i="4"/>
  <c r="BL24" i="4"/>
  <c r="BN24" i="4"/>
  <c r="BL25" i="4"/>
  <c r="BN25" i="4"/>
  <c r="BL26" i="4"/>
  <c r="BN26" i="4"/>
  <c r="BK27" i="4"/>
  <c r="BL27" i="4"/>
  <c r="BM27" i="4"/>
  <c r="BN27" i="4"/>
  <c r="BK28" i="4"/>
  <c r="BL28" i="4"/>
  <c r="BM28" i="4"/>
  <c r="BN28" i="4"/>
  <c r="BK29" i="4"/>
  <c r="BL29" i="4"/>
  <c r="BM29" i="4"/>
  <c r="BN29" i="4"/>
  <c r="BK30" i="4"/>
  <c r="BL30" i="4"/>
  <c r="BM30" i="4"/>
  <c r="BN30" i="4"/>
  <c r="AJ29" i="4"/>
  <c r="BL17" i="4"/>
  <c r="BN17" i="4"/>
  <c r="BL18" i="4"/>
  <c r="BN18" i="4"/>
  <c r="BL19" i="4"/>
  <c r="BN19" i="4"/>
  <c r="BL20" i="4"/>
  <c r="BN20" i="4"/>
  <c r="BL21" i="4"/>
  <c r="BN21" i="4"/>
  <c r="BL22" i="4"/>
  <c r="BN22" i="4"/>
  <c r="BL23" i="4"/>
  <c r="BN23" i="4"/>
  <c r="BK11" i="4"/>
  <c r="BM11" i="4"/>
  <c r="BK12" i="4"/>
  <c r="BL12" i="4"/>
  <c r="BM12" i="4"/>
  <c r="BN12" i="4"/>
  <c r="BK13" i="4"/>
  <c r="BM13" i="4"/>
  <c r="BK14" i="4"/>
  <c r="BL14" i="4"/>
  <c r="BM14" i="4"/>
  <c r="BN14" i="4"/>
  <c r="BK15" i="4"/>
  <c r="BM15" i="4"/>
  <c r="BK16" i="4"/>
  <c r="BL16" i="4"/>
  <c r="BM16" i="4"/>
  <c r="BN16" i="4"/>
  <c r="O11" i="5"/>
  <c r="P11" i="5"/>
  <c r="O12" i="5"/>
  <c r="P12" i="5"/>
  <c r="L11" i="5"/>
  <c r="M11" i="5"/>
  <c r="N11" i="5"/>
  <c r="L12" i="5"/>
  <c r="M12" i="5"/>
  <c r="N12" i="5"/>
  <c r="AI11" i="5"/>
  <c r="AK11" i="4" s="1"/>
  <c r="AI12" i="5"/>
  <c r="AI13" i="5"/>
  <c r="AK13" i="4" s="1"/>
  <c r="AI14" i="5"/>
  <c r="AK14" i="4" s="1"/>
  <c r="AI15" i="5"/>
  <c r="AK15" i="4" s="1"/>
  <c r="AH11" i="5"/>
  <c r="AH12" i="5"/>
  <c r="AJ12" i="4" s="1"/>
  <c r="AH14" i="5"/>
  <c r="AJ14" i="4" s="1"/>
  <c r="AH15" i="5"/>
  <c r="AJ15" i="4" s="1"/>
  <c r="AH16" i="5"/>
  <c r="AJ16" i="4" s="1"/>
  <c r="AG11" i="5"/>
  <c r="AI11" i="4" s="1"/>
  <c r="AG12" i="5"/>
  <c r="AI12" i="4" s="1"/>
  <c r="AG13" i="5"/>
  <c r="AI13" i="4" s="1"/>
  <c r="AG14" i="5"/>
  <c r="AG15" i="5"/>
  <c r="AI15" i="4" s="1"/>
  <c r="AG16" i="5"/>
  <c r="AI16" i="4" s="1"/>
  <c r="AF12" i="5"/>
  <c r="AH12" i="4" s="1"/>
  <c r="AF13" i="5"/>
  <c r="AH13" i="4" s="1"/>
  <c r="AF14" i="5"/>
  <c r="AH14" i="4" s="1"/>
  <c r="AF15" i="5"/>
  <c r="AH15" i="4" s="1"/>
  <c r="BF11" i="5"/>
  <c r="BF12" i="5"/>
  <c r="BQ12" i="4" s="1"/>
  <c r="BF13" i="5"/>
  <c r="BQ13" i="4" s="1"/>
  <c r="BF14" i="5"/>
  <c r="BQ14" i="4" s="1"/>
  <c r="BF15" i="5"/>
  <c r="BQ15" i="4" s="1"/>
  <c r="BF16" i="5"/>
  <c r="BQ16" i="4" s="1"/>
  <c r="BE11" i="5"/>
  <c r="BP11" i="4" s="1"/>
  <c r="BE12" i="5"/>
  <c r="BP12" i="4" s="1"/>
  <c r="BE13" i="5"/>
  <c r="BE14" i="5"/>
  <c r="BP14" i="4" s="1"/>
  <c r="BE15" i="5"/>
  <c r="BP15" i="4" s="1"/>
  <c r="BE16" i="5"/>
  <c r="BP16" i="4" s="1"/>
  <c r="BJ39" i="5"/>
  <c r="ET39" i="4" s="1"/>
  <c r="BQ39" i="5"/>
  <c r="FA39" i="4" s="1"/>
  <c r="BJ40" i="5"/>
  <c r="ET40" i="4" s="1"/>
  <c r="BQ40" i="5"/>
  <c r="FA40" i="4" s="1"/>
  <c r="BJ41" i="5"/>
  <c r="ET41" i="4" s="1"/>
  <c r="BQ41" i="5"/>
  <c r="FA41" i="4" s="1"/>
  <c r="CE39" i="5"/>
  <c r="FV39" i="4" s="1"/>
  <c r="CE40" i="5"/>
  <c r="FV40" i="4" s="1"/>
  <c r="CE41" i="5"/>
  <c r="BK41" i="4"/>
  <c r="BL41" i="4"/>
  <c r="BM41" i="4"/>
  <c r="BN41" i="4"/>
  <c r="DT41" i="4"/>
  <c r="G40" i="12"/>
  <c r="O41" i="5"/>
  <c r="P41" i="5"/>
  <c r="L41" i="5"/>
  <c r="M41" i="5"/>
  <c r="N41" i="5"/>
  <c r="AI41" i="5"/>
  <c r="AK41" i="4" s="1"/>
  <c r="AH41" i="5"/>
  <c r="AJ41" i="4" s="1"/>
  <c r="M113" i="4" s="1"/>
  <c r="AG41" i="5"/>
  <c r="AI41" i="4" s="1"/>
  <c r="L113" i="4" s="1"/>
  <c r="AF41" i="5"/>
  <c r="AH41" i="4" s="1"/>
  <c r="K113" i="4" s="1"/>
  <c r="BF41" i="5"/>
  <c r="BQ41" i="4" s="1"/>
  <c r="BE41" i="5"/>
  <c r="BP41" i="4" s="1"/>
  <c r="I113" i="4" s="1"/>
  <c r="BK40" i="4"/>
  <c r="BL40" i="4"/>
  <c r="BM40" i="4"/>
  <c r="BN40" i="4"/>
  <c r="HD40" i="4"/>
  <c r="DT40" i="4"/>
  <c r="G39" i="12"/>
  <c r="AI40" i="5"/>
  <c r="AK40" i="4" s="1"/>
  <c r="N112" i="4" s="1"/>
  <c r="AH40" i="5"/>
  <c r="AJ40" i="4" s="1"/>
  <c r="M112" i="4" s="1"/>
  <c r="AG40" i="5"/>
  <c r="AI40" i="4" s="1"/>
  <c r="L112" i="4" s="1"/>
  <c r="AF40" i="5"/>
  <c r="AH40" i="4" s="1"/>
  <c r="BF40" i="5"/>
  <c r="BQ40" i="4" s="1"/>
  <c r="J112" i="4" s="1"/>
  <c r="BE40" i="5"/>
  <c r="BP40" i="4" s="1"/>
  <c r="I112" i="4" s="1"/>
  <c r="BK39" i="4"/>
  <c r="BL39" i="4"/>
  <c r="BM39" i="4"/>
  <c r="BN39" i="4"/>
  <c r="DT39" i="4"/>
  <c r="G38" i="12"/>
  <c r="AI39" i="5"/>
  <c r="AK39" i="4" s="1"/>
  <c r="AH39" i="5"/>
  <c r="AJ39" i="4" s="1"/>
  <c r="AG39" i="5"/>
  <c r="AI39" i="4" s="1"/>
  <c r="AF39" i="5"/>
  <c r="AH39" i="4" s="1"/>
  <c r="BF39" i="5"/>
  <c r="BQ39" i="4" s="1"/>
  <c r="BE39" i="5"/>
  <c r="BP39" i="4" s="1"/>
  <c r="BK38" i="4"/>
  <c r="BL38" i="4"/>
  <c r="BM38" i="4"/>
  <c r="BN38" i="4"/>
  <c r="DT38" i="4"/>
  <c r="DT37" i="4"/>
  <c r="DT36" i="4"/>
  <c r="DT35" i="4"/>
  <c r="DT34" i="4"/>
  <c r="CB39" i="5"/>
  <c r="FS39" i="4" s="1"/>
  <c r="CC39" i="5"/>
  <c r="FT39" i="4" s="1"/>
  <c r="CD39" i="5"/>
  <c r="FU39" i="4" s="1"/>
  <c r="CC40" i="5"/>
  <c r="FT40" i="4" s="1"/>
  <c r="AR40" i="1" s="1"/>
  <c r="CC41" i="5"/>
  <c r="CD40" i="5"/>
  <c r="FU40" i="4" s="1"/>
  <c r="CD41" i="5"/>
  <c r="FU41" i="4" s="1"/>
  <c r="CB40" i="5"/>
  <c r="FS40" i="4" s="1"/>
  <c r="CB41" i="5"/>
  <c r="FS41" i="4" s="1"/>
  <c r="BG39" i="5"/>
  <c r="EQ39" i="4" s="1"/>
  <c r="BN39" i="5"/>
  <c r="EX39" i="4" s="1"/>
  <c r="BH39" i="5"/>
  <c r="ER39" i="4" s="1"/>
  <c r="BO39" i="5"/>
  <c r="BI39" i="5"/>
  <c r="ES39" i="4" s="1"/>
  <c r="BP39" i="5"/>
  <c r="EZ39" i="4" s="1"/>
  <c r="BH40" i="5"/>
  <c r="ER40" i="4" s="1"/>
  <c r="BO40" i="5"/>
  <c r="EY40" i="4" s="1"/>
  <c r="BH41" i="5"/>
  <c r="ER41" i="4" s="1"/>
  <c r="BO41" i="5"/>
  <c r="EY41" i="4" s="1"/>
  <c r="BI40" i="5"/>
  <c r="ES40" i="4" s="1"/>
  <c r="BP40" i="5"/>
  <c r="BI41" i="5"/>
  <c r="ES41" i="4" s="1"/>
  <c r="BP41" i="5"/>
  <c r="EZ41" i="4" s="1"/>
  <c r="BG40" i="5"/>
  <c r="EQ40" i="4" s="1"/>
  <c r="BN40" i="5"/>
  <c r="BG41" i="5"/>
  <c r="EQ41" i="4" s="1"/>
  <c r="BN41" i="5"/>
  <c r="EX41" i="4" s="1"/>
  <c r="F40" i="5"/>
  <c r="E40" i="4" s="1"/>
  <c r="F41" i="5"/>
  <c r="E41" i="4" s="1"/>
  <c r="K13" i="5"/>
  <c r="CT11" i="5"/>
  <c r="GQ11" i="4" s="1"/>
  <c r="CT12" i="5"/>
  <c r="GQ12" i="4" s="1"/>
  <c r="CT13" i="5"/>
  <c r="GQ13" i="4" s="1"/>
  <c r="CT14" i="5"/>
  <c r="CT15" i="5"/>
  <c r="GQ15" i="4" s="1"/>
  <c r="CT16" i="5"/>
  <c r="GQ16" i="4" s="1"/>
  <c r="CT39" i="5"/>
  <c r="GQ39" i="4" s="1"/>
  <c r="CT40" i="5"/>
  <c r="GQ40" i="4" s="1"/>
  <c r="CT41" i="5"/>
  <c r="GQ41" i="4" s="1"/>
  <c r="CQ11" i="5"/>
  <c r="GK11" i="4" s="1"/>
  <c r="CQ12" i="5"/>
  <c r="GK12" i="4" s="1"/>
  <c r="CQ13" i="5"/>
  <c r="GK30" i="4"/>
  <c r="CQ39" i="5"/>
  <c r="GK39" i="4" s="1"/>
  <c r="CQ40" i="5"/>
  <c r="GK40" i="4" s="1"/>
  <c r="CQ41" i="5"/>
  <c r="GK41" i="4" s="1"/>
  <c r="DU54" i="1"/>
  <c r="DU11" i="1"/>
  <c r="DS11" i="1" s="1"/>
  <c r="C7" i="14"/>
  <c r="C17" i="14" s="1"/>
  <c r="B83" i="4"/>
  <c r="B82" i="4" s="1"/>
  <c r="L78" i="4" s="1"/>
  <c r="X11" i="1"/>
  <c r="AQ83" i="4" s="1"/>
  <c r="CD11" i="1"/>
  <c r="HC11" i="4"/>
  <c r="HC12" i="4"/>
  <c r="HC13" i="4"/>
  <c r="HC14" i="4"/>
  <c r="HC15" i="4"/>
  <c r="HC16" i="4"/>
  <c r="HC17" i="4"/>
  <c r="HC18" i="4"/>
  <c r="HC19" i="4"/>
  <c r="HC20" i="4"/>
  <c r="HC21" i="4"/>
  <c r="HC22" i="4"/>
  <c r="HC23" i="4"/>
  <c r="G48" i="16"/>
  <c r="G49" i="16" s="1"/>
  <c r="K11" i="5"/>
  <c r="L11" i="4" s="1"/>
  <c r="K12" i="5"/>
  <c r="L12" i="4" s="1"/>
  <c r="K41" i="5"/>
  <c r="L41" i="4" s="1"/>
  <c r="C48" i="16"/>
  <c r="EF48" i="1"/>
  <c r="EF49" i="1"/>
  <c r="EF50" i="1"/>
  <c r="EF51" i="1"/>
  <c r="EF52" i="1"/>
  <c r="DW48" i="1"/>
  <c r="DW49" i="1"/>
  <c r="DW50" i="1"/>
  <c r="DW51" i="1"/>
  <c r="DW52" i="1"/>
  <c r="DV48" i="1"/>
  <c r="DV49" i="1"/>
  <c r="DV50" i="1"/>
  <c r="DV51" i="1"/>
  <c r="DV52" i="1"/>
  <c r="EB48" i="1"/>
  <c r="EB49" i="1"/>
  <c r="EB50" i="1"/>
  <c r="EC50" i="1" s="1"/>
  <c r="EB51" i="1"/>
  <c r="EB52" i="1"/>
  <c r="ED48" i="1"/>
  <c r="ED49" i="1"/>
  <c r="EE49" i="1" s="1"/>
  <c r="ED50" i="1"/>
  <c r="ED51" i="1"/>
  <c r="ED52" i="1"/>
  <c r="DX48" i="1"/>
  <c r="DX49" i="1"/>
  <c r="DX50" i="1"/>
  <c r="DX51" i="1"/>
  <c r="DX52" i="1"/>
  <c r="DZ48" i="1"/>
  <c r="DZ49" i="1"/>
  <c r="DZ50" i="1"/>
  <c r="DZ51" i="1"/>
  <c r="DZ52" i="1"/>
  <c r="FD29" i="4"/>
  <c r="FO33" i="4"/>
  <c r="FP35" i="4"/>
  <c r="AC15" i="5"/>
  <c r="AE15" i="4" s="1"/>
  <c r="AE15" i="5"/>
  <c r="AG15" i="4" s="1"/>
  <c r="AJ15" i="5"/>
  <c r="AK15" i="5"/>
  <c r="AJ16" i="5"/>
  <c r="AK16" i="5"/>
  <c r="AG33" i="4"/>
  <c r="E39" i="5"/>
  <c r="D39" i="4" s="1"/>
  <c r="CB41" i="4"/>
  <c r="AE41" i="1" s="1"/>
  <c r="HD41" i="4"/>
  <c r="S10" i="12"/>
  <c r="V11" i="8" s="1"/>
  <c r="S13" i="12"/>
  <c r="V14" i="8" s="1"/>
  <c r="S14" i="12"/>
  <c r="V15" i="8" s="1"/>
  <c r="S15" i="12"/>
  <c r="V16" i="8" s="1"/>
  <c r="S16" i="12"/>
  <c r="V17" i="8" s="1"/>
  <c r="S19" i="12"/>
  <c r="V20" i="8" s="1"/>
  <c r="S20" i="12"/>
  <c r="V21" i="8" s="1"/>
  <c r="S22" i="12"/>
  <c r="V23" i="8" s="1"/>
  <c r="S23" i="12"/>
  <c r="V24" i="8" s="1"/>
  <c r="S24" i="12"/>
  <c r="V25" i="8" s="1"/>
  <c r="S25" i="12"/>
  <c r="V26" i="8" s="1"/>
  <c r="V32" i="8"/>
  <c r="S39" i="12"/>
  <c r="V40" i="8" s="1"/>
  <c r="H32" i="15"/>
  <c r="AG84" i="4"/>
  <c r="AG83" i="4"/>
  <c r="GJ42" i="4"/>
  <c r="DA11" i="5"/>
  <c r="GP11" i="4" s="1"/>
  <c r="DA12" i="5"/>
  <c r="GP12" i="4" s="1"/>
  <c r="DA13" i="5"/>
  <c r="GP13" i="4" s="1"/>
  <c r="DA14" i="5"/>
  <c r="DA15" i="5"/>
  <c r="GP15" i="4" s="1"/>
  <c r="DA16" i="5"/>
  <c r="GP16" i="4" s="1"/>
  <c r="DA39" i="5"/>
  <c r="GD39" i="4" s="1"/>
  <c r="DA40" i="5"/>
  <c r="DA41" i="5"/>
  <c r="GP41" i="4" s="1"/>
  <c r="CS11" i="5"/>
  <c r="CS12" i="5"/>
  <c r="GO12" i="4" s="1"/>
  <c r="CS13" i="5"/>
  <c r="GO13" i="4" s="1"/>
  <c r="CS14" i="5"/>
  <c r="GO14" i="4" s="1"/>
  <c r="CS15" i="5"/>
  <c r="GO15" i="4" s="1"/>
  <c r="CS16" i="5"/>
  <c r="GO16" i="4" s="1"/>
  <c r="CS39" i="5"/>
  <c r="GO39" i="4" s="1"/>
  <c r="CS40" i="5"/>
  <c r="GO40" i="4" s="1"/>
  <c r="CS41" i="5"/>
  <c r="GO41" i="4" s="1"/>
  <c r="CZ11" i="5"/>
  <c r="GN11" i="4" s="1"/>
  <c r="CZ12" i="5"/>
  <c r="GN12" i="4" s="1"/>
  <c r="CZ13" i="5"/>
  <c r="CZ14" i="5"/>
  <c r="CZ15" i="5"/>
  <c r="GC15" i="4" s="1"/>
  <c r="CZ16" i="5"/>
  <c r="GN16" i="4" s="1"/>
  <c r="CZ39" i="5"/>
  <c r="CZ40" i="5"/>
  <c r="GN40" i="4" s="1"/>
  <c r="CZ41" i="5"/>
  <c r="GN41" i="4" s="1"/>
  <c r="CR11" i="5"/>
  <c r="GM11" i="4" s="1"/>
  <c r="CR12" i="5"/>
  <c r="CR13" i="5"/>
  <c r="GM13" i="4" s="1"/>
  <c r="CR14" i="5"/>
  <c r="GM14" i="4" s="1"/>
  <c r="CR39" i="5"/>
  <c r="GM39" i="4" s="1"/>
  <c r="CR40" i="5"/>
  <c r="GM40" i="4" s="1"/>
  <c r="CR41" i="5"/>
  <c r="GM41" i="4" s="1"/>
  <c r="GL42" i="4"/>
  <c r="CV11" i="5"/>
  <c r="CV12" i="5"/>
  <c r="GS12" i="4" s="1"/>
  <c r="CV13" i="5"/>
  <c r="GS13" i="4" s="1"/>
  <c r="CV14" i="5"/>
  <c r="GS14" i="4" s="1"/>
  <c r="CV15" i="5"/>
  <c r="GS15" i="4" s="1"/>
  <c r="CV16" i="5"/>
  <c r="GS16" i="4" s="1"/>
  <c r="CV39" i="5"/>
  <c r="GS39" i="4" s="1"/>
  <c r="CV40" i="5"/>
  <c r="GS40" i="4" s="1"/>
  <c r="CV41" i="5"/>
  <c r="GS41" i="4" s="1"/>
  <c r="CY11" i="5"/>
  <c r="CY12" i="5"/>
  <c r="GR12" i="4" s="1"/>
  <c r="CY13" i="5"/>
  <c r="CY14" i="5"/>
  <c r="GR14" i="4" s="1"/>
  <c r="CY15" i="5"/>
  <c r="CY16" i="5"/>
  <c r="GR16" i="4" s="1"/>
  <c r="CY39" i="5"/>
  <c r="CY40" i="5"/>
  <c r="CY41" i="5"/>
  <c r="GR41" i="4" s="1"/>
  <c r="DO11" i="5"/>
  <c r="GT11" i="4" s="1"/>
  <c r="DO12" i="5"/>
  <c r="I16" i="8"/>
  <c r="GT17" i="4"/>
  <c r="DO40" i="5"/>
  <c r="DO41" i="5"/>
  <c r="GT41" i="4" s="1"/>
  <c r="AD83" i="4"/>
  <c r="AD84" i="4"/>
  <c r="AD85" i="4"/>
  <c r="AD86" i="4"/>
  <c r="AD87" i="4"/>
  <c r="AD88" i="4"/>
  <c r="AD89" i="4"/>
  <c r="AD90" i="4"/>
  <c r="AD91" i="4"/>
  <c r="AD92" i="4"/>
  <c r="AD93" i="4"/>
  <c r="AD94" i="4"/>
  <c r="AD95" i="4"/>
  <c r="AD96" i="4"/>
  <c r="AD97" i="4"/>
  <c r="AD98" i="4"/>
  <c r="AD99" i="4"/>
  <c r="AD100" i="4"/>
  <c r="AD101" i="4"/>
  <c r="AD102" i="4"/>
  <c r="AD103" i="4"/>
  <c r="AD104" i="4"/>
  <c r="AD105" i="4"/>
  <c r="AG86" i="4"/>
  <c r="AG88" i="4"/>
  <c r="AG89" i="4"/>
  <c r="AG91" i="4"/>
  <c r="AG92" i="4"/>
  <c r="J5" i="1"/>
  <c r="AJ4" i="8" s="1"/>
  <c r="I5" i="1"/>
  <c r="X5" i="1" s="1"/>
  <c r="BT13" i="7"/>
  <c r="BT12" i="7"/>
  <c r="BT11" i="7"/>
  <c r="BS13" i="7"/>
  <c r="BS12" i="7"/>
  <c r="BS11" i="7"/>
  <c r="BS41" i="7"/>
  <c r="BT41" i="7"/>
  <c r="BT39" i="7"/>
  <c r="BT38" i="7"/>
  <c r="BT37" i="7"/>
  <c r="BT36" i="7"/>
  <c r="BT35" i="7"/>
  <c r="BT34" i="7"/>
  <c r="BT33" i="7"/>
  <c r="BT32" i="7"/>
  <c r="BT31" i="7"/>
  <c r="BT30" i="7"/>
  <c r="BT29" i="7"/>
  <c r="BT28" i="7"/>
  <c r="BT27" i="7"/>
  <c r="BT26" i="7"/>
  <c r="BT25" i="7"/>
  <c r="BT24" i="7"/>
  <c r="BT23" i="7"/>
  <c r="BT22" i="7"/>
  <c r="BT21" i="7"/>
  <c r="BT20" i="7"/>
  <c r="BT19" i="7"/>
  <c r="BT18" i="7"/>
  <c r="BT17" i="7"/>
  <c r="BT16" i="7"/>
  <c r="BT15" i="7"/>
  <c r="BT14" i="7"/>
  <c r="BS39" i="7"/>
  <c r="BS38" i="7"/>
  <c r="BS37" i="7"/>
  <c r="BS36" i="7"/>
  <c r="BS35" i="7"/>
  <c r="BS34" i="7"/>
  <c r="BS33" i="7"/>
  <c r="BS32" i="7"/>
  <c r="BS31" i="7"/>
  <c r="BS30" i="7"/>
  <c r="BS29" i="7"/>
  <c r="BS28" i="7"/>
  <c r="BS27" i="7"/>
  <c r="BS26" i="7"/>
  <c r="BS25" i="7"/>
  <c r="BS24" i="7"/>
  <c r="BS23" i="7"/>
  <c r="BS22" i="7"/>
  <c r="BS21" i="7"/>
  <c r="BS20" i="7"/>
  <c r="BS19" i="7"/>
  <c r="BS18" i="7"/>
  <c r="BS17" i="7"/>
  <c r="BS16" i="7"/>
  <c r="BS15" i="7"/>
  <c r="BS14" i="7"/>
  <c r="BX10" i="7"/>
  <c r="BY10" i="7" s="1"/>
  <c r="BZ10" i="7" s="1"/>
  <c r="CA10" i="7" s="1"/>
  <c r="CB10" i="7" s="1"/>
  <c r="CC10" i="7" s="1"/>
  <c r="CD10" i="7" s="1"/>
  <c r="CE10" i="7" s="1"/>
  <c r="CF10" i="7" s="1"/>
  <c r="CG10" i="7" s="1"/>
  <c r="CH10" i="7" s="1"/>
  <c r="CI10" i="7" s="1"/>
  <c r="CJ10" i="7" s="1"/>
  <c r="CK10" i="7" s="1"/>
  <c r="CL10" i="7" s="1"/>
  <c r="CM10" i="7" s="1"/>
  <c r="CN10" i="7" s="1"/>
  <c r="CO10" i="7" s="1"/>
  <c r="CP10" i="7" s="1"/>
  <c r="CQ10" i="7" s="1"/>
  <c r="CR10" i="7" s="1"/>
  <c r="CS10" i="7" s="1"/>
  <c r="CT10" i="7" s="1"/>
  <c r="CU10" i="7" s="1"/>
  <c r="CV10" i="7" s="1"/>
  <c r="CW10" i="7" s="1"/>
  <c r="CX10" i="7" s="1"/>
  <c r="CY10" i="7" s="1"/>
  <c r="CZ10" i="7" s="1"/>
  <c r="DA10" i="7" s="1"/>
  <c r="DB10" i="7" s="1"/>
  <c r="DC10" i="7" s="1"/>
  <c r="DD10" i="7" s="1"/>
  <c r="DE10" i="7" s="1"/>
  <c r="DF10" i="7" s="1"/>
  <c r="DG10" i="7" s="1"/>
  <c r="DH10" i="7" s="1"/>
  <c r="DI10" i="7" s="1"/>
  <c r="DJ10" i="7" s="1"/>
  <c r="L41" i="12"/>
  <c r="DB11" i="5"/>
  <c r="GE11" i="4" s="1"/>
  <c r="DB12" i="5"/>
  <c r="GE12" i="4" s="1"/>
  <c r="DB13" i="5"/>
  <c r="DB14" i="5"/>
  <c r="GE14" i="4" s="1"/>
  <c r="DB15" i="5"/>
  <c r="GE15" i="4" s="1"/>
  <c r="DB16" i="5"/>
  <c r="GE16" i="4" s="1"/>
  <c r="DB39" i="5"/>
  <c r="GE39" i="4" s="1"/>
  <c r="DB40" i="5"/>
  <c r="GE40" i="4" s="1"/>
  <c r="DB41" i="5"/>
  <c r="GE41" i="4" s="1"/>
  <c r="CU11" i="5"/>
  <c r="GU11" i="4" s="1"/>
  <c r="CU12" i="5"/>
  <c r="GU12" i="4" s="1"/>
  <c r="CU13" i="5"/>
  <c r="GU13" i="4" s="1"/>
  <c r="CU14" i="5"/>
  <c r="GU14" i="4" s="1"/>
  <c r="CU15" i="5"/>
  <c r="GU15" i="4" s="1"/>
  <c r="CU16" i="5"/>
  <c r="GU16" i="4" s="1"/>
  <c r="CU39" i="5"/>
  <c r="GU39" i="4" s="1"/>
  <c r="CU40" i="5"/>
  <c r="GU40" i="4" s="1"/>
  <c r="CU41" i="5"/>
  <c r="GU41" i="4" s="1"/>
  <c r="DR41" i="5"/>
  <c r="DQ41" i="5"/>
  <c r="GH41" i="4" s="1"/>
  <c r="DP41" i="5"/>
  <c r="DR40" i="5"/>
  <c r="L40" i="8" s="1"/>
  <c r="DP40" i="5"/>
  <c r="DR39" i="5"/>
  <c r="DP39" i="5"/>
  <c r="GG39" i="4" s="1"/>
  <c r="GH38" i="4"/>
  <c r="DR16" i="5"/>
  <c r="DQ16" i="5"/>
  <c r="GH16" i="4" s="1"/>
  <c r="DP16" i="5"/>
  <c r="DR15" i="5"/>
  <c r="L15" i="8" s="1"/>
  <c r="DQ15" i="5"/>
  <c r="DP15" i="5"/>
  <c r="GG15" i="4" s="1"/>
  <c r="DR14" i="5"/>
  <c r="DQ14" i="5"/>
  <c r="GH14" i="4" s="1"/>
  <c r="DP14" i="5"/>
  <c r="GG14" i="4" s="1"/>
  <c r="DR13" i="5"/>
  <c r="GI13" i="4" s="1"/>
  <c r="DQ13" i="5"/>
  <c r="DP13" i="5"/>
  <c r="DR12" i="5"/>
  <c r="DQ12" i="5"/>
  <c r="GH12" i="4" s="1"/>
  <c r="DP12" i="5"/>
  <c r="DR11" i="5"/>
  <c r="GI11" i="4" s="1"/>
  <c r="DQ11" i="5"/>
  <c r="K11" i="8" s="1"/>
  <c r="DP11" i="5"/>
  <c r="J11" i="8" s="1"/>
  <c r="G13" i="5"/>
  <c r="F13" i="4" s="1"/>
  <c r="EM42" i="4"/>
  <c r="EL42" i="4"/>
  <c r="G11" i="5"/>
  <c r="F11" i="4" s="1"/>
  <c r="G12" i="5"/>
  <c r="F12" i="4" s="1"/>
  <c r="G41" i="5"/>
  <c r="DH54" i="4"/>
  <c r="AX9" i="18" s="1"/>
  <c r="AX22" i="18" s="1"/>
  <c r="Q22" i="15"/>
  <c r="Q28" i="15" s="1"/>
  <c r="Q41" i="8"/>
  <c r="AG41" i="8" s="1"/>
  <c r="Q40" i="8"/>
  <c r="T40" i="8" s="1"/>
  <c r="Q39" i="8"/>
  <c r="G39" i="8" s="1"/>
  <c r="Q38" i="8"/>
  <c r="T38" i="8" s="1"/>
  <c r="Q37" i="8"/>
  <c r="T37" i="8" s="1"/>
  <c r="Q36" i="8"/>
  <c r="G36" i="8" s="1"/>
  <c r="Q35" i="8"/>
  <c r="Q34" i="8"/>
  <c r="Q33" i="8"/>
  <c r="Q32" i="8"/>
  <c r="Q31" i="8"/>
  <c r="Q30" i="8"/>
  <c r="Q29" i="8"/>
  <c r="R29" i="8" s="1"/>
  <c r="Q28" i="8"/>
  <c r="R28" i="8" s="1"/>
  <c r="Q27" i="8"/>
  <c r="Q12" i="8"/>
  <c r="Q11" i="8"/>
  <c r="Q29" i="15"/>
  <c r="Q27" i="15"/>
  <c r="Q26" i="15"/>
  <c r="Q20" i="15"/>
  <c r="AN16" i="4"/>
  <c r="AO16" i="4"/>
  <c r="AB11" i="5"/>
  <c r="AD11" i="4" s="1"/>
  <c r="AB39" i="5"/>
  <c r="AD39" i="4" s="1"/>
  <c r="AB40" i="5"/>
  <c r="AB41" i="5"/>
  <c r="AD41" i="4" s="1"/>
  <c r="AC11" i="5"/>
  <c r="AE11" i="4" s="1"/>
  <c r="AC12" i="5"/>
  <c r="AE12" i="4" s="1"/>
  <c r="AC13" i="5"/>
  <c r="AC14" i="5"/>
  <c r="AE14" i="4" s="1"/>
  <c r="AC39" i="5"/>
  <c r="AE39" i="4" s="1"/>
  <c r="AC40" i="5"/>
  <c r="AE40" i="4" s="1"/>
  <c r="AC41" i="5"/>
  <c r="AE41" i="4" s="1"/>
  <c r="AN17" i="4"/>
  <c r="AO17" i="4"/>
  <c r="AN18" i="4"/>
  <c r="AO18" i="4"/>
  <c r="AN19" i="4"/>
  <c r="AO19" i="4"/>
  <c r="AN20" i="4"/>
  <c r="AO20" i="4"/>
  <c r="AN21" i="4"/>
  <c r="AO21" i="4"/>
  <c r="G45" i="15"/>
  <c r="G44" i="15"/>
  <c r="BV12" i="7"/>
  <c r="BV13" i="7" s="1"/>
  <c r="BV14" i="7" s="1"/>
  <c r="BV15" i="7" s="1"/>
  <c r="BV16" i="7"/>
  <c r="BV17" i="7" s="1"/>
  <c r="BV18" i="7" s="1"/>
  <c r="BV19" i="7" s="1"/>
  <c r="BV20" i="7" s="1"/>
  <c r="BV21" i="7" s="1"/>
  <c r="BV22" i="7" s="1"/>
  <c r="BV23" i="7" s="1"/>
  <c r="BV24" i="7" s="1"/>
  <c r="BV25" i="7" s="1"/>
  <c r="BV26" i="7" s="1"/>
  <c r="BV27" i="7" s="1"/>
  <c r="BV28" i="7" s="1"/>
  <c r="BV29" i="7" s="1"/>
  <c r="BV30" i="7" s="1"/>
  <c r="BV31" i="7" s="1"/>
  <c r="BV32" i="7" s="1"/>
  <c r="BV33" i="7" s="1"/>
  <c r="BV34" i="7" s="1"/>
  <c r="BV35" i="7" s="1"/>
  <c r="BV36" i="7" s="1"/>
  <c r="BV37" i="7" s="1"/>
  <c r="BV38" i="7" s="1"/>
  <c r="BV39" i="7" s="1"/>
  <c r="BV40" i="7" s="1"/>
  <c r="BV41" i="7" s="1"/>
  <c r="BR12" i="7"/>
  <c r="BR13" i="7" s="1"/>
  <c r="BR14" i="7" s="1"/>
  <c r="BR15" i="7" s="1"/>
  <c r="BR16" i="7" s="1"/>
  <c r="BR17" i="7" s="1"/>
  <c r="BR18" i="7" s="1"/>
  <c r="BR19" i="7" s="1"/>
  <c r="BR20" i="7" s="1"/>
  <c r="BR21" i="7" s="1"/>
  <c r="BR22" i="7" s="1"/>
  <c r="BR23" i="7" s="1"/>
  <c r="BR24" i="7" s="1"/>
  <c r="BR25" i="7" s="1"/>
  <c r="BR26" i="7" s="1"/>
  <c r="BR27" i="7" s="1"/>
  <c r="BR28" i="7" s="1"/>
  <c r="BR29" i="7" s="1"/>
  <c r="BR30" i="7" s="1"/>
  <c r="BR31" i="7" s="1"/>
  <c r="BR32" i="7" s="1"/>
  <c r="BR33" i="7" s="1"/>
  <c r="BR34" i="7" s="1"/>
  <c r="BR35" i="7" s="1"/>
  <c r="BR36" i="7" s="1"/>
  <c r="BR37" i="7" s="1"/>
  <c r="BR38" i="7" s="1"/>
  <c r="BR39" i="7" s="1"/>
  <c r="BR40" i="7" s="1"/>
  <c r="BR41" i="7" s="1"/>
  <c r="W39" i="5"/>
  <c r="R39" i="4" s="1"/>
  <c r="Y39" i="5"/>
  <c r="T39" i="4" s="1"/>
  <c r="W40" i="5"/>
  <c r="R40" i="4" s="1"/>
  <c r="Y40" i="5"/>
  <c r="E13" i="5"/>
  <c r="D13" i="4" s="1"/>
  <c r="HJ11" i="4"/>
  <c r="HJ12" i="4"/>
  <c r="HJ13" i="4"/>
  <c r="HJ14" i="4"/>
  <c r="HK11" i="4"/>
  <c r="HK12" i="4"/>
  <c r="HK13" i="4"/>
  <c r="HK14" i="4"/>
  <c r="HK15" i="4"/>
  <c r="HK16" i="4"/>
  <c r="HK17" i="4"/>
  <c r="HK18" i="4"/>
  <c r="HK19" i="4"/>
  <c r="HK20" i="4"/>
  <c r="HK21" i="4"/>
  <c r="HK22" i="4"/>
  <c r="HK23" i="4"/>
  <c r="HK24" i="4"/>
  <c r="HK25" i="4"/>
  <c r="HK26" i="4"/>
  <c r="HK27" i="4"/>
  <c r="HK28" i="4"/>
  <c r="HK29" i="4"/>
  <c r="HK30" i="4"/>
  <c r="HK31" i="4"/>
  <c r="HK32" i="4"/>
  <c r="HK33" i="4"/>
  <c r="HK34" i="4"/>
  <c r="HK35" i="4"/>
  <c r="HK36" i="4"/>
  <c r="HK37" i="4"/>
  <c r="HK38" i="4"/>
  <c r="HK39" i="4"/>
  <c r="HK40" i="4"/>
  <c r="HK41" i="4"/>
  <c r="HF11" i="4"/>
  <c r="HF12" i="4"/>
  <c r="HF13" i="4"/>
  <c r="HF14" i="4"/>
  <c r="HF15" i="4"/>
  <c r="HF16" i="4"/>
  <c r="HF17" i="4"/>
  <c r="HF18" i="4"/>
  <c r="HF19" i="4"/>
  <c r="HG11" i="4"/>
  <c r="HG12" i="4"/>
  <c r="HG13" i="4"/>
  <c r="HG14" i="4"/>
  <c r="HH11" i="4"/>
  <c r="HH12" i="4"/>
  <c r="HH13" i="4"/>
  <c r="HH14" i="4"/>
  <c r="HI11" i="4"/>
  <c r="HI12" i="4"/>
  <c r="HI13" i="4"/>
  <c r="HI14" i="4"/>
  <c r="BT39" i="5"/>
  <c r="FD39" i="4" s="1"/>
  <c r="BK39" i="5"/>
  <c r="EU39" i="4" s="1"/>
  <c r="BL39" i="5"/>
  <c r="EV39" i="4" s="1"/>
  <c r="BT40" i="5"/>
  <c r="BK40" i="5"/>
  <c r="EU40" i="4" s="1"/>
  <c r="FI40" i="4" s="1"/>
  <c r="BL40" i="5"/>
  <c r="EV40" i="4" s="1"/>
  <c r="BT41" i="5"/>
  <c r="FD41" i="4" s="1"/>
  <c r="BK41" i="5"/>
  <c r="EU41" i="4" s="1"/>
  <c r="BL41" i="5"/>
  <c r="EV41" i="4" s="1"/>
  <c r="FJ41" i="4" s="1"/>
  <c r="Y41" i="1" s="1"/>
  <c r="BS13" i="4"/>
  <c r="BS14" i="4"/>
  <c r="BS15" i="4"/>
  <c r="BM39" i="5"/>
  <c r="EW39" i="4" s="1"/>
  <c r="BR39" i="5"/>
  <c r="FB39" i="4" s="1"/>
  <c r="BM40" i="5"/>
  <c r="EW40" i="4" s="1"/>
  <c r="BR40" i="5"/>
  <c r="E40" i="5"/>
  <c r="D40" i="4" s="1"/>
  <c r="CZ42" i="6"/>
  <c r="DA42" i="6"/>
  <c r="X37" i="8"/>
  <c r="X38" i="8"/>
  <c r="W38" i="8" s="1"/>
  <c r="X39" i="8"/>
  <c r="W39" i="8" s="1"/>
  <c r="X40" i="8"/>
  <c r="X41" i="8"/>
  <c r="X36" i="8"/>
  <c r="W36" i="8" s="1"/>
  <c r="X33" i="8"/>
  <c r="W33" i="8" s="1"/>
  <c r="X34" i="8"/>
  <c r="W34" i="8" s="1"/>
  <c r="X32" i="8"/>
  <c r="W32" i="8" s="1"/>
  <c r="AR12" i="5"/>
  <c r="AX12" i="4" s="1"/>
  <c r="AS12" i="5"/>
  <c r="AY12" i="4" s="1"/>
  <c r="AT12" i="5"/>
  <c r="AZ12" i="4" s="1"/>
  <c r="AU12" i="5"/>
  <c r="AV12" i="5"/>
  <c r="BB12" i="4" s="1"/>
  <c r="AW12" i="5"/>
  <c r="BC12" i="4" s="1"/>
  <c r="AX12" i="5"/>
  <c r="BD12" i="4" s="1"/>
  <c r="AY12" i="5"/>
  <c r="AZ12" i="5"/>
  <c r="BF12" i="4" s="1"/>
  <c r="BA12" i="5"/>
  <c r="BG12" i="4" s="1"/>
  <c r="BB12" i="5"/>
  <c r="BH12" i="4" s="1"/>
  <c r="BC12" i="5"/>
  <c r="BI12" i="4" s="1"/>
  <c r="BD12" i="5"/>
  <c r="BJ12" i="4" s="1"/>
  <c r="BO12" i="4"/>
  <c r="AU12" i="1" s="1"/>
  <c r="BS12" i="4"/>
  <c r="BT12" i="4"/>
  <c r="BU12" i="4"/>
  <c r="BW12" i="4"/>
  <c r="N12" i="1" s="1"/>
  <c r="BX12" i="4"/>
  <c r="BY12" i="4"/>
  <c r="CA12" i="4"/>
  <c r="AD12" i="1" s="1"/>
  <c r="AR13" i="5"/>
  <c r="AX13" i="4" s="1"/>
  <c r="AS13" i="5"/>
  <c r="AY13" i="4" s="1"/>
  <c r="AT13" i="5"/>
  <c r="AZ13" i="4" s="1"/>
  <c r="AU13" i="5"/>
  <c r="BA13" i="4" s="1"/>
  <c r="AV13" i="5"/>
  <c r="BB13" i="4" s="1"/>
  <c r="AW13" i="5"/>
  <c r="BC13" i="4" s="1"/>
  <c r="AX13" i="5"/>
  <c r="AY13" i="5"/>
  <c r="BE13" i="4" s="1"/>
  <c r="AZ13" i="5"/>
  <c r="BF13" i="4" s="1"/>
  <c r="BA13" i="5"/>
  <c r="BG13" i="4" s="1"/>
  <c r="BB13" i="5"/>
  <c r="BC13" i="5"/>
  <c r="BI13" i="4" s="1"/>
  <c r="BD13" i="5"/>
  <c r="BJ13" i="4" s="1"/>
  <c r="BO13" i="4"/>
  <c r="BT13" i="4"/>
  <c r="BU13" i="4"/>
  <c r="BW13" i="4"/>
  <c r="N13" i="1" s="1"/>
  <c r="BX13" i="4"/>
  <c r="BY13" i="4"/>
  <c r="BZ13" i="4"/>
  <c r="AR14" i="5"/>
  <c r="AX14" i="4" s="1"/>
  <c r="AS14" i="5"/>
  <c r="AY14" i="4" s="1"/>
  <c r="AT14" i="5"/>
  <c r="AZ14" i="4" s="1"/>
  <c r="AU14" i="5"/>
  <c r="BA14" i="4" s="1"/>
  <c r="AV14" i="5"/>
  <c r="BB14" i="4" s="1"/>
  <c r="AW14" i="5"/>
  <c r="BC14" i="4" s="1"/>
  <c r="AX14" i="5"/>
  <c r="BD14" i="4" s="1"/>
  <c r="AY14" i="5"/>
  <c r="BE14" i="4" s="1"/>
  <c r="AZ14" i="5"/>
  <c r="BF14" i="4" s="1"/>
  <c r="BA14" i="5"/>
  <c r="BG14" i="4" s="1"/>
  <c r="BB14" i="5"/>
  <c r="BH14" i="4" s="1"/>
  <c r="BC14" i="5"/>
  <c r="BI14" i="4" s="1"/>
  <c r="BD14" i="5"/>
  <c r="BJ14" i="4" s="1"/>
  <c r="BO14" i="4"/>
  <c r="BT14" i="4"/>
  <c r="BU14" i="4"/>
  <c r="BW14" i="4"/>
  <c r="N14" i="1" s="1"/>
  <c r="BX14" i="4"/>
  <c r="BY14" i="4"/>
  <c r="CA14" i="4"/>
  <c r="AD14" i="1" s="1"/>
  <c r="AR15" i="5"/>
  <c r="AX15" i="4" s="1"/>
  <c r="AS15" i="5"/>
  <c r="AY15" i="4" s="1"/>
  <c r="AT15" i="5"/>
  <c r="AZ15" i="4" s="1"/>
  <c r="AU15" i="5"/>
  <c r="BA15" i="4" s="1"/>
  <c r="AV15" i="5"/>
  <c r="BB15" i="4" s="1"/>
  <c r="AW15" i="5"/>
  <c r="BC15" i="4" s="1"/>
  <c r="AX15" i="5"/>
  <c r="BD15" i="4" s="1"/>
  <c r="AY15" i="5"/>
  <c r="BE15" i="4" s="1"/>
  <c r="AZ15" i="5"/>
  <c r="BF15" i="4" s="1"/>
  <c r="BA15" i="5"/>
  <c r="BG15" i="4" s="1"/>
  <c r="BB15" i="5"/>
  <c r="BH15" i="4" s="1"/>
  <c r="BC15" i="5"/>
  <c r="BI15" i="4" s="1"/>
  <c r="BD15" i="5"/>
  <c r="BJ15" i="4" s="1"/>
  <c r="BO15" i="4"/>
  <c r="BT15" i="4"/>
  <c r="BU15" i="4"/>
  <c r="BW15" i="4"/>
  <c r="N15" i="1" s="1"/>
  <c r="BX15" i="4"/>
  <c r="BY15" i="4"/>
  <c r="CA15" i="4"/>
  <c r="AD15" i="1" s="1"/>
  <c r="AR16" i="5"/>
  <c r="AX16" i="4" s="1"/>
  <c r="AS16" i="5"/>
  <c r="AY16" i="4" s="1"/>
  <c r="AT16" i="5"/>
  <c r="AZ16" i="4" s="1"/>
  <c r="AU16" i="5"/>
  <c r="BA16" i="4" s="1"/>
  <c r="AV16" i="5"/>
  <c r="BB16" i="4" s="1"/>
  <c r="AW16" i="5"/>
  <c r="BC16" i="4" s="1"/>
  <c r="AX16" i="5"/>
  <c r="BD16" i="4" s="1"/>
  <c r="AY16" i="5"/>
  <c r="BE16" i="4" s="1"/>
  <c r="AZ16" i="5"/>
  <c r="BF16" i="4" s="1"/>
  <c r="BA16" i="5"/>
  <c r="BG16" i="4" s="1"/>
  <c r="BB16" i="5"/>
  <c r="BH16" i="4" s="1"/>
  <c r="BC16" i="5"/>
  <c r="BI16" i="4" s="1"/>
  <c r="BD16" i="5"/>
  <c r="BJ16" i="4" s="1"/>
  <c r="BO16" i="4"/>
  <c r="BS16" i="4"/>
  <c r="BT16" i="4"/>
  <c r="BU16" i="4"/>
  <c r="BW16" i="4"/>
  <c r="BX16" i="4"/>
  <c r="BY16" i="4"/>
  <c r="BZ16" i="4"/>
  <c r="BO17" i="4"/>
  <c r="BS17" i="4"/>
  <c r="BT17" i="4"/>
  <c r="K17" i="1" s="1"/>
  <c r="BU17" i="4"/>
  <c r="BW17" i="4"/>
  <c r="BX17" i="4"/>
  <c r="BY17" i="4"/>
  <c r="BZ17" i="4"/>
  <c r="BO18" i="4"/>
  <c r="BS18" i="4"/>
  <c r="BT18" i="4"/>
  <c r="BU18" i="4"/>
  <c r="BW18" i="4"/>
  <c r="BX18" i="4"/>
  <c r="BY18" i="4"/>
  <c r="CA18" i="4"/>
  <c r="AD18" i="1" s="1"/>
  <c r="AY19" i="4"/>
  <c r="BO19" i="4"/>
  <c r="BS19" i="4"/>
  <c r="BT19" i="4"/>
  <c r="BU19" i="4"/>
  <c r="BW19" i="4"/>
  <c r="BX19" i="4"/>
  <c r="BY19" i="4"/>
  <c r="CA19" i="4"/>
  <c r="AD19" i="1" s="1"/>
  <c r="BO20" i="4"/>
  <c r="BS20" i="4"/>
  <c r="BT20" i="4"/>
  <c r="BU20" i="4"/>
  <c r="BW20" i="4"/>
  <c r="BX20" i="4"/>
  <c r="BY20" i="4"/>
  <c r="BZ20" i="4"/>
  <c r="EM41" i="4"/>
  <c r="EK41" i="4" s="1"/>
  <c r="EM40" i="4"/>
  <c r="EK40" i="4" s="1"/>
  <c r="EM39" i="4"/>
  <c r="EK39" i="4" s="1"/>
  <c r="EM38" i="4"/>
  <c r="EK38" i="4" s="1"/>
  <c r="EM37" i="4"/>
  <c r="EK37" i="4" s="1"/>
  <c r="EM36" i="4"/>
  <c r="EK36" i="4" s="1"/>
  <c r="EM35" i="4"/>
  <c r="EK35" i="4" s="1"/>
  <c r="EM34" i="4"/>
  <c r="EK34" i="4" s="1"/>
  <c r="EM33" i="4"/>
  <c r="EK33" i="4" s="1"/>
  <c r="EM32" i="4"/>
  <c r="EK32" i="4" s="1"/>
  <c r="EM31" i="4"/>
  <c r="EK31" i="4" s="1"/>
  <c r="EM30" i="4"/>
  <c r="EK30" i="4" s="1"/>
  <c r="EM29" i="4"/>
  <c r="EK29" i="4" s="1"/>
  <c r="EM28" i="4"/>
  <c r="EK28" i="4" s="1"/>
  <c r="EM27" i="4"/>
  <c r="EK27" i="4" s="1"/>
  <c r="EM26" i="4"/>
  <c r="EK26" i="4" s="1"/>
  <c r="EM25" i="4"/>
  <c r="EK25" i="4" s="1"/>
  <c r="EM24" i="4"/>
  <c r="EK24" i="4" s="1"/>
  <c r="EM23" i="4"/>
  <c r="EK23" i="4" s="1"/>
  <c r="EM22" i="4"/>
  <c r="EK22" i="4" s="1"/>
  <c r="EM21" i="4"/>
  <c r="EK21" i="4" s="1"/>
  <c r="EM20" i="4"/>
  <c r="EK20" i="4" s="1"/>
  <c r="EM19" i="4"/>
  <c r="EK19" i="4" s="1"/>
  <c r="EM18" i="4"/>
  <c r="EK18" i="4" s="1"/>
  <c r="EM17" i="4"/>
  <c r="EK17" i="4" s="1"/>
  <c r="EM16" i="4"/>
  <c r="EK16" i="4" s="1"/>
  <c r="EM15" i="4"/>
  <c r="EK15" i="4" s="1"/>
  <c r="EM14" i="4"/>
  <c r="EK14" i="4" s="1"/>
  <c r="EM13" i="4"/>
  <c r="EK13" i="4" s="1"/>
  <c r="EM12" i="4"/>
  <c r="EK12" i="4" s="1"/>
  <c r="EM11" i="4"/>
  <c r="EK11" i="4" s="1"/>
  <c r="DI11" i="5"/>
  <c r="DI12" i="5"/>
  <c r="C12" i="8" s="1"/>
  <c r="DI13" i="5"/>
  <c r="C13" i="8" s="1"/>
  <c r="DI14" i="5"/>
  <c r="C14" i="8" s="1"/>
  <c r="DI15" i="5"/>
  <c r="C15" i="8" s="1"/>
  <c r="DI16" i="5"/>
  <c r="C16" i="8" s="1"/>
  <c r="C32" i="8"/>
  <c r="DI39" i="5"/>
  <c r="C39" i="8" s="1"/>
  <c r="DI40" i="5"/>
  <c r="C40" i="8" s="1"/>
  <c r="DI41" i="5"/>
  <c r="C41" i="8" s="1"/>
  <c r="AL15" i="5"/>
  <c r="AM15" i="5"/>
  <c r="AN15" i="5"/>
  <c r="AO15" i="5"/>
  <c r="AP15" i="5"/>
  <c r="AV15" i="4" s="1"/>
  <c r="AQ15" i="5"/>
  <c r="AW15" i="4" s="1"/>
  <c r="AL16" i="5"/>
  <c r="AM16" i="5"/>
  <c r="AN16" i="5"/>
  <c r="AO16" i="5"/>
  <c r="AP16" i="5"/>
  <c r="AV16" i="4" s="1"/>
  <c r="AQ16" i="5"/>
  <c r="AW16" i="4" s="1"/>
  <c r="BB25" i="4"/>
  <c r="W12" i="5"/>
  <c r="Y12" i="5"/>
  <c r="T12" i="4" s="1"/>
  <c r="FW22" i="4"/>
  <c r="AD32" i="8"/>
  <c r="AF32" i="8" s="1"/>
  <c r="DK11" i="5"/>
  <c r="DK13" i="5"/>
  <c r="E13" i="8" s="1"/>
  <c r="DK14" i="5"/>
  <c r="E14" i="8" s="1"/>
  <c r="DK15" i="5"/>
  <c r="E15" i="8" s="1"/>
  <c r="DK16" i="5"/>
  <c r="E16" i="8" s="1"/>
  <c r="AH91" i="4"/>
  <c r="AH93" i="4"/>
  <c r="DK40" i="5"/>
  <c r="E40" i="8" s="1"/>
  <c r="DK41" i="5"/>
  <c r="E41" i="8" s="1"/>
  <c r="AD33" i="8"/>
  <c r="AF33" i="8" s="1"/>
  <c r="AD31" i="8"/>
  <c r="EL29" i="1"/>
  <c r="EK29" i="1"/>
  <c r="DT11" i="4"/>
  <c r="DT12" i="4"/>
  <c r="DT13" i="4"/>
  <c r="DT14" i="4"/>
  <c r="DT15" i="4"/>
  <c r="DT16" i="4"/>
  <c r="DT17" i="4"/>
  <c r="BO11" i="4"/>
  <c r="BO21" i="4"/>
  <c r="BO22" i="4"/>
  <c r="BO23" i="4"/>
  <c r="BO24" i="4"/>
  <c r="AU24" i="1" s="1"/>
  <c r="BO25" i="4"/>
  <c r="AU25" i="1" s="1"/>
  <c r="BO26" i="4"/>
  <c r="AU26" i="1" s="1"/>
  <c r="BO27" i="4"/>
  <c r="BO28" i="4"/>
  <c r="AU28" i="1" s="1"/>
  <c r="BO29" i="4"/>
  <c r="BO30" i="4"/>
  <c r="AU30" i="1" s="1"/>
  <c r="BO31" i="4"/>
  <c r="BO32" i="4"/>
  <c r="AU32" i="1" s="1"/>
  <c r="BO33" i="4"/>
  <c r="BO34" i="4"/>
  <c r="AU34" i="1" s="1"/>
  <c r="BO35" i="4"/>
  <c r="BO36" i="4"/>
  <c r="AU36" i="1" s="1"/>
  <c r="BO37" i="4"/>
  <c r="BO38" i="4"/>
  <c r="AU38" i="1" s="1"/>
  <c r="BO39" i="4"/>
  <c r="BO40" i="4"/>
  <c r="AU40" i="1" s="1"/>
  <c r="BO41" i="4"/>
  <c r="AU41" i="1" s="1"/>
  <c r="AE11" i="5"/>
  <c r="AG11" i="4" s="1"/>
  <c r="AE12" i="5"/>
  <c r="AE13" i="5"/>
  <c r="AG13" i="4" s="1"/>
  <c r="AE14" i="5"/>
  <c r="AG14" i="4" s="1"/>
  <c r="AE39" i="5"/>
  <c r="AG39" i="4" s="1"/>
  <c r="AE40" i="5"/>
  <c r="AG40" i="4" s="1"/>
  <c r="AE41" i="5"/>
  <c r="AG41" i="4" s="1"/>
  <c r="AD11" i="8"/>
  <c r="AD12" i="8"/>
  <c r="AF12" i="8" s="1"/>
  <c r="AD13" i="8"/>
  <c r="AF13" i="8" s="1"/>
  <c r="AD14" i="8"/>
  <c r="AF14" i="8" s="1"/>
  <c r="AD15" i="8"/>
  <c r="AD16" i="8"/>
  <c r="AD17" i="8"/>
  <c r="AF17" i="8" s="1"/>
  <c r="AD18" i="8"/>
  <c r="AF18" i="8" s="1"/>
  <c r="AD19" i="8"/>
  <c r="AF19" i="8" s="1"/>
  <c r="AD20" i="8"/>
  <c r="AF20" i="8" s="1"/>
  <c r="AD22" i="8"/>
  <c r="AD23" i="8"/>
  <c r="AF23" i="8" s="1"/>
  <c r="AD24" i="8"/>
  <c r="AF24" i="8" s="1"/>
  <c r="AD25" i="8"/>
  <c r="AF25" i="8" s="1"/>
  <c r="AD26" i="8"/>
  <c r="AF26" i="8" s="1"/>
  <c r="AD27" i="8"/>
  <c r="AD28" i="8"/>
  <c r="AF28" i="8" s="1"/>
  <c r="AD29" i="8"/>
  <c r="AF29" i="8" s="1"/>
  <c r="AD30" i="8"/>
  <c r="AF30" i="8" s="1"/>
  <c r="AD34" i="8"/>
  <c r="AF34" i="8" s="1"/>
  <c r="AD35" i="8"/>
  <c r="AF35" i="8" s="1"/>
  <c r="AD36" i="8"/>
  <c r="AF36" i="8" s="1"/>
  <c r="AD37" i="8"/>
  <c r="AD38" i="8"/>
  <c r="AF38" i="8" s="1"/>
  <c r="AD39" i="8"/>
  <c r="AF39" i="8" s="1"/>
  <c r="AD40" i="8"/>
  <c r="AF40" i="8" s="1"/>
  <c r="AD41" i="8"/>
  <c r="W6" i="8"/>
  <c r="ET29" i="1"/>
  <c r="ES29" i="1"/>
  <c r="ER29" i="1"/>
  <c r="EQ29" i="1"/>
  <c r="EP29" i="1"/>
  <c r="S17" i="12"/>
  <c r="V18" i="8" s="1"/>
  <c r="S18" i="12"/>
  <c r="V19" i="8" s="1"/>
  <c r="V30" i="8"/>
  <c r="V31" i="8"/>
  <c r="S37" i="12"/>
  <c r="V38" i="8" s="1"/>
  <c r="S38" i="12"/>
  <c r="V39" i="8" s="1"/>
  <c r="S11" i="12"/>
  <c r="V12" i="8" s="1"/>
  <c r="X15" i="8"/>
  <c r="X16" i="8"/>
  <c r="X20" i="8"/>
  <c r="X28" i="8"/>
  <c r="W28" i="8" s="1"/>
  <c r="X29" i="8"/>
  <c r="X30" i="8"/>
  <c r="X31" i="8"/>
  <c r="X12" i="8"/>
  <c r="X13" i="8"/>
  <c r="AC14" i="8"/>
  <c r="AC15" i="8"/>
  <c r="AF15" i="8"/>
  <c r="AC16" i="8"/>
  <c r="AC17" i="8"/>
  <c r="AC18" i="8"/>
  <c r="AC19" i="8"/>
  <c r="AC20" i="8"/>
  <c r="AC22" i="8"/>
  <c r="AC23" i="8"/>
  <c r="AC24" i="8"/>
  <c r="AC25" i="8"/>
  <c r="AC26" i="8"/>
  <c r="AC27" i="8"/>
  <c r="AF27" i="8"/>
  <c r="AC28" i="8"/>
  <c r="AC29" i="8"/>
  <c r="AC30" i="8"/>
  <c r="AC31" i="8"/>
  <c r="AF31" i="8"/>
  <c r="AC32" i="8"/>
  <c r="AC33" i="8"/>
  <c r="AC34" i="8"/>
  <c r="AC35" i="8"/>
  <c r="AC36" i="8"/>
  <c r="AC37" i="8"/>
  <c r="AF37" i="8"/>
  <c r="AC38" i="8"/>
  <c r="AC39" i="8"/>
  <c r="BH27" i="4"/>
  <c r="DT18" i="4"/>
  <c r="DT19" i="4"/>
  <c r="DT20" i="4"/>
  <c r="Y92" i="4" s="1"/>
  <c r="DT21" i="4"/>
  <c r="Y93" i="4" s="1"/>
  <c r="DT22" i="4"/>
  <c r="DT23" i="4"/>
  <c r="DT24" i="4"/>
  <c r="Y96" i="4" s="1"/>
  <c r="DT25" i="4"/>
  <c r="Y97" i="4" s="1"/>
  <c r="DT26" i="4"/>
  <c r="DT30" i="4"/>
  <c r="DT31" i="4"/>
  <c r="Y103" i="4" s="1"/>
  <c r="DT32" i="4"/>
  <c r="Y104" i="4" s="1"/>
  <c r="DT33" i="4"/>
  <c r="S36" i="12"/>
  <c r="V37" i="8" s="1"/>
  <c r="AJ39" i="5"/>
  <c r="W48" i="5"/>
  <c r="U47" i="4" s="1"/>
  <c r="W49" i="5"/>
  <c r="U48" i="4" s="1"/>
  <c r="W50" i="5"/>
  <c r="U49" i="4" s="1"/>
  <c r="W51" i="5"/>
  <c r="U50" i="4" s="1"/>
  <c r="W52" i="5"/>
  <c r="U51" i="4" s="1"/>
  <c r="V48" i="5"/>
  <c r="T47" i="4" s="1"/>
  <c r="V49" i="5"/>
  <c r="T48" i="4" s="1"/>
  <c r="V50" i="5"/>
  <c r="T49" i="4" s="1"/>
  <c r="V51" i="5"/>
  <c r="T50" i="4" s="1"/>
  <c r="V52" i="5"/>
  <c r="T51" i="4" s="1"/>
  <c r="U48" i="5"/>
  <c r="S47" i="4" s="1"/>
  <c r="U49" i="5"/>
  <c r="S48" i="4" s="1"/>
  <c r="U50" i="5"/>
  <c r="S49" i="4" s="1"/>
  <c r="U51" i="5"/>
  <c r="S50" i="4" s="1"/>
  <c r="U52" i="5"/>
  <c r="S51" i="4" s="1"/>
  <c r="T48" i="5"/>
  <c r="R47" i="4" s="1"/>
  <c r="T49" i="5"/>
  <c r="R48" i="4" s="1"/>
  <c r="T50" i="5"/>
  <c r="R49" i="4" s="1"/>
  <c r="T51" i="5"/>
  <c r="R50" i="4" s="1"/>
  <c r="T52" i="5"/>
  <c r="R51" i="4" s="1"/>
  <c r="S48" i="5"/>
  <c r="Q47" i="4" s="1"/>
  <c r="S49" i="5"/>
  <c r="Q48" i="4" s="1"/>
  <c r="S50" i="5"/>
  <c r="Q49" i="4" s="1"/>
  <c r="S51" i="5"/>
  <c r="Q50" i="4" s="1"/>
  <c r="S52" i="5"/>
  <c r="Q51" i="4" s="1"/>
  <c r="R48" i="5"/>
  <c r="P47" i="4" s="1"/>
  <c r="R49" i="5"/>
  <c r="P48" i="4" s="1"/>
  <c r="R50" i="5"/>
  <c r="P49" i="4" s="1"/>
  <c r="R51" i="5"/>
  <c r="P50" i="4" s="1"/>
  <c r="R52" i="5"/>
  <c r="P51" i="4" s="1"/>
  <c r="Q48" i="5"/>
  <c r="O47" i="4" s="1"/>
  <c r="Q49" i="5"/>
  <c r="O48" i="4" s="1"/>
  <c r="Q50" i="5"/>
  <c r="O49" i="4" s="1"/>
  <c r="Q51" i="5"/>
  <c r="O50" i="4" s="1"/>
  <c r="Q52" i="5"/>
  <c r="O51" i="4" s="1"/>
  <c r="P48" i="5"/>
  <c r="N47" i="4" s="1"/>
  <c r="P49" i="5"/>
  <c r="N48" i="4" s="1"/>
  <c r="P50" i="5"/>
  <c r="N49" i="4" s="1"/>
  <c r="P51" i="5"/>
  <c r="N50" i="4" s="1"/>
  <c r="P52" i="5"/>
  <c r="N51" i="4" s="1"/>
  <c r="P11" i="8"/>
  <c r="P12" i="8"/>
  <c r="P40" i="8"/>
  <c r="P41" i="8"/>
  <c r="BS21" i="4"/>
  <c r="BS22" i="4"/>
  <c r="BS23" i="4"/>
  <c r="I23" i="1" s="1"/>
  <c r="BS24" i="4"/>
  <c r="BS25" i="4"/>
  <c r="BS26" i="4"/>
  <c r="I26" i="1" s="1"/>
  <c r="BS27" i="4"/>
  <c r="AJ14" i="5"/>
  <c r="AK14" i="5"/>
  <c r="AL14" i="5"/>
  <c r="D10" i="7"/>
  <c r="E10" i="7" s="1"/>
  <c r="F10" i="7" s="1"/>
  <c r="G10" i="7" s="1"/>
  <c r="H10" i="7" s="1"/>
  <c r="I10" i="7" s="1"/>
  <c r="J10" i="7" s="1"/>
  <c r="K10" i="7" s="1"/>
  <c r="L10" i="7" s="1"/>
  <c r="M10" i="7" s="1"/>
  <c r="N10" i="7" s="1"/>
  <c r="O10" i="7" s="1"/>
  <c r="P10" i="7" s="1"/>
  <c r="Q10" i="7" s="1"/>
  <c r="R10" i="7" s="1"/>
  <c r="S10" i="7" s="1"/>
  <c r="T10" i="7" s="1"/>
  <c r="U10" i="7" s="1"/>
  <c r="V10" i="7" s="1"/>
  <c r="W10" i="7" s="1"/>
  <c r="X10" i="7" s="1"/>
  <c r="Y10" i="7" s="1"/>
  <c r="Z10" i="7" s="1"/>
  <c r="AA10" i="7" s="1"/>
  <c r="AB10" i="7" s="1"/>
  <c r="AC10" i="7" s="1"/>
  <c r="AE10" i="7" s="1"/>
  <c r="AF10" i="7" s="1"/>
  <c r="AG10" i="7" s="1"/>
  <c r="AH10" i="7" s="1"/>
  <c r="AY39" i="5"/>
  <c r="BE39" i="4" s="1"/>
  <c r="BE35" i="4"/>
  <c r="AY11" i="5"/>
  <c r="BE11" i="4" s="1"/>
  <c r="E10" i="5"/>
  <c r="F10" i="5" s="1"/>
  <c r="G10" i="5" s="1"/>
  <c r="H10" i="5" s="1"/>
  <c r="I10" i="5" s="1"/>
  <c r="J10" i="5" s="1"/>
  <c r="K10" i="5" s="1"/>
  <c r="L10" i="5" s="1"/>
  <c r="M10" i="5" s="1"/>
  <c r="N10" i="5" s="1"/>
  <c r="O10" i="5" s="1"/>
  <c r="P10" i="5" s="1"/>
  <c r="Q10" i="5" s="1"/>
  <c r="R10" i="5" s="1"/>
  <c r="S10" i="5" s="1"/>
  <c r="T10" i="5" s="1"/>
  <c r="U10" i="5" s="1"/>
  <c r="V10" i="5" s="1"/>
  <c r="W10" i="5" s="1"/>
  <c r="X10" i="5" s="1"/>
  <c r="Y10" i="5" s="1"/>
  <c r="Z10" i="5" s="1"/>
  <c r="AA10" i="5" s="1"/>
  <c r="AB10" i="5" s="1"/>
  <c r="AC10" i="5" s="1"/>
  <c r="AD10" i="5" s="1"/>
  <c r="AE10" i="5" s="1"/>
  <c r="AF10" i="5" s="1"/>
  <c r="AG10" i="5" s="1"/>
  <c r="AH10" i="5" s="1"/>
  <c r="AI10" i="5" s="1"/>
  <c r="AJ10" i="5" s="1"/>
  <c r="AK10" i="5" s="1"/>
  <c r="AL10" i="5" s="1"/>
  <c r="AM10" i="5" s="1"/>
  <c r="AN10" i="5" s="1"/>
  <c r="AO10" i="5" s="1"/>
  <c r="AP10" i="5" s="1"/>
  <c r="AQ10" i="5" s="1"/>
  <c r="AR10" i="5" s="1"/>
  <c r="AS10" i="5" s="1"/>
  <c r="AT10" i="5" s="1"/>
  <c r="AU10" i="5" s="1"/>
  <c r="AV10" i="5" s="1"/>
  <c r="AW10" i="5" s="1"/>
  <c r="AX10" i="5" s="1"/>
  <c r="AY10" i="5" s="1"/>
  <c r="AZ10" i="5" s="1"/>
  <c r="BA10" i="5" s="1"/>
  <c r="BB10" i="5" s="1"/>
  <c r="BC10" i="5" s="1"/>
  <c r="BD10" i="5" s="1"/>
  <c r="BE10" i="5" s="1"/>
  <c r="BF10" i="5" s="1"/>
  <c r="BG10" i="5" s="1"/>
  <c r="BH10" i="5" s="1"/>
  <c r="BI10" i="5" s="1"/>
  <c r="BJ10" i="5" s="1"/>
  <c r="BK10" i="5" s="1"/>
  <c r="BL10" i="5" s="1"/>
  <c r="BM10" i="5" s="1"/>
  <c r="BN10" i="5" s="1"/>
  <c r="BO10" i="5" s="1"/>
  <c r="BP10" i="5" s="1"/>
  <c r="BQ10" i="5" s="1"/>
  <c r="BR10" i="5" s="1"/>
  <c r="BS10" i="5" s="1"/>
  <c r="BT10" i="5" s="1"/>
  <c r="BU10" i="5" s="1"/>
  <c r="BV10" i="5" s="1"/>
  <c r="BW10" i="5" s="1"/>
  <c r="BX10" i="5" s="1"/>
  <c r="BY10" i="5" s="1"/>
  <c r="BZ10" i="5" s="1"/>
  <c r="CA10" i="5" s="1"/>
  <c r="CB10" i="5" s="1"/>
  <c r="CC10" i="5" s="1"/>
  <c r="CD10" i="5" s="1"/>
  <c r="CE10" i="5" s="1"/>
  <c r="CF10" i="5" s="1"/>
  <c r="CG10" i="5" s="1"/>
  <c r="CH10" i="5" s="1"/>
  <c r="CI10" i="5" s="1"/>
  <c r="CJ10" i="5" s="1"/>
  <c r="CK10" i="5" s="1"/>
  <c r="CL10" i="5" s="1"/>
  <c r="CM10" i="5" s="1"/>
  <c r="CN10" i="5" s="1"/>
  <c r="CO10" i="5" s="1"/>
  <c r="CP10" i="5" s="1"/>
  <c r="CQ10" i="5" s="1"/>
  <c r="CR10" i="5" s="1"/>
  <c r="CS10" i="5" s="1"/>
  <c r="CT10" i="5" s="1"/>
  <c r="CU10" i="5" s="1"/>
  <c r="CV10" i="5" s="1"/>
  <c r="CW10" i="5" s="1"/>
  <c r="CX10" i="5" s="1"/>
  <c r="CY10" i="5" s="1"/>
  <c r="CZ10" i="5" s="1"/>
  <c r="DA10" i="5" s="1"/>
  <c r="DB10" i="5" s="1"/>
  <c r="DC10" i="5" s="1"/>
  <c r="DD10" i="5" s="1"/>
  <c r="DE10" i="5" s="1"/>
  <c r="DF10" i="5" s="1"/>
  <c r="DG10" i="5" s="1"/>
  <c r="DH10" i="5" s="1"/>
  <c r="DI10" i="5" s="1"/>
  <c r="DJ10" i="5" s="1"/>
  <c r="DK10" i="5" s="1"/>
  <c r="DL10" i="5" s="1"/>
  <c r="DM10" i="5" s="1"/>
  <c r="DN10" i="5" s="1"/>
  <c r="DO10" i="5" s="1"/>
  <c r="DP10" i="5" s="1"/>
  <c r="DQ10" i="5" s="1"/>
  <c r="DR10" i="5" s="1"/>
  <c r="AS11" i="5"/>
  <c r="AY11" i="4" s="1"/>
  <c r="AS39" i="5"/>
  <c r="AY39" i="4" s="1"/>
  <c r="AS40" i="5"/>
  <c r="AY40" i="4" s="1"/>
  <c r="AS41" i="5"/>
  <c r="AY41" i="4" s="1"/>
  <c r="AY41" i="5"/>
  <c r="BE41" i="4" s="1"/>
  <c r="AY40" i="5"/>
  <c r="BE40" i="4" s="1"/>
  <c r="D10" i="4"/>
  <c r="E10" i="4" s="1"/>
  <c r="F10" i="4" s="1"/>
  <c r="G10" i="4" s="1"/>
  <c r="H10" i="4" s="1"/>
  <c r="I10" i="4" s="1"/>
  <c r="J10" i="4" s="1"/>
  <c r="K10" i="4" s="1"/>
  <c r="L10" i="4" s="1"/>
  <c r="M10" i="4" s="1"/>
  <c r="N10" i="4" s="1"/>
  <c r="O10" i="4" s="1"/>
  <c r="P10" i="4" s="1"/>
  <c r="Q10" i="4" s="1"/>
  <c r="R10" i="4" s="1"/>
  <c r="S10" i="4" s="1"/>
  <c r="T10" i="4" s="1"/>
  <c r="U10" i="4" s="1"/>
  <c r="V10" i="4" s="1"/>
  <c r="AA10" i="4" s="1"/>
  <c r="AB10" i="4" s="1"/>
  <c r="AC10" i="4" s="1"/>
  <c r="AD10" i="4" s="1"/>
  <c r="AE10" i="4" s="1"/>
  <c r="AF10" i="4" s="1"/>
  <c r="AG10" i="4" s="1"/>
  <c r="AH10" i="4" s="1"/>
  <c r="AI10" i="4" s="1"/>
  <c r="AJ10" i="4" s="1"/>
  <c r="AK10" i="4" s="1"/>
  <c r="AL10" i="4" s="1"/>
  <c r="AM10" i="4" s="1"/>
  <c r="AN10" i="4" s="1"/>
  <c r="AO10" i="4" s="1"/>
  <c r="AP10" i="4" s="1"/>
  <c r="AQ10" i="4" s="1"/>
  <c r="AR10" i="4" s="1"/>
  <c r="AS10" i="4" s="1"/>
  <c r="AV10" i="4" s="1"/>
  <c r="AW10" i="4" s="1"/>
  <c r="AX10" i="4" s="1"/>
  <c r="AY10" i="4" s="1"/>
  <c r="AZ10" i="4" s="1"/>
  <c r="BA10" i="4" s="1"/>
  <c r="BB10" i="4" s="1"/>
  <c r="BC10" i="4" s="1"/>
  <c r="BD10" i="4" s="1"/>
  <c r="BE10" i="4" s="1"/>
  <c r="BF10" i="4" s="1"/>
  <c r="BG10" i="4" s="1"/>
  <c r="BH10" i="4" s="1"/>
  <c r="BI10" i="4" s="1"/>
  <c r="BJ10" i="4" s="1"/>
  <c r="BK10" i="4" s="1"/>
  <c r="BL10" i="4" s="1"/>
  <c r="BM10" i="4" s="1"/>
  <c r="BN10" i="4" s="1"/>
  <c r="BO10" i="4" s="1"/>
  <c r="BP10" i="4" s="1"/>
  <c r="BQ10" i="4" s="1"/>
  <c r="BR10" i="4" s="1"/>
  <c r="BS10" i="4" s="1"/>
  <c r="BT10" i="4" s="1"/>
  <c r="BU10" i="4" s="1"/>
  <c r="BV10" i="4" s="1"/>
  <c r="BW10" i="4" s="1"/>
  <c r="BX10" i="4" s="1"/>
  <c r="BY10" i="4" s="1"/>
  <c r="BZ10" i="4" s="1"/>
  <c r="CB10" i="4" s="1"/>
  <c r="AY42" i="6"/>
  <c r="L10" i="2"/>
  <c r="L13" i="2"/>
  <c r="EA48" i="1"/>
  <c r="L14" i="2"/>
  <c r="B44" i="15"/>
  <c r="AY38" i="10"/>
  <c r="AZ38" i="10" s="1"/>
  <c r="AY37" i="10"/>
  <c r="AS37" i="10" s="1"/>
  <c r="AT37" i="10" s="1"/>
  <c r="AY36" i="10"/>
  <c r="AU36" i="10" s="1"/>
  <c r="AV36" i="10" s="1"/>
  <c r="DF39" i="4" s="1"/>
  <c r="DG39" i="4" s="1"/>
  <c r="AY35" i="10"/>
  <c r="AZ35" i="10" s="1"/>
  <c r="AY34" i="10"/>
  <c r="AU34" i="10" s="1"/>
  <c r="AV34" i="10" s="1"/>
  <c r="DF37" i="4" s="1"/>
  <c r="DG37" i="4" s="1"/>
  <c r="AY33" i="10"/>
  <c r="AZ33" i="10" s="1"/>
  <c r="AY32" i="10"/>
  <c r="AU32" i="10" s="1"/>
  <c r="AV32" i="10" s="1"/>
  <c r="DF35" i="4" s="1"/>
  <c r="DG35" i="4" s="1"/>
  <c r="AY31" i="10"/>
  <c r="AZ31" i="10" s="1"/>
  <c r="AY30" i="10"/>
  <c r="AU30" i="10" s="1"/>
  <c r="AV30" i="10" s="1"/>
  <c r="DF33" i="4" s="1"/>
  <c r="DG33" i="4" s="1"/>
  <c r="AY29" i="10"/>
  <c r="AZ29" i="10" s="1"/>
  <c r="AY28" i="10"/>
  <c r="AU28" i="10" s="1"/>
  <c r="AV28" i="10" s="1"/>
  <c r="DF31" i="4" s="1"/>
  <c r="DG31" i="4" s="1"/>
  <c r="AY27" i="10"/>
  <c r="AZ27" i="10" s="1"/>
  <c r="AY26" i="10"/>
  <c r="AU26" i="10" s="1"/>
  <c r="AY25" i="10"/>
  <c r="AZ25" i="10" s="1"/>
  <c r="AY24" i="10"/>
  <c r="AZ24" i="10" s="1"/>
  <c r="AY23" i="10"/>
  <c r="AZ23" i="10" s="1"/>
  <c r="AY22" i="10"/>
  <c r="AU22" i="10" s="1"/>
  <c r="AY21" i="10"/>
  <c r="AZ21" i="10" s="1"/>
  <c r="AY20" i="10"/>
  <c r="AZ20" i="10" s="1"/>
  <c r="AY19" i="10"/>
  <c r="AZ19" i="10" s="1"/>
  <c r="AY18" i="10"/>
  <c r="AU18" i="10" s="1"/>
  <c r="AY17" i="10"/>
  <c r="AZ17" i="10" s="1"/>
  <c r="AY16" i="10"/>
  <c r="AZ16" i="10" s="1"/>
  <c r="AY15" i="10"/>
  <c r="AZ15" i="10" s="1"/>
  <c r="AY14" i="10"/>
  <c r="AU14" i="10" s="1"/>
  <c r="AY13" i="10"/>
  <c r="AZ13" i="10" s="1"/>
  <c r="AY12" i="10"/>
  <c r="AZ12" i="10" s="1"/>
  <c r="AY11" i="10"/>
  <c r="AZ11" i="10" s="1"/>
  <c r="AY10" i="10"/>
  <c r="AU10" i="10" s="1"/>
  <c r="AY9" i="10"/>
  <c r="AZ9" i="10" s="1"/>
  <c r="AY8" i="10"/>
  <c r="AZ8" i="10" s="1"/>
  <c r="BX11" i="5"/>
  <c r="FO11" i="4" s="1"/>
  <c r="BX12" i="5"/>
  <c r="FO12" i="4" s="1"/>
  <c r="BX13" i="5"/>
  <c r="FO13" i="4" s="1"/>
  <c r="BX14" i="5"/>
  <c r="FO14" i="4" s="1"/>
  <c r="BX39" i="5"/>
  <c r="FO39" i="4" s="1"/>
  <c r="BX40" i="5"/>
  <c r="FO40" i="4" s="1"/>
  <c r="BX41" i="5"/>
  <c r="FO41" i="4" s="1"/>
  <c r="BW11" i="5"/>
  <c r="BW12" i="5"/>
  <c r="FN12" i="4" s="1"/>
  <c r="BW13" i="5"/>
  <c r="FN13" i="4" s="1"/>
  <c r="BW14" i="5"/>
  <c r="FN14" i="4" s="1"/>
  <c r="BW39" i="5"/>
  <c r="FN39" i="4" s="1"/>
  <c r="BW40" i="5"/>
  <c r="FN40" i="4" s="1"/>
  <c r="BW41" i="5"/>
  <c r="FN41" i="4" s="1"/>
  <c r="BV11" i="5"/>
  <c r="FM11" i="4" s="1"/>
  <c r="BV12" i="5"/>
  <c r="FM12" i="4" s="1"/>
  <c r="BV13" i="5"/>
  <c r="FM13" i="4" s="1"/>
  <c r="BV14" i="5"/>
  <c r="BV39" i="5"/>
  <c r="FM39" i="4" s="1"/>
  <c r="BV40" i="5"/>
  <c r="FM40" i="4" s="1"/>
  <c r="BV41" i="5"/>
  <c r="FM41" i="4" s="1"/>
  <c r="BU11" i="5"/>
  <c r="FL11" i="4" s="1"/>
  <c r="BU12" i="5"/>
  <c r="FL12" i="4" s="1"/>
  <c r="BU13" i="5"/>
  <c r="BU14" i="5"/>
  <c r="FL14" i="4" s="1"/>
  <c r="BU39" i="5"/>
  <c r="FL39" i="4" s="1"/>
  <c r="BU40" i="5"/>
  <c r="FL40" i="4" s="1"/>
  <c r="BU41" i="5"/>
  <c r="FL41" i="4" s="1"/>
  <c r="M45" i="15"/>
  <c r="M44" i="15"/>
  <c r="B45" i="15"/>
  <c r="EU29" i="1"/>
  <c r="AJ13" i="5"/>
  <c r="J44" i="15"/>
  <c r="EO29" i="1"/>
  <c r="EN29" i="1"/>
  <c r="EM29" i="1"/>
  <c r="EJ29" i="1"/>
  <c r="E41" i="5"/>
  <c r="D41" i="4" s="1"/>
  <c r="E11" i="5"/>
  <c r="D11" i="4" s="1"/>
  <c r="E12" i="5"/>
  <c r="D10" i="8"/>
  <c r="E10" i="8" s="1"/>
  <c r="F10" i="8" s="1"/>
  <c r="G10" i="8" s="1"/>
  <c r="H10" i="8" s="1"/>
  <c r="I10" i="8" s="1"/>
  <c r="J10" i="8" s="1"/>
  <c r="K10" i="8" s="1"/>
  <c r="L10" i="8" s="1"/>
  <c r="O10" i="8" s="1"/>
  <c r="P10" i="8" s="1"/>
  <c r="Q10" i="8" s="1"/>
  <c r="R10" i="8" s="1"/>
  <c r="S10" i="8" s="1"/>
  <c r="T10" i="8" s="1"/>
  <c r="U10" i="8" s="1"/>
  <c r="V10" i="8" s="1"/>
  <c r="W10" i="8" s="1"/>
  <c r="X10" i="8" s="1"/>
  <c r="Y10" i="8" s="1"/>
  <c r="Z10" i="8" s="1"/>
  <c r="AA10" i="8" s="1"/>
  <c r="AB10" i="8" s="1"/>
  <c r="AC10" i="8" s="1"/>
  <c r="AD10" i="8" s="1"/>
  <c r="AE10" i="8" s="1"/>
  <c r="AF10" i="8" s="1"/>
  <c r="AG10" i="8" s="1"/>
  <c r="AH10" i="8" s="1"/>
  <c r="AI10" i="8" s="1"/>
  <c r="AJ10" i="8" s="1"/>
  <c r="AM10" i="8" s="1"/>
  <c r="AN10" i="8" s="1"/>
  <c r="AO10" i="8" s="1"/>
  <c r="AP10" i="8" s="1"/>
  <c r="AQ10" i="8" s="1"/>
  <c r="AR10" i="8" s="1"/>
  <c r="AS10" i="8" s="1"/>
  <c r="AT10" i="8" s="1"/>
  <c r="AW10" i="10"/>
  <c r="AX10" i="10" s="1"/>
  <c r="AW11" i="10"/>
  <c r="AX11" i="10" s="1"/>
  <c r="DH14" i="4" s="1"/>
  <c r="DI14" i="4" s="1"/>
  <c r="AW12" i="10"/>
  <c r="AX12" i="10" s="1"/>
  <c r="AW13" i="10"/>
  <c r="AX13" i="10" s="1"/>
  <c r="DH16" i="4" s="1"/>
  <c r="DI16" i="4" s="1"/>
  <c r="AW14" i="10"/>
  <c r="AX14" i="10" s="1"/>
  <c r="DH17" i="4" s="1"/>
  <c r="AW15" i="10"/>
  <c r="AX15" i="10" s="1"/>
  <c r="DH18" i="4" s="1"/>
  <c r="DI18" i="4" s="1"/>
  <c r="AW16" i="10"/>
  <c r="AX16" i="10" s="1"/>
  <c r="AW17" i="10"/>
  <c r="AX17" i="10" s="1"/>
  <c r="DH20" i="4" s="1"/>
  <c r="DI20" i="4" s="1"/>
  <c r="AW18" i="10"/>
  <c r="AX18" i="10" s="1"/>
  <c r="DH21" i="4" s="1"/>
  <c r="DI21" i="4" s="1"/>
  <c r="AW19" i="10"/>
  <c r="AX19" i="10" s="1"/>
  <c r="DH22" i="4" s="1"/>
  <c r="DI22" i="4" s="1"/>
  <c r="AW20" i="10"/>
  <c r="AX20" i="10" s="1"/>
  <c r="DH23" i="4" s="1"/>
  <c r="DI23" i="4" s="1"/>
  <c r="AW21" i="10"/>
  <c r="AX21" i="10" s="1"/>
  <c r="DH24" i="4" s="1"/>
  <c r="DI24" i="4" s="1"/>
  <c r="DZ37" i="4"/>
  <c r="G49" i="5"/>
  <c r="F49" i="5"/>
  <c r="E49" i="5"/>
  <c r="G48" i="5"/>
  <c r="F48" i="5"/>
  <c r="E48" i="5"/>
  <c r="G47" i="5"/>
  <c r="F47" i="5"/>
  <c r="E47" i="5"/>
  <c r="AL39" i="5"/>
  <c r="AN39" i="5"/>
  <c r="AL40" i="5"/>
  <c r="AN40" i="5"/>
  <c r="Y41" i="5"/>
  <c r="T41" i="4" s="1"/>
  <c r="W41" i="5"/>
  <c r="R41" i="4" s="1"/>
  <c r="Y11" i="5"/>
  <c r="T11" i="4" s="1"/>
  <c r="W11" i="5"/>
  <c r="R11" i="4" s="1"/>
  <c r="CA40" i="4"/>
  <c r="AD40" i="1" s="1"/>
  <c r="CA38" i="4"/>
  <c r="AD38" i="1" s="1"/>
  <c r="CA36" i="4"/>
  <c r="AD36" i="1" s="1"/>
  <c r="CA34" i="4"/>
  <c r="AD34" i="1" s="1"/>
  <c r="CA32" i="4"/>
  <c r="AD32" i="1" s="1"/>
  <c r="CA30" i="4"/>
  <c r="AD30" i="1" s="1"/>
  <c r="CA28" i="4"/>
  <c r="AD28" i="1" s="1"/>
  <c r="CA26" i="4"/>
  <c r="AD26" i="1" s="1"/>
  <c r="CA24" i="4"/>
  <c r="AD24" i="1" s="1"/>
  <c r="CA22" i="4"/>
  <c r="AD22" i="1" s="1"/>
  <c r="BZ41" i="4"/>
  <c r="BZ37" i="4"/>
  <c r="BZ33" i="4"/>
  <c r="BZ29" i="4"/>
  <c r="BZ25" i="4"/>
  <c r="BZ21" i="4"/>
  <c r="B8" i="14"/>
  <c r="B9" i="14" s="1"/>
  <c r="B10" i="14" s="1"/>
  <c r="B11" i="14" s="1"/>
  <c r="B21" i="14" s="1"/>
  <c r="EA11" i="4"/>
  <c r="EA12" i="4"/>
  <c r="EA13" i="4"/>
  <c r="EA14" i="4"/>
  <c r="EA15" i="4"/>
  <c r="EA16" i="4"/>
  <c r="EA17" i="4"/>
  <c r="EA18" i="4"/>
  <c r="EA19" i="4"/>
  <c r="EA20" i="4"/>
  <c r="EA21" i="4"/>
  <c r="EA22" i="4"/>
  <c r="EA23" i="4"/>
  <c r="EA24" i="4"/>
  <c r="EA25" i="4"/>
  <c r="EA26" i="4"/>
  <c r="EA27" i="4"/>
  <c r="EA28" i="4"/>
  <c r="EA29" i="4"/>
  <c r="EA30" i="4"/>
  <c r="EA31" i="4"/>
  <c r="EA32" i="4"/>
  <c r="EA33" i="4"/>
  <c r="EA34" i="4"/>
  <c r="EA35" i="4"/>
  <c r="EA36" i="4"/>
  <c r="EA37" i="4"/>
  <c r="EA38" i="4"/>
  <c r="EA39" i="4"/>
  <c r="EA40" i="4"/>
  <c r="EA41" i="4"/>
  <c r="DZ11" i="4"/>
  <c r="DZ12" i="4"/>
  <c r="DZ13" i="4"/>
  <c r="DZ14" i="4"/>
  <c r="DZ15" i="4"/>
  <c r="DZ16" i="4"/>
  <c r="DZ17" i="4"/>
  <c r="DZ18" i="4"/>
  <c r="DZ19" i="4"/>
  <c r="DZ20" i="4"/>
  <c r="DZ21" i="4"/>
  <c r="DZ22" i="4"/>
  <c r="DZ23" i="4"/>
  <c r="DZ24" i="4"/>
  <c r="DZ25" i="4"/>
  <c r="DZ26" i="4"/>
  <c r="DZ27" i="4"/>
  <c r="DZ28" i="4"/>
  <c r="DZ29" i="4"/>
  <c r="DZ30" i="4"/>
  <c r="DZ31" i="4"/>
  <c r="DZ32" i="4"/>
  <c r="DZ33" i="4"/>
  <c r="DZ34" i="4"/>
  <c r="DZ35" i="4"/>
  <c r="DZ36" i="4"/>
  <c r="DZ38" i="4"/>
  <c r="DZ39" i="4"/>
  <c r="DZ40" i="4"/>
  <c r="DZ41" i="4"/>
  <c r="O3" i="15"/>
  <c r="AR74" i="4"/>
  <c r="AS74" i="4"/>
  <c r="AT74" i="4"/>
  <c r="AU74" i="4" s="1"/>
  <c r="AV74" i="4" s="1"/>
  <c r="AW74" i="4" s="1"/>
  <c r="AX74" i="4" s="1"/>
  <c r="AY74" i="4" s="1"/>
  <c r="AZ74" i="4" s="1"/>
  <c r="BA74" i="4" s="1"/>
  <c r="BB74" i="4" s="1"/>
  <c r="BC74" i="4" s="1"/>
  <c r="BD74" i="4" s="1"/>
  <c r="BE74" i="4" s="1"/>
  <c r="BF74" i="4" s="1"/>
  <c r="BG74" i="4" s="1"/>
  <c r="BH74" i="4" s="1"/>
  <c r="BI74" i="4" s="1"/>
  <c r="BJ74" i="4" s="1"/>
  <c r="BK74" i="4" s="1"/>
  <c r="BL74" i="4" s="1"/>
  <c r="BM74" i="4" s="1"/>
  <c r="BN74" i="4" s="1"/>
  <c r="BO74" i="4" s="1"/>
  <c r="BP74" i="4" s="1"/>
  <c r="BQ74" i="4" s="1"/>
  <c r="BR74" i="4" s="1"/>
  <c r="BS74" i="4" s="1"/>
  <c r="BT74" i="4" s="1"/>
  <c r="BU74" i="4" s="1"/>
  <c r="BV74" i="4" s="1"/>
  <c r="BW74" i="4" s="1"/>
  <c r="BX74" i="4" s="1"/>
  <c r="BY74" i="4" s="1"/>
  <c r="BZ74" i="4" s="1"/>
  <c r="CA74" i="4" s="1"/>
  <c r="CB74" i="4" s="1"/>
  <c r="CC74" i="4" s="1"/>
  <c r="BK14" i="5"/>
  <c r="EU14" i="4" s="1"/>
  <c r="BR14" i="5"/>
  <c r="FB14" i="4" s="1"/>
  <c r="BK13" i="5"/>
  <c r="EU13" i="4" s="1"/>
  <c r="BR13" i="5"/>
  <c r="FB13" i="4" s="1"/>
  <c r="BK12" i="5"/>
  <c r="EU12" i="4" s="1"/>
  <c r="BR12" i="5"/>
  <c r="BK11" i="5"/>
  <c r="EU11" i="4" s="1"/>
  <c r="BR11" i="5"/>
  <c r="FB11" i="4" s="1"/>
  <c r="BM13" i="5"/>
  <c r="EW13" i="4" s="1"/>
  <c r="BL13" i="5"/>
  <c r="EV13" i="4" s="1"/>
  <c r="BM12" i="5"/>
  <c r="EW12" i="4" s="1"/>
  <c r="BL12" i="5"/>
  <c r="EV12" i="4" s="1"/>
  <c r="BM11" i="5"/>
  <c r="BL11" i="5"/>
  <c r="EV11" i="4" s="1"/>
  <c r="BS28" i="4"/>
  <c r="H49" i="5"/>
  <c r="BA49" i="4" s="1"/>
  <c r="I49" i="5"/>
  <c r="BB49" i="4" s="1"/>
  <c r="H50" i="5"/>
  <c r="I50" i="5"/>
  <c r="BB50" i="4" s="1"/>
  <c r="H51" i="5"/>
  <c r="BA51" i="4" s="1"/>
  <c r="I51" i="5"/>
  <c r="O48" i="5"/>
  <c r="M47" i="4" s="1"/>
  <c r="O49" i="5"/>
  <c r="M48" i="4" s="1"/>
  <c r="O50" i="5"/>
  <c r="M49" i="4" s="1"/>
  <c r="O51" i="5"/>
  <c r="M50" i="4" s="1"/>
  <c r="O52" i="5"/>
  <c r="M51" i="4" s="1"/>
  <c r="BM14" i="5"/>
  <c r="EW14" i="4" s="1"/>
  <c r="BM15" i="5"/>
  <c r="EW15" i="4" s="1"/>
  <c r="BM16" i="5"/>
  <c r="EW16" i="4" s="1"/>
  <c r="DF56" i="4"/>
  <c r="BS14" i="5"/>
  <c r="FC14" i="4" s="1"/>
  <c r="BT14" i="5"/>
  <c r="FD14" i="4" s="1"/>
  <c r="BL14" i="5"/>
  <c r="EV14" i="4" s="1"/>
  <c r="BK15" i="5"/>
  <c r="EU15" i="4" s="1"/>
  <c r="BL15" i="5"/>
  <c r="BK16" i="5"/>
  <c r="EU16" i="4" s="1"/>
  <c r="BL16" i="5"/>
  <c r="EV16" i="4" s="1"/>
  <c r="AK12" i="5"/>
  <c r="AK13" i="5"/>
  <c r="AJ12" i="5"/>
  <c r="AK11" i="5"/>
  <c r="AJ11" i="5"/>
  <c r="BJ51" i="4"/>
  <c r="BI51" i="4"/>
  <c r="BH51" i="4"/>
  <c r="BG51" i="4"/>
  <c r="BF51" i="4"/>
  <c r="BE51" i="4"/>
  <c r="BD51" i="4"/>
  <c r="BC51" i="4"/>
  <c r="BJ50" i="4"/>
  <c r="BI50" i="4"/>
  <c r="BH50" i="4"/>
  <c r="BG50" i="4"/>
  <c r="BF50" i="4"/>
  <c r="BE50" i="4"/>
  <c r="I53" i="5"/>
  <c r="BD50" i="4"/>
  <c r="H53" i="5"/>
  <c r="BC50" i="4"/>
  <c r="BJ49" i="4"/>
  <c r="BI49" i="4"/>
  <c r="BH49" i="4"/>
  <c r="BG49" i="4"/>
  <c r="BF49" i="4"/>
  <c r="BE49" i="4"/>
  <c r="I52" i="5"/>
  <c r="BD49" i="4" s="1"/>
  <c r="H52" i="5"/>
  <c r="BC49" i="4" s="1"/>
  <c r="BJ48" i="4"/>
  <c r="BI48" i="4"/>
  <c r="BH48" i="4"/>
  <c r="BG48" i="4"/>
  <c r="BF48" i="4"/>
  <c r="BE48" i="4"/>
  <c r="I48" i="5"/>
  <c r="BB48" i="4" s="1"/>
  <c r="H48" i="5"/>
  <c r="BA48" i="4" s="1"/>
  <c r="BJ47" i="4"/>
  <c r="BI47" i="4"/>
  <c r="BH47" i="4"/>
  <c r="BG47" i="4"/>
  <c r="BF47" i="4"/>
  <c r="BE47" i="4"/>
  <c r="I47" i="5"/>
  <c r="BB47" i="4" s="1"/>
  <c r="H47" i="5"/>
  <c r="BA47" i="4" s="1"/>
  <c r="J47" i="5"/>
  <c r="O47" i="5"/>
  <c r="P47" i="5"/>
  <c r="Q47" i="5"/>
  <c r="R47" i="5"/>
  <c r="S47" i="5"/>
  <c r="T47" i="5"/>
  <c r="U47" i="5"/>
  <c r="V47" i="5"/>
  <c r="W47" i="5"/>
  <c r="B22" i="14"/>
  <c r="B17" i="14"/>
  <c r="H50" i="8"/>
  <c r="A7" i="14"/>
  <c r="AD11" i="12"/>
  <c r="AM20" i="8"/>
  <c r="AM30" i="8"/>
  <c r="AM31" i="8"/>
  <c r="AM33" i="8"/>
  <c r="AF109" i="4"/>
  <c r="AM38" i="8"/>
  <c r="AC38" i="12"/>
  <c r="AC39" i="12"/>
  <c r="AD39" i="12"/>
  <c r="R40" i="12"/>
  <c r="S40" i="12" s="1"/>
  <c r="V41" i="8" s="1"/>
  <c r="AC40" i="12"/>
  <c r="AD40" i="12"/>
  <c r="J42" i="12"/>
  <c r="K42" i="12"/>
  <c r="DS42" i="4"/>
  <c r="AW8" i="18" s="1"/>
  <c r="AW8" i="10"/>
  <c r="AX8" i="10" s="1"/>
  <c r="DH11" i="4" s="1"/>
  <c r="DI11" i="4" s="1"/>
  <c r="AW9" i="10"/>
  <c r="AX9" i="10" s="1"/>
  <c r="DH12" i="4" s="1"/>
  <c r="DI12" i="4" s="1"/>
  <c r="AW22" i="10"/>
  <c r="AX22" i="10" s="1"/>
  <c r="AW23" i="10"/>
  <c r="AX23" i="10" s="1"/>
  <c r="DH26" i="4" s="1"/>
  <c r="DI26" i="4" s="1"/>
  <c r="AW24" i="10"/>
  <c r="AX24" i="10" s="1"/>
  <c r="AW25" i="10"/>
  <c r="AX25" i="10" s="1"/>
  <c r="DH28" i="4" s="1"/>
  <c r="DI28" i="4" s="1"/>
  <c r="AW26" i="10"/>
  <c r="AX26" i="10" s="1"/>
  <c r="AW27" i="10"/>
  <c r="AX27" i="10" s="1"/>
  <c r="DH30" i="4" s="1"/>
  <c r="DI30" i="4" s="1"/>
  <c r="AW28" i="10"/>
  <c r="AX28" i="10" s="1"/>
  <c r="DH31" i="4" s="1"/>
  <c r="DI31" i="4" s="1"/>
  <c r="AW29" i="10"/>
  <c r="AX29" i="10" s="1"/>
  <c r="DH32" i="4" s="1"/>
  <c r="DI32" i="4" s="1"/>
  <c r="AW30" i="10"/>
  <c r="AX30" i="10" s="1"/>
  <c r="DH33" i="4" s="1"/>
  <c r="DI33" i="4" s="1"/>
  <c r="AW31" i="10"/>
  <c r="AX31" i="10" s="1"/>
  <c r="DH34" i="4" s="1"/>
  <c r="DI34" i="4" s="1"/>
  <c r="AW32" i="10"/>
  <c r="AX32" i="10" s="1"/>
  <c r="DH35" i="4" s="1"/>
  <c r="DI35" i="4" s="1"/>
  <c r="AW33" i="10"/>
  <c r="AX33" i="10" s="1"/>
  <c r="DH36" i="4" s="1"/>
  <c r="DI36" i="4" s="1"/>
  <c r="AW34" i="10"/>
  <c r="AX34" i="10" s="1"/>
  <c r="DH37" i="4" s="1"/>
  <c r="DI37" i="4" s="1"/>
  <c r="AW35" i="10"/>
  <c r="AX35" i="10" s="1"/>
  <c r="DH38" i="4" s="1"/>
  <c r="AW36" i="10"/>
  <c r="AX36" i="10" s="1"/>
  <c r="DH39" i="4" s="1"/>
  <c r="DI39" i="4" s="1"/>
  <c r="AW37" i="10"/>
  <c r="AX37" i="10" s="1"/>
  <c r="DH40" i="4" s="1"/>
  <c r="DI40" i="4" s="1"/>
  <c r="AW38" i="10"/>
  <c r="AX38" i="10"/>
  <c r="DH41" i="4"/>
  <c r="DI41" i="4" s="1"/>
  <c r="A8" i="10"/>
  <c r="A9" i="10"/>
  <c r="O4" i="8"/>
  <c r="AM4" i="8"/>
  <c r="DJ11" i="5"/>
  <c r="DL11" i="5"/>
  <c r="F11" i="8" s="1"/>
  <c r="DM11" i="5"/>
  <c r="DN11" i="5"/>
  <c r="O11" i="8"/>
  <c r="AC11" i="8"/>
  <c r="AF11" i="8"/>
  <c r="DM12" i="5"/>
  <c r="DM13" i="5"/>
  <c r="DM14" i="5"/>
  <c r="DM15" i="5"/>
  <c r="DM16" i="5"/>
  <c r="DM39" i="5"/>
  <c r="DM40" i="5"/>
  <c r="DM41" i="5"/>
  <c r="DJ12" i="5"/>
  <c r="D12" i="8" s="1"/>
  <c r="DL12" i="5"/>
  <c r="F12" i="8" s="1"/>
  <c r="DN12" i="5"/>
  <c r="O12" i="8"/>
  <c r="AC12" i="8"/>
  <c r="DJ13" i="5"/>
  <c r="D13" i="8" s="1"/>
  <c r="DL13" i="5"/>
  <c r="F13" i="8" s="1"/>
  <c r="DN13" i="5"/>
  <c r="AC13" i="8"/>
  <c r="DJ14" i="5"/>
  <c r="D14" i="8" s="1"/>
  <c r="DL14" i="5"/>
  <c r="F14" i="8" s="1"/>
  <c r="DN14" i="5"/>
  <c r="DJ15" i="5"/>
  <c r="D15" i="8" s="1"/>
  <c r="DL15" i="5"/>
  <c r="F15" i="8" s="1"/>
  <c r="DN15" i="5"/>
  <c r="DJ16" i="5"/>
  <c r="D16" i="8" s="1"/>
  <c r="DL16" i="5"/>
  <c r="F16" i="8" s="1"/>
  <c r="DN16" i="5"/>
  <c r="D37" i="8"/>
  <c r="DJ39" i="5"/>
  <c r="D39" i="8" s="1"/>
  <c r="DL39" i="5"/>
  <c r="F39" i="8" s="1"/>
  <c r="DN39" i="5"/>
  <c r="DJ40" i="5"/>
  <c r="D40" i="8" s="1"/>
  <c r="DL40" i="5"/>
  <c r="F40" i="8" s="1"/>
  <c r="DN40" i="5"/>
  <c r="O40" i="8"/>
  <c r="AC40" i="8"/>
  <c r="DJ41" i="5"/>
  <c r="D41" i="8" s="1"/>
  <c r="DL41" i="5"/>
  <c r="F41" i="8" s="1"/>
  <c r="DN41" i="5"/>
  <c r="O41" i="8"/>
  <c r="AC41" i="8"/>
  <c r="AF41" i="8"/>
  <c r="AN42" i="8"/>
  <c r="AO42" i="8"/>
  <c r="AP42" i="8"/>
  <c r="AQ42" i="8"/>
  <c r="AR42" i="8"/>
  <c r="AS42" i="8"/>
  <c r="AT42" i="8"/>
  <c r="AN43" i="8"/>
  <c r="AO43" i="8"/>
  <c r="AP43" i="8"/>
  <c r="AQ43" i="8"/>
  <c r="AR43" i="8"/>
  <c r="AS43" i="8"/>
  <c r="AT43" i="8"/>
  <c r="G50" i="8"/>
  <c r="BD10" i="7"/>
  <c r="BE10" i="7"/>
  <c r="BF10" i="7" s="1"/>
  <c r="BG10" i="7" s="1"/>
  <c r="BH10" i="7" s="1"/>
  <c r="BI10" i="7" s="1"/>
  <c r="BJ10" i="7" s="1"/>
  <c r="BK10" i="7" s="1"/>
  <c r="B12" i="7"/>
  <c r="B13" i="7"/>
  <c r="B14" i="7"/>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D42" i="7"/>
  <c r="BK42" i="7"/>
  <c r="E10" i="6"/>
  <c r="F10" i="6" s="1"/>
  <c r="G10" i="6" s="1"/>
  <c r="H10" i="6" s="1"/>
  <c r="I10" i="6" s="1"/>
  <c r="J10" i="6" s="1"/>
  <c r="K10" i="6" s="1"/>
  <c r="L10" i="6" s="1"/>
  <c r="M10" i="6" s="1"/>
  <c r="N10" i="6" s="1"/>
  <c r="O10" i="6" s="1"/>
  <c r="P10" i="6" s="1"/>
  <c r="Q10" i="6" s="1"/>
  <c r="R10" i="6" s="1"/>
  <c r="S10" i="6" s="1"/>
  <c r="T10" i="6" s="1"/>
  <c r="U10" i="6" s="1"/>
  <c r="V10" i="6" s="1"/>
  <c r="W10" i="6" s="1"/>
  <c r="X10" i="6" s="1"/>
  <c r="Y10" i="6" s="1"/>
  <c r="Z10" i="6" s="1"/>
  <c r="AA10" i="6" s="1"/>
  <c r="AB10" i="6" s="1"/>
  <c r="AC10" i="6" s="1"/>
  <c r="AD10" i="6" s="1"/>
  <c r="AE10" i="6" s="1"/>
  <c r="AF10" i="6" s="1"/>
  <c r="AG10" i="6" s="1"/>
  <c r="AH10" i="6" s="1"/>
  <c r="AI10" i="6" s="1"/>
  <c r="AJ10" i="6" s="1"/>
  <c r="AK10" i="6" s="1"/>
  <c r="AL10" i="6" s="1"/>
  <c r="AM10" i="6" s="1"/>
  <c r="AN10" i="6" s="1"/>
  <c r="AO10" i="6" s="1"/>
  <c r="AP10" i="6" s="1"/>
  <c r="AQ10" i="6" s="1"/>
  <c r="AR10" i="6" s="1"/>
  <c r="AS10" i="6" s="1"/>
  <c r="AT10" i="6" s="1"/>
  <c r="AU10" i="6" s="1"/>
  <c r="AV10" i="6" s="1"/>
  <c r="AW10" i="6" s="1"/>
  <c r="AX10" i="6" s="1"/>
  <c r="AY10" i="6" s="1"/>
  <c r="AZ10" i="6" s="1"/>
  <c r="BA10" i="6" s="1"/>
  <c r="BB10" i="6" s="1"/>
  <c r="BC10" i="6" s="1"/>
  <c r="BD10" i="6" s="1"/>
  <c r="BE10" i="6" s="1"/>
  <c r="BF10" i="6" s="1"/>
  <c r="BG10" i="6" s="1"/>
  <c r="BH10" i="6" s="1"/>
  <c r="BI10" i="6" s="1"/>
  <c r="BJ10" i="6" s="1"/>
  <c r="BK10" i="6" s="1"/>
  <c r="BL10" i="6" s="1"/>
  <c r="BM10" i="6" s="1"/>
  <c r="BN10" i="6" s="1"/>
  <c r="BO10" i="6" s="1"/>
  <c r="BP10" i="6" s="1"/>
  <c r="BQ10" i="6" s="1"/>
  <c r="BR10" i="6" s="1"/>
  <c r="BS10" i="6" s="1"/>
  <c r="BT10" i="6" s="1"/>
  <c r="BU10" i="6" s="1"/>
  <c r="BV10" i="6" s="1"/>
  <c r="BW10" i="6" s="1"/>
  <c r="BX10" i="6" s="1"/>
  <c r="BY10" i="6" s="1"/>
  <c r="BZ10" i="6" s="1"/>
  <c r="CA10" i="6" s="1"/>
  <c r="CB10" i="6" s="1"/>
  <c r="CC10" i="6" s="1"/>
  <c r="CD10" i="6" s="1"/>
  <c r="CE10" i="6" s="1"/>
  <c r="CF10" i="6" s="1"/>
  <c r="CG10" i="6" s="1"/>
  <c r="CH10" i="6" s="1"/>
  <c r="CI10" i="6" s="1"/>
  <c r="CJ10" i="6" s="1"/>
  <c r="CK10" i="6" s="1"/>
  <c r="CL10" i="6" s="1"/>
  <c r="CM10" i="6" s="1"/>
  <c r="CN10" i="6" s="1"/>
  <c r="CO10" i="6" s="1"/>
  <c r="CP10" i="6" s="1"/>
  <c r="CQ10" i="6" s="1"/>
  <c r="CR10" i="6" s="1"/>
  <c r="CS10" i="6" s="1"/>
  <c r="CT10" i="6" s="1"/>
  <c r="CU10" i="6" s="1"/>
  <c r="CV10" i="6" s="1"/>
  <c r="CW10" i="6" s="1"/>
  <c r="CX10" i="6" s="1"/>
  <c r="CY10" i="6" s="1"/>
  <c r="CZ10" i="6" s="1"/>
  <c r="DA10" i="6" s="1"/>
  <c r="DB10" i="6" s="1"/>
  <c r="DC10" i="6" s="1"/>
  <c r="DD10" i="6" s="1"/>
  <c r="DE10" i="6" s="1"/>
  <c r="DF10" i="6" s="1"/>
  <c r="DG10" i="6" s="1"/>
  <c r="DH10" i="6" s="1"/>
  <c r="DI10" i="6" s="1"/>
  <c r="DJ10" i="6" s="1"/>
  <c r="DK10" i="6" s="1"/>
  <c r="DS23" i="6"/>
  <c r="DS24" i="6" s="1"/>
  <c r="DS25" i="6" s="1"/>
  <c r="DS26" i="6" s="1"/>
  <c r="DS27" i="6" s="1"/>
  <c r="DS28" i="6" s="1"/>
  <c r="DS29" i="6" s="1"/>
  <c r="DS30" i="6" s="1"/>
  <c r="DS31" i="6" s="1"/>
  <c r="DS32" i="6" s="1"/>
  <c r="DS33" i="6" s="1"/>
  <c r="DS34" i="6" s="1"/>
  <c r="DS35" i="6" s="1"/>
  <c r="DS36" i="6" s="1"/>
  <c r="DS37" i="6" s="1"/>
  <c r="DS38" i="6" s="1"/>
  <c r="DS39" i="6" s="1"/>
  <c r="DS40" i="6" s="1"/>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Z42" i="6"/>
  <c r="BA42" i="6"/>
  <c r="BB42" i="6"/>
  <c r="BC42" i="6"/>
  <c r="BD42" i="6"/>
  <c r="BE42" i="6"/>
  <c r="BF42" i="6"/>
  <c r="BG42" i="6"/>
  <c r="BH42" i="6"/>
  <c r="BI42" i="6"/>
  <c r="BJ42" i="6"/>
  <c r="BK42" i="6"/>
  <c r="BL42" i="6"/>
  <c r="BM42" i="6"/>
  <c r="BN42" i="6"/>
  <c r="BO42" i="6"/>
  <c r="BP42" i="6"/>
  <c r="BQ42" i="6"/>
  <c r="BR42" i="6"/>
  <c r="BS42" i="6"/>
  <c r="BT42" i="6"/>
  <c r="BU42" i="6"/>
  <c r="BV42" i="6"/>
  <c r="BW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Y42" i="6"/>
  <c r="DB42" i="6"/>
  <c r="DC42" i="6"/>
  <c r="DD42" i="6"/>
  <c r="DE42" i="6"/>
  <c r="DF42" i="6"/>
  <c r="DG42" i="6"/>
  <c r="DH42" i="6"/>
  <c r="DI42" i="6"/>
  <c r="DJ42" i="6"/>
  <c r="DK42" i="6"/>
  <c r="DL42" i="6"/>
  <c r="DO42" i="6"/>
  <c r="DP42" i="6"/>
  <c r="DQ42" i="6"/>
  <c r="DR42" i="6"/>
  <c r="AL11" i="5"/>
  <c r="AL12" i="5"/>
  <c r="AL13" i="5"/>
  <c r="AL41" i="5"/>
  <c r="BR41" i="5"/>
  <c r="FB41" i="4" s="1"/>
  <c r="BS11" i="5"/>
  <c r="FC11" i="4" s="1"/>
  <c r="BS12" i="5"/>
  <c r="FC12" i="4" s="1"/>
  <c r="BS13" i="5"/>
  <c r="BS39" i="5"/>
  <c r="FC39" i="4" s="1"/>
  <c r="BS40" i="5"/>
  <c r="FC40" i="4" s="1"/>
  <c r="BS41" i="5"/>
  <c r="FC41" i="4" s="1"/>
  <c r="BT11" i="5"/>
  <c r="FD11" i="4" s="1"/>
  <c r="BT12" i="5"/>
  <c r="FD12" i="4" s="1"/>
  <c r="BT13" i="5"/>
  <c r="FD13" i="4" s="1"/>
  <c r="DW10" i="5"/>
  <c r="AM11" i="5"/>
  <c r="AN11" i="5"/>
  <c r="AO11" i="5"/>
  <c r="AP11" i="5"/>
  <c r="AV11" i="4" s="1"/>
  <c r="AT11" i="5"/>
  <c r="AZ11" i="4" s="1"/>
  <c r="AU11" i="5"/>
  <c r="BA11" i="4" s="1"/>
  <c r="AV11" i="5"/>
  <c r="BB11" i="4" s="1"/>
  <c r="AX11" i="5"/>
  <c r="BD11" i="4" s="1"/>
  <c r="AZ11" i="5"/>
  <c r="BA11" i="5"/>
  <c r="BG11" i="4" s="1"/>
  <c r="BB11" i="5"/>
  <c r="BH11" i="4" s="1"/>
  <c r="BC11" i="5"/>
  <c r="BI11" i="4" s="1"/>
  <c r="BD11" i="5"/>
  <c r="BJ11" i="4" s="1"/>
  <c r="BY11" i="5"/>
  <c r="FP11" i="4" s="1"/>
  <c r="BZ11" i="5"/>
  <c r="FQ11" i="4" s="1"/>
  <c r="CA11" i="5"/>
  <c r="FR11" i="4" s="1"/>
  <c r="CF11" i="5"/>
  <c r="CG11" i="5"/>
  <c r="FX11" i="4" s="1"/>
  <c r="CH11" i="5"/>
  <c r="FY11" i="4" s="1"/>
  <c r="CI11" i="5"/>
  <c r="CJ11" i="5"/>
  <c r="CK11" i="5"/>
  <c r="CL11" i="5"/>
  <c r="CM11" i="5"/>
  <c r="CN11" i="5"/>
  <c r="CO11" i="5"/>
  <c r="CP11" i="5"/>
  <c r="CW11" i="5"/>
  <c r="CX11" i="5"/>
  <c r="DC11" i="5"/>
  <c r="GY11" i="4" s="1"/>
  <c r="DD11" i="5"/>
  <c r="DE11" i="5"/>
  <c r="DF11" i="5"/>
  <c r="DG11" i="5"/>
  <c r="GW11" i="4" s="1"/>
  <c r="DH11" i="5"/>
  <c r="GX11" i="4" s="1"/>
  <c r="AM12" i="5"/>
  <c r="AN12" i="5"/>
  <c r="AO12" i="5"/>
  <c r="AP12" i="5"/>
  <c r="AV12" i="4" s="1"/>
  <c r="AQ12" i="5"/>
  <c r="AW12" i="4" s="1"/>
  <c r="BY12" i="5"/>
  <c r="BZ12" i="5"/>
  <c r="FQ12" i="4" s="1"/>
  <c r="CA12" i="5"/>
  <c r="FR12" i="4" s="1"/>
  <c r="CF12" i="5"/>
  <c r="FW12" i="4" s="1"/>
  <c r="CG12" i="5"/>
  <c r="CH12" i="5"/>
  <c r="FY12" i="4" s="1"/>
  <c r="CI12" i="5"/>
  <c r="CJ12" i="5"/>
  <c r="CK12" i="5"/>
  <c r="CL12" i="5"/>
  <c r="CM12" i="5"/>
  <c r="CN12" i="5"/>
  <c r="CO12" i="5"/>
  <c r="CP12" i="5"/>
  <c r="CW12" i="5"/>
  <c r="CX12" i="5"/>
  <c r="DC12" i="5"/>
  <c r="DD12" i="5"/>
  <c r="DE12" i="5"/>
  <c r="DF12" i="5"/>
  <c r="GV12" i="4" s="1"/>
  <c r="DG12" i="5"/>
  <c r="DH12" i="5"/>
  <c r="GX12" i="4" s="1"/>
  <c r="AM13" i="5"/>
  <c r="AN13" i="5"/>
  <c r="AO13" i="5"/>
  <c r="AP13" i="5"/>
  <c r="AV13" i="4" s="1"/>
  <c r="AQ13" i="5"/>
  <c r="AW13" i="4" s="1"/>
  <c r="BY13" i="5"/>
  <c r="FP13" i="4" s="1"/>
  <c r="BZ13" i="5"/>
  <c r="CA13" i="5"/>
  <c r="FR13" i="4" s="1"/>
  <c r="CF13" i="5"/>
  <c r="FW13" i="4" s="1"/>
  <c r="CG13" i="5"/>
  <c r="FX13" i="4" s="1"/>
  <c r="CH13" i="5"/>
  <c r="CI13" i="5"/>
  <c r="CJ13" i="5"/>
  <c r="CK13" i="5"/>
  <c r="CL13" i="5"/>
  <c r="CM13" i="5"/>
  <c r="CN13" i="5"/>
  <c r="CO13" i="5"/>
  <c r="CP13" i="5"/>
  <c r="CW13" i="5"/>
  <c r="CX13" i="5"/>
  <c r="DC13" i="5"/>
  <c r="GY13" i="4" s="1"/>
  <c r="DD13" i="5"/>
  <c r="DE13" i="5"/>
  <c r="DF13" i="5"/>
  <c r="GV13" i="4" s="1"/>
  <c r="DG13" i="5"/>
  <c r="GW13" i="4" s="1"/>
  <c r="DH13" i="5"/>
  <c r="AM14" i="5"/>
  <c r="AN14" i="5"/>
  <c r="AO14" i="5"/>
  <c r="AP14" i="5"/>
  <c r="AQ14" i="5"/>
  <c r="AW14" i="4" s="1"/>
  <c r="BY14" i="5"/>
  <c r="FP14" i="4" s="1"/>
  <c r="BZ14" i="5"/>
  <c r="FQ14" i="4" s="1"/>
  <c r="CA14" i="5"/>
  <c r="FR14" i="4" s="1"/>
  <c r="CF14" i="5"/>
  <c r="FW14" i="4" s="1"/>
  <c r="CG14" i="5"/>
  <c r="FX14" i="4" s="1"/>
  <c r="CH14" i="5"/>
  <c r="FY14" i="4" s="1"/>
  <c r="CI14" i="5"/>
  <c r="CJ14" i="5"/>
  <c r="CK14" i="5"/>
  <c r="CL14" i="5"/>
  <c r="CM14" i="5"/>
  <c r="CN14" i="5"/>
  <c r="CO14" i="5"/>
  <c r="CP14" i="5"/>
  <c r="CW14" i="5"/>
  <c r="CX14" i="5"/>
  <c r="DC14" i="5"/>
  <c r="GY14" i="4" s="1"/>
  <c r="DD14" i="5"/>
  <c r="DE14" i="5"/>
  <c r="DF14" i="5"/>
  <c r="GV14" i="4" s="1"/>
  <c r="DG14" i="5"/>
  <c r="GW14" i="4" s="1"/>
  <c r="DH14" i="5"/>
  <c r="GX14" i="4" s="1"/>
  <c r="CW15" i="5"/>
  <c r="CX15" i="5"/>
  <c r="DC15" i="5"/>
  <c r="GY15" i="4" s="1"/>
  <c r="DD15" i="5"/>
  <c r="DE15" i="5"/>
  <c r="DF15" i="5"/>
  <c r="GV15" i="4" s="1"/>
  <c r="DG15" i="5"/>
  <c r="GW15" i="4" s="1"/>
  <c r="DH15" i="5"/>
  <c r="GX15" i="4" s="1"/>
  <c r="CW16" i="5"/>
  <c r="CX16" i="5"/>
  <c r="DC16" i="5"/>
  <c r="GY16" i="4" s="1"/>
  <c r="DD16" i="5"/>
  <c r="DE16" i="5"/>
  <c r="DF16" i="5"/>
  <c r="GV16" i="4" s="1"/>
  <c r="DG16" i="5"/>
  <c r="GW16" i="4" s="1"/>
  <c r="DH16" i="5"/>
  <c r="GX16" i="4" s="1"/>
  <c r="GW24" i="4"/>
  <c r="BD28" i="4"/>
  <c r="FY29" i="4"/>
  <c r="GY29" i="4"/>
  <c r="GY31" i="4"/>
  <c r="GY33" i="4"/>
  <c r="GV34" i="4"/>
  <c r="FY35" i="4"/>
  <c r="BH37" i="4"/>
  <c r="AV38" i="4"/>
  <c r="FQ38" i="4"/>
  <c r="AK39" i="5"/>
  <c r="AM39" i="5"/>
  <c r="AO39" i="5"/>
  <c r="AP39" i="5"/>
  <c r="AV39" i="4" s="1"/>
  <c r="AQ39" i="5"/>
  <c r="AW39" i="4" s="1"/>
  <c r="AR39" i="5"/>
  <c r="AX39" i="4" s="1"/>
  <c r="AT39" i="5"/>
  <c r="AZ39" i="4" s="1"/>
  <c r="AU39" i="5"/>
  <c r="BA39" i="4" s="1"/>
  <c r="AV39" i="5"/>
  <c r="BB39" i="4" s="1"/>
  <c r="AW39" i="5"/>
  <c r="BC39" i="4" s="1"/>
  <c r="AX39" i="5"/>
  <c r="BD39" i="4" s="1"/>
  <c r="AZ39" i="5"/>
  <c r="BF39" i="4" s="1"/>
  <c r="BA39" i="5"/>
  <c r="BG39" i="4" s="1"/>
  <c r="BB39" i="5"/>
  <c r="BH39" i="4" s="1"/>
  <c r="BC39" i="5"/>
  <c r="BI39" i="4" s="1"/>
  <c r="BD39" i="5"/>
  <c r="BJ39" i="4" s="1"/>
  <c r="BY39" i="5"/>
  <c r="FP39" i="4" s="1"/>
  <c r="BZ39" i="5"/>
  <c r="FQ39" i="4" s="1"/>
  <c r="CA39" i="5"/>
  <c r="FR39" i="4" s="1"/>
  <c r="CF39" i="5"/>
  <c r="FW39" i="4" s="1"/>
  <c r="CG39" i="5"/>
  <c r="FX39" i="4" s="1"/>
  <c r="CH39" i="5"/>
  <c r="FY39" i="4" s="1"/>
  <c r="CI39" i="5"/>
  <c r="CJ39" i="5"/>
  <c r="CK39" i="5"/>
  <c r="CL39" i="5"/>
  <c r="CM39" i="5"/>
  <c r="CN39" i="5"/>
  <c r="CO39" i="5"/>
  <c r="CP39" i="5"/>
  <c r="CW39" i="5"/>
  <c r="CX39" i="5"/>
  <c r="DC39" i="5"/>
  <c r="GY39" i="4" s="1"/>
  <c r="DD39" i="5"/>
  <c r="DE39" i="5"/>
  <c r="DF39" i="5"/>
  <c r="GV39" i="4" s="1"/>
  <c r="DG39" i="5"/>
  <c r="GW39" i="4" s="1"/>
  <c r="DH39" i="5"/>
  <c r="GX39" i="4" s="1"/>
  <c r="AJ40" i="5"/>
  <c r="AK40" i="5"/>
  <c r="AM40" i="5"/>
  <c r="AO40" i="5"/>
  <c r="AP40" i="5"/>
  <c r="AV40" i="4" s="1"/>
  <c r="AQ40" i="5"/>
  <c r="AR40" i="5"/>
  <c r="AX40" i="4" s="1"/>
  <c r="AT40" i="5"/>
  <c r="AZ40" i="4" s="1"/>
  <c r="AU40" i="5"/>
  <c r="BA40" i="4" s="1"/>
  <c r="AV40" i="5"/>
  <c r="AW40" i="5"/>
  <c r="BC40" i="4" s="1"/>
  <c r="AX40" i="5"/>
  <c r="BD40" i="4" s="1"/>
  <c r="AZ40" i="5"/>
  <c r="BF40" i="4" s="1"/>
  <c r="BA40" i="5"/>
  <c r="BB40" i="5"/>
  <c r="BH40" i="4" s="1"/>
  <c r="BC40" i="5"/>
  <c r="BI40" i="4" s="1"/>
  <c r="BD40" i="5"/>
  <c r="BJ40" i="4" s="1"/>
  <c r="BY40" i="5"/>
  <c r="FP40" i="4" s="1"/>
  <c r="BZ40" i="5"/>
  <c r="FQ40" i="4" s="1"/>
  <c r="CA40" i="5"/>
  <c r="CF40" i="5"/>
  <c r="FW40" i="4" s="1"/>
  <c r="CG40" i="5"/>
  <c r="FX40" i="4" s="1"/>
  <c r="CH40" i="5"/>
  <c r="FY40" i="4" s="1"/>
  <c r="CI40" i="5"/>
  <c r="CJ40" i="5"/>
  <c r="CK40" i="5"/>
  <c r="CL40" i="5"/>
  <c r="CM40" i="5"/>
  <c r="CN40" i="5"/>
  <c r="CO40" i="5"/>
  <c r="CP40" i="5"/>
  <c r="CW40" i="5"/>
  <c r="CX40" i="5"/>
  <c r="DC40" i="5"/>
  <c r="GY40" i="4" s="1"/>
  <c r="DD40" i="5"/>
  <c r="DE40" i="5"/>
  <c r="DF40" i="5"/>
  <c r="GV40" i="4" s="1"/>
  <c r="DG40" i="5"/>
  <c r="GW40" i="4" s="1"/>
  <c r="DH40" i="5"/>
  <c r="GX40" i="4" s="1"/>
  <c r="AJ41" i="5"/>
  <c r="AK41" i="5"/>
  <c r="AM41" i="5"/>
  <c r="AN41" i="5"/>
  <c r="AO41" i="5"/>
  <c r="AP41" i="5"/>
  <c r="AV41" i="4" s="1"/>
  <c r="AQ41" i="5"/>
  <c r="AW41" i="4" s="1"/>
  <c r="AR41" i="5"/>
  <c r="AX41" i="4" s="1"/>
  <c r="AT41" i="5"/>
  <c r="AZ41" i="4" s="1"/>
  <c r="AU41" i="5"/>
  <c r="BA41" i="4" s="1"/>
  <c r="AV41" i="5"/>
  <c r="BB41" i="4" s="1"/>
  <c r="AW41" i="5"/>
  <c r="BC41" i="4" s="1"/>
  <c r="AX41" i="5"/>
  <c r="BD41" i="4" s="1"/>
  <c r="AZ41" i="5"/>
  <c r="BF41" i="4" s="1"/>
  <c r="BA41" i="5"/>
  <c r="BG41" i="4" s="1"/>
  <c r="BB41" i="5"/>
  <c r="BH41" i="4" s="1"/>
  <c r="BC41" i="5"/>
  <c r="BI41" i="4" s="1"/>
  <c r="BD41" i="5"/>
  <c r="BJ41" i="4" s="1"/>
  <c r="BM41" i="5"/>
  <c r="EW41" i="4" s="1"/>
  <c r="BY41" i="5"/>
  <c r="FP41" i="4" s="1"/>
  <c r="BZ41" i="5"/>
  <c r="FQ41" i="4" s="1"/>
  <c r="CA41" i="5"/>
  <c r="FR41" i="4" s="1"/>
  <c r="CF41" i="5"/>
  <c r="FW41" i="4" s="1"/>
  <c r="CG41" i="5"/>
  <c r="FX41" i="4" s="1"/>
  <c r="CH41" i="5"/>
  <c r="FY41" i="4" s="1"/>
  <c r="CI41" i="5"/>
  <c r="CJ41" i="5"/>
  <c r="CK41" i="5"/>
  <c r="CL41" i="5"/>
  <c r="CM41" i="5"/>
  <c r="CN41" i="5"/>
  <c r="CO41" i="5"/>
  <c r="CP41" i="5"/>
  <c r="CW41" i="5"/>
  <c r="CX41" i="5"/>
  <c r="DC41" i="5"/>
  <c r="GY41" i="4" s="1"/>
  <c r="DD41" i="5"/>
  <c r="DE41" i="5"/>
  <c r="DF41" i="5"/>
  <c r="GV41" i="4" s="1"/>
  <c r="DG41" i="5"/>
  <c r="GW41" i="4" s="1"/>
  <c r="DH41" i="5"/>
  <c r="GX41" i="4" s="1"/>
  <c r="DW42" i="5"/>
  <c r="J48" i="5"/>
  <c r="J49" i="5"/>
  <c r="J50" i="5"/>
  <c r="J51" i="5"/>
  <c r="J52" i="5"/>
  <c r="J53" i="5"/>
  <c r="O53" i="5"/>
  <c r="P53" i="5"/>
  <c r="Q53" i="5"/>
  <c r="R53" i="5"/>
  <c r="S53" i="5"/>
  <c r="T53" i="5"/>
  <c r="U53" i="5"/>
  <c r="V53" i="5"/>
  <c r="W53" i="5"/>
  <c r="AA4" i="4"/>
  <c r="AW4" i="4"/>
  <c r="CG4" i="4"/>
  <c r="DF4" i="4"/>
  <c r="EA4" i="4"/>
  <c r="GC4" i="4"/>
  <c r="DF10" i="4"/>
  <c r="DG10" i="4" s="1"/>
  <c r="DH10" i="4" s="1"/>
  <c r="DI10" i="4" s="1"/>
  <c r="DJ10" i="4" s="1"/>
  <c r="DK10" i="4" s="1"/>
  <c r="DL10" i="4" s="1"/>
  <c r="DM10" i="4" s="1"/>
  <c r="DN10" i="4" s="1"/>
  <c r="DO10" i="4" s="1"/>
  <c r="DP10" i="4" s="1"/>
  <c r="DQ10" i="4" s="1"/>
  <c r="DR10" i="4" s="1"/>
  <c r="DS10" i="4" s="1"/>
  <c r="DT10" i="4" s="1"/>
  <c r="DU10" i="4" s="1"/>
  <c r="DV10" i="4" s="1"/>
  <c r="DW10" i="4" s="1"/>
  <c r="DZ10" i="4" s="1"/>
  <c r="EA10" i="4" s="1"/>
  <c r="EB10" i="4" s="1"/>
  <c r="EC10" i="4" s="1"/>
  <c r="ED10" i="4" s="1"/>
  <c r="EE10" i="4" s="1"/>
  <c r="EF10" i="4" s="1"/>
  <c r="EG10" i="4" s="1"/>
  <c r="EH10" i="4" s="1"/>
  <c r="EI10" i="4" s="1"/>
  <c r="EJ10" i="4" s="1"/>
  <c r="EK10" i="4" s="1"/>
  <c r="EL10" i="4" s="1"/>
  <c r="EM10" i="4" s="1"/>
  <c r="EN10" i="4" s="1"/>
  <c r="ER10" i="4"/>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GB10" i="4" s="1"/>
  <c r="GC10" i="4" s="1"/>
  <c r="GD10" i="4" s="1"/>
  <c r="GE10" i="4" s="1"/>
  <c r="GF10" i="4" s="1"/>
  <c r="GG10" i="4" s="1"/>
  <c r="GH10" i="4" s="1"/>
  <c r="GI10" i="4" s="1"/>
  <c r="GJ10" i="4" s="1"/>
  <c r="GK10" i="4" s="1"/>
  <c r="GL10" i="4" s="1"/>
  <c r="GM10" i="4" s="1"/>
  <c r="GN10" i="4" s="1"/>
  <c r="GO10" i="4" s="1"/>
  <c r="GP10" i="4" s="1"/>
  <c r="GQ10" i="4" s="1"/>
  <c r="HD10" i="4"/>
  <c r="HE10" i="4" s="1"/>
  <c r="HF10" i="4" s="1"/>
  <c r="HG10" i="4" s="1"/>
  <c r="HH10" i="4" s="1"/>
  <c r="HI10" i="4" s="1"/>
  <c r="HJ10" i="4" s="1"/>
  <c r="HK10" i="4" s="1"/>
  <c r="AN11" i="4"/>
  <c r="AO11" i="4"/>
  <c r="BS11" i="4"/>
  <c r="BT11" i="4"/>
  <c r="BU11" i="4"/>
  <c r="BW11" i="4"/>
  <c r="BX11" i="4"/>
  <c r="BY11" i="4"/>
  <c r="BZ11" i="4"/>
  <c r="AN12" i="4"/>
  <c r="AO12" i="4"/>
  <c r="AN13" i="4"/>
  <c r="AO13" i="4"/>
  <c r="AN14" i="4"/>
  <c r="AO14" i="4"/>
  <c r="AN15" i="4"/>
  <c r="AO15" i="4"/>
  <c r="BT21" i="4"/>
  <c r="BU21" i="4"/>
  <c r="BW21" i="4"/>
  <c r="BX21" i="4"/>
  <c r="BY21" i="4"/>
  <c r="BT22" i="4"/>
  <c r="BU22" i="4"/>
  <c r="BW22" i="4"/>
  <c r="BX22" i="4"/>
  <c r="BY22" i="4"/>
  <c r="BT23" i="4"/>
  <c r="K23" i="1" s="1"/>
  <c r="BU23" i="4"/>
  <c r="BW23" i="4"/>
  <c r="BX23" i="4"/>
  <c r="BY23" i="4"/>
  <c r="O23" i="1" s="1"/>
  <c r="AN24" i="4"/>
  <c r="BT24" i="4"/>
  <c r="BU24" i="4"/>
  <c r="J24" i="1" s="1"/>
  <c r="BW24" i="4"/>
  <c r="BX24" i="4"/>
  <c r="BY24" i="4"/>
  <c r="AN25" i="4"/>
  <c r="AO25" i="4"/>
  <c r="BT25" i="4"/>
  <c r="BU25" i="4"/>
  <c r="BW25" i="4"/>
  <c r="N25" i="1" s="1"/>
  <c r="BX25" i="4"/>
  <c r="BY25" i="4"/>
  <c r="AN26" i="4"/>
  <c r="AO26" i="4"/>
  <c r="BT26" i="4"/>
  <c r="BU26" i="4"/>
  <c r="BW26" i="4"/>
  <c r="N26" i="1" s="1"/>
  <c r="BX26" i="4"/>
  <c r="M26" i="1" s="1"/>
  <c r="EX26" i="1" s="1"/>
  <c r="BY26" i="4"/>
  <c r="AN27" i="4"/>
  <c r="AO27" i="4"/>
  <c r="BT27" i="4"/>
  <c r="BU27" i="4"/>
  <c r="BW27" i="4"/>
  <c r="BX27" i="4"/>
  <c r="M27" i="1" s="1"/>
  <c r="EX27" i="1" s="1"/>
  <c r="BY27" i="4"/>
  <c r="AN28" i="4"/>
  <c r="AO28" i="4"/>
  <c r="BT28" i="4"/>
  <c r="K28" i="1" s="1"/>
  <c r="BU28" i="4"/>
  <c r="BW28" i="4"/>
  <c r="BX28" i="4"/>
  <c r="BY28" i="4"/>
  <c r="O28" i="1" s="1"/>
  <c r="AN29" i="4"/>
  <c r="AO29" i="4"/>
  <c r="BS29" i="4"/>
  <c r="I29" i="1" s="1"/>
  <c r="BT29" i="4"/>
  <c r="BU29" i="4"/>
  <c r="BW29" i="4"/>
  <c r="BX29" i="4"/>
  <c r="M29" i="1" s="1"/>
  <c r="EX29" i="1" s="1"/>
  <c r="BY29" i="4"/>
  <c r="AN30" i="4"/>
  <c r="AO30" i="4"/>
  <c r="BS30" i="4"/>
  <c r="BT30" i="4"/>
  <c r="BU30" i="4"/>
  <c r="J30" i="1" s="1"/>
  <c r="BW30" i="4"/>
  <c r="N30" i="1" s="1"/>
  <c r="BX30" i="4"/>
  <c r="BY30" i="4"/>
  <c r="AN31" i="4"/>
  <c r="AO31" i="4"/>
  <c r="BS31" i="4"/>
  <c r="BT31" i="4"/>
  <c r="BU31" i="4"/>
  <c r="J31" i="1" s="1"/>
  <c r="BW31" i="4"/>
  <c r="BX31" i="4"/>
  <c r="BY31" i="4"/>
  <c r="AN32" i="4"/>
  <c r="AO32" i="4"/>
  <c r="BS32" i="4"/>
  <c r="BT32" i="4"/>
  <c r="BU32" i="4"/>
  <c r="J32" i="1" s="1"/>
  <c r="BW32" i="4"/>
  <c r="BX32" i="4"/>
  <c r="BY32" i="4"/>
  <c r="O32" i="1" s="1"/>
  <c r="FX32" i="4"/>
  <c r="AN33" i="4"/>
  <c r="AO33" i="4"/>
  <c r="BS33" i="4"/>
  <c r="BT33" i="4"/>
  <c r="K33" i="1" s="1"/>
  <c r="BU33" i="4"/>
  <c r="BW33" i="4"/>
  <c r="BX33" i="4"/>
  <c r="BY33" i="4"/>
  <c r="O33" i="1" s="1"/>
  <c r="AN34" i="4"/>
  <c r="AO34" i="4"/>
  <c r="BS34" i="4"/>
  <c r="I34" i="1" s="1"/>
  <c r="BT34" i="4"/>
  <c r="BU34" i="4"/>
  <c r="BW34" i="4"/>
  <c r="BX34" i="4"/>
  <c r="M34" i="1" s="1"/>
  <c r="EX34" i="1" s="1"/>
  <c r="BY34" i="4"/>
  <c r="AN35" i="4"/>
  <c r="AO35" i="4"/>
  <c r="BS35" i="4"/>
  <c r="BT35" i="4"/>
  <c r="BU35" i="4"/>
  <c r="J35" i="1" s="1"/>
  <c r="BW35" i="4"/>
  <c r="N35" i="1" s="1"/>
  <c r="BX35" i="4"/>
  <c r="BY35" i="4"/>
  <c r="AN36" i="4"/>
  <c r="AO36" i="4"/>
  <c r="BS36" i="4"/>
  <c r="BT36" i="4"/>
  <c r="BU36" i="4"/>
  <c r="BW36" i="4"/>
  <c r="N36" i="1" s="1"/>
  <c r="BX36" i="4"/>
  <c r="BY36" i="4"/>
  <c r="AN37" i="4"/>
  <c r="AO37" i="4"/>
  <c r="BS37" i="4"/>
  <c r="BT37" i="4"/>
  <c r="BU37" i="4"/>
  <c r="J37" i="1" s="1"/>
  <c r="BW37" i="4"/>
  <c r="BX37" i="4"/>
  <c r="BY37" i="4"/>
  <c r="AN38" i="4"/>
  <c r="AO38" i="4"/>
  <c r="BS38" i="4"/>
  <c r="I38" i="1" s="1"/>
  <c r="BT38" i="4"/>
  <c r="K38" i="1" s="1"/>
  <c r="BU38" i="4"/>
  <c r="BW38" i="4"/>
  <c r="BX38" i="4"/>
  <c r="BY38" i="4"/>
  <c r="O38" i="1" s="1"/>
  <c r="FB38" i="4"/>
  <c r="AN39" i="4"/>
  <c r="AO39" i="4"/>
  <c r="BS39" i="4"/>
  <c r="I39" i="1" s="1"/>
  <c r="BT39" i="4"/>
  <c r="BU39" i="4"/>
  <c r="BW39" i="4"/>
  <c r="BX39" i="4"/>
  <c r="M39" i="1" s="1"/>
  <c r="EX39" i="1" s="1"/>
  <c r="BY39" i="4"/>
  <c r="AN40" i="4"/>
  <c r="AO40" i="4"/>
  <c r="BS40" i="4"/>
  <c r="I40" i="1" s="1"/>
  <c r="BT40" i="4"/>
  <c r="BU40" i="4"/>
  <c r="BW40" i="4"/>
  <c r="BX40" i="4"/>
  <c r="BY40" i="4"/>
  <c r="AN41" i="4"/>
  <c r="AO41" i="4"/>
  <c r="BS41" i="4"/>
  <c r="BT41" i="4"/>
  <c r="BU41" i="4"/>
  <c r="BW41" i="4"/>
  <c r="BX41" i="4"/>
  <c r="BY41" i="4"/>
  <c r="DS43" i="4"/>
  <c r="EQ44" i="4"/>
  <c r="FE51" i="4"/>
  <c r="FF52" i="4"/>
  <c r="F54" i="4"/>
  <c r="I54" i="4"/>
  <c r="A66" i="4"/>
  <c r="A67" i="4"/>
  <c r="A68" i="4" s="1"/>
  <c r="A69" i="4" s="1"/>
  <c r="A70" i="4" s="1"/>
  <c r="A71" i="4" s="1"/>
  <c r="A72" i="4" s="1"/>
  <c r="G4" i="3"/>
  <c r="C5" i="3"/>
  <c r="C6" i="3"/>
  <c r="H6" i="3"/>
  <c r="L11" i="2"/>
  <c r="F25" i="3"/>
  <c r="B5" i="2"/>
  <c r="EE51" i="1"/>
  <c r="EE48" i="1"/>
  <c r="EE50" i="1"/>
  <c r="K21" i="2"/>
  <c r="AC2" i="1"/>
  <c r="AL2" i="1"/>
  <c r="BJ2" i="1"/>
  <c r="DW8" i="1"/>
  <c r="DX8" i="1" s="1"/>
  <c r="DY8" i="1" s="1"/>
  <c r="DZ8" i="1" s="1"/>
  <c r="EA8" i="1" s="1"/>
  <c r="EB8" i="1" s="1"/>
  <c r="EC8" i="1" s="1"/>
  <c r="ED8" i="1" s="1"/>
  <c r="EE8" i="1" s="1"/>
  <c r="EF8" i="1" s="1"/>
  <c r="C11" i="1"/>
  <c r="W11" i="1" s="1"/>
  <c r="AL11" i="1"/>
  <c r="AZ11" i="1"/>
  <c r="BK11" i="1"/>
  <c r="DC11" i="1"/>
  <c r="DY49" i="1"/>
  <c r="DY50" i="1"/>
  <c r="DY51" i="1"/>
  <c r="EC48" i="1"/>
  <c r="C12" i="1"/>
  <c r="AK12" i="1" s="1"/>
  <c r="AL12" i="1"/>
  <c r="AZ12" i="1"/>
  <c r="DC12" i="1"/>
  <c r="AZ13" i="1"/>
  <c r="AZ14" i="1"/>
  <c r="AZ15" i="1"/>
  <c r="AZ16" i="1"/>
  <c r="EL16" i="1"/>
  <c r="EM16" i="1"/>
  <c r="AZ17" i="1"/>
  <c r="AZ18" i="1"/>
  <c r="DG27" i="1"/>
  <c r="DG26" i="1" s="1"/>
  <c r="BQ29" i="1"/>
  <c r="BQ30" i="1"/>
  <c r="BQ31" i="1"/>
  <c r="BQ32" i="1"/>
  <c r="AZ33" i="1"/>
  <c r="BQ33" i="1"/>
  <c r="AZ34" i="1"/>
  <c r="BQ34" i="1"/>
  <c r="AZ35" i="1"/>
  <c r="EL35" i="1"/>
  <c r="EM35" i="1"/>
  <c r="AZ36" i="1"/>
  <c r="AZ37" i="1"/>
  <c r="AZ38" i="1"/>
  <c r="AZ39" i="1"/>
  <c r="AZ40" i="1"/>
  <c r="CM45" i="1"/>
  <c r="CN45" i="1"/>
  <c r="CO45" i="1"/>
  <c r="CP45" i="1"/>
  <c r="CP54" i="1"/>
  <c r="CP55" i="1"/>
  <c r="AV10" i="10"/>
  <c r="DF13" i="4" s="1"/>
  <c r="DG13" i="4" s="1"/>
  <c r="AV14" i="10"/>
  <c r="DF17" i="4" s="1"/>
  <c r="DG17" i="4" s="1"/>
  <c r="AV18" i="10"/>
  <c r="DF21" i="4" s="1"/>
  <c r="DG21" i="4" s="1"/>
  <c r="AV22" i="10"/>
  <c r="DF25" i="4" s="1"/>
  <c r="DG25" i="4" s="1"/>
  <c r="AV26" i="10"/>
  <c r="DF29" i="4" s="1"/>
  <c r="DG29" i="4" s="1"/>
  <c r="DI38" i="4"/>
  <c r="AZ37" i="10"/>
  <c r="AY39" i="10"/>
  <c r="AS8" i="10"/>
  <c r="AT8" i="10" s="1"/>
  <c r="DE11" i="4" s="1"/>
  <c r="AU9" i="10"/>
  <c r="AV9" i="10" s="1"/>
  <c r="DF12" i="4" s="1"/>
  <c r="DG12" i="4" s="1"/>
  <c r="AS10" i="10"/>
  <c r="AT10" i="10" s="1"/>
  <c r="AU11" i="10"/>
  <c r="AV11" i="10" s="1"/>
  <c r="DF14" i="4" s="1"/>
  <c r="DG14" i="4" s="1"/>
  <c r="AS12" i="10"/>
  <c r="AT12" i="10" s="1"/>
  <c r="DE15" i="4" s="1"/>
  <c r="AU13" i="10"/>
  <c r="AV13" i="10" s="1"/>
  <c r="DF16" i="4" s="1"/>
  <c r="DG16" i="4" s="1"/>
  <c r="AS14" i="10"/>
  <c r="AT14" i="10" s="1"/>
  <c r="AU15" i="10"/>
  <c r="AV15" i="10" s="1"/>
  <c r="DF18" i="4" s="1"/>
  <c r="DG18" i="4" s="1"/>
  <c r="AS16" i="10"/>
  <c r="AT16" i="10" s="1"/>
  <c r="DE19" i="4" s="1"/>
  <c r="AU17" i="10"/>
  <c r="AV17" i="10" s="1"/>
  <c r="DF20" i="4" s="1"/>
  <c r="DG20" i="4" s="1"/>
  <c r="AS18" i="10"/>
  <c r="AT18" i="10" s="1"/>
  <c r="AU19" i="10"/>
  <c r="AV19" i="10" s="1"/>
  <c r="DF22" i="4" s="1"/>
  <c r="DG22" i="4" s="1"/>
  <c r="AS20" i="10"/>
  <c r="AT20" i="10" s="1"/>
  <c r="DE23" i="4" s="1"/>
  <c r="AU21" i="10"/>
  <c r="AV21" i="10" s="1"/>
  <c r="DF24" i="4" s="1"/>
  <c r="DG24" i="4" s="1"/>
  <c r="AS22" i="10"/>
  <c r="AT22" i="10" s="1"/>
  <c r="AU23" i="10"/>
  <c r="AV23" i="10" s="1"/>
  <c r="DF26" i="4" s="1"/>
  <c r="DG26" i="4" s="1"/>
  <c r="AS24" i="10"/>
  <c r="AT24" i="10" s="1"/>
  <c r="DE27" i="4" s="1"/>
  <c r="AU25" i="10"/>
  <c r="AV25" i="10" s="1"/>
  <c r="DF28" i="4" s="1"/>
  <c r="DG28" i="4" s="1"/>
  <c r="AS26" i="10"/>
  <c r="AT26" i="10" s="1"/>
  <c r="AU27" i="10"/>
  <c r="AV27" i="10" s="1"/>
  <c r="DF30" i="4" s="1"/>
  <c r="DG30" i="4" s="1"/>
  <c r="AS28" i="10"/>
  <c r="AT28" i="10" s="1"/>
  <c r="AU29" i="10"/>
  <c r="AV29" i="10" s="1"/>
  <c r="DF32" i="4" s="1"/>
  <c r="DG32" i="4" s="1"/>
  <c r="AS30" i="10"/>
  <c r="AT30" i="10" s="1"/>
  <c r="AU31" i="10"/>
  <c r="AV31" i="10" s="1"/>
  <c r="DF34" i="4" s="1"/>
  <c r="DG34" i="4" s="1"/>
  <c r="AS32" i="10"/>
  <c r="AT32" i="10" s="1"/>
  <c r="AU33" i="10"/>
  <c r="AV33" i="10" s="1"/>
  <c r="DF36" i="4" s="1"/>
  <c r="DG36" i="4" s="1"/>
  <c r="AS34" i="10"/>
  <c r="AT34" i="10" s="1"/>
  <c r="AU35" i="10"/>
  <c r="AV35" i="10" s="1"/>
  <c r="DF38" i="4" s="1"/>
  <c r="DG38" i="4" s="1"/>
  <c r="AS36" i="10"/>
  <c r="AT36" i="10" s="1"/>
  <c r="AU37" i="10"/>
  <c r="AV37" i="10" s="1"/>
  <c r="DF40" i="4" s="1"/>
  <c r="DG40" i="4" s="1"/>
  <c r="AS9" i="10"/>
  <c r="AT9" i="10" s="1"/>
  <c r="AS11" i="10"/>
  <c r="AT11" i="10" s="1"/>
  <c r="AS13" i="10"/>
  <c r="AT13" i="10" s="1"/>
  <c r="AS15" i="10"/>
  <c r="AT15" i="10" s="1"/>
  <c r="AS17" i="10"/>
  <c r="AT17" i="10" s="1"/>
  <c r="AS19" i="10"/>
  <c r="AT19" i="10" s="1"/>
  <c r="AS21" i="10"/>
  <c r="AT21" i="10" s="1"/>
  <c r="AS23" i="10"/>
  <c r="AT23" i="10" s="1"/>
  <c r="AS25" i="10"/>
  <c r="AT25" i="10" s="1"/>
  <c r="AS27" i="10"/>
  <c r="AT27" i="10" s="1"/>
  <c r="AS29" i="10"/>
  <c r="AT29" i="10" s="1"/>
  <c r="DE32" i="4" s="1"/>
  <c r="AS31" i="10"/>
  <c r="AT31" i="10" s="1"/>
  <c r="DE34" i="4" s="1"/>
  <c r="AS33" i="10"/>
  <c r="AT33" i="10" s="1"/>
  <c r="DE36" i="4" s="1"/>
  <c r="AS35" i="10"/>
  <c r="AT35" i="10" s="1"/>
  <c r="DE38" i="4" s="1"/>
  <c r="DJ12" i="4"/>
  <c r="G37" i="12"/>
  <c r="AF22" i="8"/>
  <c r="AF16" i="8"/>
  <c r="GD20" i="4"/>
  <c r="DH29" i="4"/>
  <c r="DI29" i="4" s="1"/>
  <c r="DH27" i="4"/>
  <c r="DI27" i="4" s="1"/>
  <c r="X12" i="1"/>
  <c r="AQ84" i="4" s="1"/>
  <c r="AP84" i="4" s="1"/>
  <c r="DH25" i="4"/>
  <c r="DI25" i="4" s="1"/>
  <c r="AC43" i="8"/>
  <c r="AD42" i="8"/>
  <c r="BP11" i="1" s="1"/>
  <c r="AB20" i="1"/>
  <c r="J45" i="15"/>
  <c r="CF3" i="17"/>
  <c r="CC3" i="17"/>
  <c r="DH13" i="4"/>
  <c r="DI13" i="4" s="1"/>
  <c r="AD111" i="4"/>
  <c r="AD107" i="4"/>
  <c r="AG113" i="4"/>
  <c r="AG109" i="4"/>
  <c r="AD110" i="4"/>
  <c r="AD106" i="4"/>
  <c r="AD113" i="4"/>
  <c r="AD109" i="4"/>
  <c r="AD112" i="4"/>
  <c r="AD108" i="4"/>
  <c r="B84" i="4"/>
  <c r="A84" i="4" s="1"/>
  <c r="N105" i="4"/>
  <c r="I98" i="4"/>
  <c r="AT17" i="1"/>
  <c r="DT54" i="1"/>
  <c r="DU53" i="1"/>
  <c r="AI41" i="1"/>
  <c r="BK85" i="17" s="1"/>
  <c r="K99" i="4"/>
  <c r="AH101" i="4"/>
  <c r="AH97" i="4"/>
  <c r="AZ26" i="10"/>
  <c r="AZ28" i="10"/>
  <c r="AZ30" i="10"/>
  <c r="AZ32" i="10"/>
  <c r="AZ34" i="10"/>
  <c r="AZ36" i="10"/>
  <c r="AU38" i="10"/>
  <c r="AV38" i="10" s="1"/>
  <c r="DF41" i="4" s="1"/>
  <c r="DG41" i="4" s="1"/>
  <c r="AS38" i="10"/>
  <c r="AT38" i="10" s="1"/>
  <c r="DE41" i="4" s="1"/>
  <c r="EA50" i="1"/>
  <c r="CD12" i="1"/>
  <c r="BB49" i="17"/>
  <c r="R49" i="17"/>
  <c r="EC51" i="1"/>
  <c r="EA49" i="1"/>
  <c r="EC49" i="1"/>
  <c r="AG24" i="8"/>
  <c r="AM36" i="8"/>
  <c r="AF108" i="4"/>
  <c r="AM35" i="8"/>
  <c r="AF107" i="4"/>
  <c r="AM34" i="8"/>
  <c r="AF106" i="4"/>
  <c r="AF105" i="4"/>
  <c r="AF104" i="4"/>
  <c r="AF96" i="4"/>
  <c r="AM16" i="8"/>
  <c r="AF88" i="4"/>
  <c r="AF102" i="4"/>
  <c r="AF94" i="4"/>
  <c r="AF92" i="4"/>
  <c r="D13" i="1"/>
  <c r="DU56" i="1" s="1"/>
  <c r="AK42" i="5"/>
  <c r="EK42" i="4"/>
  <c r="BK19" i="1" s="1"/>
  <c r="GD32" i="4"/>
  <c r="L20" i="8"/>
  <c r="GD22" i="4"/>
  <c r="L32" i="8"/>
  <c r="W12" i="1"/>
  <c r="GF16" i="4"/>
  <c r="GB33" i="4"/>
  <c r="J24" i="8"/>
  <c r="J33" i="8"/>
  <c r="GI30" i="4"/>
  <c r="GT19" i="4"/>
  <c r="I17" i="8"/>
  <c r="GF17" i="4"/>
  <c r="DU19" i="4"/>
  <c r="M50" i="12"/>
  <c r="BK8" i="1" s="1"/>
  <c r="GT16" i="4"/>
  <c r="AN43" i="12"/>
  <c r="DU12" i="4"/>
  <c r="EJ42" i="4"/>
  <c r="EH42" i="4" s="1"/>
  <c r="Q32" i="15"/>
  <c r="FT12" i="4"/>
  <c r="J14" i="4"/>
  <c r="K29" i="4"/>
  <c r="K19" i="4"/>
  <c r="AJ42" i="5"/>
  <c r="S21" i="12"/>
  <c r="V22" i="8" s="1"/>
  <c r="GC28" i="4"/>
  <c r="AI10" i="7"/>
  <c r="AJ10" i="7"/>
  <c r="AK10" i="7" s="1"/>
  <c r="AL10" i="7" s="1"/>
  <c r="AN10" i="7" s="1"/>
  <c r="AO10" i="7" s="1"/>
  <c r="AP10" i="7" s="1"/>
  <c r="AQ10" i="7" s="1"/>
  <c r="AR10" i="7" s="1"/>
  <c r="AU10" i="7" s="1"/>
  <c r="AV10" i="7" s="1"/>
  <c r="AW10" i="7" s="1"/>
  <c r="AX10" i="7" s="1"/>
  <c r="AY10" i="7" s="1"/>
  <c r="AZ10" i="7" s="1"/>
  <c r="AC42" i="8"/>
  <c r="AU8" i="10"/>
  <c r="AV8" i="10" s="1"/>
  <c r="DF11" i="4" s="1"/>
  <c r="AU12" i="10"/>
  <c r="AV12" i="10" s="1"/>
  <c r="DF15" i="4" s="1"/>
  <c r="DG15" i="4" s="1"/>
  <c r="AU16" i="10"/>
  <c r="AV16" i="10" s="1"/>
  <c r="DF19" i="4" s="1"/>
  <c r="DG19" i="4" s="1"/>
  <c r="AU20" i="10"/>
  <c r="AV20" i="10" s="1"/>
  <c r="DF23" i="4" s="1"/>
  <c r="DG23" i="4" s="1"/>
  <c r="AU24" i="10"/>
  <c r="AV24" i="10" s="1"/>
  <c r="DF27" i="4" s="1"/>
  <c r="DG27" i="4" s="1"/>
  <c r="AD43" i="8"/>
  <c r="V20" i="16" s="1"/>
  <c r="AZ10" i="10"/>
  <c r="AZ14" i="10"/>
  <c r="AZ18" i="10"/>
  <c r="AZ22" i="10"/>
  <c r="DU55" i="1"/>
  <c r="DU12" i="1"/>
  <c r="DS12" i="1" s="1"/>
  <c r="AE24" i="8"/>
  <c r="AE13" i="8"/>
  <c r="AE25" i="8"/>
  <c r="AE17" i="8"/>
  <c r="AE19" i="8"/>
  <c r="AE18" i="8"/>
  <c r="AE26" i="8"/>
  <c r="AE20" i="8"/>
  <c r="AE12" i="8"/>
  <c r="AE15" i="8"/>
  <c r="AE23" i="8"/>
  <c r="HF20" i="4"/>
  <c r="HF21" i="4"/>
  <c r="HC39" i="4"/>
  <c r="HI16" i="4"/>
  <c r="HC38" i="4"/>
  <c r="HI15" i="4"/>
  <c r="AE16" i="8"/>
  <c r="HG15" i="4"/>
  <c r="HE14" i="4"/>
  <c r="HH15" i="4"/>
  <c r="HC41" i="4"/>
  <c r="HG16" i="4"/>
  <c r="HE15" i="4"/>
  <c r="HH16" i="4"/>
  <c r="HF22" i="4"/>
  <c r="HE16" i="4"/>
  <c r="HC40" i="4"/>
  <c r="BC42" i="7"/>
  <c r="HI18" i="4"/>
  <c r="HH17" i="4"/>
  <c r="HG17" i="4"/>
  <c r="HI17" i="4"/>
  <c r="HF23" i="4"/>
  <c r="HF24" i="4"/>
  <c r="ES8" i="1"/>
  <c r="EO8" i="1"/>
  <c r="EK8" i="1"/>
  <c r="ER8" i="1"/>
  <c r="EN8" i="1"/>
  <c r="EJ8" i="1"/>
  <c r="EU8" i="1"/>
  <c r="EQ8" i="1"/>
  <c r="EM8" i="1"/>
  <c r="ET8" i="1"/>
  <c r="EP8" i="1"/>
  <c r="EL8" i="1"/>
  <c r="D21" i="2"/>
  <c r="H21" i="2" s="1"/>
  <c r="G46" i="1"/>
  <c r="HF25" i="4"/>
  <c r="HH19" i="4"/>
  <c r="HE18" i="4"/>
  <c r="HI19" i="4"/>
  <c r="HG19" i="4"/>
  <c r="HH18" i="4"/>
  <c r="HE17" i="4"/>
  <c r="HI20" i="4"/>
  <c r="HG18" i="4"/>
  <c r="HI21" i="4"/>
  <c r="HF27" i="4"/>
  <c r="HH20" i="4"/>
  <c r="HE20" i="4"/>
  <c r="HG20" i="4"/>
  <c r="HF26" i="4"/>
  <c r="HH21" i="4"/>
  <c r="HE19" i="4"/>
  <c r="HG21" i="4"/>
  <c r="HI22" i="4"/>
  <c r="HI23" i="4"/>
  <c r="HF28" i="4"/>
  <c r="HG22" i="4"/>
  <c r="HH22" i="4"/>
  <c r="HE22" i="4"/>
  <c r="HI24" i="4"/>
  <c r="HE21" i="4"/>
  <c r="HH23" i="4"/>
  <c r="HG23" i="4"/>
  <c r="HF29" i="4"/>
  <c r="HG24" i="4"/>
  <c r="HH24" i="4"/>
  <c r="HE23" i="4"/>
  <c r="HF30" i="4"/>
  <c r="HI25" i="4"/>
  <c r="HI26" i="4"/>
  <c r="HF31" i="4"/>
  <c r="HH25" i="4"/>
  <c r="HG25" i="4"/>
  <c r="HE24" i="4"/>
  <c r="HE25" i="4"/>
  <c r="HF32" i="4"/>
  <c r="HI27" i="4"/>
  <c r="HG26" i="4"/>
  <c r="HH26" i="4"/>
  <c r="HH27" i="4"/>
  <c r="HG27" i="4"/>
  <c r="HI28" i="4"/>
  <c r="HF33" i="4"/>
  <c r="HE26" i="4"/>
  <c r="HE27" i="4"/>
  <c r="HI29" i="4"/>
  <c r="HG28" i="4"/>
  <c r="HH28" i="4"/>
  <c r="HF34" i="4"/>
  <c r="HH29" i="4"/>
  <c r="HG29" i="4"/>
  <c r="HI30" i="4"/>
  <c r="HE28" i="4"/>
  <c r="HF35" i="4"/>
  <c r="HE29" i="4"/>
  <c r="HI31" i="4"/>
  <c r="HG30" i="4"/>
  <c r="HH30" i="4"/>
  <c r="HF36" i="4"/>
  <c r="HF37" i="4"/>
  <c r="HH31" i="4"/>
  <c r="HG31" i="4"/>
  <c r="HI32" i="4"/>
  <c r="HE30" i="4"/>
  <c r="HI33" i="4"/>
  <c r="HG32" i="4"/>
  <c r="HH32" i="4"/>
  <c r="HE31" i="4"/>
  <c r="HF38" i="4"/>
  <c r="HF39" i="4"/>
  <c r="HE32" i="4"/>
  <c r="HH33" i="4"/>
  <c r="HG33" i="4"/>
  <c r="HI34" i="4"/>
  <c r="HI35" i="4"/>
  <c r="HG34" i="4"/>
  <c r="HH34" i="4"/>
  <c r="HE33" i="4"/>
  <c r="HF40" i="4"/>
  <c r="HE34" i="4"/>
  <c r="HH35" i="4"/>
  <c r="HG35" i="4"/>
  <c r="HI36" i="4"/>
  <c r="HI37" i="4"/>
  <c r="HG36" i="4"/>
  <c r="HH36" i="4"/>
  <c r="HF41" i="4"/>
  <c r="BF42" i="7"/>
  <c r="HE35" i="4"/>
  <c r="HE36" i="4"/>
  <c r="HH37" i="4"/>
  <c r="HG37" i="4"/>
  <c r="HI38" i="4"/>
  <c r="BJ42" i="7"/>
  <c r="HJ42" i="4" s="1"/>
  <c r="HI39" i="4"/>
  <c r="HG38" i="4"/>
  <c r="HH38" i="4"/>
  <c r="HE37" i="4"/>
  <c r="HE38" i="4"/>
  <c r="HH39" i="4"/>
  <c r="HG39" i="4"/>
  <c r="HI40" i="4"/>
  <c r="HG40" i="4"/>
  <c r="HH40" i="4"/>
  <c r="HE39" i="4"/>
  <c r="HE40" i="4"/>
  <c r="HI41" i="4"/>
  <c r="BI42" i="7"/>
  <c r="HG41" i="4"/>
  <c r="BG42" i="7"/>
  <c r="HH41" i="4"/>
  <c r="BH42" i="7"/>
  <c r="HE41" i="4"/>
  <c r="BE42" i="7"/>
  <c r="EN34" i="4"/>
  <c r="EN35" i="4"/>
  <c r="EN32" i="4"/>
  <c r="EN31" i="4"/>
  <c r="EN33" i="4"/>
  <c r="EN30" i="4"/>
  <c r="EN29" i="4"/>
  <c r="EN26" i="4"/>
  <c r="EN27" i="4"/>
  <c r="EN28" i="4"/>
  <c r="EN25" i="4"/>
  <c r="EN24" i="4"/>
  <c r="EN23" i="4"/>
  <c r="EN11" i="4"/>
  <c r="EN17" i="4"/>
  <c r="EN19" i="4"/>
  <c r="EN15" i="4"/>
  <c r="EN22" i="4"/>
  <c r="EN18" i="4"/>
  <c r="EN14" i="4"/>
  <c r="EN21" i="4"/>
  <c r="EN13" i="4"/>
  <c r="EN20" i="4"/>
  <c r="EN16" i="4"/>
  <c r="EN12" i="4"/>
  <c r="EJ36" i="1"/>
  <c r="EJ27" i="1" s="1"/>
  <c r="DW12" i="4"/>
  <c r="DW15" i="4"/>
  <c r="DW16" i="4"/>
  <c r="DW19" i="4"/>
  <c r="DW23" i="4"/>
  <c r="DW27" i="4"/>
  <c r="DW31" i="4"/>
  <c r="DW35" i="4"/>
  <c r="DW11" i="4"/>
  <c r="DW13" i="4"/>
  <c r="DW14" i="4"/>
  <c r="DW17" i="4"/>
  <c r="DW18" i="4"/>
  <c r="DW20" i="4"/>
  <c r="DW21" i="4"/>
  <c r="DW22" i="4"/>
  <c r="DW24" i="4"/>
  <c r="DW25" i="4"/>
  <c r="DW26" i="4"/>
  <c r="DW28" i="4"/>
  <c r="DW29" i="4"/>
  <c r="DW30" i="4"/>
  <c r="DW32" i="4"/>
  <c r="DW33" i="4"/>
  <c r="DW34" i="4"/>
  <c r="DW36" i="4"/>
  <c r="DW37" i="4"/>
  <c r="DW38" i="4"/>
  <c r="DW39" i="4"/>
  <c r="DW40" i="4"/>
  <c r="DW41" i="4"/>
  <c r="J78" i="4"/>
  <c r="AD77" i="4"/>
  <c r="P77" i="4"/>
  <c r="AG107" i="4"/>
  <c r="AG105" i="4"/>
  <c r="P78" i="4" l="1"/>
  <c r="AG80" i="4"/>
  <c r="M80" i="4"/>
  <c r="N78" i="4"/>
  <c r="A83" i="4"/>
  <c r="O79" i="4"/>
  <c r="AG82" i="4"/>
  <c r="J81" i="4"/>
  <c r="P79" i="4"/>
  <c r="I82" i="4"/>
  <c r="K79" i="4"/>
  <c r="DL10" i="6"/>
  <c r="DM10" i="6" s="1"/>
  <c r="DN10" i="6" s="1"/>
  <c r="DO10" i="6" s="1"/>
  <c r="DP10" i="6" s="1"/>
  <c r="DQ10" i="6" s="1"/>
  <c r="DR10" i="6" s="1"/>
  <c r="DW10" i="6"/>
  <c r="DX10" i="6" s="1"/>
  <c r="DY10" i="6" s="1"/>
  <c r="DH19" i="4"/>
  <c r="DI19" i="4" s="1"/>
  <c r="DH15" i="4"/>
  <c r="DI15" i="4" s="1"/>
  <c r="CQ52" i="4"/>
  <c r="B40" i="10"/>
  <c r="R40" i="10"/>
  <c r="EU27" i="1"/>
  <c r="AD38" i="12"/>
  <c r="AM39" i="8" s="1"/>
  <c r="AM42" i="10"/>
  <c r="AM43" i="10" s="1"/>
  <c r="EA51" i="1"/>
  <c r="AB43" i="10"/>
  <c r="B85" i="4"/>
  <c r="A85" i="4" s="1"/>
  <c r="EA53" i="1"/>
  <c r="EA52" i="1"/>
  <c r="DY48" i="1"/>
  <c r="W111" i="4"/>
  <c r="DU40" i="4"/>
  <c r="W106" i="4"/>
  <c r="AM40" i="8"/>
  <c r="Y106" i="4"/>
  <c r="Y110" i="4"/>
  <c r="Y111" i="4"/>
  <c r="Y112" i="4"/>
  <c r="W109" i="4"/>
  <c r="DU38" i="4"/>
  <c r="AM41" i="8"/>
  <c r="Y107" i="4"/>
  <c r="W113" i="4"/>
  <c r="DU36" i="4"/>
  <c r="Y113" i="4"/>
  <c r="W107" i="4"/>
  <c r="EP27" i="1"/>
  <c r="EK27" i="1"/>
  <c r="J34" i="8"/>
  <c r="L27" i="8"/>
  <c r="J29" i="8"/>
  <c r="J37" i="8"/>
  <c r="GB31" i="4"/>
  <c r="P20" i="4"/>
  <c r="R92" i="4" s="1"/>
  <c r="DU36" i="17"/>
  <c r="J31" i="8"/>
  <c r="L26" i="8"/>
  <c r="J38" i="8"/>
  <c r="GD30" i="4"/>
  <c r="GD36" i="4"/>
  <c r="J17" i="8"/>
  <c r="GD27" i="4"/>
  <c r="GB29" i="4"/>
  <c r="K28" i="8"/>
  <c r="GD26" i="4"/>
  <c r="J35" i="8"/>
  <c r="AB22" i="1"/>
  <c r="AR39" i="1"/>
  <c r="J111" i="4"/>
  <c r="N111" i="4"/>
  <c r="J88" i="4"/>
  <c r="J84" i="4"/>
  <c r="M88" i="4"/>
  <c r="M101" i="4"/>
  <c r="S11" i="1"/>
  <c r="U11" i="1"/>
  <c r="V11" i="1" s="1"/>
  <c r="AQ11" i="1"/>
  <c r="AQ13" i="1"/>
  <c r="L91" i="4"/>
  <c r="FI19" i="4"/>
  <c r="J92" i="4"/>
  <c r="S22" i="1"/>
  <c r="N94" i="4"/>
  <c r="I94" i="4"/>
  <c r="FJ24" i="4"/>
  <c r="K97" i="4"/>
  <c r="J97" i="4"/>
  <c r="K98" i="4"/>
  <c r="S27" i="1"/>
  <c r="S28" i="1"/>
  <c r="N101" i="4"/>
  <c r="I101" i="4"/>
  <c r="S31" i="1"/>
  <c r="S33" i="1"/>
  <c r="M107" i="4"/>
  <c r="FI36" i="4"/>
  <c r="AA36" i="1" s="1"/>
  <c r="K109" i="4"/>
  <c r="J110" i="4"/>
  <c r="AQ16" i="1"/>
  <c r="Z19" i="1"/>
  <c r="AQ20" i="1"/>
  <c r="AT21" i="1"/>
  <c r="AB25" i="1"/>
  <c r="U23" i="1"/>
  <c r="U26" i="1"/>
  <c r="U28" i="1"/>
  <c r="V28" i="1" s="1"/>
  <c r="AQ28" i="1"/>
  <c r="Z14" i="1"/>
  <c r="AB29" i="1"/>
  <c r="AB16" i="1"/>
  <c r="J87" i="4"/>
  <c r="L85" i="4"/>
  <c r="M87" i="4"/>
  <c r="N87" i="4"/>
  <c r="AQ14" i="1"/>
  <c r="AR11" i="1"/>
  <c r="FJ19" i="4"/>
  <c r="Y19" i="1" s="1"/>
  <c r="S21" i="1"/>
  <c r="K94" i="4"/>
  <c r="J94" i="4"/>
  <c r="FI22" i="4"/>
  <c r="AA22" i="1" s="1"/>
  <c r="S23" i="1"/>
  <c r="I95" i="4"/>
  <c r="M96" i="4"/>
  <c r="L97" i="4"/>
  <c r="L98" i="4"/>
  <c r="L100" i="4"/>
  <c r="S29" i="1"/>
  <c r="J101" i="4"/>
  <c r="M102" i="4"/>
  <c r="J103" i="4"/>
  <c r="M104" i="4"/>
  <c r="K105" i="4"/>
  <c r="J105" i="4"/>
  <c r="M106" i="4"/>
  <c r="FK34" i="4"/>
  <c r="S35" i="1"/>
  <c r="N107" i="4"/>
  <c r="I107" i="4"/>
  <c r="S36" i="1"/>
  <c r="M108" i="4"/>
  <c r="FJ36" i="4"/>
  <c r="L109" i="4"/>
  <c r="FI37" i="4"/>
  <c r="AT37" i="1"/>
  <c r="FI38" i="4"/>
  <c r="AT38" i="1"/>
  <c r="AR16" i="1"/>
  <c r="AT18" i="1"/>
  <c r="AR20" i="1"/>
  <c r="AQ21" i="1"/>
  <c r="AB23" i="1"/>
  <c r="AB24" i="1"/>
  <c r="Z25" i="1"/>
  <c r="AT27" i="1"/>
  <c r="AB28" i="1"/>
  <c r="Z29" i="1"/>
  <c r="AT31" i="1"/>
  <c r="Z33" i="1"/>
  <c r="AQ36" i="1"/>
  <c r="U38" i="1"/>
  <c r="V38" i="1" s="1"/>
  <c r="AR32" i="1"/>
  <c r="AQ34" i="1"/>
  <c r="AH104" i="4"/>
  <c r="K88" i="4"/>
  <c r="K92" i="4"/>
  <c r="L111" i="4"/>
  <c r="J86" i="4"/>
  <c r="K87" i="4"/>
  <c r="L88" i="4"/>
  <c r="M86" i="4"/>
  <c r="N86" i="4"/>
  <c r="S13" i="1"/>
  <c r="AT35" i="1"/>
  <c r="AT12" i="1"/>
  <c r="AT13" i="1"/>
  <c r="U31" i="1"/>
  <c r="V31" i="1" s="1"/>
  <c r="S17" i="1"/>
  <c r="S18" i="1"/>
  <c r="J90" i="4"/>
  <c r="N91" i="4"/>
  <c r="M92" i="4"/>
  <c r="FJ20" i="4"/>
  <c r="L93" i="4"/>
  <c r="FI21" i="4"/>
  <c r="AA21" i="1" s="1"/>
  <c r="FJ22" i="4"/>
  <c r="J95" i="4"/>
  <c r="FI23" i="4"/>
  <c r="S24" i="1"/>
  <c r="N96" i="4"/>
  <c r="I96" i="4"/>
  <c r="M97" i="4"/>
  <c r="M98" i="4"/>
  <c r="M99" i="4"/>
  <c r="I99" i="4"/>
  <c r="S30" i="1"/>
  <c r="S32" i="1"/>
  <c r="S34" i="1"/>
  <c r="N106" i="4"/>
  <c r="K107" i="4"/>
  <c r="J107" i="4"/>
  <c r="N108" i="4"/>
  <c r="I108" i="4"/>
  <c r="S37" i="1"/>
  <c r="FJ37" i="4"/>
  <c r="Y37" i="1" s="1"/>
  <c r="AQ37" i="1"/>
  <c r="S38" i="1"/>
  <c r="M110" i="4"/>
  <c r="FJ38" i="4"/>
  <c r="Y38" i="1" s="1"/>
  <c r="AT15" i="1"/>
  <c r="AR17" i="1"/>
  <c r="Z17" i="1"/>
  <c r="AQ18" i="1"/>
  <c r="AB18" i="1"/>
  <c r="AT19" i="1"/>
  <c r="AR21" i="1"/>
  <c r="Z21" i="1"/>
  <c r="AQ22" i="1"/>
  <c r="Z23" i="1"/>
  <c r="Z24" i="1"/>
  <c r="AB27" i="1"/>
  <c r="Z28" i="1"/>
  <c r="AR36" i="1"/>
  <c r="U35" i="1"/>
  <c r="V35" i="1" s="1"/>
  <c r="AQ23" i="1"/>
  <c r="AQ27" i="1"/>
  <c r="AQ29" i="1"/>
  <c r="AQ31" i="1"/>
  <c r="AH108" i="4"/>
  <c r="K90" i="4"/>
  <c r="AB39" i="8"/>
  <c r="I111" i="4"/>
  <c r="M111" i="4"/>
  <c r="AT39" i="1"/>
  <c r="I83" i="4"/>
  <c r="J85" i="4"/>
  <c r="K86" i="4"/>
  <c r="L83" i="4"/>
  <c r="M84" i="4"/>
  <c r="N85" i="4"/>
  <c r="S16" i="1"/>
  <c r="S12" i="1"/>
  <c r="AQ24" i="1"/>
  <c r="AT11" i="1"/>
  <c r="U12" i="1"/>
  <c r="V12" i="1" s="1"/>
  <c r="AT14" i="1"/>
  <c r="AT26" i="1"/>
  <c r="J89" i="4"/>
  <c r="S19" i="1"/>
  <c r="J91" i="4"/>
  <c r="FK20" i="4"/>
  <c r="M93" i="4"/>
  <c r="FJ21" i="4"/>
  <c r="L95" i="4"/>
  <c r="FJ23" i="4"/>
  <c r="S25" i="1"/>
  <c r="S26" i="1"/>
  <c r="J98" i="4"/>
  <c r="N99" i="4"/>
  <c r="J99" i="4"/>
  <c r="N100" i="4"/>
  <c r="I100" i="4"/>
  <c r="L101" i="4"/>
  <c r="K102" i="4"/>
  <c r="M103" i="4"/>
  <c r="K104" i="4"/>
  <c r="J104" i="4"/>
  <c r="FK33" i="4"/>
  <c r="J106" i="4"/>
  <c r="L107" i="4"/>
  <c r="FI35" i="4"/>
  <c r="J108" i="4"/>
  <c r="I109" i="4"/>
  <c r="FK37" i="4"/>
  <c r="I110" i="4"/>
  <c r="AR38" i="1"/>
  <c r="AT16" i="1"/>
  <c r="AR18" i="1"/>
  <c r="Z18" i="1"/>
  <c r="AQ19" i="1"/>
  <c r="AT20" i="1"/>
  <c r="AR22" i="1"/>
  <c r="Z22" i="1"/>
  <c r="AB26" i="1"/>
  <c r="Z27" i="1"/>
  <c r="AT29" i="1"/>
  <c r="AB35" i="1"/>
  <c r="U36" i="1"/>
  <c r="V36" i="1" s="1"/>
  <c r="AH90" i="4"/>
  <c r="AH106" i="4"/>
  <c r="K93" i="4"/>
  <c r="E5" i="12"/>
  <c r="L5" i="12" s="1"/>
  <c r="X5" i="12" s="1"/>
  <c r="EE52" i="1"/>
  <c r="U3" i="17"/>
  <c r="DY52" i="1"/>
  <c r="AN5" i="1"/>
  <c r="E5" i="3"/>
  <c r="BB4" i="8"/>
  <c r="L4" i="8"/>
  <c r="DY53" i="1"/>
  <c r="CK13" i="4"/>
  <c r="EC13" i="4"/>
  <c r="CM13" i="4"/>
  <c r="EE53" i="1"/>
  <c r="EC52" i="1"/>
  <c r="F5" i="2"/>
  <c r="V4" i="4"/>
  <c r="DA4" i="4" s="1"/>
  <c r="L4" i="6"/>
  <c r="Y5" i="1"/>
  <c r="L5" i="18" s="1"/>
  <c r="H5" i="5"/>
  <c r="EC53" i="1"/>
  <c r="CD13" i="1"/>
  <c r="U49" i="17"/>
  <c r="BC3" i="17"/>
  <c r="BG2" i="1"/>
  <c r="E6" i="3"/>
  <c r="G5" i="7"/>
  <c r="P19" i="4"/>
  <c r="W29" i="8"/>
  <c r="P41" i="4"/>
  <c r="L90" i="4"/>
  <c r="L89" i="4"/>
  <c r="AL17" i="4"/>
  <c r="AJ18" i="4"/>
  <c r="B3" i="14"/>
  <c r="DU35" i="4"/>
  <c r="GB35" i="4"/>
  <c r="GD16" i="4"/>
  <c r="GF26" i="4"/>
  <c r="AG19" i="8"/>
  <c r="AI19" i="8" s="1"/>
  <c r="I38" i="8"/>
  <c r="AG15" i="8"/>
  <c r="GT34" i="4"/>
  <c r="GG18" i="4"/>
  <c r="J15" i="8"/>
  <c r="AD114" i="4"/>
  <c r="V22" i="14"/>
  <c r="U39" i="8"/>
  <c r="O37" i="4"/>
  <c r="P28" i="4"/>
  <c r="P17" i="4"/>
  <c r="GN33" i="4"/>
  <c r="J21" i="8"/>
  <c r="J23" i="8"/>
  <c r="GB38" i="4"/>
  <c r="GF27" i="4"/>
  <c r="J39" i="8"/>
  <c r="GH31" i="4"/>
  <c r="W102" i="4"/>
  <c r="K29" i="8"/>
  <c r="GI35" i="4"/>
  <c r="GD15" i="4"/>
  <c r="K39" i="8"/>
  <c r="GI29" i="4"/>
  <c r="R15" i="8"/>
  <c r="DP15" i="4" s="1"/>
  <c r="I41" i="8"/>
  <c r="U19" i="8"/>
  <c r="GN23" i="4"/>
  <c r="L22" i="8"/>
  <c r="GB24" i="4"/>
  <c r="L17" i="8"/>
  <c r="U24" i="8"/>
  <c r="GC11" i="4"/>
  <c r="K40" i="8"/>
  <c r="GN15" i="4"/>
  <c r="GC41" i="4"/>
  <c r="GF36" i="4"/>
  <c r="I36" i="8"/>
  <c r="GT38" i="4"/>
  <c r="GF34" i="4"/>
  <c r="GN21" i="4"/>
  <c r="GB25" i="4"/>
  <c r="M16" i="4"/>
  <c r="DE16" i="4"/>
  <c r="DE40" i="4"/>
  <c r="P80" i="4"/>
  <c r="Q78" i="4"/>
  <c r="Q77" i="4"/>
  <c r="R77" i="4"/>
  <c r="AH82" i="4"/>
  <c r="AH78" i="4"/>
  <c r="AG77" i="4"/>
  <c r="AD78" i="4"/>
  <c r="J79" i="4"/>
  <c r="N79" i="4"/>
  <c r="L80" i="4"/>
  <c r="I81" i="4"/>
  <c r="I77" i="4"/>
  <c r="K77" i="4"/>
  <c r="M77" i="4"/>
  <c r="C13" i="1"/>
  <c r="A10" i="10"/>
  <c r="D14" i="1"/>
  <c r="Q80" i="4"/>
  <c r="Q79" i="4"/>
  <c r="R80" i="4"/>
  <c r="O77" i="4"/>
  <c r="AD79" i="4"/>
  <c r="I80" i="4"/>
  <c r="AH80" i="4"/>
  <c r="AG81" i="4"/>
  <c r="AD81" i="4"/>
  <c r="L79" i="4"/>
  <c r="J80" i="4"/>
  <c r="N80" i="4"/>
  <c r="J77" i="4"/>
  <c r="L77" i="4"/>
  <c r="N77" i="4"/>
  <c r="AH77" i="4"/>
  <c r="DJ13" i="4"/>
  <c r="DC13" i="1"/>
  <c r="AL13" i="1"/>
  <c r="O80" i="4"/>
  <c r="R79" i="4"/>
  <c r="O78" i="4"/>
  <c r="R78" i="4"/>
  <c r="J82" i="4"/>
  <c r="AG79" i="4"/>
  <c r="AH81" i="4"/>
  <c r="AH79" i="4"/>
  <c r="AG78" i="4"/>
  <c r="AD80" i="4"/>
  <c r="I79" i="4"/>
  <c r="M79" i="4"/>
  <c r="K80" i="4"/>
  <c r="I78" i="4"/>
  <c r="K78" i="4"/>
  <c r="M78" i="4"/>
  <c r="CP56" i="1"/>
  <c r="X13" i="1"/>
  <c r="AQ85" i="4" s="1"/>
  <c r="AP85" i="4" s="1"/>
  <c r="BS85" i="4" s="1"/>
  <c r="DU13" i="1"/>
  <c r="DS13" i="1" s="1"/>
  <c r="O19" i="4"/>
  <c r="GD37" i="4"/>
  <c r="AG28" i="8"/>
  <c r="G28" i="8"/>
  <c r="H28" i="8" s="1"/>
  <c r="GP35" i="4"/>
  <c r="AF30" i="17"/>
  <c r="AG30" i="17" s="1"/>
  <c r="DW30" i="17" s="1"/>
  <c r="CH40" i="4"/>
  <c r="F40" i="1" s="1"/>
  <c r="GH34" i="4"/>
  <c r="GB16" i="4"/>
  <c r="AL41" i="4"/>
  <c r="GN36" i="4"/>
  <c r="GD38" i="4"/>
  <c r="GH36" i="4"/>
  <c r="CF32" i="4"/>
  <c r="P31" i="4"/>
  <c r="N11" i="4"/>
  <c r="L25" i="8"/>
  <c r="GD25" i="4"/>
  <c r="GI40" i="4"/>
  <c r="W108" i="4"/>
  <c r="GB22" i="4"/>
  <c r="GG20" i="4"/>
  <c r="I23" i="8"/>
  <c r="GD18" i="4"/>
  <c r="M32" i="4"/>
  <c r="N35" i="4"/>
  <c r="P40" i="4"/>
  <c r="R112" i="4" s="1"/>
  <c r="M11" i="4"/>
  <c r="AF33" i="17"/>
  <c r="DS33" i="17"/>
  <c r="DZ33" i="17" s="1"/>
  <c r="CF37" i="4"/>
  <c r="CO37" i="4" s="1"/>
  <c r="AE35" i="17"/>
  <c r="AM14" i="8"/>
  <c r="AF86" i="4"/>
  <c r="AG17" i="8"/>
  <c r="AI17" i="8" s="1"/>
  <c r="U17" i="8"/>
  <c r="GB14" i="4"/>
  <c r="K25" i="8"/>
  <c r="GR19" i="4"/>
  <c r="GB19" i="4"/>
  <c r="GC27" i="4"/>
  <c r="GN27" i="4"/>
  <c r="GH27" i="4"/>
  <c r="K27" i="8"/>
  <c r="GB28" i="4"/>
  <c r="GR28" i="4"/>
  <c r="GG28" i="4"/>
  <c r="J28" i="8"/>
  <c r="GF29" i="4"/>
  <c r="GT29" i="4"/>
  <c r="GN30" i="4"/>
  <c r="GC30" i="4"/>
  <c r="GH30" i="4"/>
  <c r="K30" i="8"/>
  <c r="GF31" i="4"/>
  <c r="I31" i="8"/>
  <c r="GC32" i="4"/>
  <c r="GN32" i="4"/>
  <c r="K32" i="8"/>
  <c r="GH32" i="4"/>
  <c r="I33" i="8"/>
  <c r="GF33" i="4"/>
  <c r="GP34" i="4"/>
  <c r="GD34" i="4"/>
  <c r="GG40" i="4"/>
  <c r="J40" i="8"/>
  <c r="K41" i="8"/>
  <c r="J13" i="8"/>
  <c r="GG13" i="4"/>
  <c r="GP40" i="4"/>
  <c r="GD40" i="4"/>
  <c r="GI18" i="4"/>
  <c r="L18" i="8"/>
  <c r="GG19" i="4"/>
  <c r="J19" i="8"/>
  <c r="GI15" i="4"/>
  <c r="GC40" i="4"/>
  <c r="AL15" i="4"/>
  <c r="G19" i="8"/>
  <c r="H19" i="8" s="1"/>
  <c r="DU41" i="4"/>
  <c r="DV41" i="4" s="1"/>
  <c r="GB17" i="4"/>
  <c r="L37" i="8"/>
  <c r="J36" i="8"/>
  <c r="GN29" i="4"/>
  <c r="GT27" i="4"/>
  <c r="GH20" i="4"/>
  <c r="I30" i="8"/>
  <c r="GB23" i="4"/>
  <c r="GD19" i="4"/>
  <c r="GN31" i="4"/>
  <c r="GD12" i="4"/>
  <c r="GC12" i="4"/>
  <c r="L87" i="4"/>
  <c r="GP28" i="4"/>
  <c r="GB37" i="4"/>
  <c r="GB34" i="4"/>
  <c r="GT25" i="4"/>
  <c r="L38" i="8"/>
  <c r="GI19" i="4"/>
  <c r="L28" i="8"/>
  <c r="L34" i="8"/>
  <c r="I32" i="8"/>
  <c r="GF30" i="4"/>
  <c r="GC22" i="4"/>
  <c r="GC20" i="4"/>
  <c r="GB21" i="4"/>
  <c r="GT24" i="4"/>
  <c r="GH33" i="4"/>
  <c r="I25" i="8"/>
  <c r="GF32" i="4"/>
  <c r="GF24" i="4"/>
  <c r="I26" i="8"/>
  <c r="AE18" i="1"/>
  <c r="AE20" i="1"/>
  <c r="AE15" i="1"/>
  <c r="AE22" i="1"/>
  <c r="AE13" i="1"/>
  <c r="AE16" i="1"/>
  <c r="AE12" i="1"/>
  <c r="AE17" i="1"/>
  <c r="AE21" i="1"/>
  <c r="AE14" i="1"/>
  <c r="AE19" i="1"/>
  <c r="M19" i="1"/>
  <c r="EX19" i="1" s="1"/>
  <c r="I19" i="1"/>
  <c r="N16" i="1"/>
  <c r="AU16" i="1"/>
  <c r="M15" i="1"/>
  <c r="EX15" i="1" s="1"/>
  <c r="AU15" i="1"/>
  <c r="M14" i="1"/>
  <c r="EX14" i="1" s="1"/>
  <c r="AU14" i="1"/>
  <c r="M13" i="1"/>
  <c r="EX13" i="1" s="1"/>
  <c r="AU13" i="1"/>
  <c r="M12" i="1"/>
  <c r="EX12" i="1" s="1"/>
  <c r="I12" i="1"/>
  <c r="AG14" i="8"/>
  <c r="AI14" i="8" s="1"/>
  <c r="W19" i="8"/>
  <c r="Y19" i="8" s="1"/>
  <c r="W21" i="8"/>
  <c r="Y21" i="8" s="1"/>
  <c r="M11" i="1"/>
  <c r="EX11" i="1" s="1"/>
  <c r="I11" i="1"/>
  <c r="I22" i="1"/>
  <c r="AU22" i="1"/>
  <c r="Y88" i="4"/>
  <c r="Y84" i="4"/>
  <c r="N20" i="1"/>
  <c r="AU20" i="1"/>
  <c r="O18" i="1"/>
  <c r="K18" i="1"/>
  <c r="O17" i="1"/>
  <c r="J16" i="1"/>
  <c r="I14" i="1"/>
  <c r="W17" i="8"/>
  <c r="Y17" i="8" s="1"/>
  <c r="W22" i="8"/>
  <c r="Y22" i="8" s="1"/>
  <c r="J22" i="1"/>
  <c r="M21" i="1"/>
  <c r="EX21" i="1" s="1"/>
  <c r="N11" i="1"/>
  <c r="I21" i="1"/>
  <c r="W11" i="8"/>
  <c r="Y11" i="8" s="1"/>
  <c r="AU21" i="1"/>
  <c r="Y87" i="4"/>
  <c r="Y83" i="4"/>
  <c r="M17" i="1"/>
  <c r="EX17" i="1" s="1"/>
  <c r="I17" i="1"/>
  <c r="J15" i="1"/>
  <c r="I13" i="1"/>
  <c r="W18" i="8"/>
  <c r="O22" i="1"/>
  <c r="Y86" i="4"/>
  <c r="O20" i="1"/>
  <c r="K20" i="1"/>
  <c r="O19" i="1"/>
  <c r="K19" i="1"/>
  <c r="N18" i="1"/>
  <c r="AU18" i="1"/>
  <c r="I16" i="1"/>
  <c r="CO41" i="4"/>
  <c r="W95" i="4"/>
  <c r="AG37" i="8"/>
  <c r="R37" i="8"/>
  <c r="DP37" i="4" s="1"/>
  <c r="DE26" i="4"/>
  <c r="DE18" i="4"/>
  <c r="DE24" i="4"/>
  <c r="R16" i="8"/>
  <c r="DP16" i="4" s="1"/>
  <c r="AG20" i="8"/>
  <c r="U27" i="8"/>
  <c r="G35" i="8"/>
  <c r="H35" i="8" s="1"/>
  <c r="R39" i="8"/>
  <c r="DP39" i="4" s="1"/>
  <c r="T39" i="8"/>
  <c r="AH29" i="4"/>
  <c r="E30" i="8"/>
  <c r="E37" i="8"/>
  <c r="G23" i="8"/>
  <c r="C8" i="14"/>
  <c r="M37" i="4"/>
  <c r="M38" i="4"/>
  <c r="L99" i="4"/>
  <c r="AL27" i="4"/>
  <c r="BD47" i="4"/>
  <c r="DU14" i="1"/>
  <c r="DS14" i="1" s="1"/>
  <c r="AK11" i="1"/>
  <c r="F5" i="7"/>
  <c r="AK13" i="1"/>
  <c r="DT11" i="1"/>
  <c r="N3" i="15"/>
  <c r="G40" i="8"/>
  <c r="H40" i="8" s="1"/>
  <c r="AG29" i="8"/>
  <c r="AI29" i="8" s="1"/>
  <c r="U33" i="8"/>
  <c r="CH36" i="4"/>
  <c r="F36" i="1" s="1"/>
  <c r="DV25" i="4"/>
  <c r="G15" i="8"/>
  <c r="W15" i="8"/>
  <c r="DU21" i="4"/>
  <c r="W98" i="4"/>
  <c r="W88" i="4"/>
  <c r="DU37" i="4"/>
  <c r="W97" i="4"/>
  <c r="BR21" i="4"/>
  <c r="J93" i="4"/>
  <c r="GF41" i="4"/>
  <c r="G27" i="8"/>
  <c r="H27" i="8" s="1"/>
  <c r="AG39" i="8"/>
  <c r="AI39" i="8" s="1"/>
  <c r="K22" i="8"/>
  <c r="GH22" i="4"/>
  <c r="AG35" i="8"/>
  <c r="AF113" i="4"/>
  <c r="GC18" i="4"/>
  <c r="K18" i="8"/>
  <c r="GF19" i="4"/>
  <c r="GB41" i="4"/>
  <c r="P24" i="4"/>
  <c r="P25" i="4"/>
  <c r="Y38" i="8"/>
  <c r="AL35" i="4"/>
  <c r="L11" i="8"/>
  <c r="K14" i="8"/>
  <c r="U41" i="8"/>
  <c r="GD11" i="4"/>
  <c r="R33" i="8"/>
  <c r="DP33" i="4" s="1"/>
  <c r="AG33" i="8"/>
  <c r="G22" i="8"/>
  <c r="AG21" i="8"/>
  <c r="G21" i="8"/>
  <c r="Y23" i="8"/>
  <c r="L43" i="10"/>
  <c r="DE39" i="4"/>
  <c r="DE35" i="4"/>
  <c r="DE31" i="4"/>
  <c r="DE30" i="4"/>
  <c r="DE22" i="4"/>
  <c r="DE14" i="4"/>
  <c r="DE28" i="4"/>
  <c r="DE20" i="4"/>
  <c r="DE12" i="4"/>
  <c r="DE37" i="4"/>
  <c r="DE33" i="4"/>
  <c r="DE21" i="4"/>
  <c r="DE13" i="4"/>
  <c r="DY38" i="17"/>
  <c r="DZ38" i="17"/>
  <c r="CI39" i="4"/>
  <c r="H39" i="1" s="1"/>
  <c r="DV37" i="17"/>
  <c r="AE37" i="17"/>
  <c r="DS37" i="17"/>
  <c r="DY24" i="17"/>
  <c r="DZ24" i="17"/>
  <c r="DY36" i="17"/>
  <c r="DZ36" i="17"/>
  <c r="W110" i="4"/>
  <c r="DY21" i="17"/>
  <c r="DZ21" i="17"/>
  <c r="DY31" i="17"/>
  <c r="DZ31" i="17"/>
  <c r="R42" i="10"/>
  <c r="AF13" i="17"/>
  <c r="P21" i="4"/>
  <c r="AE15" i="17"/>
  <c r="AG15" i="17" s="1"/>
  <c r="DW15" i="17" s="1"/>
  <c r="AL20" i="4"/>
  <c r="DI17" i="4"/>
  <c r="DH43" i="4"/>
  <c r="DH42" i="4"/>
  <c r="BR40" i="4"/>
  <c r="AV40" i="1" s="1"/>
  <c r="P30" i="4"/>
  <c r="O32" i="4"/>
  <c r="M14" i="4"/>
  <c r="N17" i="4"/>
  <c r="M23" i="4"/>
  <c r="I91" i="4"/>
  <c r="O24" i="4"/>
  <c r="M27" i="4"/>
  <c r="O34" i="4"/>
  <c r="B20" i="14"/>
  <c r="M29" i="4"/>
  <c r="AB41" i="8"/>
  <c r="AB38" i="8"/>
  <c r="N33" i="4"/>
  <c r="P38" i="4"/>
  <c r="M34" i="4"/>
  <c r="O20" i="4"/>
  <c r="P34" i="4"/>
  <c r="DN20" i="17"/>
  <c r="DX20" i="17" s="1"/>
  <c r="G29" i="8"/>
  <c r="H29" i="8" s="1"/>
  <c r="O27" i="4"/>
  <c r="P37" i="4"/>
  <c r="M41" i="4"/>
  <c r="O113" i="4" s="1"/>
  <c r="AB24" i="8"/>
  <c r="AL28" i="4"/>
  <c r="K100" i="4"/>
  <c r="K16" i="8"/>
  <c r="H2" i="5"/>
  <c r="DU22" i="4"/>
  <c r="GG32" i="4"/>
  <c r="U35" i="8"/>
  <c r="GT35" i="4"/>
  <c r="GI36" i="4"/>
  <c r="L31" i="8"/>
  <c r="GN35" i="4"/>
  <c r="BR35" i="4"/>
  <c r="DS30" i="17"/>
  <c r="P26" i="4"/>
  <c r="CI28" i="4"/>
  <c r="H28" i="1" s="1"/>
  <c r="K12" i="8"/>
  <c r="GG11" i="4"/>
  <c r="DU34" i="4"/>
  <c r="U31" i="8"/>
  <c r="AG27" i="8"/>
  <c r="AI27" i="8" s="1"/>
  <c r="GP39" i="4"/>
  <c r="GB32" i="4"/>
  <c r="DU11" i="4"/>
  <c r="R35" i="8"/>
  <c r="DP35" i="4" s="1"/>
  <c r="R31" i="8"/>
  <c r="DP31" i="4" s="1"/>
  <c r="AF89" i="4"/>
  <c r="DU18" i="4"/>
  <c r="R27" i="8"/>
  <c r="DP27" i="4" s="1"/>
  <c r="AF36" i="17"/>
  <c r="CF38" i="4"/>
  <c r="CO38" i="4" s="1"/>
  <c r="AE13" i="17"/>
  <c r="P18" i="4"/>
  <c r="GC34" i="4"/>
  <c r="X2" i="5"/>
  <c r="AG31" i="8"/>
  <c r="L13" i="8"/>
  <c r="GB36" i="4"/>
  <c r="GB12" i="4"/>
  <c r="G31" i="8"/>
  <c r="H31" i="8" s="1"/>
  <c r="AE36" i="17"/>
  <c r="DT56" i="1"/>
  <c r="O11" i="4"/>
  <c r="BT42" i="7"/>
  <c r="W12" i="8"/>
  <c r="O41" i="4"/>
  <c r="AX41" i="1" s="1"/>
  <c r="AL39" i="4"/>
  <c r="W40" i="8"/>
  <c r="Y40" i="8" s="1"/>
  <c r="AL37" i="4"/>
  <c r="GC38" i="4"/>
  <c r="K26" i="8"/>
  <c r="GB27" i="4"/>
  <c r="J22" i="8"/>
  <c r="AI2" i="5"/>
  <c r="G37" i="8"/>
  <c r="H37" i="8" s="1"/>
  <c r="U11" i="8"/>
  <c r="L33" i="8"/>
  <c r="GT23" i="4"/>
  <c r="GD13" i="4"/>
  <c r="GD31" i="4"/>
  <c r="GD33" i="4"/>
  <c r="GF11" i="4"/>
  <c r="GC16" i="4"/>
  <c r="GD17" i="4"/>
  <c r="DU17" i="4"/>
  <c r="GD29" i="4"/>
  <c r="GB20" i="4"/>
  <c r="I21" i="8"/>
  <c r="J27" i="8"/>
  <c r="GD24" i="4"/>
  <c r="R41" i="8"/>
  <c r="DP41" i="4" s="1"/>
  <c r="AL32" i="4"/>
  <c r="I104" i="4"/>
  <c r="GC26" i="4"/>
  <c r="R11" i="8"/>
  <c r="GN25" i="4"/>
  <c r="GB18" i="4"/>
  <c r="GB30" i="4"/>
  <c r="U37" i="8"/>
  <c r="U29" i="8"/>
  <c r="GF28" i="4"/>
  <c r="I11" i="8"/>
  <c r="G33" i="8"/>
  <c r="H33" i="8" s="1"/>
  <c r="G41" i="8"/>
  <c r="H41" i="8" s="1"/>
  <c r="GN37" i="4"/>
  <c r="J30" i="8"/>
  <c r="L24" i="8"/>
  <c r="I28" i="8"/>
  <c r="GF21" i="4"/>
  <c r="C18" i="14"/>
  <c r="DV11" i="17"/>
  <c r="M12" i="4"/>
  <c r="P11" i="4"/>
  <c r="P12" i="4"/>
  <c r="L108" i="4"/>
  <c r="AL36" i="4"/>
  <c r="BC48" i="4"/>
  <c r="GH21" i="4"/>
  <c r="GH23" i="4"/>
  <c r="AF35" i="17"/>
  <c r="DS35" i="17"/>
  <c r="CO15" i="4"/>
  <c r="AF37" i="17"/>
  <c r="CF35" i="4"/>
  <c r="G35" i="1" s="1"/>
  <c r="CF39" i="4"/>
  <c r="AE33" i="17"/>
  <c r="CI20" i="4"/>
  <c r="H20" i="1" s="1"/>
  <c r="AG11" i="8"/>
  <c r="ET27" i="1"/>
  <c r="BS43" i="7"/>
  <c r="BG31" i="1" s="1"/>
  <c r="Z37" i="1"/>
  <c r="Z32" i="1"/>
  <c r="AB38" i="1"/>
  <c r="AB31" i="1"/>
  <c r="AU37" i="1"/>
  <c r="AU33" i="1"/>
  <c r="N110" i="4"/>
  <c r="K111" i="4"/>
  <c r="N113" i="4"/>
  <c r="AR37" i="1"/>
  <c r="AQ35" i="1"/>
  <c r="AQ30" i="1"/>
  <c r="AT30" i="1"/>
  <c r="U39" i="1"/>
  <c r="V39" i="1" s="1"/>
  <c r="Z30" i="1"/>
  <c r="Z41" i="1"/>
  <c r="Z39" i="1"/>
  <c r="Z34" i="1"/>
  <c r="FJ39" i="4"/>
  <c r="FK38" i="4"/>
  <c r="FK35" i="4"/>
  <c r="FJ34" i="4"/>
  <c r="AB41" i="1"/>
  <c r="Z40" i="1"/>
  <c r="AB39" i="1"/>
  <c r="AB37" i="1"/>
  <c r="Z35" i="1"/>
  <c r="Z31" i="1"/>
  <c r="AB32" i="1"/>
  <c r="AB30" i="1"/>
  <c r="I103" i="4"/>
  <c r="K106" i="4"/>
  <c r="M105" i="4"/>
  <c r="S41" i="1"/>
  <c r="AB40" i="1"/>
  <c r="Z38" i="1"/>
  <c r="Z36" i="1"/>
  <c r="AB36" i="1"/>
  <c r="AB34" i="1"/>
  <c r="N41" i="4"/>
  <c r="V41" i="4" s="1"/>
  <c r="AB113" i="4"/>
  <c r="AL13" i="4"/>
  <c r="EB40" i="4"/>
  <c r="EB11" i="4"/>
  <c r="N12" i="4"/>
  <c r="AB87" i="4"/>
  <c r="AB84" i="4"/>
  <c r="EO27" i="1"/>
  <c r="EM27" i="1"/>
  <c r="ES27" i="1"/>
  <c r="EQ27" i="1"/>
  <c r="EL27" i="1"/>
  <c r="EN27" i="1"/>
  <c r="AB30" i="8"/>
  <c r="AB99" i="4"/>
  <c r="BR33" i="4"/>
  <c r="AH42" i="5"/>
  <c r="AB107" i="4"/>
  <c r="AL26" i="4"/>
  <c r="W112" i="4"/>
  <c r="GD41" i="4"/>
  <c r="DU39" i="4"/>
  <c r="U28" i="8"/>
  <c r="R32" i="8"/>
  <c r="DP32" i="4" s="1"/>
  <c r="G32" i="8"/>
  <c r="H32" i="8" s="1"/>
  <c r="AG32" i="8"/>
  <c r="AI32" i="8" s="1"/>
  <c r="U32" i="8"/>
  <c r="R36" i="8"/>
  <c r="DP36" i="4" s="1"/>
  <c r="U36" i="8"/>
  <c r="AG36" i="8"/>
  <c r="U40" i="8"/>
  <c r="R40" i="8"/>
  <c r="DP40" i="4" s="1"/>
  <c r="AG40" i="8"/>
  <c r="J12" i="8"/>
  <c r="GG12" i="4"/>
  <c r="GH13" i="4"/>
  <c r="K13" i="8"/>
  <c r="GI14" i="4"/>
  <c r="L14" i="8"/>
  <c r="J16" i="8"/>
  <c r="GG16" i="4"/>
  <c r="GG25" i="4"/>
  <c r="L41" i="8"/>
  <c r="GI41" i="4"/>
  <c r="I12" i="8"/>
  <c r="GT12" i="4"/>
  <c r="GF12" i="4"/>
  <c r="GR39" i="4"/>
  <c r="GB39" i="4"/>
  <c r="GC17" i="4"/>
  <c r="CZ42" i="5"/>
  <c r="GC13" i="4"/>
  <c r="GN13" i="4"/>
  <c r="AL34" i="4"/>
  <c r="L106" i="4"/>
  <c r="J113" i="4"/>
  <c r="FV41" i="4"/>
  <c r="FV42" i="4" s="1"/>
  <c r="CE42" i="5"/>
  <c r="BQ11" i="4"/>
  <c r="BF42" i="5"/>
  <c r="AI14" i="4"/>
  <c r="AG42" i="5"/>
  <c r="K85" i="4"/>
  <c r="L23" i="8"/>
  <c r="AF84" i="4"/>
  <c r="AM12" i="8"/>
  <c r="BA50" i="4"/>
  <c r="BC47" i="4"/>
  <c r="FB12" i="4"/>
  <c r="BR42" i="5"/>
  <c r="GC39" i="4"/>
  <c r="GN39" i="4"/>
  <c r="J102" i="4"/>
  <c r="L102" i="4"/>
  <c r="AL30" i="4"/>
  <c r="GT40" i="4"/>
  <c r="GF40" i="4"/>
  <c r="I40" i="8"/>
  <c r="AB40" i="8" s="1"/>
  <c r="ER11" i="4"/>
  <c r="BH42" i="5"/>
  <c r="FA11" i="4"/>
  <c r="BQ3" i="5"/>
  <c r="BQ2" i="5"/>
  <c r="FU12" i="4"/>
  <c r="CD42" i="5"/>
  <c r="ES14" i="4"/>
  <c r="BI42" i="5"/>
  <c r="AB90" i="4"/>
  <c r="AB83" i="4"/>
  <c r="AB92" i="4"/>
  <c r="GH17" i="4"/>
  <c r="K17" i="8"/>
  <c r="I18" i="8"/>
  <c r="GF18" i="4"/>
  <c r="GT18" i="4"/>
  <c r="GC19" i="4"/>
  <c r="GN19" i="4"/>
  <c r="GH19" i="4"/>
  <c r="K19" i="8"/>
  <c r="I20" i="8"/>
  <c r="GT20" i="4"/>
  <c r="L21" i="8"/>
  <c r="GI21" i="4"/>
  <c r="GT22" i="4"/>
  <c r="I22" i="8"/>
  <c r="GF22" i="4"/>
  <c r="GP23" i="4"/>
  <c r="GD23" i="4"/>
  <c r="GC24" i="4"/>
  <c r="GN24" i="4"/>
  <c r="K24" i="8"/>
  <c r="GH24" i="4"/>
  <c r="I97" i="4"/>
  <c r="K112" i="4"/>
  <c r="AL40" i="4"/>
  <c r="BP13" i="4"/>
  <c r="BE42" i="5"/>
  <c r="AI3" i="5"/>
  <c r="AK12" i="4"/>
  <c r="AI42" i="5"/>
  <c r="GD21" i="4"/>
  <c r="BQ42" i="5"/>
  <c r="GB26" i="4"/>
  <c r="AJ11" i="4"/>
  <c r="J26" i="8"/>
  <c r="AL23" i="4"/>
  <c r="GR13" i="4"/>
  <c r="GB13" i="4"/>
  <c r="CY42" i="5"/>
  <c r="AC39" i="1"/>
  <c r="AC24" i="1"/>
  <c r="X96" i="4" s="1"/>
  <c r="AC11" i="1"/>
  <c r="AC12" i="1"/>
  <c r="X84" i="4" s="1"/>
  <c r="AI16" i="1"/>
  <c r="BK60" i="17" s="1"/>
  <c r="AI19" i="1"/>
  <c r="BK63" i="17" s="1"/>
  <c r="AI26" i="1"/>
  <c r="BK70" i="17" s="1"/>
  <c r="Y23" i="1"/>
  <c r="O41" i="1"/>
  <c r="O40" i="1"/>
  <c r="J38" i="1"/>
  <c r="I35" i="1"/>
  <c r="O29" i="1"/>
  <c r="AC38" i="1"/>
  <c r="AC33" i="1"/>
  <c r="X105" i="4" s="1"/>
  <c r="AC28" i="1"/>
  <c r="X100" i="4" s="1"/>
  <c r="AC22" i="1"/>
  <c r="X94" i="4" s="1"/>
  <c r="AC17" i="1"/>
  <c r="X89" i="4" s="1"/>
  <c r="AC35" i="1"/>
  <c r="AC19" i="1"/>
  <c r="X91" i="4" s="1"/>
  <c r="AI20" i="1"/>
  <c r="BK64" i="17" s="1"/>
  <c r="AI18" i="1"/>
  <c r="BK62" i="17" s="1"/>
  <c r="AI17" i="1"/>
  <c r="BK61" i="17" s="1"/>
  <c r="AI25" i="1"/>
  <c r="BK69" i="17" s="1"/>
  <c r="AI29" i="1"/>
  <c r="BK73" i="17" s="1"/>
  <c r="AI32" i="1"/>
  <c r="BK76" i="17" s="1"/>
  <c r="AB29" i="8"/>
  <c r="AI41" i="8"/>
  <c r="U19" i="1"/>
  <c r="V19" i="1" s="1"/>
  <c r="U21" i="1"/>
  <c r="V21" i="1" s="1"/>
  <c r="U29" i="1"/>
  <c r="V29" i="1" s="1"/>
  <c r="U14" i="1"/>
  <c r="V14" i="1" s="1"/>
  <c r="AR12" i="1"/>
  <c r="Y33" i="8"/>
  <c r="L84" i="4"/>
  <c r="AQ40" i="1"/>
  <c r="DP29" i="4"/>
  <c r="Y34" i="8"/>
  <c r="H39" i="8"/>
  <c r="DP13" i="4"/>
  <c r="AA38" i="1"/>
  <c r="AA19" i="1"/>
  <c r="Y24" i="1"/>
  <c r="N29" i="1"/>
  <c r="N34" i="1"/>
  <c r="N40" i="1"/>
  <c r="M41" i="1"/>
  <c r="EX41" i="1" s="1"/>
  <c r="I41" i="1"/>
  <c r="M40" i="1"/>
  <c r="EX40" i="1" s="1"/>
  <c r="FK18" i="4"/>
  <c r="FK41" i="4"/>
  <c r="Z13" i="1"/>
  <c r="AB12" i="1"/>
  <c r="FK19" i="4"/>
  <c r="I27" i="1"/>
  <c r="W31" i="8"/>
  <c r="Y31" i="8" s="1"/>
  <c r="W25" i="8"/>
  <c r="Y25" i="8" s="1"/>
  <c r="AU39" i="1"/>
  <c r="AU35" i="1"/>
  <c r="AU31" i="1"/>
  <c r="AU27" i="1"/>
  <c r="AU23" i="1"/>
  <c r="Y89" i="4"/>
  <c r="Y85" i="4"/>
  <c r="AB15" i="1"/>
  <c r="AH92" i="4"/>
  <c r="AH87" i="4"/>
  <c r="Z16" i="1"/>
  <c r="FI24" i="4"/>
  <c r="FI20" i="4"/>
  <c r="N19" i="1"/>
  <c r="FK39" i="4"/>
  <c r="U30" i="8"/>
  <c r="R34" i="8"/>
  <c r="U38" i="8"/>
  <c r="L94" i="4"/>
  <c r="N109" i="4"/>
  <c r="AQ38" i="1"/>
  <c r="AT25" i="1"/>
  <c r="AI40" i="1"/>
  <c r="BK84" i="17" s="1"/>
  <c r="H32" i="1"/>
  <c r="F35" i="1"/>
  <c r="F33" i="1"/>
  <c r="F38" i="1"/>
  <c r="H13" i="1"/>
  <c r="H11" i="1"/>
  <c r="O35" i="4"/>
  <c r="M36" i="4"/>
  <c r="N36" i="4"/>
  <c r="N38" i="4"/>
  <c r="M39" i="4"/>
  <c r="U40" i="1"/>
  <c r="V40" i="1" s="1"/>
  <c r="AR23" i="1"/>
  <c r="AR24" i="1"/>
  <c r="AR25" i="1"/>
  <c r="U27" i="1"/>
  <c r="V27" i="1" s="1"/>
  <c r="AR27" i="1"/>
  <c r="P29" i="4"/>
  <c r="AR29" i="1"/>
  <c r="AR31" i="1"/>
  <c r="U33" i="1"/>
  <c r="AR34" i="1"/>
  <c r="N14" i="4"/>
  <c r="N15" i="4"/>
  <c r="AH89" i="4"/>
  <c r="N18" i="4"/>
  <c r="N20" i="4"/>
  <c r="O21" i="4"/>
  <c r="AH94" i="4"/>
  <c r="N23" i="4"/>
  <c r="AH95" i="4"/>
  <c r="N24" i="4"/>
  <c r="AH96" i="4"/>
  <c r="N25" i="4"/>
  <c r="AH99" i="4"/>
  <c r="N28" i="4"/>
  <c r="AH100" i="4"/>
  <c r="AH103" i="4"/>
  <c r="AH107" i="4"/>
  <c r="AH110" i="4"/>
  <c r="AG13" i="8"/>
  <c r="AE30" i="1"/>
  <c r="AE33" i="1"/>
  <c r="AE35" i="1"/>
  <c r="Y29" i="8"/>
  <c r="Y32" i="8"/>
  <c r="AA37" i="1"/>
  <c r="K29" i="1"/>
  <c r="K27" i="1"/>
  <c r="M25" i="1"/>
  <c r="EX25" i="1" s="1"/>
  <c r="N22" i="1"/>
  <c r="K11" i="1"/>
  <c r="AB23" i="8"/>
  <c r="H36" i="8"/>
  <c r="AF111" i="4"/>
  <c r="AA35" i="1"/>
  <c r="AA23" i="1"/>
  <c r="N41" i="1"/>
  <c r="N39" i="1"/>
  <c r="M38" i="1"/>
  <c r="EX38" i="1" s="1"/>
  <c r="K37" i="1"/>
  <c r="J36" i="1"/>
  <c r="M33" i="1"/>
  <c r="EX33" i="1" s="1"/>
  <c r="I33" i="1"/>
  <c r="O31" i="1"/>
  <c r="K31" i="1"/>
  <c r="M28" i="1"/>
  <c r="EX28" i="1" s="1"/>
  <c r="N27" i="1"/>
  <c r="O24" i="1"/>
  <c r="K24" i="1"/>
  <c r="M23" i="1"/>
  <c r="EX23" i="1" s="1"/>
  <c r="N21" i="1"/>
  <c r="AB13" i="1"/>
  <c r="I28" i="1"/>
  <c r="W30" i="8"/>
  <c r="Y30" i="8" s="1"/>
  <c r="AH113" i="4"/>
  <c r="AH86" i="4"/>
  <c r="FK22" i="4"/>
  <c r="J20" i="1"/>
  <c r="J19" i="1"/>
  <c r="J18" i="1"/>
  <c r="N17" i="1"/>
  <c r="AU17" i="1"/>
  <c r="O16" i="1"/>
  <c r="K16" i="1"/>
  <c r="J14" i="1"/>
  <c r="J13" i="1"/>
  <c r="J12" i="1"/>
  <c r="W35" i="8"/>
  <c r="Y35" i="8" s="1"/>
  <c r="W37" i="8"/>
  <c r="I15" i="1"/>
  <c r="FI41" i="4"/>
  <c r="Y108" i="4"/>
  <c r="K108" i="4"/>
  <c r="U41" i="1"/>
  <c r="V41" i="1" s="1"/>
  <c r="AQ25" i="1"/>
  <c r="AR26" i="1"/>
  <c r="AT33" i="1"/>
  <c r="H37" i="1"/>
  <c r="H25" i="1"/>
  <c r="F23" i="1"/>
  <c r="H17" i="1"/>
  <c r="Y101" i="4"/>
  <c r="U14" i="8"/>
  <c r="AG23" i="8"/>
  <c r="AI23" i="8" s="1"/>
  <c r="W27" i="8"/>
  <c r="Y27" i="8" s="1"/>
  <c r="AE32" i="1"/>
  <c r="AE28" i="1"/>
  <c r="AE38" i="1"/>
  <c r="AC34" i="1"/>
  <c r="AC18" i="1"/>
  <c r="X90" i="4" s="1"/>
  <c r="AC23" i="1"/>
  <c r="X95" i="4" s="1"/>
  <c r="AI14" i="1"/>
  <c r="BK58" i="17" s="1"/>
  <c r="AI24" i="1"/>
  <c r="BK68" i="17" s="1"/>
  <c r="AI31" i="1"/>
  <c r="BK75" i="17" s="1"/>
  <c r="V15" i="1"/>
  <c r="U20" i="1"/>
  <c r="V20" i="1" s="1"/>
  <c r="U25" i="1"/>
  <c r="U37" i="1"/>
  <c r="V37" i="1" s="1"/>
  <c r="K41" i="1"/>
  <c r="O39" i="1"/>
  <c r="K39" i="1"/>
  <c r="M36" i="1"/>
  <c r="EX36" i="1" s="1"/>
  <c r="M35" i="1"/>
  <c r="EX35" i="1" s="1"/>
  <c r="O34" i="1"/>
  <c r="J33" i="1"/>
  <c r="N32" i="1"/>
  <c r="N31" i="1"/>
  <c r="M30" i="1"/>
  <c r="EX30" i="1" s="1"/>
  <c r="K26" i="1"/>
  <c r="N24" i="1"/>
  <c r="K21" i="1"/>
  <c r="AC41" i="1"/>
  <c r="AC37" i="1"/>
  <c r="AC32" i="1"/>
  <c r="X104" i="4" s="1"/>
  <c r="AC21" i="1"/>
  <c r="X93" i="4" s="1"/>
  <c r="AC14" i="1"/>
  <c r="X86" i="4" s="1"/>
  <c r="AC31" i="1"/>
  <c r="X103" i="4" s="1"/>
  <c r="AC16" i="1"/>
  <c r="X88" i="4" s="1"/>
  <c r="AI13" i="1"/>
  <c r="BK57" i="17" s="1"/>
  <c r="AI22" i="1"/>
  <c r="BK66" i="17" s="1"/>
  <c r="AI11" i="1"/>
  <c r="BK55" i="17" s="1"/>
  <c r="AI28" i="1"/>
  <c r="BK72" i="17" s="1"/>
  <c r="AI30" i="1"/>
  <c r="BK74" i="17" s="1"/>
  <c r="AI35" i="1"/>
  <c r="BK79" i="17" s="1"/>
  <c r="U22" i="1"/>
  <c r="V22" i="1" s="1"/>
  <c r="U30" i="1"/>
  <c r="V30" i="1" s="1"/>
  <c r="K84" i="4"/>
  <c r="AC40" i="1"/>
  <c r="AC36" i="1"/>
  <c r="AC25" i="1"/>
  <c r="X97" i="4" s="1"/>
  <c r="AC20" i="1"/>
  <c r="X92" i="4" s="1"/>
  <c r="AC15" i="1"/>
  <c r="X87" i="4" s="1"/>
  <c r="AI12" i="1"/>
  <c r="BK56" i="17" s="1"/>
  <c r="AI21" i="1"/>
  <c r="BK65" i="17" s="1"/>
  <c r="AI15" i="1"/>
  <c r="BK59" i="17" s="1"/>
  <c r="AI23" i="1"/>
  <c r="BK67" i="17" s="1"/>
  <c r="AI27" i="1"/>
  <c r="BK71" i="17" s="1"/>
  <c r="AI33" i="1"/>
  <c r="BK77" i="17" s="1"/>
  <c r="AI34" i="1"/>
  <c r="BK78" i="17" s="1"/>
  <c r="U24" i="1"/>
  <c r="V24" i="1" s="1"/>
  <c r="U32" i="1"/>
  <c r="V32" i="1" s="1"/>
  <c r="AB17" i="8"/>
  <c r="AB32" i="8"/>
  <c r="DP19" i="4"/>
  <c r="Y28" i="8"/>
  <c r="R113" i="4"/>
  <c r="Y39" i="8"/>
  <c r="AI24" i="8"/>
  <c r="Y36" i="1"/>
  <c r="AA40" i="1"/>
  <c r="Y22" i="1"/>
  <c r="K22" i="1"/>
  <c r="J25" i="1"/>
  <c r="K32" i="1"/>
  <c r="O37" i="1"/>
  <c r="J41" i="1"/>
  <c r="J40" i="1"/>
  <c r="J39" i="1"/>
  <c r="N38" i="1"/>
  <c r="M37" i="1"/>
  <c r="EX37" i="1" s="1"/>
  <c r="I37" i="1"/>
  <c r="O36" i="1"/>
  <c r="K36" i="1"/>
  <c r="O35" i="1"/>
  <c r="K35" i="1"/>
  <c r="J34" i="1"/>
  <c r="N33" i="1"/>
  <c r="M32" i="1"/>
  <c r="EX32" i="1" s="1"/>
  <c r="I32" i="1"/>
  <c r="M31" i="1"/>
  <c r="EX31" i="1" s="1"/>
  <c r="I31" i="1"/>
  <c r="O30" i="1"/>
  <c r="K30" i="1"/>
  <c r="J29" i="1"/>
  <c r="N28" i="1"/>
  <c r="J27" i="1"/>
  <c r="J26" i="1"/>
  <c r="O25" i="1"/>
  <c r="K25" i="1"/>
  <c r="M24" i="1"/>
  <c r="EX24" i="1" s="1"/>
  <c r="N23" i="1"/>
  <c r="M22" i="1"/>
  <c r="EX22" i="1" s="1"/>
  <c r="AB21" i="1"/>
  <c r="J21" i="1"/>
  <c r="AB14" i="1"/>
  <c r="I25" i="1"/>
  <c r="Y102" i="4"/>
  <c r="Y95" i="4"/>
  <c r="Y91" i="4"/>
  <c r="W26" i="8"/>
  <c r="Y26" i="8" s="1"/>
  <c r="AU29" i="1"/>
  <c r="AH112" i="4"/>
  <c r="AH85" i="4"/>
  <c r="AB17" i="1"/>
  <c r="J17" i="1"/>
  <c r="M16" i="1"/>
  <c r="EX16" i="1" s="1"/>
  <c r="O15" i="1"/>
  <c r="K15" i="1"/>
  <c r="O14" i="1"/>
  <c r="K14" i="1"/>
  <c r="O13" i="1"/>
  <c r="K13" i="1"/>
  <c r="O12" i="1"/>
  <c r="K12" i="1"/>
  <c r="FK40" i="4"/>
  <c r="FK32" i="4"/>
  <c r="AQ41" i="1"/>
  <c r="AQ39" i="1"/>
  <c r="Y109" i="4"/>
  <c r="K95" i="4"/>
  <c r="K91" i="4"/>
  <c r="N95" i="4"/>
  <c r="N103" i="4"/>
  <c r="M85" i="4"/>
  <c r="AQ15" i="1"/>
  <c r="M89" i="4"/>
  <c r="AR14" i="1"/>
  <c r="N89" i="4"/>
  <c r="N90" i="4"/>
  <c r="N92" i="4"/>
  <c r="K103" i="4"/>
  <c r="AL38" i="4"/>
  <c r="AQ17" i="1"/>
  <c r="AT22" i="1"/>
  <c r="AI38" i="1"/>
  <c r="BK82" i="17" s="1"/>
  <c r="F34" i="1"/>
  <c r="F13" i="1"/>
  <c r="F18" i="1"/>
  <c r="H14" i="1"/>
  <c r="H12" i="1"/>
  <c r="U16" i="1"/>
  <c r="V16" i="1" s="1"/>
  <c r="U18" i="1"/>
  <c r="V18" i="1" s="1"/>
  <c r="AR28" i="1"/>
  <c r="AR30" i="1"/>
  <c r="AQ32" i="1"/>
  <c r="AR33" i="1"/>
  <c r="AR35" i="1"/>
  <c r="AH105" i="4"/>
  <c r="AE37" i="1"/>
  <c r="AE29" i="1"/>
  <c r="K89" i="4"/>
  <c r="AE31" i="1"/>
  <c r="AB34" i="8"/>
  <c r="DP28" i="4"/>
  <c r="K40" i="1"/>
  <c r="N37" i="1"/>
  <c r="I36" i="1"/>
  <c r="K34" i="1"/>
  <c r="I30" i="1"/>
  <c r="J28" i="1"/>
  <c r="O27" i="1"/>
  <c r="O26" i="1"/>
  <c r="J23" i="1"/>
  <c r="O21" i="1"/>
  <c r="O11" i="1"/>
  <c r="I24" i="1"/>
  <c r="Y105" i="4"/>
  <c r="Y98" i="4"/>
  <c r="Y94" i="4"/>
  <c r="Y90" i="4"/>
  <c r="AU11" i="1"/>
  <c r="AH111" i="4"/>
  <c r="Z20" i="1"/>
  <c r="AB19" i="1"/>
  <c r="FK21" i="4"/>
  <c r="FK24" i="4"/>
  <c r="M20" i="1"/>
  <c r="EX20" i="1" s="1"/>
  <c r="I20" i="1"/>
  <c r="M18" i="1"/>
  <c r="EX18" i="1" s="1"/>
  <c r="I18" i="1"/>
  <c r="FI39" i="4"/>
  <c r="FK36" i="4"/>
  <c r="FJ35" i="4"/>
  <c r="FI34" i="4"/>
  <c r="AB98" i="4"/>
  <c r="AQ33" i="1"/>
  <c r="AT34" i="1"/>
  <c r="V23" i="1"/>
  <c r="M91" i="4"/>
  <c r="N93" i="4"/>
  <c r="I93" i="4"/>
  <c r="M95" i="4"/>
  <c r="FK23" i="4"/>
  <c r="L96" i="4"/>
  <c r="N98" i="4"/>
  <c r="M100" i="4"/>
  <c r="N102" i="4"/>
  <c r="I102" i="4"/>
  <c r="N104" i="4"/>
  <c r="I106" i="4"/>
  <c r="M109" i="4"/>
  <c r="AI37" i="1"/>
  <c r="BK81" i="17" s="1"/>
  <c r="H38" i="1"/>
  <c r="H33" i="1"/>
  <c r="F26" i="1"/>
  <c r="V26" i="1" s="1"/>
  <c r="AH84" i="4"/>
  <c r="U34" i="1"/>
  <c r="V34" i="1" s="1"/>
  <c r="Y99" i="4"/>
  <c r="AE36" i="1"/>
  <c r="AE34" i="1"/>
  <c r="W41" i="8"/>
  <c r="N26" i="4"/>
  <c r="N27" i="4"/>
  <c r="N29" i="4"/>
  <c r="M30" i="4"/>
  <c r="N16" i="4"/>
  <c r="M31" i="4"/>
  <c r="CK42" i="17"/>
  <c r="N31" i="4"/>
  <c r="AC29" i="1"/>
  <c r="X101" i="4" s="1"/>
  <c r="AC26" i="1"/>
  <c r="X98" i="4" s="1"/>
  <c r="EB38" i="4"/>
  <c r="AC30" i="1"/>
  <c r="X102" i="4" s="1"/>
  <c r="AC27" i="1"/>
  <c r="X99" i="4" s="1"/>
  <c r="G11" i="8"/>
  <c r="EB36" i="4"/>
  <c r="EB32" i="4"/>
  <c r="EB28" i="4"/>
  <c r="EB24" i="4"/>
  <c r="EB20" i="4"/>
  <c r="EB16" i="4"/>
  <c r="EB12" i="4"/>
  <c r="V22" i="4"/>
  <c r="BJ42" i="4"/>
  <c r="O39" i="4"/>
  <c r="O40" i="4"/>
  <c r="O2" i="5"/>
  <c r="G13" i="8"/>
  <c r="G18" i="8"/>
  <c r="N34" i="4"/>
  <c r="O12" i="4"/>
  <c r="AF24" i="17"/>
  <c r="AX42" i="4"/>
  <c r="AB109" i="4"/>
  <c r="AB106" i="4"/>
  <c r="AB104" i="4"/>
  <c r="BM42" i="4"/>
  <c r="Q3" i="5"/>
  <c r="M21" i="4"/>
  <c r="AG16" i="8"/>
  <c r="U16" i="8"/>
  <c r="R20" i="8"/>
  <c r="G20" i="8"/>
  <c r="R25" i="8"/>
  <c r="AG25" i="8"/>
  <c r="U25" i="8"/>
  <c r="I37" i="8"/>
  <c r="GF37" i="4"/>
  <c r="DO42" i="5"/>
  <c r="GT15" i="4"/>
  <c r="GF15" i="4"/>
  <c r="BK42" i="4"/>
  <c r="P2" i="5"/>
  <c r="AR42" i="5"/>
  <c r="AW42" i="5"/>
  <c r="T2" i="5"/>
  <c r="GT37" i="4"/>
  <c r="N13" i="4"/>
  <c r="I15" i="8"/>
  <c r="U20" i="8"/>
  <c r="L92" i="4"/>
  <c r="M17" i="4"/>
  <c r="AM26" i="8"/>
  <c r="AF98" i="4"/>
  <c r="AA2" i="5"/>
  <c r="DU31" i="4"/>
  <c r="BJ42" i="5"/>
  <c r="W13" i="8"/>
  <c r="AL19" i="4"/>
  <c r="FR40" i="4"/>
  <c r="FR42" i="4" s="1"/>
  <c r="CA42" i="5"/>
  <c r="K17" i="4"/>
  <c r="J2" i="5"/>
  <c r="AE16" i="4"/>
  <c r="AC3" i="5"/>
  <c r="DU24" i="4"/>
  <c r="W96" i="4"/>
  <c r="U42" i="5"/>
  <c r="P16" i="4"/>
  <c r="GF39" i="4"/>
  <c r="GT39" i="4"/>
  <c r="Z2" i="5"/>
  <c r="I35" i="8"/>
  <c r="AF39" i="4"/>
  <c r="AD2" i="5"/>
  <c r="AD3" i="5"/>
  <c r="EQ13" i="4"/>
  <c r="BG42" i="5"/>
  <c r="AB96" i="4"/>
  <c r="AF17" i="17"/>
  <c r="AG17" i="17" s="1"/>
  <c r="DS17" i="17"/>
  <c r="AE12" i="17"/>
  <c r="CF14" i="4"/>
  <c r="CO14" i="4" s="1"/>
  <c r="AF12" i="17"/>
  <c r="AE10" i="17"/>
  <c r="DS10" i="17"/>
  <c r="DZ10" i="17" s="1"/>
  <c r="CF12" i="4"/>
  <c r="DV12" i="4" s="1"/>
  <c r="CI18" i="4"/>
  <c r="DV16" i="17"/>
  <c r="AE29" i="17"/>
  <c r="DS29" i="17"/>
  <c r="AL21" i="4"/>
  <c r="DS12" i="17"/>
  <c r="DZ12" i="17" s="1"/>
  <c r="CI15" i="4"/>
  <c r="AF10" i="17"/>
  <c r="W20" i="8"/>
  <c r="DN19" i="17"/>
  <c r="DX19" i="17" s="1"/>
  <c r="DN21" i="17"/>
  <c r="DX21" i="17" s="1"/>
  <c r="DN22" i="17"/>
  <c r="DX22" i="17" s="1"/>
  <c r="DN23" i="17"/>
  <c r="DX23" i="17" s="1"/>
  <c r="DP34" i="17"/>
  <c r="CQ41" i="17"/>
  <c r="AF29" i="17"/>
  <c r="CH31" i="4"/>
  <c r="DU24" i="17"/>
  <c r="CF16" i="4"/>
  <c r="AF19" i="17"/>
  <c r="AG19" i="17" s="1"/>
  <c r="DU25" i="17"/>
  <c r="DS15" i="17"/>
  <c r="N30" i="4"/>
  <c r="AB110" i="4"/>
  <c r="AB111" i="4"/>
  <c r="AB112" i="4"/>
  <c r="AB88" i="4"/>
  <c r="AB102" i="4"/>
  <c r="AB101" i="4"/>
  <c r="AB100" i="4"/>
  <c r="AB108" i="4"/>
  <c r="DP28" i="17"/>
  <c r="DO32" i="17"/>
  <c r="B19" i="14"/>
  <c r="B18" i="14"/>
  <c r="AB89" i="4"/>
  <c r="AB91" i="4"/>
  <c r="AB93" i="4"/>
  <c r="AB95" i="4"/>
  <c r="AB97" i="4"/>
  <c r="AB105" i="4"/>
  <c r="AB85" i="4"/>
  <c r="AB94" i="4"/>
  <c r="EB35" i="4"/>
  <c r="EB31" i="4"/>
  <c r="EB27" i="4"/>
  <c r="EB23" i="4"/>
  <c r="EB19" i="4"/>
  <c r="EB15" i="4"/>
  <c r="BN42" i="4"/>
  <c r="BL42" i="4"/>
  <c r="AB103" i="4"/>
  <c r="N39" i="4"/>
  <c r="DU32" i="4"/>
  <c r="AB86" i="4"/>
  <c r="DU15" i="4"/>
  <c r="W92" i="4"/>
  <c r="R22" i="8"/>
  <c r="R23" i="8"/>
  <c r="R14" i="8"/>
  <c r="AM37" i="8"/>
  <c r="HD42" i="4"/>
  <c r="L9" i="16" s="1"/>
  <c r="U23" i="8"/>
  <c r="AG18" i="8"/>
  <c r="AG22" i="8"/>
  <c r="DU27" i="4"/>
  <c r="DU33" i="4"/>
  <c r="R38" i="8"/>
  <c r="AF101" i="4"/>
  <c r="R18" i="8"/>
  <c r="U18" i="8"/>
  <c r="AF97" i="4"/>
  <c r="AE38" i="17"/>
  <c r="DU10" i="17"/>
  <c r="DV10" i="17"/>
  <c r="DV12" i="17"/>
  <c r="CF31" i="4"/>
  <c r="AE31" i="17"/>
  <c r="AF31" i="17"/>
  <c r="AF38" i="17"/>
  <c r="DS14" i="17"/>
  <c r="CH17" i="4"/>
  <c r="CF33" i="4"/>
  <c r="CF40" i="4"/>
  <c r="BZ42" i="4"/>
  <c r="DF27" i="1"/>
  <c r="DT53" i="1" s="1"/>
  <c r="D5" i="12"/>
  <c r="DT55" i="1"/>
  <c r="AZ3" i="17"/>
  <c r="I4" i="6"/>
  <c r="AH4" i="8"/>
  <c r="A5" i="10"/>
  <c r="I5" i="18"/>
  <c r="BF2" i="1"/>
  <c r="D5" i="2"/>
  <c r="T4" i="4"/>
  <c r="AZ4" i="8"/>
  <c r="DT12" i="1"/>
  <c r="AY49" i="17"/>
  <c r="R3" i="17"/>
  <c r="F5" i="5"/>
  <c r="J4" i="8"/>
  <c r="AM5" i="1"/>
  <c r="C5" i="7" s="1"/>
  <c r="M40" i="4"/>
  <c r="ER27" i="1"/>
  <c r="D33" i="2"/>
  <c r="GH37" i="4"/>
  <c r="K37" i="8"/>
  <c r="O14" i="4"/>
  <c r="O15" i="4"/>
  <c r="O29" i="4"/>
  <c r="AM21" i="8"/>
  <c r="AF93" i="4"/>
  <c r="CH15" i="4"/>
  <c r="EB39" i="4"/>
  <c r="EB33" i="4"/>
  <c r="EB29" i="4"/>
  <c r="EB25" i="4"/>
  <c r="EB21" i="4"/>
  <c r="EB17" i="4"/>
  <c r="DO27" i="17"/>
  <c r="AB27" i="8"/>
  <c r="M35" i="4"/>
  <c r="N37" i="4"/>
  <c r="N40" i="4"/>
  <c r="O33" i="4"/>
  <c r="P13" i="4"/>
  <c r="P14" i="4"/>
  <c r="M15" i="4"/>
  <c r="P15" i="4"/>
  <c r="M20" i="4"/>
  <c r="N21" i="4"/>
  <c r="O23" i="4"/>
  <c r="M24" i="4"/>
  <c r="M25" i="4"/>
  <c r="O25" i="4"/>
  <c r="M28" i="4"/>
  <c r="O30" i="4"/>
  <c r="O31" i="4"/>
  <c r="AW88" i="17"/>
  <c r="O16" i="4"/>
  <c r="M22" i="4"/>
  <c r="O22" i="4"/>
  <c r="DV9" i="17"/>
  <c r="AT40" i="1"/>
  <c r="DO16" i="17"/>
  <c r="O36" i="4"/>
  <c r="O38" i="4"/>
  <c r="M3" i="5"/>
  <c r="Z3" i="5"/>
  <c r="S2" i="5"/>
  <c r="P3" i="5"/>
  <c r="M26" i="4"/>
  <c r="P27" i="4"/>
  <c r="G16" i="8"/>
  <c r="O26" i="4"/>
  <c r="O28" i="4"/>
  <c r="N32" i="4"/>
  <c r="P32" i="4"/>
  <c r="M33" i="4"/>
  <c r="P33" i="4"/>
  <c r="P35" i="4"/>
  <c r="P36" i="4"/>
  <c r="P39" i="4"/>
  <c r="EB34" i="4"/>
  <c r="EB30" i="4"/>
  <c r="EB26" i="4"/>
  <c r="EB22" i="4"/>
  <c r="EB18" i="4"/>
  <c r="DN28" i="17"/>
  <c r="DX28" i="17" s="1"/>
  <c r="DP29" i="17"/>
  <c r="DN42" i="5"/>
  <c r="CF20" i="4"/>
  <c r="AM42" i="5"/>
  <c r="CI16" i="4"/>
  <c r="DV14" i="17"/>
  <c r="DS34" i="17"/>
  <c r="AF34" i="17"/>
  <c r="CF36" i="4"/>
  <c r="AE34" i="17"/>
  <c r="O18" i="4"/>
  <c r="R2" i="5"/>
  <c r="T42" i="5"/>
  <c r="BH84" i="17"/>
  <c r="BI84" i="17"/>
  <c r="BJ84" i="17"/>
  <c r="L3" i="5"/>
  <c r="AT88" i="17"/>
  <c r="M59" i="17" s="1"/>
  <c r="AT87" i="17"/>
  <c r="AT86" i="17"/>
  <c r="AT89" i="17" s="1"/>
  <c r="AX86" i="17"/>
  <c r="AX89" i="17" s="1"/>
  <c r="AX88" i="17"/>
  <c r="Q79" i="17" s="1"/>
  <c r="G17" i="8"/>
  <c r="G26" i="8"/>
  <c r="BF87" i="17"/>
  <c r="BF86" i="17"/>
  <c r="BF89" i="17" s="1"/>
  <c r="BF88" i="17"/>
  <c r="Y66" i="17" s="1"/>
  <c r="AN88" i="17"/>
  <c r="AN87" i="17"/>
  <c r="AN86" i="17"/>
  <c r="AN89" i="17" s="1"/>
  <c r="BI68" i="17"/>
  <c r="BJ68" i="17"/>
  <c r="BH68" i="17"/>
  <c r="AH11" i="4"/>
  <c r="AF3" i="5"/>
  <c r="AF2" i="5"/>
  <c r="AF100" i="4"/>
  <c r="AM28" i="8"/>
  <c r="BJ66" i="17"/>
  <c r="BH66" i="17"/>
  <c r="BI66" i="17"/>
  <c r="AM23" i="8"/>
  <c r="AF95" i="4"/>
  <c r="AV86" i="17"/>
  <c r="AV89" i="17" s="1"/>
  <c r="AV88" i="17"/>
  <c r="O59" i="17" s="1"/>
  <c r="AV87" i="17"/>
  <c r="S19" i="4"/>
  <c r="X3" i="5"/>
  <c r="AM19" i="8"/>
  <c r="AF91" i="4"/>
  <c r="AZ87" i="17"/>
  <c r="AZ86" i="17"/>
  <c r="AZ89" i="17" s="1"/>
  <c r="AZ88" i="17"/>
  <c r="S60" i="17" s="1"/>
  <c r="BD88" i="17"/>
  <c r="W60" i="17" s="1"/>
  <c r="BD87" i="17"/>
  <c r="BD86" i="17"/>
  <c r="BD89" i="17" s="1"/>
  <c r="W85" i="4"/>
  <c r="DU13" i="4"/>
  <c r="CF11" i="4"/>
  <c r="CO11" i="4" s="1"/>
  <c r="P94" i="4"/>
  <c r="I84" i="4"/>
  <c r="N19" i="4"/>
  <c r="U2" i="5"/>
  <c r="L42" i="5"/>
  <c r="J3" i="5"/>
  <c r="H3" i="5"/>
  <c r="S42" i="5"/>
  <c r="M42" i="5"/>
  <c r="I3" i="5"/>
  <c r="AF42" i="5"/>
  <c r="M13" i="4"/>
  <c r="U13" i="8"/>
  <c r="U26" i="8"/>
  <c r="AG26" i="8"/>
  <c r="R26" i="8"/>
  <c r="W16" i="8"/>
  <c r="GH35" i="4"/>
  <c r="FS26" i="4"/>
  <c r="CB42" i="5"/>
  <c r="Q2" i="5"/>
  <c r="O13" i="4"/>
  <c r="AA14" i="4"/>
  <c r="Z42" i="5"/>
  <c r="N3" i="5"/>
  <c r="P42" i="5"/>
  <c r="BJ58" i="17"/>
  <c r="BH58" i="17"/>
  <c r="BI58" i="17"/>
  <c r="BJ83" i="17"/>
  <c r="BH83" i="17"/>
  <c r="BI83" i="17"/>
  <c r="W100" i="4"/>
  <c r="DU28" i="4"/>
  <c r="AB16" i="4"/>
  <c r="AA42" i="5"/>
  <c r="AR88" i="17"/>
  <c r="AR87" i="17"/>
  <c r="AR86" i="17"/>
  <c r="AR89" i="17" s="1"/>
  <c r="AE9" i="17"/>
  <c r="M18" i="4"/>
  <c r="R42" i="5"/>
  <c r="N42" i="5"/>
  <c r="L2" i="5"/>
  <c r="S3" i="5"/>
  <c r="O3" i="5"/>
  <c r="M2" i="5"/>
  <c r="I42" i="5"/>
  <c r="M19" i="4"/>
  <c r="AE42" i="5"/>
  <c r="CU42" i="5"/>
  <c r="R21" i="8"/>
  <c r="AE13" i="4"/>
  <c r="AC2" i="5"/>
  <c r="U12" i="8"/>
  <c r="R12" i="8"/>
  <c r="CV2" i="5"/>
  <c r="GM12" i="4"/>
  <c r="GM42" i="4" s="1"/>
  <c r="CR42" i="5"/>
  <c r="AF14" i="4"/>
  <c r="AD42" i="5"/>
  <c r="AX87" i="17"/>
  <c r="AF32" i="17"/>
  <c r="DS32" i="17"/>
  <c r="AE32" i="17"/>
  <c r="CF34" i="4"/>
  <c r="BH85" i="17"/>
  <c r="BI85" i="17"/>
  <c r="O17" i="4"/>
  <c r="AA3" i="5"/>
  <c r="U3" i="5"/>
  <c r="R3" i="5"/>
  <c r="N2" i="5"/>
  <c r="J42" i="5"/>
  <c r="H42" i="5"/>
  <c r="X42" i="5"/>
  <c r="Q42" i="5"/>
  <c r="O42" i="5"/>
  <c r="K42" i="5"/>
  <c r="I2" i="5"/>
  <c r="U21" i="8"/>
  <c r="T3" i="5"/>
  <c r="R17" i="8"/>
  <c r="DU29" i="4"/>
  <c r="FX12" i="4"/>
  <c r="CG42" i="5"/>
  <c r="GO11" i="4"/>
  <c r="GO42" i="4" s="1"/>
  <c r="CS42" i="5"/>
  <c r="BJ85" i="17"/>
  <c r="DO26" i="17"/>
  <c r="DP26" i="17"/>
  <c r="DN26" i="17"/>
  <c r="DX26" i="17" s="1"/>
  <c r="DO30" i="17"/>
  <c r="DN30" i="17"/>
  <c r="DX30" i="17" s="1"/>
  <c r="DP32" i="17"/>
  <c r="DN32" i="17"/>
  <c r="DX32" i="17" s="1"/>
  <c r="DO33" i="17"/>
  <c r="DN33" i="17"/>
  <c r="DX33" i="17" s="1"/>
  <c r="DN34" i="17"/>
  <c r="DX34" i="17" s="1"/>
  <c r="DO34" i="17"/>
  <c r="DS22" i="17"/>
  <c r="AF22" i="17"/>
  <c r="AF16" i="17"/>
  <c r="AE16" i="17"/>
  <c r="CP40" i="17"/>
  <c r="CP43" i="17" s="1"/>
  <c r="CZ41" i="17"/>
  <c r="P23" i="4"/>
  <c r="DE42" i="5"/>
  <c r="CW42" i="5"/>
  <c r="CI42" i="5"/>
  <c r="CP42" i="5"/>
  <c r="CL42" i="5"/>
  <c r="AN42" i="5"/>
  <c r="AZ42" i="4"/>
  <c r="AO42" i="5"/>
  <c r="BS42" i="5"/>
  <c r="DZ42" i="4"/>
  <c r="AW9" i="18" s="1"/>
  <c r="AW22" i="18" s="1"/>
  <c r="EK43" i="4"/>
  <c r="J11" i="1"/>
  <c r="BU42" i="4"/>
  <c r="BB40" i="4"/>
  <c r="BB42" i="4" s="1"/>
  <c r="AV42" i="5"/>
  <c r="DL42" i="5"/>
  <c r="BX42" i="5"/>
  <c r="AF112" i="4"/>
  <c r="BK42" i="5"/>
  <c r="AS42" i="5"/>
  <c r="AF110" i="4"/>
  <c r="BG40" i="4"/>
  <c r="BG42" i="4" s="1"/>
  <c r="BA42" i="5"/>
  <c r="BD42" i="5"/>
  <c r="AO42" i="4"/>
  <c r="AW40" i="4"/>
  <c r="AQ42" i="5"/>
  <c r="AV14" i="4"/>
  <c r="AP42" i="5"/>
  <c r="GX13" i="4"/>
  <c r="GX42" i="4" s="1"/>
  <c r="DH42" i="5"/>
  <c r="DD42" i="5"/>
  <c r="FY13" i="4"/>
  <c r="FY42" i="4" s="1"/>
  <c r="CH42" i="5"/>
  <c r="FQ13" i="4"/>
  <c r="BZ42" i="5"/>
  <c r="GW12" i="4"/>
  <c r="GW42" i="4" s="1"/>
  <c r="DG42" i="5"/>
  <c r="GY12" i="4"/>
  <c r="GY42" i="4" s="1"/>
  <c r="DC42" i="5"/>
  <c r="CO42" i="5"/>
  <c r="CK42" i="5"/>
  <c r="FP12" i="4"/>
  <c r="BY42" i="5"/>
  <c r="GV11" i="4"/>
  <c r="GV42" i="4" s="1"/>
  <c r="DF42" i="5"/>
  <c r="CX42" i="5"/>
  <c r="CN42" i="5"/>
  <c r="CJ42" i="5"/>
  <c r="FW11" i="4"/>
  <c r="CF42" i="5"/>
  <c r="BF11" i="4"/>
  <c r="AZ42" i="5"/>
  <c r="FC13" i="4"/>
  <c r="BS2" i="5"/>
  <c r="BS3" i="5"/>
  <c r="DM42" i="5"/>
  <c r="D11" i="8"/>
  <c r="DJ42" i="5"/>
  <c r="AM11" i="8"/>
  <c r="AF83" i="4"/>
  <c r="EV15" i="4"/>
  <c r="BL42" i="5"/>
  <c r="BB51" i="4"/>
  <c r="BD48" i="4"/>
  <c r="EW11" i="4"/>
  <c r="BM42" i="5"/>
  <c r="DZ43" i="4"/>
  <c r="EB14" i="4"/>
  <c r="EB13" i="4"/>
  <c r="EA42" i="4"/>
  <c r="BK14" i="1" s="1"/>
  <c r="K11" i="15" s="1"/>
  <c r="EA43" i="4"/>
  <c r="EB37" i="4"/>
  <c r="D12" i="4"/>
  <c r="E42" i="5"/>
  <c r="FL13" i="4"/>
  <c r="BU42" i="5"/>
  <c r="FM14" i="4"/>
  <c r="BV42" i="5"/>
  <c r="FN11" i="4"/>
  <c r="BW42" i="5"/>
  <c r="P42" i="8"/>
  <c r="P43" i="8"/>
  <c r="X43" i="8"/>
  <c r="X42" i="8"/>
  <c r="AG12" i="4"/>
  <c r="AE3" i="5"/>
  <c r="AE2" i="5"/>
  <c r="DT43" i="4"/>
  <c r="Y114" i="4" s="1"/>
  <c r="E11" i="8"/>
  <c r="DK42" i="5"/>
  <c r="R12" i="4"/>
  <c r="W42" i="5"/>
  <c r="AL42" i="5"/>
  <c r="AL3" i="5"/>
  <c r="AL2" i="5"/>
  <c r="C11" i="8"/>
  <c r="DI42" i="5"/>
  <c r="BW42" i="4"/>
  <c r="AU19" i="1"/>
  <c r="BO42" i="4"/>
  <c r="BH13" i="4"/>
  <c r="BB42" i="5"/>
  <c r="BD13" i="4"/>
  <c r="AX42" i="5"/>
  <c r="BT42" i="4"/>
  <c r="BE12" i="4"/>
  <c r="AY42" i="5"/>
  <c r="BA12" i="4"/>
  <c r="AU42" i="5"/>
  <c r="FB40" i="4"/>
  <c r="BR2" i="5"/>
  <c r="BR3" i="5"/>
  <c r="FD40" i="4"/>
  <c r="BT42" i="5"/>
  <c r="BT3" i="5"/>
  <c r="BT2" i="5"/>
  <c r="HK42" i="4"/>
  <c r="P16" i="16" s="1"/>
  <c r="T40" i="4"/>
  <c r="T42" i="4" s="1"/>
  <c r="Y42" i="5"/>
  <c r="AC42" i="5"/>
  <c r="AB3" i="5"/>
  <c r="AD40" i="4"/>
  <c r="AB2" i="5"/>
  <c r="AB42" i="5"/>
  <c r="AG12" i="8"/>
  <c r="Q43" i="8"/>
  <c r="R20" i="16" s="1"/>
  <c r="Q42" i="8"/>
  <c r="G12" i="8"/>
  <c r="AG30" i="8"/>
  <c r="G30" i="8"/>
  <c r="R30" i="8"/>
  <c r="AG34" i="8"/>
  <c r="U34" i="8"/>
  <c r="G34" i="8"/>
  <c r="G38" i="8"/>
  <c r="AG38" i="8"/>
  <c r="F41" i="4"/>
  <c r="G42" i="5"/>
  <c r="GH11" i="4"/>
  <c r="DQ42" i="5"/>
  <c r="GI12" i="4"/>
  <c r="L12" i="8"/>
  <c r="DR42" i="5"/>
  <c r="J14" i="8"/>
  <c r="DP42" i="5"/>
  <c r="GH15" i="4"/>
  <c r="K15" i="8"/>
  <c r="GI16" i="4"/>
  <c r="L16" i="8"/>
  <c r="GI39" i="4"/>
  <c r="L39" i="8"/>
  <c r="GG41" i="4"/>
  <c r="J41" i="8"/>
  <c r="GU42" i="4"/>
  <c r="GE13" i="4"/>
  <c r="DB42" i="5"/>
  <c r="GR40" i="4"/>
  <c r="GB40" i="4"/>
  <c r="GR15" i="4"/>
  <c r="GB15" i="4"/>
  <c r="GB11" i="4"/>
  <c r="GR11" i="4"/>
  <c r="GS11" i="4"/>
  <c r="CV42" i="5"/>
  <c r="CV3" i="5"/>
  <c r="GN14" i="4"/>
  <c r="CZ2" i="5"/>
  <c r="GC14" i="4"/>
  <c r="CZ3" i="5"/>
  <c r="GP14" i="4"/>
  <c r="GD14" i="4"/>
  <c r="DA42" i="5"/>
  <c r="GK13" i="4"/>
  <c r="GK42" i="4" s="1"/>
  <c r="CQ42" i="5"/>
  <c r="GQ14" i="4"/>
  <c r="CT42" i="5"/>
  <c r="L13" i="4"/>
  <c r="K3" i="5"/>
  <c r="K2" i="5"/>
  <c r="EX40" i="4"/>
  <c r="BN42" i="5"/>
  <c r="EZ40" i="4"/>
  <c r="BP42" i="5"/>
  <c r="EY39" i="4"/>
  <c r="BO42" i="5"/>
  <c r="FT41" i="4"/>
  <c r="FT42" i="4" s="1"/>
  <c r="CC42" i="5"/>
  <c r="L110" i="4"/>
  <c r="AF85" i="4"/>
  <c r="AF87" i="4"/>
  <c r="C83" i="4"/>
  <c r="DM12" i="4"/>
  <c r="BA11" i="1"/>
  <c r="AC83" i="4"/>
  <c r="AB19" i="8"/>
  <c r="BS42" i="7"/>
  <c r="BF31" i="1" s="1"/>
  <c r="BT43" i="7"/>
  <c r="AN42" i="4"/>
  <c r="CM42" i="5"/>
  <c r="EB41" i="4"/>
  <c r="DO11" i="17"/>
  <c r="DP16" i="17"/>
  <c r="DN17" i="17"/>
  <c r="DX17" i="17" s="1"/>
  <c r="DP24" i="17"/>
  <c r="DP35" i="17"/>
  <c r="DL41" i="17"/>
  <c r="CV41" i="17"/>
  <c r="DH40" i="17"/>
  <c r="DH43" i="17" s="1"/>
  <c r="CZ42" i="17"/>
  <c r="CZ44" i="17" s="1"/>
  <c r="CR42" i="17"/>
  <c r="CR44" i="17" s="1"/>
  <c r="BY42" i="4"/>
  <c r="AL31" i="4"/>
  <c r="L103" i="4"/>
  <c r="L105" i="4"/>
  <c r="AL33" i="4"/>
  <c r="BX42" i="4"/>
  <c r="BS42" i="4"/>
  <c r="AT42" i="5"/>
  <c r="BC42" i="5"/>
  <c r="DP17" i="17"/>
  <c r="AF9" i="17"/>
  <c r="DO24" i="17"/>
  <c r="DO17" i="17"/>
  <c r="CF13" i="4"/>
  <c r="DS18" i="17"/>
  <c r="G62" i="17"/>
  <c r="AE18" i="17"/>
  <c r="AG18" i="17" s="1"/>
  <c r="DU17" i="17"/>
  <c r="DS11" i="17"/>
  <c r="DZ11" i="17" s="1"/>
  <c r="DU16" i="17"/>
  <c r="C9" i="14"/>
  <c r="Y61" i="17"/>
  <c r="Y62" i="17"/>
  <c r="G61" i="17"/>
  <c r="AP83" i="4"/>
  <c r="AQ82" i="4"/>
  <c r="M81" i="4"/>
  <c r="N82" i="4"/>
  <c r="R81" i="4"/>
  <c r="O82" i="4"/>
  <c r="AE82" i="4"/>
  <c r="AE79" i="4"/>
  <c r="A82" i="4"/>
  <c r="N81" i="4"/>
  <c r="O81" i="4"/>
  <c r="M82" i="4"/>
  <c r="P82" i="4"/>
  <c r="AE80" i="4"/>
  <c r="AE77" i="4"/>
  <c r="K81" i="4"/>
  <c r="P81" i="4"/>
  <c r="R82" i="4"/>
  <c r="Q82" i="4"/>
  <c r="AE78" i="4"/>
  <c r="B81" i="4"/>
  <c r="L81" i="4"/>
  <c r="L82" i="4"/>
  <c r="Q81" i="4"/>
  <c r="K82" i="4"/>
  <c r="AE81" i="4"/>
  <c r="H83" i="4"/>
  <c r="DV23" i="17"/>
  <c r="BI40" i="17"/>
  <c r="CM15" i="17"/>
  <c r="DV35" i="4"/>
  <c r="DU23" i="17"/>
  <c r="CT42" i="17"/>
  <c r="CT44" i="17" s="1"/>
  <c r="DN10" i="17"/>
  <c r="DX10" i="17" s="1"/>
  <c r="AG85" i="4"/>
  <c r="AG93" i="4"/>
  <c r="DY13" i="17"/>
  <c r="EB13" i="17" s="1"/>
  <c r="AF21" i="17"/>
  <c r="DO29" i="17"/>
  <c r="CW41" i="17"/>
  <c r="DH42" i="17"/>
  <c r="DH44" i="17" s="1"/>
  <c r="I13" i="8"/>
  <c r="GT13" i="4"/>
  <c r="GF13" i="4"/>
  <c r="AF90" i="4"/>
  <c r="AD42" i="12"/>
  <c r="AM18" i="8"/>
  <c r="Y36" i="8"/>
  <c r="V13" i="8"/>
  <c r="S43" i="12"/>
  <c r="BB88" i="17"/>
  <c r="BB87" i="17"/>
  <c r="BB86" i="17"/>
  <c r="BB89" i="17" s="1"/>
  <c r="DS27" i="17"/>
  <c r="I89" i="4"/>
  <c r="I90" i="4"/>
  <c r="I92" i="4"/>
  <c r="AL22" i="4"/>
  <c r="M94" i="4"/>
  <c r="K96" i="4"/>
  <c r="AL24" i="4"/>
  <c r="J96" i="4"/>
  <c r="AL25" i="4"/>
  <c r="N97" i="4"/>
  <c r="DM40" i="17"/>
  <c r="DM43" i="17" s="1"/>
  <c r="DP10" i="17"/>
  <c r="O57" i="17"/>
  <c r="DD41" i="17"/>
  <c r="CV40" i="17"/>
  <c r="CV43" i="17" s="1"/>
  <c r="DN9" i="17"/>
  <c r="DX9" i="17" s="1"/>
  <c r="CF18" i="4"/>
  <c r="AF11" i="17"/>
  <c r="AG11" i="17" s="1"/>
  <c r="CJ13" i="4" s="1"/>
  <c r="AG90" i="4"/>
  <c r="AG87" i="4"/>
  <c r="DN31" i="17"/>
  <c r="DX31" i="17" s="1"/>
  <c r="CW40" i="17"/>
  <c r="CW43" i="17" s="1"/>
  <c r="CZ40" i="17"/>
  <c r="CZ43" i="17" s="1"/>
  <c r="CR40" i="17"/>
  <c r="CR43" i="17" s="1"/>
  <c r="DD42" i="17"/>
  <c r="DD44" i="17" s="1"/>
  <c r="DP18" i="17"/>
  <c r="DB42" i="17"/>
  <c r="DB44" i="17" s="1"/>
  <c r="DE29" i="4"/>
  <c r="DE25" i="4"/>
  <c r="H84" i="4"/>
  <c r="CF19" i="4"/>
  <c r="DS16" i="17"/>
  <c r="G25" i="8"/>
  <c r="DV22" i="17"/>
  <c r="DG42" i="17"/>
  <c r="DG44" i="17" s="1"/>
  <c r="DN36" i="17"/>
  <c r="DX36" i="17" s="1"/>
  <c r="DF41" i="17"/>
  <c r="DP15" i="17"/>
  <c r="BJ69" i="17"/>
  <c r="BH69" i="17"/>
  <c r="BI69" i="17"/>
  <c r="DO36" i="17"/>
  <c r="CH14" i="4"/>
  <c r="DS25" i="17"/>
  <c r="CQ42" i="17"/>
  <c r="CQ44" i="17" s="1"/>
  <c r="DU21" i="17"/>
  <c r="DU33" i="17"/>
  <c r="AE23" i="17"/>
  <c r="CY42" i="17"/>
  <c r="CY44" i="17" s="1"/>
  <c r="DC40" i="17"/>
  <c r="DC43" i="17" s="1"/>
  <c r="DM41" i="17"/>
  <c r="DE40" i="17"/>
  <c r="DE43" i="17" s="1"/>
  <c r="DO15" i="17"/>
  <c r="CX42" i="17"/>
  <c r="CX44" i="17" s="1"/>
  <c r="DO13" i="17"/>
  <c r="DJ40" i="17"/>
  <c r="DJ43" i="17" s="1"/>
  <c r="CT41" i="17"/>
  <c r="DA40" i="17"/>
  <c r="DA43" i="17" s="1"/>
  <c r="DI41" i="17"/>
  <c r="DO22" i="17"/>
  <c r="CI21" i="4"/>
  <c r="DU9" i="17"/>
  <c r="DL40" i="17"/>
  <c r="DL43" i="17" s="1"/>
  <c r="CU40" i="17"/>
  <c r="CU43" i="17" s="1"/>
  <c r="M57" i="17"/>
  <c r="AF28" i="17"/>
  <c r="AG28" i="17" s="1"/>
  <c r="AF27" i="17"/>
  <c r="AG27" i="17" s="1"/>
  <c r="CH20" i="4"/>
  <c r="DV17" i="17"/>
  <c r="CH39" i="4"/>
  <c r="AF14" i="17"/>
  <c r="AG14" i="17" s="1"/>
  <c r="DW14" i="17" s="1"/>
  <c r="BH61" i="17"/>
  <c r="DP39" i="17"/>
  <c r="DK40" i="17"/>
  <c r="DK43" i="17" s="1"/>
  <c r="DN14" i="17"/>
  <c r="DX14" i="17" s="1"/>
  <c r="DP13" i="17"/>
  <c r="DO12" i="17"/>
  <c r="DJ41" i="17"/>
  <c r="DB40" i="17"/>
  <c r="DB43" i="17" s="1"/>
  <c r="CT40" i="17"/>
  <c r="CT43" i="17" s="1"/>
  <c r="DN18" i="17"/>
  <c r="DX18" i="17" s="1"/>
  <c r="DP25" i="17"/>
  <c r="DO31" i="17"/>
  <c r="AE11" i="1"/>
  <c r="CB42" i="4"/>
  <c r="BG87" i="17"/>
  <c r="BG86" i="17"/>
  <c r="BG89" i="17" s="1"/>
  <c r="BI55" i="17"/>
  <c r="BJ55" i="17"/>
  <c r="BG88" i="17"/>
  <c r="BH55" i="17"/>
  <c r="AQ87" i="17"/>
  <c r="AQ88" i="17"/>
  <c r="AU88" i="17"/>
  <c r="AU87" i="17"/>
  <c r="AY86" i="17"/>
  <c r="AY89" i="17" s="1"/>
  <c r="AY88" i="17"/>
  <c r="BC86" i="17"/>
  <c r="BC89" i="17" s="1"/>
  <c r="BJ57" i="17"/>
  <c r="AM87" i="17"/>
  <c r="BH57" i="17"/>
  <c r="AM86" i="17"/>
  <c r="AM89" i="17" s="1"/>
  <c r="BI57" i="17"/>
  <c r="BJ65" i="17"/>
  <c r="BH65" i="17"/>
  <c r="BI65" i="17"/>
  <c r="BH70" i="17"/>
  <c r="BI70" i="17"/>
  <c r="DN12" i="17"/>
  <c r="DX12" i="17" s="1"/>
  <c r="DV15" i="17"/>
  <c r="CH32" i="4"/>
  <c r="DO25" i="17"/>
  <c r="AB40" i="17"/>
  <c r="CQ40" i="17"/>
  <c r="CQ43" i="17" s="1"/>
  <c r="DC42" i="17"/>
  <c r="DC44" i="17" s="1"/>
  <c r="CH30" i="4"/>
  <c r="G43" i="10"/>
  <c r="DE17" i="4"/>
  <c r="G40" i="10"/>
  <c r="B42" i="10"/>
  <c r="B43" i="10" s="1"/>
  <c r="B41" i="10"/>
  <c r="DO21" i="17"/>
  <c r="HC42" i="4"/>
  <c r="J22" i="18" s="1"/>
  <c r="DN37" i="17"/>
  <c r="DX37" i="17" s="1"/>
  <c r="DO35" i="17"/>
  <c r="CI23" i="4"/>
  <c r="DG41" i="17"/>
  <c r="DA41" i="17"/>
  <c r="CS41" i="17"/>
  <c r="J42" i="4"/>
  <c r="CO25" i="4"/>
  <c r="G25" i="1"/>
  <c r="DN38" i="17"/>
  <c r="DX38" i="17" s="1"/>
  <c r="DG40" i="17"/>
  <c r="DG43" i="17" s="1"/>
  <c r="DJ42" i="17"/>
  <c r="DJ44" i="17" s="1"/>
  <c r="DF40" i="17"/>
  <c r="DF43" i="17" s="1"/>
  <c r="CX41" i="17"/>
  <c r="DP11" i="17"/>
  <c r="BI61" i="17"/>
  <c r="DN13" i="17"/>
  <c r="DX13" i="17" s="1"/>
  <c r="P52" i="4"/>
  <c r="BI56" i="17"/>
  <c r="BJ56" i="17"/>
  <c r="BH56" i="17"/>
  <c r="BH63" i="17"/>
  <c r="BJ63" i="17"/>
  <c r="AA40" i="17"/>
  <c r="AF39" i="17"/>
  <c r="CP41" i="17"/>
  <c r="DU11" i="17"/>
  <c r="CH16" i="4"/>
  <c r="CH22" i="4"/>
  <c r="DU31" i="17"/>
  <c r="CF23" i="4"/>
  <c r="CF29" i="4"/>
  <c r="CI29" i="4"/>
  <c r="AG94" i="4"/>
  <c r="BI59" i="17"/>
  <c r="BJ59" i="17"/>
  <c r="BH62" i="17"/>
  <c r="BI62" i="17"/>
  <c r="BJ62" i="17"/>
  <c r="BI64" i="17"/>
  <c r="BJ64" i="17"/>
  <c r="BH64" i="17"/>
  <c r="BP51" i="7"/>
  <c r="P22" i="4"/>
  <c r="AL16" i="4"/>
  <c r="N88" i="4"/>
  <c r="CS40" i="17"/>
  <c r="CS43" i="17" s="1"/>
  <c r="I87" i="4"/>
  <c r="BR15" i="4"/>
  <c r="BI80" i="17"/>
  <c r="BH80" i="17"/>
  <c r="DN15" i="17"/>
  <c r="DX15" i="17" s="1"/>
  <c r="CV42" i="17"/>
  <c r="CV44" i="17" s="1"/>
  <c r="BJ61" i="17"/>
  <c r="AQ86" i="17"/>
  <c r="DN39" i="17"/>
  <c r="DX39" i="17" s="1"/>
  <c r="DN16" i="17"/>
  <c r="DX16" i="17" s="1"/>
  <c r="BI63" i="17"/>
  <c r="DO18" i="17"/>
  <c r="DO23" i="17"/>
  <c r="DN24" i="17"/>
  <c r="DX24" i="17" s="1"/>
  <c r="DP27" i="17"/>
  <c r="DO28" i="17"/>
  <c r="DP30" i="17"/>
  <c r="DP31" i="17"/>
  <c r="DP33" i="17"/>
  <c r="BC87" i="17"/>
  <c r="BJ70" i="17"/>
  <c r="DW43" i="4"/>
  <c r="P22" i="14" s="1"/>
  <c r="HH42" i="4"/>
  <c r="T52" i="4"/>
  <c r="U52" i="4"/>
  <c r="HE42" i="4"/>
  <c r="L16" i="16" s="1"/>
  <c r="FO42" i="4"/>
  <c r="HG42" i="4"/>
  <c r="HF42" i="4"/>
  <c r="DU22" i="17"/>
  <c r="CH24" i="4"/>
  <c r="DU19" i="17"/>
  <c r="CH21" i="4"/>
  <c r="DE41" i="17"/>
  <c r="DN35" i="17"/>
  <c r="DX35" i="17" s="1"/>
  <c r="DP12" i="17"/>
  <c r="DL42" i="17"/>
  <c r="DL44" i="17" s="1"/>
  <c r="DD40" i="17"/>
  <c r="DD43" i="17" s="1"/>
  <c r="DV29" i="17"/>
  <c r="CI31" i="4"/>
  <c r="AE26" i="17"/>
  <c r="AF26" i="17"/>
  <c r="AE24" i="17"/>
  <c r="CF26" i="4"/>
  <c r="AE20" i="17"/>
  <c r="AG20" i="17" s="1"/>
  <c r="CF22" i="4"/>
  <c r="DK42" i="17"/>
  <c r="DK44" i="17" s="1"/>
  <c r="DO14" i="17"/>
  <c r="DN11" i="17"/>
  <c r="DX11" i="17" s="1"/>
  <c r="DH41" i="17"/>
  <c r="DO10" i="17"/>
  <c r="DB41" i="17"/>
  <c r="DU27" i="17"/>
  <c r="DU32" i="17"/>
  <c r="CI22" i="4"/>
  <c r="CI26" i="4"/>
  <c r="CF30" i="4"/>
  <c r="DO37" i="17"/>
  <c r="DV32" i="17"/>
  <c r="CI34" i="4"/>
  <c r="AE25" i="17"/>
  <c r="AG25" i="17" s="1"/>
  <c r="CF27" i="4"/>
  <c r="DS23" i="17"/>
  <c r="AF23" i="17"/>
  <c r="CY40" i="17"/>
  <c r="CY43" i="17" s="1"/>
  <c r="DI40" i="17"/>
  <c r="DI43" i="17" s="1"/>
  <c r="CU42" i="17"/>
  <c r="CU44" i="17" s="1"/>
  <c r="DF42" i="17"/>
  <c r="DF44" i="17" s="1"/>
  <c r="CX40" i="17"/>
  <c r="CX43" i="17" s="1"/>
  <c r="CP42" i="17"/>
  <c r="CP44" i="17" s="1"/>
  <c r="AG96" i="4"/>
  <c r="AO87" i="17"/>
  <c r="CR41" i="17"/>
  <c r="CF17" i="4"/>
  <c r="AK86" i="17"/>
  <c r="AK89" i="17" s="1"/>
  <c r="AQ12" i="1"/>
  <c r="F3" i="5"/>
  <c r="E22" i="4"/>
  <c r="F2" i="5"/>
  <c r="F42" i="5"/>
  <c r="BJ67" i="17"/>
  <c r="BH67" i="17"/>
  <c r="BE88" i="17"/>
  <c r="BI67" i="17"/>
  <c r="BE87" i="17"/>
  <c r="BE86" i="17"/>
  <c r="BE89" i="17" s="1"/>
  <c r="AL88" i="17"/>
  <c r="S52" i="4"/>
  <c r="HI42" i="4"/>
  <c r="DU14" i="4"/>
  <c r="AC13" i="1"/>
  <c r="X85" i="4" s="1"/>
  <c r="O52" i="4"/>
  <c r="DN27" i="17"/>
  <c r="DX27" i="17" s="1"/>
  <c r="I42" i="4"/>
  <c r="O42" i="8"/>
  <c r="O43" i="8"/>
  <c r="AF42" i="8"/>
  <c r="AF43" i="8"/>
  <c r="FJ40" i="4"/>
  <c r="BJ76" i="17"/>
  <c r="BH76" i="17"/>
  <c r="BI76" i="17"/>
  <c r="AH88" i="4"/>
  <c r="D3" i="5"/>
  <c r="D2" i="5"/>
  <c r="C21" i="4"/>
  <c r="D42" i="5"/>
  <c r="AB14" i="8"/>
  <c r="N83" i="4"/>
  <c r="BI72" i="17"/>
  <c r="BH72" i="17"/>
  <c r="AJ88" i="17"/>
  <c r="AJ86" i="17"/>
  <c r="AJ89" i="17" s="1"/>
  <c r="EU42" i="4"/>
  <c r="AB16" i="8"/>
  <c r="BJ74" i="17"/>
  <c r="BH74" i="17"/>
  <c r="BI78" i="17"/>
  <c r="BJ78" i="17"/>
  <c r="Q17" i="4"/>
  <c r="V3" i="5"/>
  <c r="V2" i="5"/>
  <c r="V42" i="5"/>
  <c r="DV36" i="17"/>
  <c r="GF14" i="4"/>
  <c r="GT14" i="4"/>
  <c r="BJ80" i="17"/>
  <c r="CS42" i="17"/>
  <c r="CS44" i="17" s="1"/>
  <c r="AG97" i="4"/>
  <c r="AG101" i="4"/>
  <c r="BH59" i="17"/>
  <c r="CH41" i="4"/>
  <c r="AC40" i="17"/>
  <c r="CI41" i="4"/>
  <c r="DO39" i="17"/>
  <c r="AY87" i="17"/>
  <c r="AU86" i="17"/>
  <c r="BC88" i="17"/>
  <c r="DS39" i="17"/>
  <c r="Z11" i="1"/>
  <c r="BI42" i="4"/>
  <c r="I88" i="4"/>
  <c r="F42" i="8"/>
  <c r="BP13" i="1" s="1"/>
  <c r="ET42" i="4"/>
  <c r="U13" i="1"/>
  <c r="I86" i="4"/>
  <c r="AR13" i="1"/>
  <c r="BI74" i="17"/>
  <c r="AO88" i="17"/>
  <c r="AO86" i="17"/>
  <c r="AO89" i="17" s="1"/>
  <c r="AK87" i="17"/>
  <c r="BI60" i="17"/>
  <c r="BJ60" i="17"/>
  <c r="AK88" i="17"/>
  <c r="BH60" i="17"/>
  <c r="BH75" i="17"/>
  <c r="BI75" i="17"/>
  <c r="BJ75" i="17"/>
  <c r="BH78" i="17"/>
  <c r="AW87" i="17"/>
  <c r="AW86" i="17"/>
  <c r="AS88" i="17"/>
  <c r="AS87" i="17"/>
  <c r="AS86" i="17"/>
  <c r="AS89" i="17" s="1"/>
  <c r="AL86" i="17"/>
  <c r="AL89" i="17" s="1"/>
  <c r="BJ72" i="17"/>
  <c r="AL87" i="17"/>
  <c r="AP88" i="17"/>
  <c r="I79" i="17" s="1"/>
  <c r="AP87" i="17"/>
  <c r="AP89" i="17"/>
  <c r="BA86" i="17"/>
  <c r="BA89" i="17" s="1"/>
  <c r="BA88" i="17"/>
  <c r="BA87" i="17"/>
  <c r="BJ79" i="17"/>
  <c r="BH79" i="17"/>
  <c r="BI79" i="17"/>
  <c r="BI81" i="17"/>
  <c r="BJ81" i="17"/>
  <c r="BH81" i="17"/>
  <c r="BJ82" i="17"/>
  <c r="BH82" i="17"/>
  <c r="BI82" i="17"/>
  <c r="AM88" i="17"/>
  <c r="BJ71" i="17"/>
  <c r="BH71" i="17"/>
  <c r="BI71" i="17"/>
  <c r="BI73" i="17"/>
  <c r="BJ73" i="17"/>
  <c r="BH73" i="17"/>
  <c r="BJ77" i="17"/>
  <c r="BH77" i="17"/>
  <c r="BI77" i="17"/>
  <c r="DV31" i="17"/>
  <c r="CI40" i="4"/>
  <c r="DP19" i="17"/>
  <c r="DP23" i="17"/>
  <c r="U22" i="8"/>
  <c r="AG106" i="4"/>
  <c r="DS20" i="17"/>
  <c r="DV35" i="17"/>
  <c r="DP21" i="17"/>
  <c r="AJ87" i="17"/>
  <c r="CU41" i="17"/>
  <c r="DM42" i="17"/>
  <c r="DM44" i="17" s="1"/>
  <c r="CH28" i="4"/>
  <c r="CH37" i="4"/>
  <c r="CI36" i="4"/>
  <c r="CF24" i="4"/>
  <c r="DS26" i="17"/>
  <c r="DS28" i="17"/>
  <c r="AG104" i="4"/>
  <c r="DM11" i="4"/>
  <c r="DI42" i="4"/>
  <c r="CL49" i="4" s="1"/>
  <c r="DI43" i="4"/>
  <c r="GR10" i="4"/>
  <c r="GS10" i="4" s="1"/>
  <c r="GT10" i="4"/>
  <c r="GU10" i="4" s="1"/>
  <c r="DF42" i="4"/>
  <c r="DF43" i="4"/>
  <c r="DG11" i="4"/>
  <c r="EG44" i="4"/>
  <c r="BK20" i="1"/>
  <c r="EG67" i="4"/>
  <c r="DU52" i="1"/>
  <c r="DG25" i="1"/>
  <c r="DF26" i="1"/>
  <c r="DT52" i="1" s="1"/>
  <c r="Q52" i="4"/>
  <c r="CL42" i="17"/>
  <c r="CM12" i="4"/>
  <c r="CL40" i="17"/>
  <c r="CM10" i="17"/>
  <c r="AE39" i="17"/>
  <c r="AE22" i="17"/>
  <c r="DC41" i="17"/>
  <c r="DO9" i="17"/>
  <c r="DO19" i="17"/>
  <c r="DN29" i="17"/>
  <c r="DX29" i="17" s="1"/>
  <c r="AG43" i="10"/>
  <c r="CF28" i="4"/>
  <c r="AE21" i="17"/>
  <c r="DI42" i="17"/>
  <c r="DI44" i="17" s="1"/>
  <c r="DE42" i="17"/>
  <c r="DE44" i="17" s="1"/>
  <c r="CW42" i="17"/>
  <c r="CW44" i="17" s="1"/>
  <c r="DP9" i="17"/>
  <c r="DP22" i="17"/>
  <c r="R43" i="10"/>
  <c r="W43" i="10"/>
  <c r="CY41" i="17"/>
  <c r="DP14" i="17"/>
  <c r="DO38" i="17"/>
  <c r="DA42" i="17"/>
  <c r="DA44" i="17" s="1"/>
  <c r="DP37" i="17"/>
  <c r="DP36" i="17"/>
  <c r="DK41" i="17"/>
  <c r="DO20" i="17"/>
  <c r="DN25" i="17"/>
  <c r="DX25" i="17" s="1"/>
  <c r="G24" i="8"/>
  <c r="W24" i="8"/>
  <c r="AG100" i="4"/>
  <c r="AG112" i="4"/>
  <c r="AG103" i="4"/>
  <c r="AG110" i="4"/>
  <c r="AG108" i="4"/>
  <c r="AG99" i="4"/>
  <c r="AG102" i="4"/>
  <c r="AG111" i="4"/>
  <c r="AY42" i="4"/>
  <c r="N52" i="4"/>
  <c r="R52" i="4"/>
  <c r="BC42" i="4"/>
  <c r="DY9" i="17"/>
  <c r="DZ9" i="17"/>
  <c r="AF99" i="4"/>
  <c r="AM27" i="8"/>
  <c r="CI30" i="4"/>
  <c r="CI35" i="4"/>
  <c r="DP20" i="17"/>
  <c r="DS19" i="17"/>
  <c r="CF21" i="4"/>
  <c r="DV30" i="17"/>
  <c r="DP38" i="17"/>
  <c r="CI27" i="4"/>
  <c r="AI5" i="12" l="1"/>
  <c r="DW4" i="4"/>
  <c r="CA4" i="4"/>
  <c r="FY4" i="4"/>
  <c r="X83" i="4"/>
  <c r="AC45" i="1"/>
  <c r="AC43" i="1"/>
  <c r="EM4" i="4"/>
  <c r="X107" i="4"/>
  <c r="X108" i="4"/>
  <c r="X109" i="4"/>
  <c r="X106" i="4"/>
  <c r="X110" i="4"/>
  <c r="X112" i="4"/>
  <c r="X113" i="4"/>
  <c r="X111" i="4"/>
  <c r="AC38" i="4"/>
  <c r="AX40" i="1"/>
  <c r="AG24" i="17"/>
  <c r="FP42" i="4"/>
  <c r="FQ42" i="4"/>
  <c r="U20" i="4"/>
  <c r="U35" i="4"/>
  <c r="V30" i="4"/>
  <c r="V31" i="4"/>
  <c r="R91" i="4"/>
  <c r="P92" i="4"/>
  <c r="V14" i="4"/>
  <c r="ES42" i="4"/>
  <c r="Y34" i="1"/>
  <c r="R83" i="4"/>
  <c r="R90" i="4"/>
  <c r="AV35" i="1"/>
  <c r="O106" i="4"/>
  <c r="U27" i="4"/>
  <c r="P89" i="4"/>
  <c r="AV21" i="1"/>
  <c r="K101" i="4"/>
  <c r="AB25" i="8"/>
  <c r="AB33" i="8"/>
  <c r="U32" i="4"/>
  <c r="Q91" i="4"/>
  <c r="O88" i="4"/>
  <c r="R89" i="4"/>
  <c r="Y21" i="1"/>
  <c r="AG42" i="4"/>
  <c r="P25" i="18" s="1"/>
  <c r="D42" i="4"/>
  <c r="EW42" i="4"/>
  <c r="FX42" i="4"/>
  <c r="AY22" i="1"/>
  <c r="U24" i="4"/>
  <c r="K42" i="4"/>
  <c r="P101" i="4"/>
  <c r="V25" i="4"/>
  <c r="P90" i="4"/>
  <c r="AB22" i="8"/>
  <c r="FA42" i="4"/>
  <c r="AI42" i="4"/>
  <c r="N12" i="14" s="1"/>
  <c r="AB12" i="8"/>
  <c r="V12" i="4"/>
  <c r="U12" i="4"/>
  <c r="AB28" i="8"/>
  <c r="AB21" i="8"/>
  <c r="R110" i="4"/>
  <c r="O101" i="4"/>
  <c r="Q96" i="4"/>
  <c r="AB26" i="8"/>
  <c r="AB31" i="8"/>
  <c r="U11" i="4"/>
  <c r="V11" i="4"/>
  <c r="AB36" i="8"/>
  <c r="R100" i="4"/>
  <c r="S14" i="1"/>
  <c r="S53" i="1" s="1"/>
  <c r="S42" i="4"/>
  <c r="Q90" i="4"/>
  <c r="U26" i="4"/>
  <c r="U28" i="4"/>
  <c r="V39" i="4"/>
  <c r="EQ42" i="4"/>
  <c r="AB35" i="8"/>
  <c r="O93" i="4"/>
  <c r="V27" i="4"/>
  <c r="M83" i="4"/>
  <c r="I85" i="4"/>
  <c r="Q83" i="4"/>
  <c r="AX37" i="1"/>
  <c r="V33" i="4"/>
  <c r="Q104" i="4"/>
  <c r="AH109" i="4"/>
  <c r="R103" i="4"/>
  <c r="Q109" i="4"/>
  <c r="M90" i="4"/>
  <c r="FN42" i="4"/>
  <c r="FL42" i="4"/>
  <c r="BF42" i="4"/>
  <c r="AV42" i="4"/>
  <c r="AA42" i="4"/>
  <c r="FS42" i="4"/>
  <c r="P93" i="4"/>
  <c r="V37" i="4"/>
  <c r="AY16" i="1"/>
  <c r="V28" i="4"/>
  <c r="V24" i="4"/>
  <c r="V15" i="4"/>
  <c r="AK42" i="4"/>
  <c r="ER42" i="4"/>
  <c r="BQ42" i="4"/>
  <c r="Y39" i="1"/>
  <c r="Q99" i="4"/>
  <c r="AX20" i="1"/>
  <c r="Q106" i="4"/>
  <c r="U23" i="4"/>
  <c r="U37" i="4"/>
  <c r="AH102" i="4"/>
  <c r="V35" i="4"/>
  <c r="Y20" i="1"/>
  <c r="H80" i="17"/>
  <c r="DV40" i="4"/>
  <c r="CO39" i="4"/>
  <c r="O108" i="4"/>
  <c r="U36" i="4"/>
  <c r="O102" i="4"/>
  <c r="U30" i="4"/>
  <c r="O111" i="4"/>
  <c r="U39" i="4"/>
  <c r="P110" i="4"/>
  <c r="V38" i="4"/>
  <c r="P108" i="4"/>
  <c r="V36" i="4"/>
  <c r="O110" i="4"/>
  <c r="U38" i="4"/>
  <c r="G32" i="1"/>
  <c r="AQ4" i="4"/>
  <c r="GX4" i="4"/>
  <c r="EC14" i="4"/>
  <c r="CM14" i="4"/>
  <c r="CK14" i="4"/>
  <c r="DV38" i="4"/>
  <c r="AI36" i="8"/>
  <c r="U54" i="1"/>
  <c r="BN84" i="4"/>
  <c r="BV84" i="4"/>
  <c r="AL18" i="4"/>
  <c r="BT84" i="4"/>
  <c r="P105" i="4"/>
  <c r="CO32" i="4"/>
  <c r="W59" i="17"/>
  <c r="W62" i="17"/>
  <c r="W61" i="17"/>
  <c r="AX31" i="1"/>
  <c r="DV37" i="4"/>
  <c r="G37" i="1"/>
  <c r="R102" i="4"/>
  <c r="O84" i="4"/>
  <c r="DY33" i="17"/>
  <c r="P107" i="4"/>
  <c r="O100" i="4"/>
  <c r="AX19" i="1"/>
  <c r="U16" i="4"/>
  <c r="AX29" i="1"/>
  <c r="AY38" i="1"/>
  <c r="AL12" i="4"/>
  <c r="P83" i="4"/>
  <c r="H85" i="4"/>
  <c r="P100" i="4"/>
  <c r="DM13" i="4"/>
  <c r="CP57" i="1"/>
  <c r="A11" i="10"/>
  <c r="CD14" i="1"/>
  <c r="DU57" i="1"/>
  <c r="B86" i="4"/>
  <c r="A86" i="4" s="1"/>
  <c r="AL14" i="1"/>
  <c r="DJ14" i="4"/>
  <c r="C14" i="1"/>
  <c r="DC14" i="1"/>
  <c r="BK85" i="4"/>
  <c r="X14" i="1"/>
  <c r="AQ86" i="4" s="1"/>
  <c r="AP86" i="4" s="1"/>
  <c r="BS86" i="4" s="1"/>
  <c r="D15" i="1"/>
  <c r="D16" i="1" s="1"/>
  <c r="DT13" i="1"/>
  <c r="W13" i="1"/>
  <c r="K57" i="17"/>
  <c r="BU85" i="4"/>
  <c r="AY32" i="1"/>
  <c r="O104" i="4"/>
  <c r="AG33" i="17"/>
  <c r="AI33" i="8"/>
  <c r="V17" i="4"/>
  <c r="AI31" i="8"/>
  <c r="Q57" i="17"/>
  <c r="BV85" i="4"/>
  <c r="BR23" i="4"/>
  <c r="P55" i="17"/>
  <c r="AY11" i="1"/>
  <c r="O83" i="4"/>
  <c r="F57" i="17"/>
  <c r="E42" i="8"/>
  <c r="AI20" i="8"/>
  <c r="BV23" i="4"/>
  <c r="L23" i="1" s="1"/>
  <c r="BM85" i="4"/>
  <c r="BN85" i="4"/>
  <c r="BL85" i="4"/>
  <c r="AL29" i="4"/>
  <c r="BP42" i="4"/>
  <c r="AL11" i="4"/>
  <c r="DY12" i="17"/>
  <c r="AC14" i="4" s="1"/>
  <c r="AJ42" i="4"/>
  <c r="DN11" i="4" s="1"/>
  <c r="AB20" i="8"/>
  <c r="AY34" i="1"/>
  <c r="AG35" i="17"/>
  <c r="CJ37" i="4" s="1"/>
  <c r="Y56" i="17"/>
  <c r="BQ85" i="4"/>
  <c r="R98" i="4"/>
  <c r="BA85" i="4"/>
  <c r="R96" i="4"/>
  <c r="O94" i="4"/>
  <c r="O99" i="4"/>
  <c r="AH42" i="4"/>
  <c r="M12" i="14" s="1"/>
  <c r="Q113" i="4"/>
  <c r="AY41" i="1"/>
  <c r="U29" i="4"/>
  <c r="AY17" i="1"/>
  <c r="G84" i="4"/>
  <c r="DP11" i="4"/>
  <c r="H21" i="8"/>
  <c r="Y15" i="8"/>
  <c r="Y12" i="8"/>
  <c r="H15" i="8"/>
  <c r="N84" i="4"/>
  <c r="BB85" i="4" s="1"/>
  <c r="AG12" i="17"/>
  <c r="DW12" i="17" s="1"/>
  <c r="AX33" i="1"/>
  <c r="BT85" i="4"/>
  <c r="AY29" i="1"/>
  <c r="H38" i="4"/>
  <c r="AZ85" i="4"/>
  <c r="G23" i="4"/>
  <c r="DY11" i="17"/>
  <c r="EB11" i="17" s="1"/>
  <c r="DY39" i="17"/>
  <c r="DZ39" i="17"/>
  <c r="U34" i="4"/>
  <c r="EB21" i="17"/>
  <c r="O95" i="4"/>
  <c r="FU42" i="4"/>
  <c r="I43" i="1"/>
  <c r="D7" i="2" s="1"/>
  <c r="AX34" i="1"/>
  <c r="AE44" i="1"/>
  <c r="DN39" i="1" s="1"/>
  <c r="AY30" i="1"/>
  <c r="AB15" i="8"/>
  <c r="AB18" i="8"/>
  <c r="H15" i="4"/>
  <c r="V16" i="4"/>
  <c r="CS12" i="4"/>
  <c r="P84" i="4"/>
  <c r="P97" i="4"/>
  <c r="AY12" i="1"/>
  <c r="AG38" i="17"/>
  <c r="CJ40" i="4" s="1"/>
  <c r="CQ40" i="4" s="1"/>
  <c r="AX11" i="1"/>
  <c r="AS42" i="1"/>
  <c r="CW8" i="1" s="1"/>
  <c r="AY21" i="1"/>
  <c r="AY31" i="1"/>
  <c r="V34" i="4"/>
  <c r="K42" i="8"/>
  <c r="AJ20" i="8" s="1"/>
  <c r="Q92" i="4"/>
  <c r="EX42" i="1"/>
  <c r="G17" i="2" s="1"/>
  <c r="F10" i="3" s="1"/>
  <c r="AY36" i="1"/>
  <c r="Y57" i="17"/>
  <c r="Z57" i="17"/>
  <c r="X57" i="17"/>
  <c r="P98" i="4"/>
  <c r="V26" i="4"/>
  <c r="R93" i="4"/>
  <c r="P95" i="4"/>
  <c r="V23" i="4"/>
  <c r="O97" i="4"/>
  <c r="U25" i="4"/>
  <c r="DV39" i="4"/>
  <c r="AV46" i="4"/>
  <c r="H23" i="4"/>
  <c r="DV31" i="4"/>
  <c r="EA21" i="17"/>
  <c r="AG13" i="17"/>
  <c r="CJ15" i="4" s="1"/>
  <c r="CZ15" i="4" s="1"/>
  <c r="AC23" i="4"/>
  <c r="G38" i="1"/>
  <c r="EA33" i="17"/>
  <c r="R106" i="4"/>
  <c r="AG36" i="17"/>
  <c r="CJ38" i="4" s="1"/>
  <c r="K43" i="1"/>
  <c r="F16" i="2" s="1"/>
  <c r="I45" i="1"/>
  <c r="F7" i="2" s="1"/>
  <c r="AG29" i="17"/>
  <c r="CJ31" i="4" s="1"/>
  <c r="AX14" i="1"/>
  <c r="AF42" i="4"/>
  <c r="BP51" i="4" s="1"/>
  <c r="I17" i="2"/>
  <c r="F9" i="3" s="1"/>
  <c r="AG32" i="17"/>
  <c r="DW32" i="17" s="1"/>
  <c r="N43" i="1"/>
  <c r="F17" i="2" s="1"/>
  <c r="AX12" i="1"/>
  <c r="AY14" i="1"/>
  <c r="AG37" i="17"/>
  <c r="DW37" i="17" s="1"/>
  <c r="C25" i="2"/>
  <c r="AX25" i="1"/>
  <c r="GP42" i="4"/>
  <c r="AY39" i="1"/>
  <c r="U41" i="4"/>
  <c r="CJ17" i="4"/>
  <c r="CZ17" i="4" s="1"/>
  <c r="Q81" i="17"/>
  <c r="U17" i="4"/>
  <c r="O86" i="4"/>
  <c r="K42" i="1"/>
  <c r="D16" i="2" s="1"/>
  <c r="P113" i="4"/>
  <c r="G110" i="4"/>
  <c r="U14" i="4"/>
  <c r="R109" i="4"/>
  <c r="R97" i="4"/>
  <c r="R84" i="4"/>
  <c r="BF84" i="4" s="1"/>
  <c r="AX24" i="1"/>
  <c r="O72" i="17"/>
  <c r="N42" i="1"/>
  <c r="D17" i="2" s="1"/>
  <c r="AU42" i="1"/>
  <c r="D8" i="2" s="1"/>
  <c r="AX21" i="1"/>
  <c r="AY23" i="1"/>
  <c r="EA36" i="17"/>
  <c r="AI21" i="8"/>
  <c r="AI22" i="8"/>
  <c r="EB38" i="17"/>
  <c r="BT86" i="4"/>
  <c r="DZ37" i="17"/>
  <c r="DY37" i="17"/>
  <c r="EA38" i="17"/>
  <c r="DY25" i="17"/>
  <c r="DZ25" i="17"/>
  <c r="DY22" i="17"/>
  <c r="DZ22" i="17"/>
  <c r="DY14" i="17"/>
  <c r="DZ14" i="17"/>
  <c r="DY35" i="17"/>
  <c r="DZ35" i="17"/>
  <c r="DY19" i="17"/>
  <c r="DZ19" i="17"/>
  <c r="DY32" i="17"/>
  <c r="DZ32" i="17"/>
  <c r="DY17" i="17"/>
  <c r="DZ17" i="17"/>
  <c r="DY28" i="17"/>
  <c r="DZ28" i="17"/>
  <c r="DY20" i="17"/>
  <c r="DZ20" i="17"/>
  <c r="DY27" i="17"/>
  <c r="DZ27" i="17"/>
  <c r="DY26" i="17"/>
  <c r="DZ26" i="17"/>
  <c r="DY23" i="17"/>
  <c r="DZ23" i="17"/>
  <c r="DY16" i="17"/>
  <c r="DZ16" i="17"/>
  <c r="DY18" i="17"/>
  <c r="DZ18" i="17"/>
  <c r="DY34" i="17"/>
  <c r="DZ34" i="17"/>
  <c r="DY15" i="17"/>
  <c r="DZ15" i="17"/>
  <c r="DY29" i="17"/>
  <c r="DZ29" i="17"/>
  <c r="DY30" i="17"/>
  <c r="DZ30" i="17"/>
  <c r="EB36" i="17"/>
  <c r="T77" i="17"/>
  <c r="EA31" i="17"/>
  <c r="DE42" i="4"/>
  <c r="BP20" i="1" s="1"/>
  <c r="EB31" i="17"/>
  <c r="EB33" i="17"/>
  <c r="W77" i="17"/>
  <c r="BR26" i="4"/>
  <c r="BP22" i="1"/>
  <c r="CJ49" i="4"/>
  <c r="U11" i="18" s="1"/>
  <c r="U13" i="18" s="1"/>
  <c r="GH42" i="4"/>
  <c r="P104" i="4"/>
  <c r="AY25" i="1"/>
  <c r="AG22" i="17"/>
  <c r="DW22" i="17" s="1"/>
  <c r="Z55" i="17"/>
  <c r="D55" i="17"/>
  <c r="AX36" i="1"/>
  <c r="Q55" i="17"/>
  <c r="R55" i="17"/>
  <c r="U55" i="17"/>
  <c r="AY40" i="1"/>
  <c r="G55" i="17"/>
  <c r="G39" i="1"/>
  <c r="S55" i="17"/>
  <c r="E55" i="17"/>
  <c r="Y55" i="17"/>
  <c r="V56" i="17"/>
  <c r="V55" i="17"/>
  <c r="X84" i="17"/>
  <c r="X55" i="17"/>
  <c r="W55" i="17"/>
  <c r="C70" i="17"/>
  <c r="C55" i="17"/>
  <c r="AJ13" i="8"/>
  <c r="Y84" i="17"/>
  <c r="Y60" i="17"/>
  <c r="Y59" i="17"/>
  <c r="H13" i="4"/>
  <c r="AJ12" i="8"/>
  <c r="AX13" i="1"/>
  <c r="BC84" i="4"/>
  <c r="CO35" i="4"/>
  <c r="DK12" i="4"/>
  <c r="AZ84" i="4"/>
  <c r="BA84" i="4"/>
  <c r="AI40" i="8"/>
  <c r="AI28" i="8"/>
  <c r="AI11" i="8"/>
  <c r="CJ32" i="4"/>
  <c r="CJ16" i="4"/>
  <c r="CZ16" i="4" s="1"/>
  <c r="Z74" i="17"/>
  <c r="AJ11" i="8"/>
  <c r="H11" i="8"/>
  <c r="H11" i="4"/>
  <c r="U61" i="17"/>
  <c r="BL86" i="4"/>
  <c r="S83" i="17"/>
  <c r="S61" i="17"/>
  <c r="BU86" i="4"/>
  <c r="BQ86" i="4"/>
  <c r="AE31" i="8"/>
  <c r="AE35" i="8"/>
  <c r="AE36" i="8"/>
  <c r="AE30" i="8"/>
  <c r="AE40" i="8"/>
  <c r="AE28" i="8"/>
  <c r="AE34" i="8"/>
  <c r="AE39" i="8"/>
  <c r="AE41" i="8"/>
  <c r="AE32" i="8"/>
  <c r="AE33" i="8"/>
  <c r="AE29" i="8"/>
  <c r="AE27" i="8"/>
  <c r="AE38" i="8"/>
  <c r="AE37" i="8"/>
  <c r="BB86" i="4"/>
  <c r="BA86" i="4"/>
  <c r="S76" i="17"/>
  <c r="Q56" i="17"/>
  <c r="AE11" i="8"/>
  <c r="AX35" i="1"/>
  <c r="AT41" i="1"/>
  <c r="AT42" i="1" s="1"/>
  <c r="D39" i="2" s="1"/>
  <c r="AV33" i="1"/>
  <c r="H40" i="4"/>
  <c r="AC40" i="4"/>
  <c r="BR11" i="4"/>
  <c r="J83" i="4"/>
  <c r="AX85" i="4" s="1"/>
  <c r="K62" i="17"/>
  <c r="AL14" i="4"/>
  <c r="L86" i="4"/>
  <c r="F92" i="4"/>
  <c r="H36" i="1"/>
  <c r="H40" i="1"/>
  <c r="H41" i="1"/>
  <c r="F28" i="1"/>
  <c r="H23" i="1"/>
  <c r="AR41" i="1"/>
  <c r="AR42" i="1" s="1"/>
  <c r="EZ42" i="4"/>
  <c r="AI12" i="8"/>
  <c r="BH42" i="4"/>
  <c r="K83" i="4"/>
  <c r="F107" i="4"/>
  <c r="R111" i="4"/>
  <c r="U33" i="4"/>
  <c r="AX16" i="1"/>
  <c r="CS28" i="4"/>
  <c r="Q95" i="4"/>
  <c r="AY15" i="1"/>
  <c r="V40" i="4"/>
  <c r="Q87" i="4"/>
  <c r="F17" i="1"/>
  <c r="DP22" i="4"/>
  <c r="DV32" i="4"/>
  <c r="F31" i="1"/>
  <c r="DP20" i="4"/>
  <c r="H13" i="8"/>
  <c r="U31" i="4"/>
  <c r="Y35" i="1"/>
  <c r="AA39" i="1"/>
  <c r="G113" i="4"/>
  <c r="AA41" i="1"/>
  <c r="Y37" i="8"/>
  <c r="P87" i="4"/>
  <c r="Q107" i="4"/>
  <c r="DV17" i="4"/>
  <c r="H22" i="1"/>
  <c r="H29" i="1"/>
  <c r="F22" i="1"/>
  <c r="H35" i="1"/>
  <c r="F41" i="1"/>
  <c r="Q42" i="4"/>
  <c r="O12" i="18" s="1"/>
  <c r="DV30" i="4"/>
  <c r="DV23" i="4"/>
  <c r="H21" i="1"/>
  <c r="H25" i="8"/>
  <c r="AI30" i="8"/>
  <c r="AH83" i="4"/>
  <c r="BW85" i="4" s="1"/>
  <c r="F83" i="4"/>
  <c r="U18" i="4"/>
  <c r="DP26" i="4"/>
  <c r="H30" i="1"/>
  <c r="H24" i="8"/>
  <c r="DV24" i="4"/>
  <c r="AD42" i="4"/>
  <c r="I42" i="8"/>
  <c r="F38" i="18" s="1"/>
  <c r="F39" i="18" s="1"/>
  <c r="F40" i="18" s="1"/>
  <c r="H34" i="1"/>
  <c r="H26" i="1"/>
  <c r="DV26" i="4"/>
  <c r="H31" i="1"/>
  <c r="F21" i="1"/>
  <c r="AV15" i="1"/>
  <c r="BE42" i="4"/>
  <c r="AV48" i="4" s="1"/>
  <c r="FD42" i="4"/>
  <c r="F32" i="1"/>
  <c r="V33" i="1" s="1"/>
  <c r="F39" i="1"/>
  <c r="R38" i="1"/>
  <c r="DY10" i="17"/>
  <c r="EA10" i="17" s="1"/>
  <c r="CS11" i="4"/>
  <c r="O90" i="4"/>
  <c r="Q98" i="4"/>
  <c r="O65" i="17"/>
  <c r="AX26" i="1"/>
  <c r="L42" i="4"/>
  <c r="N31" i="18" s="1"/>
  <c r="F42" i="4"/>
  <c r="H14" i="4" s="1"/>
  <c r="H34" i="8"/>
  <c r="H12" i="8"/>
  <c r="BA42" i="4"/>
  <c r="AV45" i="4" s="1"/>
  <c r="C42" i="8"/>
  <c r="R21" i="16" s="1"/>
  <c r="FM42" i="4"/>
  <c r="D42" i="8"/>
  <c r="FC42" i="4"/>
  <c r="AW42" i="4"/>
  <c r="R95" i="4"/>
  <c r="DP17" i="4"/>
  <c r="O103" i="4"/>
  <c r="DP12" i="4"/>
  <c r="DP21" i="4"/>
  <c r="AY27" i="1"/>
  <c r="AB42" i="4"/>
  <c r="AQ26" i="1"/>
  <c r="AQ42" i="1" s="1"/>
  <c r="AI26" i="8"/>
  <c r="AX18" i="1"/>
  <c r="R108" i="4"/>
  <c r="R104" i="4"/>
  <c r="H16" i="8"/>
  <c r="Q110" i="4"/>
  <c r="Q97" i="4"/>
  <c r="V21" i="4"/>
  <c r="R86" i="4"/>
  <c r="Q101" i="4"/>
  <c r="Q86" i="4"/>
  <c r="O112" i="4"/>
  <c r="DP18" i="4"/>
  <c r="AI18" i="8"/>
  <c r="AI25" i="8"/>
  <c r="U21" i="4"/>
  <c r="Q84" i="4"/>
  <c r="P88" i="4"/>
  <c r="Q93" i="4"/>
  <c r="V18" i="4"/>
  <c r="P86" i="4"/>
  <c r="AA20" i="1"/>
  <c r="H23" i="8"/>
  <c r="AG9" i="17"/>
  <c r="DW9" i="17" s="1"/>
  <c r="G100" i="4"/>
  <c r="EY42" i="4"/>
  <c r="EX42" i="4"/>
  <c r="GC42" i="4"/>
  <c r="GG42" i="4"/>
  <c r="AI38" i="8"/>
  <c r="BD42" i="4"/>
  <c r="AV47" i="4" s="1"/>
  <c r="R42" i="4"/>
  <c r="Y20" i="8"/>
  <c r="G103" i="4"/>
  <c r="Q85" i="4"/>
  <c r="G87" i="4"/>
  <c r="R107" i="4"/>
  <c r="V32" i="4"/>
  <c r="H14" i="8"/>
  <c r="Q108" i="4"/>
  <c r="Q94" i="4"/>
  <c r="Q103" i="4"/>
  <c r="O92" i="4"/>
  <c r="R85" i="4"/>
  <c r="AY35" i="1"/>
  <c r="DP14" i="4"/>
  <c r="DV15" i="4"/>
  <c r="P99" i="4"/>
  <c r="G16" i="1"/>
  <c r="H18" i="1"/>
  <c r="S39" i="1"/>
  <c r="S54" i="1" s="1"/>
  <c r="U17" i="1"/>
  <c r="V17" i="1" s="1"/>
  <c r="AI15" i="8"/>
  <c r="DP25" i="4"/>
  <c r="P106" i="4"/>
  <c r="G94" i="4"/>
  <c r="AA34" i="1"/>
  <c r="V20" i="4"/>
  <c r="R101" i="4"/>
  <c r="CS36" i="4"/>
  <c r="F104" i="4"/>
  <c r="F30" i="1"/>
  <c r="F37" i="1"/>
  <c r="AJ41" i="8"/>
  <c r="BR14" i="4"/>
  <c r="E42" i="4"/>
  <c r="DV22" i="4"/>
  <c r="F24" i="1"/>
  <c r="V25" i="1" s="1"/>
  <c r="F16" i="1"/>
  <c r="F20" i="1"/>
  <c r="AV23" i="1"/>
  <c r="F14" i="1"/>
  <c r="V43" i="8"/>
  <c r="DV13" i="4"/>
  <c r="AY28" i="1"/>
  <c r="GQ42" i="4"/>
  <c r="GD42" i="4"/>
  <c r="GS42" i="4"/>
  <c r="GE42" i="4"/>
  <c r="H38" i="8"/>
  <c r="AI34" i="8"/>
  <c r="H30" i="8"/>
  <c r="FB42" i="4"/>
  <c r="Z12" i="1"/>
  <c r="Z44" i="1" s="1"/>
  <c r="F43" i="2" s="1"/>
  <c r="DV34" i="4"/>
  <c r="Y16" i="8"/>
  <c r="H26" i="8"/>
  <c r="H17" i="8"/>
  <c r="DV36" i="4"/>
  <c r="H16" i="1"/>
  <c r="P112" i="4"/>
  <c r="G107" i="4"/>
  <c r="R105" i="4"/>
  <c r="Q100" i="4"/>
  <c r="R99" i="4"/>
  <c r="AX30" i="1"/>
  <c r="CS24" i="4"/>
  <c r="R87" i="4"/>
  <c r="Q105" i="4"/>
  <c r="F15" i="1"/>
  <c r="DP38" i="4"/>
  <c r="DP23" i="4"/>
  <c r="P102" i="4"/>
  <c r="H15" i="1"/>
  <c r="G12" i="1"/>
  <c r="G14" i="1"/>
  <c r="AI35" i="8"/>
  <c r="R88" i="4"/>
  <c r="Y18" i="8"/>
  <c r="O89" i="4"/>
  <c r="H20" i="8"/>
  <c r="AI16" i="8"/>
  <c r="H18" i="8"/>
  <c r="Q112" i="4"/>
  <c r="F84" i="4"/>
  <c r="P103" i="4"/>
  <c r="V29" i="4"/>
  <c r="G105" i="4"/>
  <c r="F95" i="4"/>
  <c r="P96" i="4"/>
  <c r="DP34" i="4"/>
  <c r="AA24" i="1"/>
  <c r="L83" i="17"/>
  <c r="O87" i="4"/>
  <c r="CO40" i="4"/>
  <c r="FF40" i="4"/>
  <c r="G40" i="4"/>
  <c r="T40" i="1" s="1"/>
  <c r="BV40" i="4"/>
  <c r="AB37" i="8"/>
  <c r="AI37" i="8"/>
  <c r="Y41" i="8"/>
  <c r="AY26" i="1"/>
  <c r="O107" i="4"/>
  <c r="Q111" i="4"/>
  <c r="AY20" i="1"/>
  <c r="U15" i="4"/>
  <c r="O109" i="4"/>
  <c r="R72" i="17"/>
  <c r="K71" i="17"/>
  <c r="P74" i="17"/>
  <c r="AG10" i="17"/>
  <c r="DW10" i="17" s="1"/>
  <c r="O64" i="17"/>
  <c r="O98" i="4"/>
  <c r="U22" i="4"/>
  <c r="J63" i="17"/>
  <c r="O42" i="4"/>
  <c r="T12" i="14" s="1"/>
  <c r="AY19" i="1"/>
  <c r="Q88" i="4"/>
  <c r="AG26" i="17"/>
  <c r="DW26" i="17" s="1"/>
  <c r="Y78" i="17"/>
  <c r="AX15" i="1"/>
  <c r="Q102" i="4"/>
  <c r="AY24" i="1"/>
  <c r="AE42" i="4"/>
  <c r="O96" i="4"/>
  <c r="S23" i="8"/>
  <c r="CO16" i="4"/>
  <c r="Y74" i="17"/>
  <c r="CS35" i="4"/>
  <c r="W64" i="17"/>
  <c r="AB114" i="4"/>
  <c r="W12" i="14" s="1"/>
  <c r="DW17" i="17"/>
  <c r="CJ19" i="4"/>
  <c r="S38" i="8"/>
  <c r="DV27" i="4"/>
  <c r="Y72" i="17"/>
  <c r="AX27" i="1"/>
  <c r="AX28" i="1"/>
  <c r="CO12" i="4"/>
  <c r="V13" i="4"/>
  <c r="P85" i="4"/>
  <c r="Q76" i="17"/>
  <c r="O76" i="17"/>
  <c r="K63" i="17"/>
  <c r="CL11" i="4"/>
  <c r="O74" i="17"/>
  <c r="Q84" i="17"/>
  <c r="Q77" i="17"/>
  <c r="O80" i="17"/>
  <c r="O60" i="17"/>
  <c r="Q60" i="17"/>
  <c r="K59" i="17"/>
  <c r="Q61" i="17"/>
  <c r="O68" i="17"/>
  <c r="Q85" i="17"/>
  <c r="Q66" i="17"/>
  <c r="O61" i="17"/>
  <c r="K60" i="17"/>
  <c r="K61" i="17"/>
  <c r="DV16" i="4"/>
  <c r="AG31" i="17"/>
  <c r="CJ33" i="4" s="1"/>
  <c r="AG23" i="17"/>
  <c r="DW23" i="17" s="1"/>
  <c r="S62" i="17"/>
  <c r="G60" i="17"/>
  <c r="B45" i="10"/>
  <c r="B44" i="10"/>
  <c r="J68" i="17"/>
  <c r="L42" i="8"/>
  <c r="Z80" i="17"/>
  <c r="U40" i="4"/>
  <c r="Z84" i="17"/>
  <c r="AY18" i="1"/>
  <c r="M61" i="17"/>
  <c r="P109" i="4"/>
  <c r="G81" i="17"/>
  <c r="J57" i="17"/>
  <c r="S57" i="17"/>
  <c r="J79" i="17"/>
  <c r="P85" i="17"/>
  <c r="H84" i="17"/>
  <c r="P82" i="17"/>
  <c r="P83" i="17"/>
  <c r="S72" i="17"/>
  <c r="P84" i="17"/>
  <c r="P78" i="17"/>
  <c r="P77" i="17"/>
  <c r="P75" i="17"/>
  <c r="P80" i="17"/>
  <c r="AW90" i="17"/>
  <c r="AW122" i="17" s="1"/>
  <c r="P64" i="17"/>
  <c r="P69" i="17"/>
  <c r="P60" i="17"/>
  <c r="P61" i="17"/>
  <c r="AT90" i="17"/>
  <c r="AT109" i="17" s="1"/>
  <c r="M60" i="17"/>
  <c r="U58" i="17"/>
  <c r="Q59" i="17"/>
  <c r="P68" i="17"/>
  <c r="P59" i="17"/>
  <c r="R68" i="17"/>
  <c r="S81" i="17"/>
  <c r="S59" i="17"/>
  <c r="G67" i="17"/>
  <c r="G85" i="17"/>
  <c r="G56" i="17"/>
  <c r="J66" i="17"/>
  <c r="AN90" i="17"/>
  <c r="AN101" i="17" s="1"/>
  <c r="C59" i="17"/>
  <c r="G58" i="17"/>
  <c r="G65" i="17"/>
  <c r="G59" i="17"/>
  <c r="W80" i="17"/>
  <c r="K83" i="17"/>
  <c r="Y67" i="17"/>
  <c r="Y58" i="17"/>
  <c r="K74" i="17"/>
  <c r="K69" i="17"/>
  <c r="W84" i="17"/>
  <c r="M58" i="17"/>
  <c r="Q58" i="17"/>
  <c r="W65" i="17"/>
  <c r="Y85" i="17"/>
  <c r="Y73" i="17"/>
  <c r="Y76" i="17"/>
  <c r="Y80" i="17"/>
  <c r="Y75" i="17"/>
  <c r="W66" i="17"/>
  <c r="W57" i="17"/>
  <c r="W68" i="17"/>
  <c r="W85" i="17"/>
  <c r="Y79" i="17"/>
  <c r="Y63" i="17"/>
  <c r="W63" i="17"/>
  <c r="R82" i="17"/>
  <c r="W70" i="17"/>
  <c r="Y81" i="17"/>
  <c r="Y69" i="17"/>
  <c r="Y71" i="17"/>
  <c r="Y83" i="17"/>
  <c r="G57" i="17"/>
  <c r="S82" i="17"/>
  <c r="S71" i="17"/>
  <c r="M75" i="17"/>
  <c r="S74" i="17"/>
  <c r="S73" i="17"/>
  <c r="S79" i="17"/>
  <c r="S85" i="17"/>
  <c r="S80" i="17"/>
  <c r="M84" i="17"/>
  <c r="AZ90" i="17"/>
  <c r="AZ97" i="17" s="1"/>
  <c r="S68" i="17"/>
  <c r="S67" i="17"/>
  <c r="S66" i="17"/>
  <c r="M56" i="17"/>
  <c r="M82" i="17"/>
  <c r="M68" i="17"/>
  <c r="M67" i="17"/>
  <c r="M85" i="17"/>
  <c r="M66" i="17"/>
  <c r="M77" i="17"/>
  <c r="M83" i="17"/>
  <c r="M78" i="17"/>
  <c r="M72" i="17"/>
  <c r="J84" i="17"/>
  <c r="J55" i="17"/>
  <c r="M73" i="17"/>
  <c r="M69" i="17"/>
  <c r="K65" i="17"/>
  <c r="K55" i="17"/>
  <c r="M81" i="17"/>
  <c r="M79" i="17"/>
  <c r="M76" i="17"/>
  <c r="G69" i="17"/>
  <c r="G70" i="17"/>
  <c r="G76" i="17"/>
  <c r="Q83" i="17"/>
  <c r="Q69" i="17"/>
  <c r="K85" i="17"/>
  <c r="G74" i="17"/>
  <c r="K66" i="17"/>
  <c r="Q68" i="17"/>
  <c r="Q67" i="17"/>
  <c r="Q72" i="17"/>
  <c r="G78" i="17"/>
  <c r="Q63" i="17"/>
  <c r="Q65" i="17"/>
  <c r="Q71" i="17"/>
  <c r="K80" i="17"/>
  <c r="G79" i="17"/>
  <c r="G82" i="17"/>
  <c r="G73" i="17"/>
  <c r="K78" i="17"/>
  <c r="K79" i="17"/>
  <c r="G80" i="17"/>
  <c r="G75" i="17"/>
  <c r="Q73" i="17"/>
  <c r="K75" i="17"/>
  <c r="K77" i="17"/>
  <c r="Q78" i="17"/>
  <c r="Q74" i="17"/>
  <c r="Q80" i="17"/>
  <c r="Q75" i="17"/>
  <c r="K72" i="17"/>
  <c r="AR90" i="17"/>
  <c r="AR107" i="17" s="1"/>
  <c r="G64" i="17"/>
  <c r="Q70" i="17"/>
  <c r="Q64" i="17"/>
  <c r="K64" i="17"/>
  <c r="K84" i="17"/>
  <c r="G77" i="17"/>
  <c r="G63" i="17"/>
  <c r="G72" i="17"/>
  <c r="G84" i="17"/>
  <c r="G71" i="17"/>
  <c r="K67" i="17"/>
  <c r="G66" i="17"/>
  <c r="G68" i="17"/>
  <c r="Q82" i="17"/>
  <c r="K73" i="17"/>
  <c r="K76" i="17"/>
  <c r="AX90" i="17"/>
  <c r="AX113" i="17" s="1"/>
  <c r="Q62" i="17"/>
  <c r="P73" i="17"/>
  <c r="P67" i="17"/>
  <c r="O83" i="17"/>
  <c r="O71" i="17"/>
  <c r="O69" i="17"/>
  <c r="O63" i="17"/>
  <c r="K58" i="17"/>
  <c r="AV90" i="17"/>
  <c r="O78" i="17"/>
  <c r="O67" i="17"/>
  <c r="O66" i="17"/>
  <c r="O82" i="17"/>
  <c r="O84" i="17"/>
  <c r="O81" i="17"/>
  <c r="O75" i="17"/>
  <c r="O79" i="17"/>
  <c r="N66" i="17"/>
  <c r="O70" i="17"/>
  <c r="O73" i="17"/>
  <c r="DE43" i="4"/>
  <c r="P111" i="4"/>
  <c r="S22" i="8"/>
  <c r="EB42" i="4"/>
  <c r="S77" i="17"/>
  <c r="S63" i="17"/>
  <c r="Y64" i="17"/>
  <c r="Y65" i="17"/>
  <c r="M65" i="17"/>
  <c r="M64" i="17"/>
  <c r="S65" i="17"/>
  <c r="P70" i="17"/>
  <c r="P71" i="17"/>
  <c r="M63" i="17"/>
  <c r="S64" i="17"/>
  <c r="G40" i="1"/>
  <c r="S70" i="17"/>
  <c r="P65" i="17"/>
  <c r="P63" i="17"/>
  <c r="G33" i="1"/>
  <c r="CO33" i="4"/>
  <c r="DV33" i="4"/>
  <c r="G31" i="1"/>
  <c r="CO31" i="4"/>
  <c r="AH5" i="12"/>
  <c r="K5" i="12"/>
  <c r="W5" i="12" s="1"/>
  <c r="CY4" i="4"/>
  <c r="EK4" i="4"/>
  <c r="AO4" i="4"/>
  <c r="BY4" i="4"/>
  <c r="FW4" i="4"/>
  <c r="DU4" i="4"/>
  <c r="GV4" i="4"/>
  <c r="BV33" i="4"/>
  <c r="AC33" i="4"/>
  <c r="AX32" i="1"/>
  <c r="AX38" i="1"/>
  <c r="AX39" i="1"/>
  <c r="H35" i="4"/>
  <c r="G35" i="4"/>
  <c r="FJ33" i="4"/>
  <c r="H33" i="4"/>
  <c r="G33" i="4"/>
  <c r="BR34" i="4"/>
  <c r="AY33" i="1"/>
  <c r="O105" i="4"/>
  <c r="GB42" i="4"/>
  <c r="GI42" i="4"/>
  <c r="R76" i="17"/>
  <c r="P76" i="17"/>
  <c r="EB43" i="4"/>
  <c r="P79" i="17"/>
  <c r="H26" i="4"/>
  <c r="J80" i="17"/>
  <c r="K30" i="18"/>
  <c r="AG16" i="17"/>
  <c r="CJ18" i="4" s="1"/>
  <c r="CZ18" i="4" s="1"/>
  <c r="M42" i="4"/>
  <c r="AG34" i="17"/>
  <c r="DK11" i="4"/>
  <c r="D56" i="17"/>
  <c r="GF42" i="4"/>
  <c r="AG42" i="8"/>
  <c r="BK15" i="1"/>
  <c r="N11" i="15" s="1"/>
  <c r="DV20" i="4"/>
  <c r="CO20" i="4"/>
  <c r="G20" i="1"/>
  <c r="P58" i="17"/>
  <c r="DU40" i="17"/>
  <c r="DU43" i="17" s="1"/>
  <c r="DW27" i="17"/>
  <c r="CJ29" i="4"/>
  <c r="AE41" i="17"/>
  <c r="W72" i="17"/>
  <c r="L79" i="17"/>
  <c r="W81" i="17"/>
  <c r="W67" i="17"/>
  <c r="GT42" i="4"/>
  <c r="O58" i="17"/>
  <c r="BD90" i="17"/>
  <c r="BD113" i="17" s="1"/>
  <c r="O56" i="17"/>
  <c r="W56" i="17"/>
  <c r="K56" i="17"/>
  <c r="O55" i="17"/>
  <c r="O91" i="4"/>
  <c r="U19" i="4"/>
  <c r="G102" i="4"/>
  <c r="S84" i="17"/>
  <c r="S56" i="17"/>
  <c r="S75" i="17"/>
  <c r="S78" i="17"/>
  <c r="S58" i="17"/>
  <c r="S69" i="17"/>
  <c r="G34" i="1"/>
  <c r="CO34" i="4"/>
  <c r="CH43" i="4"/>
  <c r="W69" i="17"/>
  <c r="W79" i="17"/>
  <c r="W82" i="17"/>
  <c r="W71" i="17"/>
  <c r="S26" i="8"/>
  <c r="T43" i="8"/>
  <c r="U26" i="16" s="1"/>
  <c r="EV42" i="4"/>
  <c r="W74" i="17"/>
  <c r="W78" i="17"/>
  <c r="W76" i="17"/>
  <c r="AX23" i="1"/>
  <c r="AX17" i="1"/>
  <c r="Q89" i="4"/>
  <c r="K68" i="17"/>
  <c r="K70" i="17"/>
  <c r="K81" i="17"/>
  <c r="K82" i="17"/>
  <c r="O85" i="4"/>
  <c r="U13" i="4"/>
  <c r="AY13" i="1"/>
  <c r="DV11" i="4"/>
  <c r="G11" i="1"/>
  <c r="Y77" i="17"/>
  <c r="Y68" i="17"/>
  <c r="Y70" i="17"/>
  <c r="Y82" i="17"/>
  <c r="BF90" i="17"/>
  <c r="M80" i="17"/>
  <c r="M74" i="17"/>
  <c r="M55" i="17"/>
  <c r="M62" i="17"/>
  <c r="M70" i="17"/>
  <c r="M71" i="17"/>
  <c r="G36" i="1"/>
  <c r="CO36" i="4"/>
  <c r="V19" i="4"/>
  <c r="P91" i="4"/>
  <c r="AG39" i="17"/>
  <c r="CJ41" i="4" s="1"/>
  <c r="W58" i="17"/>
  <c r="W73" i="17"/>
  <c r="W83" i="17"/>
  <c r="W75" i="17"/>
  <c r="O62" i="17"/>
  <c r="N42" i="4"/>
  <c r="HN37" i="4" s="1"/>
  <c r="R43" i="8"/>
  <c r="C23" i="18" s="1"/>
  <c r="AG43" i="8"/>
  <c r="EY47" i="4" s="1"/>
  <c r="O85" i="17"/>
  <c r="O77" i="17"/>
  <c r="G83" i="17"/>
  <c r="J42" i="8"/>
  <c r="GR42" i="4"/>
  <c r="AU44" i="1"/>
  <c r="F8" i="2" s="1"/>
  <c r="R42" i="8"/>
  <c r="DP30" i="4"/>
  <c r="AB11" i="8"/>
  <c r="AB11" i="1"/>
  <c r="AB44" i="1" s="1"/>
  <c r="F42" i="2" s="1"/>
  <c r="FW42" i="4"/>
  <c r="V42" i="8"/>
  <c r="Y13" i="8"/>
  <c r="AC85" i="4"/>
  <c r="C85" i="4"/>
  <c r="AJ40" i="8"/>
  <c r="AJ18" i="8"/>
  <c r="N65" i="17"/>
  <c r="N55" i="17"/>
  <c r="U82" i="17"/>
  <c r="P81" i="17"/>
  <c r="P62" i="17"/>
  <c r="C74" i="17"/>
  <c r="G13" i="1"/>
  <c r="CO13" i="4"/>
  <c r="G96" i="4"/>
  <c r="DW18" i="17"/>
  <c r="CJ20" i="4"/>
  <c r="CZ20" i="4" s="1"/>
  <c r="C79" i="17"/>
  <c r="C84" i="17"/>
  <c r="C19" i="14"/>
  <c r="C10" i="14"/>
  <c r="C11" i="14" s="1"/>
  <c r="P9" i="16"/>
  <c r="J56" i="17"/>
  <c r="P56" i="17"/>
  <c r="C56" i="17"/>
  <c r="C67" i="17"/>
  <c r="C83" i="17"/>
  <c r="AJ31" i="8"/>
  <c r="AJ30" i="8"/>
  <c r="S13" i="8"/>
  <c r="S12" i="8"/>
  <c r="S11" i="8"/>
  <c r="S14" i="8"/>
  <c r="AC37" i="4"/>
  <c r="N84" i="17"/>
  <c r="U75" i="17"/>
  <c r="N73" i="17"/>
  <c r="N76" i="17"/>
  <c r="N80" i="17"/>
  <c r="N67" i="17"/>
  <c r="U69" i="17"/>
  <c r="U84" i="17"/>
  <c r="U81" i="17"/>
  <c r="N68" i="17"/>
  <c r="U83" i="17"/>
  <c r="U57" i="17"/>
  <c r="U79" i="17"/>
  <c r="U80" i="17"/>
  <c r="C63" i="17"/>
  <c r="C60" i="17"/>
  <c r="L85" i="17"/>
  <c r="L56" i="17"/>
  <c r="D85" i="17"/>
  <c r="D57" i="17"/>
  <c r="C61" i="17"/>
  <c r="C85" i="17"/>
  <c r="C64" i="17"/>
  <c r="Z59" i="17"/>
  <c r="Z65" i="17"/>
  <c r="Z60" i="17"/>
  <c r="Z66" i="17"/>
  <c r="Z61" i="17"/>
  <c r="Z58" i="17"/>
  <c r="Z63" i="17"/>
  <c r="Z62" i="17"/>
  <c r="U85" i="17"/>
  <c r="Z56" i="17"/>
  <c r="E82" i="17"/>
  <c r="E56" i="17"/>
  <c r="E57" i="17"/>
  <c r="X67" i="17"/>
  <c r="X56" i="17"/>
  <c r="J59" i="17"/>
  <c r="J60" i="17"/>
  <c r="J61" i="17"/>
  <c r="J62" i="17"/>
  <c r="T85" i="17"/>
  <c r="T56" i="17"/>
  <c r="I85" i="17"/>
  <c r="I56" i="17"/>
  <c r="C72" i="17"/>
  <c r="C57" i="17"/>
  <c r="R59" i="17"/>
  <c r="R63" i="17"/>
  <c r="R60" i="17"/>
  <c r="R64" i="17"/>
  <c r="R61" i="17"/>
  <c r="R65" i="17"/>
  <c r="R62" i="17"/>
  <c r="N70" i="17"/>
  <c r="N62" i="17"/>
  <c r="N59" i="17"/>
  <c r="N63" i="17"/>
  <c r="N60" i="17"/>
  <c r="N64" i="17"/>
  <c r="N61" i="17"/>
  <c r="J65" i="17"/>
  <c r="H85" i="17"/>
  <c r="H57" i="17"/>
  <c r="H56" i="17"/>
  <c r="C68" i="17"/>
  <c r="C76" i="17"/>
  <c r="C81" i="17"/>
  <c r="R56" i="17"/>
  <c r="N56" i="17"/>
  <c r="U77" i="17"/>
  <c r="U63" i="17"/>
  <c r="U70" i="17"/>
  <c r="U60" i="17"/>
  <c r="U62" i="17"/>
  <c r="U71" i="17"/>
  <c r="U64" i="17"/>
  <c r="U67" i="17"/>
  <c r="U74" i="17"/>
  <c r="U65" i="17"/>
  <c r="U76" i="17"/>
  <c r="U56" i="17"/>
  <c r="U68" i="17"/>
  <c r="U59" i="17"/>
  <c r="Z64" i="17"/>
  <c r="BT83" i="4"/>
  <c r="AZ83" i="4"/>
  <c r="BS83" i="4"/>
  <c r="BN83" i="4"/>
  <c r="BK83" i="4"/>
  <c r="BR83" i="4"/>
  <c r="BV83" i="4"/>
  <c r="BU83" i="4"/>
  <c r="BE83" i="4"/>
  <c r="AW83" i="4"/>
  <c r="BB83" i="4"/>
  <c r="BQ83" i="4"/>
  <c r="BF83" i="4"/>
  <c r="BD83" i="4"/>
  <c r="BL83" i="4"/>
  <c r="BA83" i="4"/>
  <c r="BM83" i="4"/>
  <c r="BC83" i="4"/>
  <c r="AV83" i="4"/>
  <c r="AR83" i="4"/>
  <c r="A81" i="4"/>
  <c r="B80" i="4"/>
  <c r="AP82" i="4"/>
  <c r="AQ81" i="4"/>
  <c r="J72" i="17"/>
  <c r="R57" i="17"/>
  <c r="R58" i="17"/>
  <c r="J67" i="17"/>
  <c r="J64" i="17"/>
  <c r="BB90" i="17"/>
  <c r="BB102" i="17" s="1"/>
  <c r="U73" i="17"/>
  <c r="U78" i="17"/>
  <c r="U66" i="17"/>
  <c r="U72" i="17"/>
  <c r="AJ90" i="17"/>
  <c r="AJ124" i="17" s="1"/>
  <c r="AJ38" i="8"/>
  <c r="AJ39" i="8"/>
  <c r="H39" i="4"/>
  <c r="BV38" i="4"/>
  <c r="N58" i="17"/>
  <c r="HM41" i="4"/>
  <c r="HN38" i="4"/>
  <c r="HN41" i="4"/>
  <c r="HN40" i="4"/>
  <c r="FE40" i="4"/>
  <c r="CY40" i="4"/>
  <c r="C73" i="17"/>
  <c r="AC34" i="4"/>
  <c r="G39" i="4"/>
  <c r="HN36" i="4"/>
  <c r="HM36" i="4"/>
  <c r="G38" i="4"/>
  <c r="BR38" i="4"/>
  <c r="H37" i="4"/>
  <c r="AI13" i="8"/>
  <c r="AB13" i="8"/>
  <c r="EA13" i="17"/>
  <c r="AC15" i="4"/>
  <c r="BV15" i="4"/>
  <c r="BK9" i="1"/>
  <c r="K50" i="12"/>
  <c r="BK10" i="1"/>
  <c r="G50" i="12"/>
  <c r="AJ32" i="8"/>
  <c r="AJ34" i="8"/>
  <c r="AJ35" i="8"/>
  <c r="AJ33" i="8"/>
  <c r="BV37" i="4"/>
  <c r="M114" i="4"/>
  <c r="N85" i="17"/>
  <c r="N78" i="17"/>
  <c r="FI32" i="4"/>
  <c r="FJ32" i="4"/>
  <c r="BR31" i="4"/>
  <c r="H31" i="4"/>
  <c r="DV18" i="4"/>
  <c r="CO18" i="4"/>
  <c r="G18" i="1"/>
  <c r="HN32" i="4"/>
  <c r="AC26" i="4"/>
  <c r="CO19" i="4"/>
  <c r="G19" i="1"/>
  <c r="DV19" i="4"/>
  <c r="W86" i="4"/>
  <c r="BV26" i="4"/>
  <c r="DV29" i="4"/>
  <c r="AJ28" i="8"/>
  <c r="AJ26" i="8"/>
  <c r="AJ29" i="8"/>
  <c r="AJ25" i="8"/>
  <c r="AJ27" i="8"/>
  <c r="N77" i="17"/>
  <c r="P66" i="17"/>
  <c r="P72" i="17"/>
  <c r="N72" i="17"/>
  <c r="EB24" i="17"/>
  <c r="EA24" i="17"/>
  <c r="G26" i="4"/>
  <c r="EB12" i="17"/>
  <c r="G43" i="12"/>
  <c r="O22" i="14" s="1"/>
  <c r="Z78" i="17"/>
  <c r="Z85" i="17"/>
  <c r="Z69" i="17"/>
  <c r="Z73" i="17"/>
  <c r="BG90" i="17"/>
  <c r="Z81" i="17"/>
  <c r="Z70" i="17"/>
  <c r="Z77" i="17"/>
  <c r="Z82" i="17"/>
  <c r="Z67" i="17"/>
  <c r="Z71" i="17"/>
  <c r="Z75" i="17"/>
  <c r="Z76" i="17"/>
  <c r="Z79" i="17"/>
  <c r="Z83" i="17"/>
  <c r="Z68" i="17"/>
  <c r="Z72" i="17"/>
  <c r="R78" i="17"/>
  <c r="R80" i="17"/>
  <c r="R85" i="17"/>
  <c r="R69" i="17"/>
  <c r="R74" i="17"/>
  <c r="R77" i="17"/>
  <c r="R81" i="17"/>
  <c r="R70" i="17"/>
  <c r="R75" i="17"/>
  <c r="R79" i="17"/>
  <c r="R83" i="17"/>
  <c r="R71" i="17"/>
  <c r="AY90" i="17"/>
  <c r="R84" i="17"/>
  <c r="R67" i="17"/>
  <c r="R73" i="17"/>
  <c r="R66" i="17"/>
  <c r="J78" i="17"/>
  <c r="J81" i="17"/>
  <c r="J69" i="17"/>
  <c r="J74" i="17"/>
  <c r="J76" i="17"/>
  <c r="J77" i="17"/>
  <c r="J82" i="17"/>
  <c r="J75" i="17"/>
  <c r="J83" i="17"/>
  <c r="J71" i="17"/>
  <c r="AQ90" i="17"/>
  <c r="J85" i="17"/>
  <c r="J73" i="17"/>
  <c r="N83" i="17"/>
  <c r="N81" i="17"/>
  <c r="N82" i="17"/>
  <c r="N71" i="17"/>
  <c r="N74" i="17"/>
  <c r="AU90" i="17"/>
  <c r="N79" i="17"/>
  <c r="N69" i="17"/>
  <c r="N75" i="17"/>
  <c r="J70" i="17"/>
  <c r="G86" i="4"/>
  <c r="J2" i="4"/>
  <c r="J1" i="4"/>
  <c r="DW11" i="17"/>
  <c r="AC16" i="4"/>
  <c r="HN29" i="4"/>
  <c r="CO29" i="4"/>
  <c r="G29" i="1"/>
  <c r="CJ35" i="4"/>
  <c r="DW33" i="17"/>
  <c r="G23" i="1"/>
  <c r="CO23" i="4"/>
  <c r="CU23" i="4"/>
  <c r="BP46" i="4"/>
  <c r="I1" i="4"/>
  <c r="AJ16" i="8"/>
  <c r="AJ15" i="8"/>
  <c r="DO40" i="17"/>
  <c r="DV40" i="17"/>
  <c r="H24" i="2"/>
  <c r="F11" i="3" s="1"/>
  <c r="E58" i="17"/>
  <c r="I83" i="17"/>
  <c r="T81" i="17"/>
  <c r="C58" i="17"/>
  <c r="X80" i="17"/>
  <c r="T58" i="17"/>
  <c r="R94" i="4"/>
  <c r="AX22" i="1"/>
  <c r="P42" i="4"/>
  <c r="C24" i="2"/>
  <c r="DX40" i="17"/>
  <c r="X78" i="17"/>
  <c r="H58" i="17"/>
  <c r="T78" i="17"/>
  <c r="I2" i="4"/>
  <c r="G42" i="12"/>
  <c r="D50" i="12" s="1"/>
  <c r="I114" i="4"/>
  <c r="K12" i="14" s="1"/>
  <c r="AF40" i="17"/>
  <c r="J58" i="17"/>
  <c r="AQ89" i="17"/>
  <c r="G30" i="1"/>
  <c r="CO30" i="4"/>
  <c r="AF41" i="17"/>
  <c r="CO17" i="4"/>
  <c r="G17" i="1"/>
  <c r="CO26" i="4"/>
  <c r="G26" i="1"/>
  <c r="G27" i="1"/>
  <c r="CO27" i="4"/>
  <c r="CJ27" i="4"/>
  <c r="DW25" i="17"/>
  <c r="CO22" i="4"/>
  <c r="G22" i="1"/>
  <c r="E79" i="17"/>
  <c r="E83" i="17"/>
  <c r="E67" i="17"/>
  <c r="E71" i="17"/>
  <c r="E75" i="17"/>
  <c r="E61" i="17"/>
  <c r="E80" i="17"/>
  <c r="E84" i="17"/>
  <c r="E68" i="17"/>
  <c r="E72" i="17"/>
  <c r="E76" i="17"/>
  <c r="E64" i="17"/>
  <c r="AL90" i="17"/>
  <c r="E78" i="17"/>
  <c r="E81" i="17"/>
  <c r="E85" i="17"/>
  <c r="E63" i="17"/>
  <c r="E69" i="17"/>
  <c r="E73" i="17"/>
  <c r="E59" i="17"/>
  <c r="E65" i="17"/>
  <c r="E77" i="17"/>
  <c r="E62" i="17"/>
  <c r="E70" i="17"/>
  <c r="E74" i="17"/>
  <c r="E60" i="17"/>
  <c r="E66" i="17"/>
  <c r="X79" i="17"/>
  <c r="X83" i="17"/>
  <c r="X61" i="17"/>
  <c r="X71" i="17"/>
  <c r="X75" i="17"/>
  <c r="X76" i="17"/>
  <c r="X66" i="17"/>
  <c r="BE90" i="17"/>
  <c r="X85" i="17"/>
  <c r="X62" i="17"/>
  <c r="X68" i="17"/>
  <c r="X72" i="17"/>
  <c r="X63" i="17"/>
  <c r="X58" i="17"/>
  <c r="X81" i="17"/>
  <c r="X59" i="17"/>
  <c r="X64" i="17"/>
  <c r="X69" i="17"/>
  <c r="X73" i="17"/>
  <c r="X77" i="17"/>
  <c r="X82" i="17"/>
  <c r="X60" i="17"/>
  <c r="X65" i="17"/>
  <c r="X70" i="17"/>
  <c r="X74" i="17"/>
  <c r="DU42" i="4"/>
  <c r="DU43" i="4"/>
  <c r="DV14" i="4"/>
  <c r="AG21" i="17"/>
  <c r="C42" i="4"/>
  <c r="G15" i="4" s="1"/>
  <c r="AC11" i="4"/>
  <c r="DN42" i="17"/>
  <c r="P12" i="14"/>
  <c r="BP8" i="1"/>
  <c r="C80" i="17"/>
  <c r="C78" i="17"/>
  <c r="C71" i="17"/>
  <c r="C66" i="17"/>
  <c r="C65" i="17"/>
  <c r="C77" i="17"/>
  <c r="C69" i="17"/>
  <c r="C82" i="17"/>
  <c r="C62" i="17"/>
  <c r="C75" i="17"/>
  <c r="Y40" i="1"/>
  <c r="V57" i="17"/>
  <c r="V58" i="17"/>
  <c r="AU89" i="17"/>
  <c r="N57" i="17"/>
  <c r="F85" i="17"/>
  <c r="F56" i="17"/>
  <c r="DS40" i="17"/>
  <c r="V77" i="17"/>
  <c r="V83" i="17"/>
  <c r="V70" i="17"/>
  <c r="V74" i="17"/>
  <c r="V61" i="17"/>
  <c r="V65" i="17"/>
  <c r="V79" i="17"/>
  <c r="V80" i="17"/>
  <c r="V84" i="17"/>
  <c r="V67" i="17"/>
  <c r="V71" i="17"/>
  <c r="V75" i="17"/>
  <c r="V62" i="17"/>
  <c r="V76" i="17"/>
  <c r="V78" i="17"/>
  <c r="V81" i="17"/>
  <c r="V85" i="17"/>
  <c r="V68" i="17"/>
  <c r="V72" i="17"/>
  <c r="V59" i="17"/>
  <c r="V63" i="17"/>
  <c r="V82" i="17"/>
  <c r="V69" i="17"/>
  <c r="V73" i="17"/>
  <c r="V60" i="17"/>
  <c r="V64" i="17"/>
  <c r="V66" i="17"/>
  <c r="BC90" i="17"/>
  <c r="U42" i="8"/>
  <c r="U43" i="8"/>
  <c r="T79" i="17"/>
  <c r="T82" i="17"/>
  <c r="T61" i="17"/>
  <c r="T65" i="17"/>
  <c r="T70" i="17"/>
  <c r="T74" i="17"/>
  <c r="T76" i="17"/>
  <c r="BA90" i="17"/>
  <c r="T83" i="17"/>
  <c r="T62" i="17"/>
  <c r="T67" i="17"/>
  <c r="T71" i="17"/>
  <c r="T75" i="17"/>
  <c r="T55" i="17"/>
  <c r="T66" i="17"/>
  <c r="T57" i="17"/>
  <c r="T84" i="17"/>
  <c r="T59" i="17"/>
  <c r="T63" i="17"/>
  <c r="T68" i="17"/>
  <c r="T72" i="17"/>
  <c r="T80" i="17"/>
  <c r="T60" i="17"/>
  <c r="T64" i="17"/>
  <c r="T69" i="17"/>
  <c r="T73" i="17"/>
  <c r="I81" i="17"/>
  <c r="I63" i="17"/>
  <c r="I69" i="17"/>
  <c r="I73" i="17"/>
  <c r="I60" i="17"/>
  <c r="I66" i="17"/>
  <c r="I57" i="17"/>
  <c r="I82" i="17"/>
  <c r="I62" i="17"/>
  <c r="I70" i="17"/>
  <c r="I74" i="17"/>
  <c r="I61" i="17"/>
  <c r="AP90" i="17"/>
  <c r="I84" i="17"/>
  <c r="I67" i="17"/>
  <c r="I71" i="17"/>
  <c r="I75" i="17"/>
  <c r="I64" i="17"/>
  <c r="I76" i="17"/>
  <c r="I80" i="17"/>
  <c r="I55" i="17"/>
  <c r="I68" i="17"/>
  <c r="I72" i="17"/>
  <c r="I59" i="17"/>
  <c r="I65" i="17"/>
  <c r="I77" i="17"/>
  <c r="I78" i="17"/>
  <c r="I58" i="17"/>
  <c r="BI88" i="17"/>
  <c r="BI86" i="17"/>
  <c r="W43" i="8"/>
  <c r="W42" i="8"/>
  <c r="H22" i="8"/>
  <c r="G42" i="8"/>
  <c r="BH88" i="17"/>
  <c r="BH86" i="17"/>
  <c r="H77" i="17"/>
  <c r="H81" i="17"/>
  <c r="H60" i="17"/>
  <c r="H65" i="17"/>
  <c r="H68" i="17"/>
  <c r="H72" i="17"/>
  <c r="H76" i="17"/>
  <c r="H79" i="17"/>
  <c r="H82" i="17"/>
  <c r="H61" i="17"/>
  <c r="H66" i="17"/>
  <c r="H69" i="17"/>
  <c r="H73" i="17"/>
  <c r="H78" i="17"/>
  <c r="H83" i="17"/>
  <c r="H62" i="17"/>
  <c r="H64" i="17"/>
  <c r="H70" i="17"/>
  <c r="H74" i="17"/>
  <c r="AO90" i="17"/>
  <c r="H59" i="17"/>
  <c r="H63" i="17"/>
  <c r="H67" i="17"/>
  <c r="H71" i="17"/>
  <c r="H75" i="17"/>
  <c r="H55" i="17"/>
  <c r="V13" i="1"/>
  <c r="L77" i="17"/>
  <c r="L82" i="17"/>
  <c r="L59" i="17"/>
  <c r="L63" i="17"/>
  <c r="L68" i="17"/>
  <c r="L72" i="17"/>
  <c r="L76" i="17"/>
  <c r="AS90" i="17"/>
  <c r="L58" i="17"/>
  <c r="L84" i="17"/>
  <c r="L60" i="17"/>
  <c r="L65" i="17"/>
  <c r="L69" i="17"/>
  <c r="L73" i="17"/>
  <c r="L55" i="17"/>
  <c r="L80" i="17"/>
  <c r="L61" i="17"/>
  <c r="L66" i="17"/>
  <c r="L70" i="17"/>
  <c r="L74" i="17"/>
  <c r="L78" i="17"/>
  <c r="L81" i="17"/>
  <c r="L62" i="17"/>
  <c r="L67" i="17"/>
  <c r="L71" i="17"/>
  <c r="L75" i="17"/>
  <c r="L64" i="17"/>
  <c r="L57" i="17"/>
  <c r="D79" i="17"/>
  <c r="D78" i="17"/>
  <c r="D80" i="17"/>
  <c r="D84" i="17"/>
  <c r="D61" i="17"/>
  <c r="D66" i="17"/>
  <c r="D69" i="17"/>
  <c r="D73" i="17"/>
  <c r="AK90" i="17"/>
  <c r="D81" i="17"/>
  <c r="D62" i="17"/>
  <c r="D64" i="17"/>
  <c r="D70" i="17"/>
  <c r="D74" i="17"/>
  <c r="D58" i="17"/>
  <c r="D82" i="17"/>
  <c r="D59" i="17"/>
  <c r="D63" i="17"/>
  <c r="D67" i="17"/>
  <c r="D71" i="17"/>
  <c r="D75" i="17"/>
  <c r="D77" i="17"/>
  <c r="D83" i="17"/>
  <c r="D60" i="17"/>
  <c r="D65" i="17"/>
  <c r="D68" i="17"/>
  <c r="D72" i="17"/>
  <c r="D76" i="17"/>
  <c r="BP47" i="4"/>
  <c r="K2" i="4"/>
  <c r="K1" i="4"/>
  <c r="T42" i="8"/>
  <c r="G24" i="1"/>
  <c r="CO24" i="4"/>
  <c r="F78" i="17"/>
  <c r="F77" i="17"/>
  <c r="F80" i="17"/>
  <c r="F84" i="17"/>
  <c r="AM90" i="17"/>
  <c r="F69" i="17"/>
  <c r="F73" i="17"/>
  <c r="F59" i="17"/>
  <c r="F63" i="17"/>
  <c r="F79" i="17"/>
  <c r="F81" i="17"/>
  <c r="F64" i="17"/>
  <c r="F70" i="17"/>
  <c r="F74" i="17"/>
  <c r="F60" i="17"/>
  <c r="F65" i="17"/>
  <c r="F55" i="17"/>
  <c r="F82" i="17"/>
  <c r="F67" i="17"/>
  <c r="F71" i="17"/>
  <c r="F75" i="17"/>
  <c r="F61" i="17"/>
  <c r="F66" i="17"/>
  <c r="F58" i="17"/>
  <c r="F83" i="17"/>
  <c r="F68" i="17"/>
  <c r="F72" i="17"/>
  <c r="F76" i="17"/>
  <c r="F62" i="17"/>
  <c r="AW89" i="17"/>
  <c r="P57" i="17"/>
  <c r="BJ88" i="17"/>
  <c r="BJ86" i="17"/>
  <c r="DV21" i="4"/>
  <c r="DP40" i="17"/>
  <c r="Y24" i="8"/>
  <c r="CK12" i="4"/>
  <c r="CJ48" i="4"/>
  <c r="BP21" i="1"/>
  <c r="AG95" i="4"/>
  <c r="DW24" i="17"/>
  <c r="CJ26" i="4"/>
  <c r="CZ26" i="4" s="1"/>
  <c r="CM42" i="17"/>
  <c r="CM40" i="17"/>
  <c r="DF25" i="1"/>
  <c r="DT51" i="1" s="1"/>
  <c r="DU51" i="1"/>
  <c r="DG24" i="1"/>
  <c r="EC12" i="4"/>
  <c r="DG43" i="4"/>
  <c r="DG42" i="4"/>
  <c r="CL48" i="4" s="1"/>
  <c r="CM48" i="4" s="1"/>
  <c r="AE40" i="17"/>
  <c r="DX41" i="17"/>
  <c r="L10" i="18" s="1"/>
  <c r="DW28" i="17"/>
  <c r="CJ30" i="4"/>
  <c r="G28" i="1"/>
  <c r="CO28" i="4"/>
  <c r="DV28" i="4"/>
  <c r="DW19" i="17"/>
  <c r="CJ21" i="4"/>
  <c r="CZ21" i="4" s="1"/>
  <c r="DW20" i="17"/>
  <c r="CJ22" i="4"/>
  <c r="CZ22" i="4" s="1"/>
  <c r="C84" i="4"/>
  <c r="BA13" i="1"/>
  <c r="CL13" i="4"/>
  <c r="DN40" i="17"/>
  <c r="BV11" i="4"/>
  <c r="EB9" i="17"/>
  <c r="AM42" i="8"/>
  <c r="AM43" i="8"/>
  <c r="X22" i="14" s="1"/>
  <c r="AF114" i="4"/>
  <c r="DU42" i="17"/>
  <c r="CO21" i="4"/>
  <c r="G21" i="1"/>
  <c r="CF42" i="4"/>
  <c r="CM49" i="4"/>
  <c r="CF43" i="4"/>
  <c r="CN13" i="4"/>
  <c r="CY13" i="4"/>
  <c r="CR13" i="4"/>
  <c r="CQ13" i="4"/>
  <c r="H27" i="1"/>
  <c r="CI43" i="4"/>
  <c r="DS41" i="17"/>
  <c r="EA9" i="17"/>
  <c r="X114" i="4" l="1"/>
  <c r="F44" i="1"/>
  <c r="AW86" i="4"/>
  <c r="DU15" i="1"/>
  <c r="DS15" i="1" s="1"/>
  <c r="CZ19" i="4"/>
  <c r="DA33" i="4"/>
  <c r="CY30" i="4"/>
  <c r="DA30" i="4"/>
  <c r="CZ30" i="4"/>
  <c r="CZ27" i="4"/>
  <c r="DA27" i="4"/>
  <c r="DA29" i="4"/>
  <c r="CZ29" i="4"/>
  <c r="CY31" i="4"/>
  <c r="CZ31" i="4"/>
  <c r="DA31" i="4"/>
  <c r="CZ35" i="4"/>
  <c r="DA35" i="4"/>
  <c r="DA32" i="4"/>
  <c r="CZ32" i="4"/>
  <c r="F113" i="4"/>
  <c r="F108" i="4"/>
  <c r="BD84" i="4"/>
  <c r="AA49" i="8"/>
  <c r="AC49" i="8" s="1"/>
  <c r="AE22" i="8"/>
  <c r="AE14" i="8"/>
  <c r="AC39" i="4"/>
  <c r="R39" i="1" s="1"/>
  <c r="T39" i="1"/>
  <c r="T35" i="1"/>
  <c r="F97" i="4"/>
  <c r="F101" i="4"/>
  <c r="G104" i="4"/>
  <c r="AV11" i="1"/>
  <c r="R23" i="1"/>
  <c r="F106" i="4"/>
  <c r="T23" i="1"/>
  <c r="F110" i="4"/>
  <c r="F99" i="4"/>
  <c r="AV14" i="1"/>
  <c r="CS31" i="4"/>
  <c r="G89" i="4"/>
  <c r="F88" i="4"/>
  <c r="G83" i="4"/>
  <c r="CU26" i="4"/>
  <c r="DQ38" i="4"/>
  <c r="DQ23" i="4"/>
  <c r="F105" i="4"/>
  <c r="DK13" i="4"/>
  <c r="DL13" i="4" s="1"/>
  <c r="AV26" i="1"/>
  <c r="CU39" i="4"/>
  <c r="CU40" i="4"/>
  <c r="DA38" i="4"/>
  <c r="CY32" i="4"/>
  <c r="CZ33" i="4"/>
  <c r="CY33" i="4"/>
  <c r="CY29" i="4"/>
  <c r="BA14" i="1"/>
  <c r="CM15" i="4"/>
  <c r="CK15" i="4"/>
  <c r="EC15" i="4"/>
  <c r="CM16" i="4"/>
  <c r="CK16" i="4"/>
  <c r="EC16" i="4"/>
  <c r="U53" i="1"/>
  <c r="BB84" i="4"/>
  <c r="C21" i="14"/>
  <c r="B87" i="4"/>
  <c r="A87" i="4" s="1"/>
  <c r="CZ37" i="4"/>
  <c r="BV39" i="4"/>
  <c r="X12" i="14"/>
  <c r="AJ14" i="8"/>
  <c r="BV35" i="4"/>
  <c r="L35" i="1" s="1"/>
  <c r="AC35" i="4"/>
  <c r="BV86" i="4"/>
  <c r="AL15" i="1"/>
  <c r="CJ14" i="4"/>
  <c r="CZ14" i="4" s="1"/>
  <c r="O12" i="14"/>
  <c r="Q12" i="14" s="1"/>
  <c r="BP7" i="1"/>
  <c r="AJ24" i="8"/>
  <c r="U22" i="14"/>
  <c r="DW16" i="17"/>
  <c r="CJ47" i="4"/>
  <c r="CL47" i="4" s="1"/>
  <c r="CM47" i="4" s="1"/>
  <c r="AC86" i="4"/>
  <c r="DN13" i="4"/>
  <c r="C86" i="4"/>
  <c r="DM14" i="4"/>
  <c r="CL14" i="4"/>
  <c r="DA16" i="4"/>
  <c r="BR13" i="4"/>
  <c r="DW36" i="17"/>
  <c r="G30" i="18"/>
  <c r="CQ31" i="4"/>
  <c r="DA18" i="4"/>
  <c r="DN12" i="4"/>
  <c r="CR32" i="4"/>
  <c r="CQ17" i="4"/>
  <c r="DA17" i="4"/>
  <c r="DK14" i="4"/>
  <c r="FH33" i="4"/>
  <c r="AZ86" i="4"/>
  <c r="BN86" i="4"/>
  <c r="H86" i="4"/>
  <c r="AK14" i="1"/>
  <c r="DT14" i="1"/>
  <c r="W14" i="1"/>
  <c r="DT57" i="1"/>
  <c r="X15" i="1"/>
  <c r="AQ87" i="4" s="1"/>
  <c r="AP87" i="4" s="1"/>
  <c r="BF87" i="4" s="1"/>
  <c r="DJ15" i="4"/>
  <c r="C15" i="1"/>
  <c r="CD15" i="1"/>
  <c r="A12" i="10"/>
  <c r="DU58" i="1"/>
  <c r="DC15" i="1"/>
  <c r="CP58" i="1"/>
  <c r="BM86" i="4"/>
  <c r="EB39" i="17"/>
  <c r="G34" i="4"/>
  <c r="CZ40" i="4"/>
  <c r="FH35" i="4"/>
  <c r="HM26" i="4"/>
  <c r="DW35" i="17"/>
  <c r="FG35" i="4"/>
  <c r="BV34" i="4"/>
  <c r="L34" i="1" s="1"/>
  <c r="HM12" i="4"/>
  <c r="BV14" i="4"/>
  <c r="L14" i="1" s="1"/>
  <c r="BR37" i="4"/>
  <c r="HN19" i="4"/>
  <c r="AC13" i="4"/>
  <c r="HM33" i="4"/>
  <c r="EA12" i="17"/>
  <c r="FF14" i="4" s="1"/>
  <c r="BP12" i="1"/>
  <c r="V21" i="16" s="1"/>
  <c r="I34" i="18"/>
  <c r="AL42" i="4"/>
  <c r="BR30" i="4"/>
  <c r="G14" i="4"/>
  <c r="CR17" i="4"/>
  <c r="N114" i="4"/>
  <c r="CQ32" i="4"/>
  <c r="AJ17" i="8"/>
  <c r="AJ23" i="8"/>
  <c r="G11" i="4"/>
  <c r="AJ19" i="8"/>
  <c r="D41" i="2"/>
  <c r="F89" i="4"/>
  <c r="G88" i="4"/>
  <c r="CS20" i="4"/>
  <c r="F90" i="4"/>
  <c r="Z22" i="8"/>
  <c r="F86" i="4"/>
  <c r="BR16" i="4"/>
  <c r="CS41" i="4"/>
  <c r="H17" i="4"/>
  <c r="FE23" i="4"/>
  <c r="BC85" i="4"/>
  <c r="BD85" i="4"/>
  <c r="BE84" i="4"/>
  <c r="BE85" i="4"/>
  <c r="AY83" i="4"/>
  <c r="AY85" i="4"/>
  <c r="BF85" i="4"/>
  <c r="CJ12" i="4"/>
  <c r="CR12" i="4" s="1"/>
  <c r="HM22" i="4"/>
  <c r="HM29" i="4"/>
  <c r="BR32" i="4"/>
  <c r="CR40" i="4"/>
  <c r="G13" i="4"/>
  <c r="DW38" i="17"/>
  <c r="BR25" i="4"/>
  <c r="H24" i="4"/>
  <c r="BV13" i="4"/>
  <c r="EA11" i="17"/>
  <c r="FH13" i="4" s="1"/>
  <c r="HN22" i="4"/>
  <c r="HN21" i="4"/>
  <c r="AJ21" i="8"/>
  <c r="BR18" i="4"/>
  <c r="H12" i="4"/>
  <c r="CS34" i="4"/>
  <c r="FJ11" i="4"/>
  <c r="FI11" i="4"/>
  <c r="FK11" i="4"/>
  <c r="DA19" i="4"/>
  <c r="DA21" i="4"/>
  <c r="AU83" i="4"/>
  <c r="CQ29" i="4"/>
  <c r="BW83" i="4"/>
  <c r="AX83" i="4"/>
  <c r="DA15" i="4"/>
  <c r="EA39" i="17"/>
  <c r="H41" i="4"/>
  <c r="DA20" i="4"/>
  <c r="AY37" i="1"/>
  <c r="AC31" i="4"/>
  <c r="G16" i="4"/>
  <c r="C24" i="18"/>
  <c r="C25" i="18" s="1"/>
  <c r="I35" i="18" s="1"/>
  <c r="I36" i="18" s="1"/>
  <c r="BV16" i="4"/>
  <c r="G31" i="4"/>
  <c r="AJ36" i="8"/>
  <c r="AJ37" i="8"/>
  <c r="CS16" i="4"/>
  <c r="H36" i="4"/>
  <c r="EB29" i="17"/>
  <c r="BV31" i="4"/>
  <c r="L31" i="1" s="1"/>
  <c r="CY17" i="4"/>
  <c r="EA29" i="17"/>
  <c r="G106" i="4"/>
  <c r="HM40" i="4"/>
  <c r="Z105" i="4"/>
  <c r="FG23" i="4"/>
  <c r="F17" i="3"/>
  <c r="FF23" i="4"/>
  <c r="J114" i="4"/>
  <c r="L12" i="14" s="1"/>
  <c r="FH23" i="4"/>
  <c r="H29" i="4"/>
  <c r="HN30" i="4"/>
  <c r="HM25" i="4"/>
  <c r="BV12" i="4"/>
  <c r="G12" i="4"/>
  <c r="AA48" i="8"/>
  <c r="AC48" i="8" s="1"/>
  <c r="EB10" i="17"/>
  <c r="FE12" i="4" s="1"/>
  <c r="BR28" i="4"/>
  <c r="AJ22" i="8"/>
  <c r="HN23" i="4"/>
  <c r="AZ108" i="17"/>
  <c r="HN18" i="4"/>
  <c r="G17" i="4"/>
  <c r="HM18" i="4"/>
  <c r="HM19" i="4"/>
  <c r="CR31" i="4"/>
  <c r="CS17" i="4"/>
  <c r="CJ34" i="4"/>
  <c r="DA34" i="4" s="1"/>
  <c r="DW29" i="17"/>
  <c r="CJ39" i="4"/>
  <c r="DA39" i="4" s="1"/>
  <c r="AW106" i="17"/>
  <c r="FK14" i="4"/>
  <c r="FI14" i="4"/>
  <c r="FJ14" i="4"/>
  <c r="AL16" i="1"/>
  <c r="DU59" i="1"/>
  <c r="D17" i="1"/>
  <c r="B88" i="4"/>
  <c r="A13" i="10"/>
  <c r="DU16" i="1"/>
  <c r="DS16" i="1" s="1"/>
  <c r="I11" i="2" s="1"/>
  <c r="F19" i="3" s="1"/>
  <c r="DC16" i="1"/>
  <c r="X16" i="1"/>
  <c r="AQ88" i="4" s="1"/>
  <c r="AP88" i="4" s="1"/>
  <c r="BW88" i="4" s="1"/>
  <c r="CD16" i="1"/>
  <c r="DJ16" i="4"/>
  <c r="CP59" i="1"/>
  <c r="C16" i="1"/>
  <c r="DA26" i="4"/>
  <c r="Z98" i="4"/>
  <c r="Z99" i="4"/>
  <c r="DA22" i="4"/>
  <c r="H16" i="4"/>
  <c r="BR39" i="4"/>
  <c r="EB37" i="17"/>
  <c r="EB35" i="17"/>
  <c r="DW13" i="17"/>
  <c r="H32" i="4"/>
  <c r="G37" i="4"/>
  <c r="CY15" i="4"/>
  <c r="BV32" i="4"/>
  <c r="L32" i="1" s="1"/>
  <c r="EB34" i="17"/>
  <c r="DQ22" i="4"/>
  <c r="CS14" i="4"/>
  <c r="DR22" i="4"/>
  <c r="CJ24" i="4"/>
  <c r="CZ24" i="4" s="1"/>
  <c r="U44" i="1"/>
  <c r="DK39" i="1" s="1"/>
  <c r="BC86" i="4"/>
  <c r="CS38" i="4"/>
  <c r="D15" i="2"/>
  <c r="CJ25" i="4"/>
  <c r="CZ25" i="4" s="1"/>
  <c r="K114" i="4"/>
  <c r="L114" i="4"/>
  <c r="CQ15" i="4"/>
  <c r="CR15" i="4"/>
  <c r="DA40" i="4"/>
  <c r="EB14" i="17"/>
  <c r="CQ16" i="4"/>
  <c r="CZ13" i="4"/>
  <c r="DA37" i="4"/>
  <c r="Z107" i="4"/>
  <c r="Z23" i="8"/>
  <c r="AW112" i="17"/>
  <c r="AW102" i="17"/>
  <c r="AW120" i="17"/>
  <c r="AW119" i="17"/>
  <c r="AW94" i="17"/>
  <c r="AW116" i="17"/>
  <c r="AC32" i="4"/>
  <c r="EB32" i="17"/>
  <c r="EA37" i="17"/>
  <c r="EA14" i="17"/>
  <c r="EA35" i="17"/>
  <c r="EA34" i="17"/>
  <c r="DL12" i="4"/>
  <c r="EB30" i="17"/>
  <c r="EA32" i="17"/>
  <c r="H34" i="4"/>
  <c r="EA30" i="17"/>
  <c r="G32" i="4"/>
  <c r="AJ121" i="17"/>
  <c r="HM15" i="4"/>
  <c r="H27" i="4"/>
  <c r="FJ26" i="4"/>
  <c r="FI26" i="4"/>
  <c r="FK26" i="4"/>
  <c r="H20" i="4"/>
  <c r="H19" i="4"/>
  <c r="BR19" i="4"/>
  <c r="BV18" i="4"/>
  <c r="CY16" i="4"/>
  <c r="HN15" i="4"/>
  <c r="AW95" i="17"/>
  <c r="AC12" i="4"/>
  <c r="BR12" i="4"/>
  <c r="FJ12" i="4"/>
  <c r="FK12" i="4"/>
  <c r="FI12" i="4"/>
  <c r="Z103" i="4"/>
  <c r="S30" i="8"/>
  <c r="S18" i="8"/>
  <c r="S25" i="8"/>
  <c r="S27" i="8"/>
  <c r="S19" i="8"/>
  <c r="S17" i="8"/>
  <c r="S20" i="8"/>
  <c r="S16" i="8"/>
  <c r="S15" i="8"/>
  <c r="S24" i="8"/>
  <c r="G41" i="4"/>
  <c r="CU41" i="4" s="1"/>
  <c r="CW41" i="4" s="1"/>
  <c r="CV41" i="4" s="1"/>
  <c r="BR29" i="4"/>
  <c r="BR22" i="4"/>
  <c r="FH15" i="4"/>
  <c r="FJ15" i="4"/>
  <c r="FI15" i="4"/>
  <c r="FK15" i="4"/>
  <c r="BR36" i="4"/>
  <c r="G36" i="4"/>
  <c r="AS11" i="4"/>
  <c r="AY84" i="4"/>
  <c r="CX26" i="4"/>
  <c r="HM11" i="4"/>
  <c r="AX86" i="4"/>
  <c r="AX84" i="4"/>
  <c r="HN11" i="4"/>
  <c r="AH114" i="4"/>
  <c r="BW84" i="4"/>
  <c r="CX11" i="4"/>
  <c r="HN12" i="4"/>
  <c r="HM13" i="4"/>
  <c r="C26" i="2"/>
  <c r="H26" i="2" s="1"/>
  <c r="F23" i="3" s="1"/>
  <c r="HM20" i="4"/>
  <c r="HM35" i="4"/>
  <c r="HM14" i="4"/>
  <c r="HN35" i="4"/>
  <c r="HM34" i="4"/>
  <c r="CX8" i="1"/>
  <c r="HM21" i="4"/>
  <c r="DR23" i="4"/>
  <c r="DW39" i="17"/>
  <c r="HM27" i="4"/>
  <c r="HN34" i="4"/>
  <c r="CR16" i="4"/>
  <c r="AN102" i="17"/>
  <c r="BV19" i="4"/>
  <c r="CS33" i="4"/>
  <c r="DW31" i="17"/>
  <c r="CX28" i="4"/>
  <c r="CJ28" i="4"/>
  <c r="DR38" i="4"/>
  <c r="CY20" i="4"/>
  <c r="BP50" i="4"/>
  <c r="BF86" i="4"/>
  <c r="FK31" i="4"/>
  <c r="FI31" i="4"/>
  <c r="FJ31" i="4"/>
  <c r="CX21" i="4"/>
  <c r="DA14" i="4"/>
  <c r="AS14" i="4"/>
  <c r="HN20" i="4"/>
  <c r="HN33" i="4"/>
  <c r="AW114" i="17"/>
  <c r="BR24" i="4"/>
  <c r="HN27" i="4"/>
  <c r="AT105" i="17"/>
  <c r="HN14" i="4"/>
  <c r="HN28" i="4"/>
  <c r="CJ11" i="4"/>
  <c r="CQ11" i="4" s="1"/>
  <c r="BD86" i="4"/>
  <c r="H18" i="4"/>
  <c r="BE86" i="4"/>
  <c r="DA13" i="4"/>
  <c r="H25" i="4"/>
  <c r="BV17" i="4"/>
  <c r="BR17" i="4"/>
  <c r="H15" i="2"/>
  <c r="BK86" i="4"/>
  <c r="CX27" i="4"/>
  <c r="BW86" i="4"/>
  <c r="AY86" i="4"/>
  <c r="HN13" i="4"/>
  <c r="HM39" i="4"/>
  <c r="HM32" i="4"/>
  <c r="S33" i="8"/>
  <c r="S36" i="8"/>
  <c r="S37" i="8"/>
  <c r="S32" i="8"/>
  <c r="S35" i="8"/>
  <c r="S28" i="8"/>
  <c r="S29" i="8"/>
  <c r="S31" i="8"/>
  <c r="S40" i="8"/>
  <c r="S34" i="8"/>
  <c r="S39" i="8"/>
  <c r="HM28" i="4"/>
  <c r="AR86" i="4"/>
  <c r="HM31" i="4"/>
  <c r="HM30" i="4"/>
  <c r="AE42" i="8"/>
  <c r="AE43" i="8"/>
  <c r="I38" i="18" s="1"/>
  <c r="AA6" i="8"/>
  <c r="F109" i="4"/>
  <c r="R40" i="1"/>
  <c r="BR41" i="4"/>
  <c r="AC41" i="4"/>
  <c r="AV111" i="17"/>
  <c r="AV123" i="17"/>
  <c r="C29" i="2"/>
  <c r="CS26" i="4"/>
  <c r="CV8" i="1"/>
  <c r="D37" i="2"/>
  <c r="T18" i="18"/>
  <c r="T19" i="18" s="1"/>
  <c r="AX15" i="18"/>
  <c r="AX28" i="18" s="1"/>
  <c r="EB15" i="17"/>
  <c r="EA17" i="17"/>
  <c r="FF35" i="4"/>
  <c r="CS25" i="4"/>
  <c r="AC17" i="4"/>
  <c r="EA15" i="17"/>
  <c r="G19" i="4"/>
  <c r="FE35" i="4"/>
  <c r="H11" i="18"/>
  <c r="F98" i="4"/>
  <c r="AC19" i="4"/>
  <c r="S44" i="1"/>
  <c r="CF8" i="1" s="1"/>
  <c r="CJ15" i="1" s="1"/>
  <c r="AN40" i="1"/>
  <c r="D35" i="2"/>
  <c r="CU8" i="1"/>
  <c r="CW23" i="4"/>
  <c r="R14" i="1"/>
  <c r="R26" i="1"/>
  <c r="AA32" i="1"/>
  <c r="G91" i="4"/>
  <c r="Y33" i="1"/>
  <c r="G95" i="4"/>
  <c r="CS23" i="4"/>
  <c r="F102" i="4"/>
  <c r="G98" i="4"/>
  <c r="G99" i="4"/>
  <c r="CS27" i="4"/>
  <c r="F100" i="4"/>
  <c r="R11" i="1"/>
  <c r="CW26" i="4"/>
  <c r="AM40" i="1"/>
  <c r="L38" i="1"/>
  <c r="CR29" i="4"/>
  <c r="HM24" i="4"/>
  <c r="AP15" i="4"/>
  <c r="AV31" i="1"/>
  <c r="FG33" i="4"/>
  <c r="L37" i="1"/>
  <c r="FG40" i="4"/>
  <c r="AT94" i="17"/>
  <c r="AT101" i="17"/>
  <c r="AV34" i="1"/>
  <c r="G85" i="4"/>
  <c r="AV85" i="4" s="1"/>
  <c r="F87" i="4"/>
  <c r="F111" i="4"/>
  <c r="F96" i="4"/>
  <c r="CS32" i="4"/>
  <c r="G90" i="4"/>
  <c r="F93" i="4"/>
  <c r="CS21" i="4"/>
  <c r="G93" i="4"/>
  <c r="Z30" i="8"/>
  <c r="CY38" i="4"/>
  <c r="R15" i="1"/>
  <c r="CY21" i="4"/>
  <c r="BV41" i="4"/>
  <c r="HM17" i="4"/>
  <c r="CY37" i="4"/>
  <c r="FE33" i="4"/>
  <c r="AT121" i="17"/>
  <c r="CU37" i="4"/>
  <c r="R34" i="1"/>
  <c r="FH40" i="4"/>
  <c r="L39" i="1"/>
  <c r="AT95" i="17"/>
  <c r="AT96" i="17"/>
  <c r="CY41" i="4"/>
  <c r="Z26" i="8"/>
  <c r="R33" i="1"/>
  <c r="G109" i="4"/>
  <c r="CS22" i="4"/>
  <c r="L40" i="1"/>
  <c r="G92" i="4"/>
  <c r="G97" i="4"/>
  <c r="F103" i="4"/>
  <c r="G112" i="4"/>
  <c r="R13" i="1"/>
  <c r="CX24" i="4"/>
  <c r="CY19" i="4"/>
  <c r="HM23" i="4"/>
  <c r="R16" i="1"/>
  <c r="AP23" i="1"/>
  <c r="L26" i="1"/>
  <c r="FF33" i="4"/>
  <c r="Y32" i="1"/>
  <c r="L15" i="1"/>
  <c r="AB43" i="8"/>
  <c r="AV38" i="1"/>
  <c r="AT123" i="17"/>
  <c r="R37" i="1"/>
  <c r="HM16" i="4"/>
  <c r="P114" i="4"/>
  <c r="Q114" i="4"/>
  <c r="L33" i="1"/>
  <c r="CW40" i="4"/>
  <c r="CV40" i="4" s="1"/>
  <c r="Z38" i="8"/>
  <c r="G101" i="4"/>
  <c r="CS29" i="4"/>
  <c r="G108" i="4"/>
  <c r="S21" i="8"/>
  <c r="S41" i="8"/>
  <c r="Z41" i="8" s="1"/>
  <c r="CS18" i="4"/>
  <c r="DL11" i="4"/>
  <c r="AP40" i="4"/>
  <c r="CY22" i="4"/>
  <c r="HN39" i="4"/>
  <c r="CX39" i="4"/>
  <c r="AT118" i="17"/>
  <c r="CS15" i="4"/>
  <c r="AT117" i="17"/>
  <c r="CY27" i="4"/>
  <c r="CY26" i="4"/>
  <c r="CY25" i="4"/>
  <c r="F94" i="4"/>
  <c r="O114" i="4"/>
  <c r="CR19" i="4"/>
  <c r="CQ19" i="4"/>
  <c r="EB17" i="17"/>
  <c r="AN112" i="17"/>
  <c r="AZ102" i="17"/>
  <c r="AT102" i="17"/>
  <c r="AZ100" i="17"/>
  <c r="AZ101" i="17"/>
  <c r="CX22" i="4"/>
  <c r="AT107" i="17"/>
  <c r="F112" i="4"/>
  <c r="CS40" i="4"/>
  <c r="AX112" i="17"/>
  <c r="AX94" i="17"/>
  <c r="AZ111" i="17"/>
  <c r="AN113" i="17"/>
  <c r="AN104" i="17"/>
  <c r="AV109" i="17"/>
  <c r="AN108" i="17"/>
  <c r="AN117" i="17"/>
  <c r="AN119" i="17"/>
  <c r="AN124" i="17"/>
  <c r="AN120" i="17"/>
  <c r="AN111" i="17"/>
  <c r="AN105" i="17"/>
  <c r="AN94" i="17"/>
  <c r="AN96" i="17"/>
  <c r="AN123" i="17"/>
  <c r="AN122" i="17"/>
  <c r="AN118" i="17"/>
  <c r="AN107" i="17"/>
  <c r="AN121" i="17"/>
  <c r="AT110" i="17"/>
  <c r="AT124" i="17"/>
  <c r="AT100" i="17"/>
  <c r="AT108" i="17"/>
  <c r="AW104" i="17"/>
  <c r="AW110" i="17"/>
  <c r="AW105" i="17"/>
  <c r="AW111" i="17"/>
  <c r="AW124" i="17"/>
  <c r="AW100" i="17"/>
  <c r="AW97" i="17"/>
  <c r="AW107" i="17"/>
  <c r="AW98" i="17"/>
  <c r="AW101" i="17"/>
  <c r="AW115" i="17"/>
  <c r="AW109" i="17"/>
  <c r="AN99" i="17"/>
  <c r="AN103" i="17"/>
  <c r="AW117" i="17"/>
  <c r="AN95" i="17"/>
  <c r="AN97" i="17"/>
  <c r="AN110" i="17"/>
  <c r="AW99" i="17"/>
  <c r="AW96" i="17"/>
  <c r="AW103" i="17"/>
  <c r="AW123" i="17"/>
  <c r="AW118" i="17"/>
  <c r="AW113" i="17"/>
  <c r="AN109" i="17"/>
  <c r="AN100" i="17"/>
  <c r="AW108" i="17"/>
  <c r="AN115" i="17"/>
  <c r="AW121" i="17"/>
  <c r="AN116" i="17"/>
  <c r="AT122" i="17"/>
  <c r="AV122" i="17"/>
  <c r="AT115" i="17"/>
  <c r="AZ122" i="17"/>
  <c r="AT106" i="17"/>
  <c r="AT113" i="17"/>
  <c r="AT119" i="17"/>
  <c r="AT111" i="17"/>
  <c r="AT103" i="17"/>
  <c r="AT98" i="17"/>
  <c r="AT116" i="17"/>
  <c r="AT112" i="17"/>
  <c r="AZ123" i="17"/>
  <c r="AT120" i="17"/>
  <c r="AT97" i="17"/>
  <c r="AT114" i="17"/>
  <c r="AT104" i="17"/>
  <c r="AT99" i="17"/>
  <c r="AX101" i="17"/>
  <c r="AX122" i="17"/>
  <c r="AX107" i="17"/>
  <c r="AX102" i="17"/>
  <c r="AX96" i="17"/>
  <c r="AR102" i="17"/>
  <c r="AN98" i="17"/>
  <c r="AN106" i="17"/>
  <c r="AN114" i="17"/>
  <c r="AJ106" i="17"/>
  <c r="AJ113" i="17"/>
  <c r="G87" i="17"/>
  <c r="AR103" i="17"/>
  <c r="AR96" i="17"/>
  <c r="AZ98" i="17"/>
  <c r="AZ94" i="17"/>
  <c r="AZ114" i="17"/>
  <c r="AZ121" i="17"/>
  <c r="AZ96" i="17"/>
  <c r="AZ105" i="17"/>
  <c r="AZ95" i="17"/>
  <c r="AR117" i="17"/>
  <c r="AZ99" i="17"/>
  <c r="AZ120" i="17"/>
  <c r="AZ106" i="17"/>
  <c r="AZ124" i="17"/>
  <c r="AZ104" i="17"/>
  <c r="AZ116" i="17"/>
  <c r="AZ113" i="17"/>
  <c r="AR108" i="17"/>
  <c r="AR124" i="17"/>
  <c r="AZ107" i="17"/>
  <c r="AZ118" i="17"/>
  <c r="AZ110" i="17"/>
  <c r="AZ115" i="17"/>
  <c r="AR100" i="17"/>
  <c r="AZ119" i="17"/>
  <c r="AZ112" i="17"/>
  <c r="AZ117" i="17"/>
  <c r="AZ103" i="17"/>
  <c r="AR113" i="17"/>
  <c r="AZ109" i="17"/>
  <c r="G86" i="17"/>
  <c r="Q87" i="17"/>
  <c r="AR111" i="17"/>
  <c r="AR95" i="17"/>
  <c r="AR112" i="17"/>
  <c r="AR110" i="17"/>
  <c r="AR99" i="17"/>
  <c r="AR115" i="17"/>
  <c r="AR105" i="17"/>
  <c r="AR97" i="17"/>
  <c r="AR114" i="17"/>
  <c r="AX110" i="17"/>
  <c r="AX119" i="17"/>
  <c r="AX98" i="17"/>
  <c r="AX121" i="17"/>
  <c r="AX117" i="17"/>
  <c r="AX109" i="17"/>
  <c r="AX115" i="17"/>
  <c r="AX95" i="17"/>
  <c r="AX118" i="17"/>
  <c r="AX103" i="17"/>
  <c r="AX120" i="17"/>
  <c r="AX124" i="17"/>
  <c r="AX106" i="17"/>
  <c r="AX100" i="17"/>
  <c r="AX116" i="17"/>
  <c r="AX114" i="17"/>
  <c r="AX99" i="17"/>
  <c r="AX105" i="17"/>
  <c r="AX104" i="17"/>
  <c r="AX97" i="17"/>
  <c r="AX123" i="17"/>
  <c r="AX108" i="17"/>
  <c r="AX111" i="17"/>
  <c r="Q86" i="17"/>
  <c r="AR116" i="17"/>
  <c r="AR106" i="17"/>
  <c r="AR98" i="17"/>
  <c r="AR104" i="17"/>
  <c r="AR121" i="17"/>
  <c r="AR109" i="17"/>
  <c r="AR120" i="17"/>
  <c r="AR119" i="17"/>
  <c r="AR101" i="17"/>
  <c r="AR94" i="17"/>
  <c r="AR123" i="17"/>
  <c r="AR122" i="17"/>
  <c r="AR118" i="17"/>
  <c r="AV98" i="17"/>
  <c r="AV106" i="17"/>
  <c r="AV115" i="17"/>
  <c r="AV107" i="17"/>
  <c r="AV94" i="17"/>
  <c r="W87" i="17"/>
  <c r="AV119" i="17"/>
  <c r="AV112" i="17"/>
  <c r="AV116" i="17"/>
  <c r="AV99" i="17"/>
  <c r="AV101" i="17"/>
  <c r="AV108" i="17"/>
  <c r="AV124" i="17"/>
  <c r="AV120" i="17"/>
  <c r="AV121" i="17"/>
  <c r="AV118" i="17"/>
  <c r="AV95" i="17"/>
  <c r="AV104" i="17"/>
  <c r="AV97" i="17"/>
  <c r="AV114" i="17"/>
  <c r="AV103" i="17"/>
  <c r="AV113" i="17"/>
  <c r="AV110" i="17"/>
  <c r="AV105" i="17"/>
  <c r="AV102" i="17"/>
  <c r="AV117" i="17"/>
  <c r="AV100" i="17"/>
  <c r="AV96" i="17"/>
  <c r="G111" i="4"/>
  <c r="CS39" i="4"/>
  <c r="BV36" i="4"/>
  <c r="AC36" i="4"/>
  <c r="HM37" i="4"/>
  <c r="HM38" i="4"/>
  <c r="CX30" i="4"/>
  <c r="CX38" i="4"/>
  <c r="CX37" i="4"/>
  <c r="CU35" i="4"/>
  <c r="T33" i="1"/>
  <c r="CU33" i="4"/>
  <c r="FI33" i="4"/>
  <c r="CU32" i="4"/>
  <c r="H28" i="4"/>
  <c r="AC24" i="4"/>
  <c r="CX18" i="4"/>
  <c r="CX31" i="4"/>
  <c r="Q17" i="18"/>
  <c r="HN31" i="4"/>
  <c r="R12" i="14"/>
  <c r="H21" i="4"/>
  <c r="BV24" i="4"/>
  <c r="BR27" i="4"/>
  <c r="AC20" i="4"/>
  <c r="EA22" i="17"/>
  <c r="G24" i="4"/>
  <c r="HN24" i="4"/>
  <c r="S12" i="14"/>
  <c r="DW34" i="17"/>
  <c r="CJ36" i="4"/>
  <c r="CZ36" i="4" s="1"/>
  <c r="AA7" i="8"/>
  <c r="AA40" i="8" s="1"/>
  <c r="HN26" i="4"/>
  <c r="HN16" i="4"/>
  <c r="M87" i="17"/>
  <c r="Y87" i="17"/>
  <c r="W86" i="17"/>
  <c r="S87" i="17"/>
  <c r="K87" i="17"/>
  <c r="O87" i="17"/>
  <c r="H42" i="8"/>
  <c r="AG40" i="17"/>
  <c r="HN17" i="4"/>
  <c r="CX23" i="4"/>
  <c r="HN25" i="4"/>
  <c r="EB22" i="17"/>
  <c r="K86" i="17"/>
  <c r="O86" i="17"/>
  <c r="M86" i="17"/>
  <c r="AJ115" i="17"/>
  <c r="FG15" i="4"/>
  <c r="AJ104" i="17"/>
  <c r="AJ98" i="17"/>
  <c r="V42" i="4"/>
  <c r="I12" i="14" s="1"/>
  <c r="AJ96" i="17"/>
  <c r="AJ118" i="17"/>
  <c r="BF118" i="17"/>
  <c r="BF101" i="17"/>
  <c r="BF116" i="17"/>
  <c r="BF107" i="17"/>
  <c r="BF113" i="17"/>
  <c r="BF104" i="17"/>
  <c r="BF117" i="17"/>
  <c r="BF108" i="17"/>
  <c r="BF111" i="17"/>
  <c r="BF95" i="17"/>
  <c r="BF119" i="17"/>
  <c r="BF100" i="17"/>
  <c r="BF106" i="17"/>
  <c r="BF122" i="17"/>
  <c r="BF114" i="17"/>
  <c r="BF103" i="17"/>
  <c r="BF99" i="17"/>
  <c r="BF123" i="17"/>
  <c r="BF109" i="17"/>
  <c r="BF97" i="17"/>
  <c r="BF121" i="17"/>
  <c r="BF96" i="17"/>
  <c r="BF102" i="17"/>
  <c r="BF110" i="17"/>
  <c r="BF120" i="17"/>
  <c r="BF94" i="17"/>
  <c r="BF105" i="17"/>
  <c r="BF124" i="17"/>
  <c r="BF98" i="17"/>
  <c r="BF112" i="17"/>
  <c r="BF115" i="17"/>
  <c r="F85" i="4"/>
  <c r="AU86" i="4" s="1"/>
  <c r="CS13" i="4"/>
  <c r="U42" i="4"/>
  <c r="F91" i="4"/>
  <c r="CS19" i="4"/>
  <c r="S86" i="17"/>
  <c r="AJ110" i="17"/>
  <c r="FF15" i="4"/>
  <c r="AJ103" i="17"/>
  <c r="AI42" i="8"/>
  <c r="DW54" i="1"/>
  <c r="CL11" i="1"/>
  <c r="DQ26" i="4"/>
  <c r="DR26" i="4"/>
  <c r="AJ105" i="17"/>
  <c r="FE15" i="4"/>
  <c r="AJ114" i="17"/>
  <c r="Y86" i="17"/>
  <c r="BV20" i="4"/>
  <c r="BD106" i="17"/>
  <c r="BD103" i="17"/>
  <c r="BD119" i="17"/>
  <c r="BD99" i="17"/>
  <c r="BD123" i="17"/>
  <c r="BD111" i="17"/>
  <c r="BD101" i="17"/>
  <c r="BD108" i="17"/>
  <c r="BD117" i="17"/>
  <c r="BD120" i="17"/>
  <c r="BD115" i="17"/>
  <c r="BD112" i="17"/>
  <c r="BD116" i="17"/>
  <c r="BD105" i="17"/>
  <c r="BD114" i="17"/>
  <c r="BD95" i="17"/>
  <c r="BD98" i="17"/>
  <c r="BD118" i="17"/>
  <c r="BD110" i="17"/>
  <c r="BD94" i="17"/>
  <c r="BD96" i="17"/>
  <c r="BD97" i="17"/>
  <c r="BD122" i="17"/>
  <c r="BD102" i="17"/>
  <c r="BD124" i="17"/>
  <c r="BD121" i="17"/>
  <c r="BD107" i="17"/>
  <c r="BD104" i="17"/>
  <c r="BD109" i="17"/>
  <c r="BD100" i="17"/>
  <c r="AA56" i="17"/>
  <c r="DT10" i="17" s="1"/>
  <c r="EB18" i="17"/>
  <c r="DP43" i="4"/>
  <c r="DP42" i="4"/>
  <c r="EA18" i="17"/>
  <c r="G20" i="4"/>
  <c r="BR20" i="4"/>
  <c r="DH55" i="4"/>
  <c r="P6" i="15" s="1"/>
  <c r="AW14" i="18"/>
  <c r="CP13" i="4"/>
  <c r="DO11" i="4"/>
  <c r="Z87" i="17"/>
  <c r="CX17" i="4"/>
  <c r="Z86" i="17"/>
  <c r="AG41" i="17"/>
  <c r="P87" i="17"/>
  <c r="FJ13" i="4"/>
  <c r="FK13" i="4"/>
  <c r="FI13" i="4"/>
  <c r="CX16" i="4"/>
  <c r="CR20" i="4"/>
  <c r="CQ20" i="4"/>
  <c r="AQ40" i="4"/>
  <c r="CX15" i="4"/>
  <c r="AA87" i="4"/>
  <c r="CX14" i="4"/>
  <c r="CJ13" i="1"/>
  <c r="C20" i="14"/>
  <c r="AJ111" i="17"/>
  <c r="CJ11" i="1"/>
  <c r="DR12" i="4"/>
  <c r="DQ12" i="4"/>
  <c r="DR13" i="4"/>
  <c r="DQ13" i="4"/>
  <c r="DQ14" i="4"/>
  <c r="DR14" i="4"/>
  <c r="Z13" i="8"/>
  <c r="DR11" i="4"/>
  <c r="DQ11" i="4"/>
  <c r="Z11" i="8"/>
  <c r="Z12" i="8"/>
  <c r="E87" i="17"/>
  <c r="AJ112" i="17"/>
  <c r="AA57" i="17"/>
  <c r="DT11" i="17" s="1"/>
  <c r="T86" i="17"/>
  <c r="BW82" i="4"/>
  <c r="BV82" i="4"/>
  <c r="BT82" i="4"/>
  <c r="BX82" i="4"/>
  <c r="BN82" i="4"/>
  <c r="AZ82" i="4"/>
  <c r="BK82" i="4"/>
  <c r="BD82" i="4"/>
  <c r="BM82" i="4"/>
  <c r="BO82" i="4"/>
  <c r="BP82" i="4"/>
  <c r="BE82" i="4"/>
  <c r="BL82" i="4"/>
  <c r="BU82" i="4"/>
  <c r="BS82" i="4"/>
  <c r="BA82" i="4"/>
  <c r="BB82" i="4"/>
  <c r="BC82" i="4"/>
  <c r="AV82" i="4"/>
  <c r="BQ82" i="4"/>
  <c r="AY82" i="4"/>
  <c r="AX82" i="4"/>
  <c r="BF82" i="4"/>
  <c r="AU82" i="4"/>
  <c r="A80" i="4"/>
  <c r="B79" i="4"/>
  <c r="AQ80" i="4"/>
  <c r="AP81" i="4"/>
  <c r="BB116" i="17"/>
  <c r="H86" i="17"/>
  <c r="U87" i="17"/>
  <c r="R86" i="17"/>
  <c r="BB117" i="17"/>
  <c r="BB113" i="17"/>
  <c r="BB103" i="17"/>
  <c r="BB111" i="17"/>
  <c r="BB105" i="17"/>
  <c r="BB107" i="17"/>
  <c r="BB97" i="17"/>
  <c r="BB96" i="17"/>
  <c r="BB124" i="17"/>
  <c r="BB99" i="17"/>
  <c r="BB119" i="17"/>
  <c r="BB95" i="17"/>
  <c r="BB122" i="17"/>
  <c r="BB121" i="17"/>
  <c r="BB101" i="17"/>
  <c r="BB123" i="17"/>
  <c r="BB110" i="17"/>
  <c r="BB112" i="17"/>
  <c r="BB104" i="17"/>
  <c r="BB108" i="17"/>
  <c r="BB94" i="17"/>
  <c r="BB114" i="17"/>
  <c r="BB109" i="17"/>
  <c r="BB98" i="17"/>
  <c r="BB100" i="17"/>
  <c r="BB120" i="17"/>
  <c r="BB118" i="17"/>
  <c r="BB115" i="17"/>
  <c r="BB106" i="17"/>
  <c r="R87" i="17"/>
  <c r="U86" i="17"/>
  <c r="AJ99" i="17"/>
  <c r="AJ119" i="17"/>
  <c r="AJ107" i="17"/>
  <c r="AJ120" i="17"/>
  <c r="AJ123" i="17"/>
  <c r="AJ116" i="17"/>
  <c r="AJ117" i="17"/>
  <c r="AJ100" i="17"/>
  <c r="AJ101" i="17"/>
  <c r="AJ108" i="17"/>
  <c r="AJ95" i="17"/>
  <c r="AJ109" i="17"/>
  <c r="AJ97" i="17"/>
  <c r="AJ94" i="17"/>
  <c r="AJ122" i="17"/>
  <c r="AJ102" i="17"/>
  <c r="CX41" i="4"/>
  <c r="CX40" i="4"/>
  <c r="AB42" i="8"/>
  <c r="CX36" i="4"/>
  <c r="FH38" i="4"/>
  <c r="FG38" i="4"/>
  <c r="FF38" i="4"/>
  <c r="FE38" i="4"/>
  <c r="J86" i="17"/>
  <c r="AI43" i="8"/>
  <c r="U27" i="16" s="1"/>
  <c r="FG37" i="4"/>
  <c r="FF37" i="4"/>
  <c r="FE37" i="4"/>
  <c r="FH37" i="4"/>
  <c r="T38" i="1"/>
  <c r="AP38" i="4"/>
  <c r="AQ38" i="4"/>
  <c r="CU15" i="4"/>
  <c r="T15" i="1"/>
  <c r="AQ15" i="4"/>
  <c r="AC30" i="4"/>
  <c r="J87" i="17"/>
  <c r="BV30" i="4"/>
  <c r="CY35" i="4"/>
  <c r="AQ35" i="4"/>
  <c r="AP35" i="4"/>
  <c r="AC29" i="4"/>
  <c r="AC28" i="4"/>
  <c r="EB27" i="17"/>
  <c r="BV29" i="4"/>
  <c r="G29" i="4"/>
  <c r="EA27" i="17"/>
  <c r="CX35" i="4"/>
  <c r="CX33" i="4"/>
  <c r="CX34" i="4"/>
  <c r="AQ33" i="4"/>
  <c r="FG31" i="4"/>
  <c r="AP33" i="4"/>
  <c r="AC27" i="4"/>
  <c r="P86" i="17"/>
  <c r="EB28" i="17"/>
  <c r="CX29" i="4"/>
  <c r="CX32" i="4"/>
  <c r="BV27" i="4"/>
  <c r="EB16" i="17"/>
  <c r="W114" i="4"/>
  <c r="EA28" i="17"/>
  <c r="H30" i="4"/>
  <c r="G30" i="4"/>
  <c r="G25" i="4"/>
  <c r="AC25" i="4"/>
  <c r="EA16" i="17"/>
  <c r="AC18" i="4"/>
  <c r="G18" i="4"/>
  <c r="AA58" i="17"/>
  <c r="DT12" i="17" s="1"/>
  <c r="BV25" i="4"/>
  <c r="BV28" i="4"/>
  <c r="EB26" i="17"/>
  <c r="AC22" i="4"/>
  <c r="EB25" i="17"/>
  <c r="EA26" i="17"/>
  <c r="G28" i="4"/>
  <c r="EA25" i="17"/>
  <c r="G27" i="4"/>
  <c r="T26" i="1"/>
  <c r="AQ26" i="4"/>
  <c r="AP26" i="4"/>
  <c r="DY40" i="17"/>
  <c r="AC21" i="4"/>
  <c r="EB23" i="17"/>
  <c r="FF26" i="4"/>
  <c r="FE26" i="4"/>
  <c r="FH26" i="4"/>
  <c r="FG26" i="4"/>
  <c r="CX25" i="4"/>
  <c r="FE14" i="4"/>
  <c r="EA23" i="17"/>
  <c r="H22" i="4"/>
  <c r="CR33" i="4"/>
  <c r="CQ33" i="4"/>
  <c r="FE13" i="4"/>
  <c r="CR37" i="4"/>
  <c r="CQ37" i="4"/>
  <c r="AU100" i="17"/>
  <c r="AU120" i="17"/>
  <c r="AU94" i="17"/>
  <c r="AU108" i="17"/>
  <c r="AU123" i="17"/>
  <c r="AU97" i="17"/>
  <c r="AU102" i="17"/>
  <c r="AU117" i="17"/>
  <c r="AU115" i="17"/>
  <c r="AU106" i="17"/>
  <c r="AU96" i="17"/>
  <c r="AU122" i="17"/>
  <c r="AU105" i="17"/>
  <c r="AU103" i="17"/>
  <c r="AU119" i="17"/>
  <c r="AU118" i="17"/>
  <c r="AU99" i="17"/>
  <c r="AU104" i="17"/>
  <c r="AU114" i="17"/>
  <c r="AU121" i="17"/>
  <c r="AU109" i="17"/>
  <c r="AU98" i="17"/>
  <c r="AU107" i="17"/>
  <c r="AU124" i="17"/>
  <c r="AU95" i="17"/>
  <c r="AU101" i="17"/>
  <c r="AU110" i="17"/>
  <c r="AU112" i="17"/>
  <c r="AU116" i="17"/>
  <c r="AU113" i="17"/>
  <c r="AU111" i="17"/>
  <c r="AY114" i="17"/>
  <c r="AY113" i="17"/>
  <c r="AY122" i="17"/>
  <c r="AY98" i="17"/>
  <c r="AY99" i="17"/>
  <c r="AY109" i="17"/>
  <c r="AY96" i="17"/>
  <c r="AY102" i="17"/>
  <c r="AY112" i="17"/>
  <c r="AY116" i="17"/>
  <c r="AY95" i="17"/>
  <c r="AY106" i="17"/>
  <c r="AY118" i="17"/>
  <c r="AY123" i="17"/>
  <c r="AY100" i="17"/>
  <c r="AY117" i="17"/>
  <c r="AY110" i="17"/>
  <c r="AY94" i="17"/>
  <c r="AY121" i="17"/>
  <c r="AY111" i="17"/>
  <c r="AY103" i="17"/>
  <c r="AY120" i="17"/>
  <c r="AY97" i="17"/>
  <c r="AY101" i="17"/>
  <c r="AY107" i="17"/>
  <c r="AY115" i="17"/>
  <c r="AY104" i="17"/>
  <c r="AY124" i="17"/>
  <c r="AY108" i="17"/>
  <c r="AY105" i="17"/>
  <c r="AY119" i="17"/>
  <c r="BV22" i="4"/>
  <c r="AQ117" i="17"/>
  <c r="AQ94" i="17"/>
  <c r="AQ105" i="17"/>
  <c r="AQ119" i="17"/>
  <c r="AQ122" i="17"/>
  <c r="AQ99" i="17"/>
  <c r="AQ103" i="17"/>
  <c r="AQ113" i="17"/>
  <c r="AQ121" i="17"/>
  <c r="AQ98" i="17"/>
  <c r="AQ96" i="17"/>
  <c r="AQ104" i="17"/>
  <c r="AQ108" i="17"/>
  <c r="AQ112" i="17"/>
  <c r="AQ111" i="17"/>
  <c r="AQ97" i="17"/>
  <c r="AQ107" i="17"/>
  <c r="AQ102" i="17"/>
  <c r="AQ124" i="17"/>
  <c r="AQ109" i="17"/>
  <c r="AQ100" i="17"/>
  <c r="AQ123" i="17"/>
  <c r="AQ120" i="17"/>
  <c r="AQ116" i="17"/>
  <c r="AQ95" i="17"/>
  <c r="AQ114" i="17"/>
  <c r="AQ118" i="17"/>
  <c r="AQ110" i="17"/>
  <c r="AQ101" i="17"/>
  <c r="AQ106" i="17"/>
  <c r="AQ115" i="17"/>
  <c r="BG103" i="17"/>
  <c r="BG110" i="17"/>
  <c r="BG121" i="17"/>
  <c r="BG99" i="17"/>
  <c r="BG101" i="17"/>
  <c r="BG116" i="17"/>
  <c r="BG107" i="17"/>
  <c r="BG102" i="17"/>
  <c r="BG114" i="17"/>
  <c r="BG123" i="17"/>
  <c r="BG104" i="17"/>
  <c r="BG122" i="17"/>
  <c r="BG113" i="17"/>
  <c r="BG98" i="17"/>
  <c r="BG115" i="17"/>
  <c r="BG109" i="17"/>
  <c r="BG108" i="17"/>
  <c r="BG105" i="17"/>
  <c r="BG95" i="17"/>
  <c r="BG124" i="17"/>
  <c r="BG119" i="17"/>
  <c r="BG106" i="17"/>
  <c r="BG111" i="17"/>
  <c r="BG120" i="17"/>
  <c r="BG117" i="17"/>
  <c r="BG112" i="17"/>
  <c r="BG118" i="17"/>
  <c r="BG97" i="17"/>
  <c r="BG100" i="17"/>
  <c r="BG96" i="17"/>
  <c r="BG94" i="17"/>
  <c r="EA20" i="17"/>
  <c r="G22" i="4"/>
  <c r="EB20" i="17"/>
  <c r="CQ35" i="4"/>
  <c r="CR35" i="4"/>
  <c r="G21" i="4"/>
  <c r="CU16" i="4"/>
  <c r="AA80" i="17"/>
  <c r="E86" i="17"/>
  <c r="X86" i="17"/>
  <c r="I86" i="17"/>
  <c r="T87" i="17"/>
  <c r="EA19" i="17"/>
  <c r="CX12" i="4"/>
  <c r="CX19" i="4"/>
  <c r="CX13" i="4"/>
  <c r="CX20" i="4"/>
  <c r="U12" i="14"/>
  <c r="DY41" i="17"/>
  <c r="CO43" i="4"/>
  <c r="X87" i="17"/>
  <c r="DZ40" i="17"/>
  <c r="I87" i="17"/>
  <c r="AS13" i="4"/>
  <c r="R114" i="4"/>
  <c r="DZ41" i="17"/>
  <c r="AS12" i="4"/>
  <c r="AA82" i="17"/>
  <c r="CY18" i="4"/>
  <c r="AA85" i="17"/>
  <c r="CQ27" i="4"/>
  <c r="CR27" i="4"/>
  <c r="CZ39" i="4"/>
  <c r="AL121" i="17"/>
  <c r="AL110" i="17"/>
  <c r="AL111" i="17"/>
  <c r="AL103" i="17"/>
  <c r="AL106" i="17"/>
  <c r="AL109" i="17"/>
  <c r="AL102" i="17"/>
  <c r="AL119" i="17"/>
  <c r="AL116" i="17"/>
  <c r="AL101" i="17"/>
  <c r="AL94" i="17"/>
  <c r="AL117" i="17"/>
  <c r="AL112" i="17"/>
  <c r="AL100" i="17"/>
  <c r="AL97" i="17"/>
  <c r="AL99" i="17"/>
  <c r="AL124" i="17"/>
  <c r="AL95" i="17"/>
  <c r="AL108" i="17"/>
  <c r="AL118" i="17"/>
  <c r="AL104" i="17"/>
  <c r="AL114" i="17"/>
  <c r="AL123" i="17"/>
  <c r="AL107" i="17"/>
  <c r="AL122" i="17"/>
  <c r="AL105" i="17"/>
  <c r="AL98" i="17"/>
  <c r="AL115" i="17"/>
  <c r="AL120" i="17"/>
  <c r="AL96" i="17"/>
  <c r="AL113" i="17"/>
  <c r="CQ18" i="4"/>
  <c r="CR18" i="4"/>
  <c r="BE98" i="17"/>
  <c r="BE120" i="17"/>
  <c r="BE112" i="17"/>
  <c r="BE104" i="17"/>
  <c r="BE95" i="17"/>
  <c r="BE115" i="17"/>
  <c r="BE107" i="17"/>
  <c r="BE100" i="17"/>
  <c r="BE96" i="17"/>
  <c r="BE118" i="17"/>
  <c r="BE110" i="17"/>
  <c r="BE101" i="17"/>
  <c r="BE122" i="17"/>
  <c r="BE113" i="17"/>
  <c r="BE105" i="17"/>
  <c r="BE94" i="17"/>
  <c r="BE123" i="17"/>
  <c r="BE116" i="17"/>
  <c r="BE108" i="17"/>
  <c r="BE99" i="17"/>
  <c r="BE119" i="17"/>
  <c r="BE111" i="17"/>
  <c r="BE103" i="17"/>
  <c r="BE124" i="17"/>
  <c r="BE121" i="17"/>
  <c r="BE114" i="17"/>
  <c r="BE97" i="17"/>
  <c r="BE117" i="17"/>
  <c r="BE109" i="17"/>
  <c r="BE102" i="17"/>
  <c r="BE106" i="17"/>
  <c r="C1" i="4"/>
  <c r="E2" i="4"/>
  <c r="E1" i="4"/>
  <c r="C2" i="4"/>
  <c r="C87" i="17"/>
  <c r="C86" i="17"/>
  <c r="DW21" i="17"/>
  <c r="CJ23" i="4"/>
  <c r="CZ23" i="4" s="1"/>
  <c r="N86" i="17"/>
  <c r="N87" i="17"/>
  <c r="L87" i="17"/>
  <c r="L86" i="17"/>
  <c r="AA79" i="17"/>
  <c r="AA62" i="17"/>
  <c r="AA69" i="17"/>
  <c r="BC94" i="17"/>
  <c r="BC113" i="17"/>
  <c r="BC105" i="17"/>
  <c r="BC122" i="17"/>
  <c r="BC96" i="17"/>
  <c r="BC112" i="17"/>
  <c r="BC95" i="17"/>
  <c r="BC106" i="17"/>
  <c r="BC119" i="17"/>
  <c r="BC111" i="17"/>
  <c r="BC103" i="17"/>
  <c r="BC108" i="17"/>
  <c r="BC118" i="17"/>
  <c r="BC101" i="17"/>
  <c r="BC117" i="17"/>
  <c r="BC109" i="17"/>
  <c r="BC102" i="17"/>
  <c r="BC121" i="17"/>
  <c r="BC123" i="17"/>
  <c r="BC104" i="17"/>
  <c r="BC114" i="17"/>
  <c r="BC97" i="17"/>
  <c r="BC120" i="17"/>
  <c r="BC124" i="17"/>
  <c r="BC115" i="17"/>
  <c r="BC107" i="17"/>
  <c r="BC100" i="17"/>
  <c r="BC98" i="17"/>
  <c r="BC116" i="17"/>
  <c r="BC99" i="17"/>
  <c r="BC110" i="17"/>
  <c r="V86" i="17"/>
  <c r="V87" i="17"/>
  <c r="AA68" i="17"/>
  <c r="AA77" i="17"/>
  <c r="AA81" i="17"/>
  <c r="H87" i="17"/>
  <c r="AA72" i="17"/>
  <c r="AA67" i="17"/>
  <c r="AA71" i="17"/>
  <c r="AA83" i="17"/>
  <c r="DT37" i="17" s="1"/>
  <c r="AA74" i="17"/>
  <c r="AA78" i="17"/>
  <c r="AA65" i="17"/>
  <c r="AA75" i="17"/>
  <c r="AA59" i="17"/>
  <c r="AD13" i="17" s="1"/>
  <c r="CG15" i="4" s="1"/>
  <c r="AA61" i="17"/>
  <c r="AA73" i="17"/>
  <c r="AA84" i="17"/>
  <c r="CR38" i="4"/>
  <c r="CQ38" i="4"/>
  <c r="CZ38" i="4"/>
  <c r="AA76" i="17"/>
  <c r="AA60" i="17"/>
  <c r="AA64" i="17"/>
  <c r="AS98" i="17"/>
  <c r="AS118" i="17"/>
  <c r="AS110" i="17"/>
  <c r="AS101" i="17"/>
  <c r="AS124" i="17"/>
  <c r="AS113" i="17"/>
  <c r="AS105" i="17"/>
  <c r="AS100" i="17"/>
  <c r="AS96" i="17"/>
  <c r="AS116" i="17"/>
  <c r="AS108" i="17"/>
  <c r="AS99" i="17"/>
  <c r="AS119" i="17"/>
  <c r="AS111" i="17"/>
  <c r="AS103" i="17"/>
  <c r="AS94" i="17"/>
  <c r="AS121" i="17"/>
  <c r="AS114" i="17"/>
  <c r="AS106" i="17"/>
  <c r="AS97" i="17"/>
  <c r="AS117" i="17"/>
  <c r="AS109" i="17"/>
  <c r="AS102" i="17"/>
  <c r="AS122" i="17"/>
  <c r="AS120" i="17"/>
  <c r="AS112" i="17"/>
  <c r="AS104" i="17"/>
  <c r="AS95" i="17"/>
  <c r="AS115" i="17"/>
  <c r="AS107" i="17"/>
  <c r="AS123" i="17"/>
  <c r="AO123" i="17"/>
  <c r="AO115" i="17"/>
  <c r="AO124" i="17"/>
  <c r="AO111" i="17"/>
  <c r="AO103" i="17"/>
  <c r="AO116" i="17"/>
  <c r="AO108" i="17"/>
  <c r="AO99" i="17"/>
  <c r="AO98" i="17"/>
  <c r="AO119" i="17"/>
  <c r="AO109" i="17"/>
  <c r="AO102" i="17"/>
  <c r="AO114" i="17"/>
  <c r="AO106" i="17"/>
  <c r="AO97" i="17"/>
  <c r="AO96" i="17"/>
  <c r="AO117" i="17"/>
  <c r="AO107" i="17"/>
  <c r="AO120" i="17"/>
  <c r="AO112" i="17"/>
  <c r="AO104" i="17"/>
  <c r="AO95" i="17"/>
  <c r="AO121" i="17"/>
  <c r="AO94" i="17"/>
  <c r="AO113" i="17"/>
  <c r="AO105" i="17"/>
  <c r="AO118" i="17"/>
  <c r="AO110" i="17"/>
  <c r="AO101" i="17"/>
  <c r="AO122" i="17"/>
  <c r="AO100" i="17"/>
  <c r="BA124" i="17"/>
  <c r="BA113" i="17"/>
  <c r="BA105" i="17"/>
  <c r="BA123" i="17"/>
  <c r="BA106" i="17"/>
  <c r="BA96" i="17"/>
  <c r="BA116" i="17"/>
  <c r="BA97" i="17"/>
  <c r="BA117" i="17"/>
  <c r="BA109" i="17"/>
  <c r="BA102" i="17"/>
  <c r="BA112" i="17"/>
  <c r="BA122" i="17"/>
  <c r="BA120" i="17"/>
  <c r="BA101" i="17"/>
  <c r="BA94" i="17"/>
  <c r="BA115" i="17"/>
  <c r="BA107" i="17"/>
  <c r="BA100" i="17"/>
  <c r="BA110" i="17"/>
  <c r="BA98" i="17"/>
  <c r="BA118" i="17"/>
  <c r="BA99" i="17"/>
  <c r="BA111" i="17"/>
  <c r="BA121" i="17"/>
  <c r="BA103" i="17"/>
  <c r="BA108" i="17"/>
  <c r="BA114" i="17"/>
  <c r="BA95" i="17"/>
  <c r="BA119" i="17"/>
  <c r="BA104" i="17"/>
  <c r="D87" i="17"/>
  <c r="D86" i="17"/>
  <c r="AP117" i="17"/>
  <c r="AP121" i="17"/>
  <c r="AP122" i="17"/>
  <c r="AP108" i="17"/>
  <c r="AP119" i="17"/>
  <c r="AP113" i="17"/>
  <c r="AP118" i="17"/>
  <c r="AP102" i="17"/>
  <c r="AP107" i="17"/>
  <c r="AP109" i="17"/>
  <c r="AP116" i="17"/>
  <c r="AP99" i="17"/>
  <c r="AP101" i="17"/>
  <c r="AP94" i="17"/>
  <c r="AP96" i="17"/>
  <c r="AP110" i="17"/>
  <c r="AP124" i="17"/>
  <c r="AP98" i="17"/>
  <c r="AP114" i="17"/>
  <c r="AP111" i="17"/>
  <c r="AP120" i="17"/>
  <c r="AP115" i="17"/>
  <c r="AP123" i="17"/>
  <c r="AP95" i="17"/>
  <c r="AP100" i="17"/>
  <c r="AP97" i="17"/>
  <c r="AP105" i="17"/>
  <c r="AP104" i="17"/>
  <c r="AP106" i="17"/>
  <c r="AP103" i="17"/>
  <c r="AP112" i="17"/>
  <c r="Y42" i="8"/>
  <c r="Y43" i="8"/>
  <c r="AA55" i="17"/>
  <c r="F87" i="17"/>
  <c r="AM104" i="17"/>
  <c r="AM107" i="17"/>
  <c r="AM122" i="17"/>
  <c r="AM99" i="17"/>
  <c r="AM95" i="17"/>
  <c r="AM117" i="17"/>
  <c r="AM102" i="17"/>
  <c r="AM116" i="17"/>
  <c r="AM115" i="17"/>
  <c r="AM100" i="17"/>
  <c r="AM118" i="17"/>
  <c r="AM108" i="17"/>
  <c r="AM109" i="17"/>
  <c r="AM121" i="17"/>
  <c r="AM106" i="17"/>
  <c r="AM120" i="17"/>
  <c r="AM105" i="17"/>
  <c r="AM97" i="17"/>
  <c r="AM114" i="17"/>
  <c r="AM119" i="17"/>
  <c r="AM96" i="17"/>
  <c r="AM113" i="17"/>
  <c r="AM112" i="17"/>
  <c r="AM94" i="17"/>
  <c r="AM98" i="17"/>
  <c r="AM110" i="17"/>
  <c r="AM103" i="17"/>
  <c r="AM123" i="17"/>
  <c r="AM101" i="17"/>
  <c r="AM124" i="17"/>
  <c r="AM111" i="17"/>
  <c r="AA63" i="17"/>
  <c r="AA66" i="17"/>
  <c r="DV43" i="4"/>
  <c r="F86" i="17"/>
  <c r="AA70" i="17"/>
  <c r="AK123" i="17"/>
  <c r="AK117" i="17"/>
  <c r="AK102" i="17"/>
  <c r="AK118" i="17"/>
  <c r="AK110" i="17"/>
  <c r="AK101" i="17"/>
  <c r="AK119" i="17"/>
  <c r="AK103" i="17"/>
  <c r="AK124" i="17"/>
  <c r="AK113" i="17"/>
  <c r="AK100" i="17"/>
  <c r="AK116" i="17"/>
  <c r="AK108" i="17"/>
  <c r="AK99" i="17"/>
  <c r="AK115" i="17"/>
  <c r="AK98" i="17"/>
  <c r="AK122" i="17"/>
  <c r="AK109" i="17"/>
  <c r="AK96" i="17"/>
  <c r="AK114" i="17"/>
  <c r="AK106" i="17"/>
  <c r="AK97" i="17"/>
  <c r="AK111" i="17"/>
  <c r="AK94" i="17"/>
  <c r="AK121" i="17"/>
  <c r="AK105" i="17"/>
  <c r="AK120" i="17"/>
  <c r="AK112" i="17"/>
  <c r="AK104" i="17"/>
  <c r="AK95" i="17"/>
  <c r="AK107" i="17"/>
  <c r="EB19" i="17"/>
  <c r="BV21" i="4"/>
  <c r="CQ30" i="4"/>
  <c r="CR30" i="4"/>
  <c r="CQ14" i="4"/>
  <c r="DF24" i="1"/>
  <c r="DT50" i="1" s="1"/>
  <c r="DU50" i="1"/>
  <c r="DG23" i="1"/>
  <c r="CQ21" i="4"/>
  <c r="CR21" i="4"/>
  <c r="CQ26" i="4"/>
  <c r="CR26" i="4"/>
  <c r="CL12" i="4"/>
  <c r="BA12" i="1"/>
  <c r="CQ22" i="4"/>
  <c r="CR22" i="4"/>
  <c r="AC84" i="4"/>
  <c r="CZ41" i="4"/>
  <c r="CR41" i="4"/>
  <c r="DA41" i="4"/>
  <c r="CQ41" i="4"/>
  <c r="L17" i="18"/>
  <c r="L11" i="18" s="1"/>
  <c r="L12" i="18" s="1"/>
  <c r="ES46" i="4"/>
  <c r="ET48" i="4" s="1"/>
  <c r="D6" i="15"/>
  <c r="G44" i="1"/>
  <c r="DW57" i="1" s="1"/>
  <c r="FF11" i="4"/>
  <c r="FG11" i="4"/>
  <c r="FH11" i="4"/>
  <c r="FE11" i="4"/>
  <c r="CN47" i="4"/>
  <c r="CN48" i="4"/>
  <c r="CN49" i="4"/>
  <c r="L11" i="1"/>
  <c r="AZ87" i="4" l="1"/>
  <c r="BD87" i="4"/>
  <c r="AZ88" i="4"/>
  <c r="DA28" i="4"/>
  <c r="CZ28" i="4"/>
  <c r="E87" i="4"/>
  <c r="E88" i="4"/>
  <c r="Z112" i="4"/>
  <c r="AA112" i="4"/>
  <c r="DB41" i="4"/>
  <c r="AV17" i="1"/>
  <c r="AV24" i="1"/>
  <c r="AA31" i="1"/>
  <c r="AV22" i="1"/>
  <c r="Z24" i="8"/>
  <c r="AV19" i="1"/>
  <c r="AA26" i="1"/>
  <c r="R32" i="1"/>
  <c r="AV39" i="1"/>
  <c r="Y14" i="1"/>
  <c r="AV28" i="1"/>
  <c r="CU31" i="4"/>
  <c r="R31" i="1"/>
  <c r="AA11" i="1"/>
  <c r="AV18" i="1"/>
  <c r="AP35" i="1"/>
  <c r="AP33" i="1"/>
  <c r="Z104" i="4"/>
  <c r="AV13" i="1"/>
  <c r="R35" i="1"/>
  <c r="Z37" i="8"/>
  <c r="AA15" i="1"/>
  <c r="AV29" i="1"/>
  <c r="DR30" i="4"/>
  <c r="Y12" i="1"/>
  <c r="Y26" i="1"/>
  <c r="AQ32" i="4"/>
  <c r="AA14" i="1"/>
  <c r="Y11" i="1"/>
  <c r="AP13" i="4"/>
  <c r="AV16" i="1"/>
  <c r="AV30" i="1"/>
  <c r="AV37" i="1"/>
  <c r="R17" i="1"/>
  <c r="DB29" i="4"/>
  <c r="T36" i="1"/>
  <c r="Y15" i="1"/>
  <c r="AV12" i="1"/>
  <c r="AN23" i="1"/>
  <c r="AA93" i="4"/>
  <c r="AM23" i="1"/>
  <c r="T34" i="1"/>
  <c r="DB30" i="4"/>
  <c r="DB31" i="4"/>
  <c r="R19" i="1"/>
  <c r="AP19" i="4"/>
  <c r="AN35" i="1"/>
  <c r="Y31" i="1"/>
  <c r="AV36" i="1"/>
  <c r="AP15" i="1"/>
  <c r="AA12" i="1"/>
  <c r="R12" i="1"/>
  <c r="T37" i="1"/>
  <c r="AP17" i="4"/>
  <c r="T12" i="1"/>
  <c r="AQ16" i="4"/>
  <c r="AV25" i="1"/>
  <c r="AV32" i="1"/>
  <c r="Z101" i="4"/>
  <c r="H12" i="14"/>
  <c r="CS30" i="4"/>
  <c r="CY28" i="4"/>
  <c r="DO13" i="4"/>
  <c r="DO12" i="4"/>
  <c r="DN14" i="4"/>
  <c r="AP34" i="4"/>
  <c r="AQ37" i="4"/>
  <c r="T11" i="1"/>
  <c r="CK11" i="1" s="1"/>
  <c r="AP11" i="4"/>
  <c r="CK17" i="4"/>
  <c r="EC17" i="4"/>
  <c r="CM17" i="4"/>
  <c r="AR88" i="4"/>
  <c r="FH34" i="4"/>
  <c r="AP34" i="1" s="1"/>
  <c r="FF31" i="4"/>
  <c r="FI25" i="4"/>
  <c r="FJ25" i="4"/>
  <c r="FG39" i="4"/>
  <c r="HO12" i="4"/>
  <c r="CU34" i="4"/>
  <c r="FG14" i="4"/>
  <c r="FH14" i="4"/>
  <c r="AP14" i="1" s="1"/>
  <c r="CJ12" i="1"/>
  <c r="CY12" i="4"/>
  <c r="CN14" i="4"/>
  <c r="CY14" i="4"/>
  <c r="CR14" i="4"/>
  <c r="FH12" i="4"/>
  <c r="CP14" i="4"/>
  <c r="AP14" i="4"/>
  <c r="T14" i="1"/>
  <c r="DL14" i="4"/>
  <c r="BA15" i="1"/>
  <c r="CN15" i="4"/>
  <c r="H87" i="4"/>
  <c r="AC87" i="4"/>
  <c r="CQ28" i="4"/>
  <c r="CZ34" i="4"/>
  <c r="AQ14" i="4"/>
  <c r="D13" i="2"/>
  <c r="G13" i="2" s="1"/>
  <c r="F14" i="3" s="1"/>
  <c r="CR25" i="4"/>
  <c r="DW56" i="1"/>
  <c r="CL15" i="4"/>
  <c r="C87" i="4"/>
  <c r="FH36" i="4"/>
  <c r="DW55" i="1"/>
  <c r="DW12" i="1" s="1"/>
  <c r="BK87" i="4"/>
  <c r="BK88" i="4"/>
  <c r="BW87" i="4"/>
  <c r="BS87" i="4"/>
  <c r="BV87" i="4"/>
  <c r="BM87" i="4"/>
  <c r="BB87" i="4"/>
  <c r="BU87" i="4"/>
  <c r="BN87" i="4"/>
  <c r="BQ87" i="4"/>
  <c r="BT87" i="4"/>
  <c r="BL87" i="4"/>
  <c r="BA87" i="4"/>
  <c r="BC88" i="4"/>
  <c r="BE88" i="4"/>
  <c r="AW88" i="4"/>
  <c r="BD88" i="4"/>
  <c r="DT15" i="1"/>
  <c r="DT58" i="1"/>
  <c r="W15" i="1"/>
  <c r="AK15" i="1"/>
  <c r="AY88" i="4"/>
  <c r="BF88" i="4"/>
  <c r="AY87" i="4"/>
  <c r="AX87" i="4"/>
  <c r="BE87" i="4"/>
  <c r="BC87" i="4"/>
  <c r="DK15" i="4"/>
  <c r="DM15" i="4"/>
  <c r="FH31" i="4"/>
  <c r="FE36" i="4"/>
  <c r="FG13" i="4"/>
  <c r="T31" i="1"/>
  <c r="FG12" i="4"/>
  <c r="FF13" i="4"/>
  <c r="CU14" i="4"/>
  <c r="AP31" i="4"/>
  <c r="FF12" i="4"/>
  <c r="AQ31" i="4"/>
  <c r="FE31" i="4"/>
  <c r="AQ34" i="4"/>
  <c r="CY34" i="4"/>
  <c r="FF32" i="4"/>
  <c r="FJ30" i="4"/>
  <c r="FH32" i="4"/>
  <c r="T13" i="1"/>
  <c r="AQ17" i="4"/>
  <c r="AP37" i="4"/>
  <c r="AA24" i="8"/>
  <c r="CU11" i="4"/>
  <c r="CU13" i="4"/>
  <c r="CU17" i="4"/>
  <c r="T17" i="1"/>
  <c r="AQ13" i="4"/>
  <c r="FK16" i="4"/>
  <c r="Z16" i="8"/>
  <c r="Z94" i="4"/>
  <c r="Z91" i="4"/>
  <c r="L13" i="1"/>
  <c r="AA85" i="4"/>
  <c r="L12" i="1"/>
  <c r="Z87" i="4"/>
  <c r="Z21" i="8"/>
  <c r="L19" i="1"/>
  <c r="Z17" i="8"/>
  <c r="Z18" i="8"/>
  <c r="L17" i="1"/>
  <c r="Z85" i="4"/>
  <c r="L16" i="1"/>
  <c r="Z92" i="4"/>
  <c r="CQ12" i="4"/>
  <c r="T41" i="1"/>
  <c r="CZ12" i="4"/>
  <c r="CN12" i="4"/>
  <c r="AP16" i="4"/>
  <c r="DA12" i="4"/>
  <c r="T16" i="1"/>
  <c r="FI16" i="4"/>
  <c r="FJ16" i="4"/>
  <c r="FF34" i="4"/>
  <c r="FE39" i="4"/>
  <c r="AU85" i="4"/>
  <c r="DW11" i="1"/>
  <c r="DW13" i="1"/>
  <c r="DB28" i="4"/>
  <c r="FK25" i="4"/>
  <c r="DB17" i="4"/>
  <c r="CR34" i="4"/>
  <c r="AP32" i="4"/>
  <c r="CQ34" i="4"/>
  <c r="CQ25" i="4"/>
  <c r="CH8" i="1"/>
  <c r="AA38" i="8"/>
  <c r="T32" i="1"/>
  <c r="AU87" i="4"/>
  <c r="AV88" i="4"/>
  <c r="AV87" i="4"/>
  <c r="AX88" i="4"/>
  <c r="AJ42" i="8"/>
  <c r="CS37" i="4"/>
  <c r="AP12" i="4"/>
  <c r="FE34" i="4"/>
  <c r="FF39" i="4"/>
  <c r="AJ43" i="8"/>
  <c r="U28" i="16" s="1"/>
  <c r="CY39" i="4"/>
  <c r="CU12" i="4"/>
  <c r="AQ12" i="4"/>
  <c r="CR39" i="4"/>
  <c r="FG34" i="4"/>
  <c r="FH39" i="4"/>
  <c r="AQ39" i="4"/>
  <c r="CQ39" i="4"/>
  <c r="AP39" i="4"/>
  <c r="FJ28" i="4"/>
  <c r="FK28" i="4"/>
  <c r="FI28" i="4"/>
  <c r="CP11" i="4"/>
  <c r="FG20" i="4"/>
  <c r="C88" i="4"/>
  <c r="AC88" i="4"/>
  <c r="FG21" i="4"/>
  <c r="AA18" i="8"/>
  <c r="AA17" i="8"/>
  <c r="CN16" i="4"/>
  <c r="DM16" i="4"/>
  <c r="DK16" i="4"/>
  <c r="CL16" i="4"/>
  <c r="BA16" i="1"/>
  <c r="DT59" i="1"/>
  <c r="W16" i="1"/>
  <c r="AK16" i="1"/>
  <c r="DT16" i="1"/>
  <c r="BQ88" i="4"/>
  <c r="BS88" i="4"/>
  <c r="BM88" i="4"/>
  <c r="BT88" i="4"/>
  <c r="BN88" i="4"/>
  <c r="BA88" i="4"/>
  <c r="BV88" i="4"/>
  <c r="BB88" i="4"/>
  <c r="BU88" i="4"/>
  <c r="BL88" i="4"/>
  <c r="A88" i="4"/>
  <c r="H88" i="4"/>
  <c r="DU60" i="1"/>
  <c r="C17" i="1"/>
  <c r="DU17" i="1"/>
  <c r="DS17" i="1" s="1"/>
  <c r="DG12" i="1" s="1"/>
  <c r="DF12" i="1" s="1"/>
  <c r="DJ17" i="4"/>
  <c r="X17" i="1"/>
  <c r="AQ89" i="4" s="1"/>
  <c r="AP89" i="4" s="1"/>
  <c r="B89" i="4"/>
  <c r="A14" i="10"/>
  <c r="CP60" i="1"/>
  <c r="AL17" i="1"/>
  <c r="CD17" i="1"/>
  <c r="CJ17" i="1" s="1"/>
  <c r="DC17" i="1"/>
  <c r="D18" i="1"/>
  <c r="HO15" i="4"/>
  <c r="CR24" i="4"/>
  <c r="DA24" i="4"/>
  <c r="DA23" i="4"/>
  <c r="AA100" i="4"/>
  <c r="DA25" i="4"/>
  <c r="CL16" i="1"/>
  <c r="CL15" i="1"/>
  <c r="CL13" i="1"/>
  <c r="FF19" i="4"/>
  <c r="CQ24" i="4"/>
  <c r="C26" i="18"/>
  <c r="CR28" i="4"/>
  <c r="CY24" i="4"/>
  <c r="AP24" i="4"/>
  <c r="FF16" i="4"/>
  <c r="AA21" i="8"/>
  <c r="AQ11" i="4"/>
  <c r="FH16" i="4"/>
  <c r="FE16" i="4"/>
  <c r="FG16" i="4"/>
  <c r="AA11" i="8"/>
  <c r="AA23" i="8"/>
  <c r="AA22" i="8"/>
  <c r="DA36" i="4"/>
  <c r="DB21" i="4"/>
  <c r="E83" i="4"/>
  <c r="FE32" i="4"/>
  <c r="FG32" i="4"/>
  <c r="CY11" i="4"/>
  <c r="DB22" i="4"/>
  <c r="HO13" i="4"/>
  <c r="HO11" i="4"/>
  <c r="T19" i="1"/>
  <c r="CJ16" i="1"/>
  <c r="DQ30" i="4"/>
  <c r="Z15" i="8"/>
  <c r="DQ15" i="4"/>
  <c r="DR15" i="4"/>
  <c r="Z19" i="8"/>
  <c r="DR19" i="4"/>
  <c r="DQ19" i="4"/>
  <c r="DR16" i="4"/>
  <c r="DQ16" i="4"/>
  <c r="DR27" i="4"/>
  <c r="DQ27" i="4"/>
  <c r="Z27" i="8"/>
  <c r="DR20" i="4"/>
  <c r="DQ20" i="4"/>
  <c r="Z25" i="8"/>
  <c r="DR25" i="4"/>
  <c r="DQ25" i="4"/>
  <c r="Z20" i="8"/>
  <c r="DR24" i="4"/>
  <c r="DQ24" i="4"/>
  <c r="DR17" i="4"/>
  <c r="DQ17" i="4"/>
  <c r="DQ18" i="4"/>
  <c r="DR18" i="4"/>
  <c r="AU88" i="4"/>
  <c r="BR88" i="4"/>
  <c r="AA28" i="8"/>
  <c r="CJ14" i="1"/>
  <c r="DB26" i="4"/>
  <c r="AQ19" i="4"/>
  <c r="CU19" i="4"/>
  <c r="HO14" i="4"/>
  <c r="FI29" i="4"/>
  <c r="FJ29" i="4"/>
  <c r="FK29" i="4"/>
  <c r="DB35" i="4"/>
  <c r="E86" i="4"/>
  <c r="FF17" i="4"/>
  <c r="S42" i="8"/>
  <c r="AA47" i="8" s="1"/>
  <c r="AC47" i="8" s="1"/>
  <c r="AA32" i="8"/>
  <c r="FF36" i="4"/>
  <c r="S43" i="8"/>
  <c r="CZ11" i="4"/>
  <c r="AA31" i="8"/>
  <c r="FG36" i="4"/>
  <c r="DB27" i="4"/>
  <c r="DA11" i="4"/>
  <c r="FE19" i="4"/>
  <c r="CR11" i="4"/>
  <c r="CN11" i="4"/>
  <c r="FJ17" i="4"/>
  <c r="FI17" i="4"/>
  <c r="FK17" i="4"/>
  <c r="DQ34" i="4"/>
  <c r="Z34" i="8"/>
  <c r="DR34" i="4"/>
  <c r="Z28" i="8"/>
  <c r="DR28" i="4"/>
  <c r="DQ28" i="4"/>
  <c r="DQ36" i="4"/>
  <c r="Z36" i="8"/>
  <c r="DR36" i="4"/>
  <c r="Z40" i="8"/>
  <c r="DQ40" i="4"/>
  <c r="DR40" i="4"/>
  <c r="Z35" i="8"/>
  <c r="DR35" i="4"/>
  <c r="DQ35" i="4"/>
  <c r="Z33" i="8"/>
  <c r="DQ33" i="4"/>
  <c r="DR33" i="4"/>
  <c r="DR31" i="4"/>
  <c r="DQ31" i="4"/>
  <c r="Z31" i="8"/>
  <c r="Z32" i="8"/>
  <c r="DR32" i="4"/>
  <c r="DQ32" i="4"/>
  <c r="AV89" i="4"/>
  <c r="AV86" i="4"/>
  <c r="Z39" i="8"/>
  <c r="DR39" i="4"/>
  <c r="DQ39" i="4"/>
  <c r="Z29" i="8"/>
  <c r="DQ29" i="4"/>
  <c r="DR29" i="4"/>
  <c r="DQ37" i="4"/>
  <c r="DR37" i="4"/>
  <c r="BR86" i="4"/>
  <c r="DW14" i="1"/>
  <c r="BC15" i="8"/>
  <c r="BC16" i="8" s="1"/>
  <c r="AX16" i="18"/>
  <c r="AX29" i="18" s="1"/>
  <c r="AY7" i="18" s="1"/>
  <c r="AA30" i="8"/>
  <c r="AA34" i="8"/>
  <c r="AM35" i="1"/>
  <c r="R41" i="1"/>
  <c r="AV41" i="1"/>
  <c r="FF41" i="4"/>
  <c r="FE41" i="4"/>
  <c r="FG41" i="4"/>
  <c r="FH41" i="4"/>
  <c r="FH19" i="4"/>
  <c r="DM39" i="1"/>
  <c r="G114" i="4"/>
  <c r="DB38" i="4"/>
  <c r="DB39" i="4"/>
  <c r="FE17" i="4"/>
  <c r="CF48" i="1"/>
  <c r="CN48" i="1"/>
  <c r="DW40" i="17"/>
  <c r="FG17" i="4"/>
  <c r="D10" i="2"/>
  <c r="FH17" i="4"/>
  <c r="HO16" i="4"/>
  <c r="AA102" i="4"/>
  <c r="AA99" i="4"/>
  <c r="AQ18" i="4"/>
  <c r="Z109" i="4"/>
  <c r="AM14" i="1"/>
  <c r="AN26" i="1"/>
  <c r="L25" i="1"/>
  <c r="AA27" i="8"/>
  <c r="L18" i="1"/>
  <c r="R28" i="1"/>
  <c r="CW34" i="4"/>
  <c r="AA37" i="8"/>
  <c r="AA35" i="8"/>
  <c r="AN37" i="1"/>
  <c r="AM38" i="1"/>
  <c r="Y13" i="1"/>
  <c r="AQ20" i="4"/>
  <c r="AM15" i="1"/>
  <c r="AQ24" i="4"/>
  <c r="AV27" i="1"/>
  <c r="CW32" i="4"/>
  <c r="R36" i="1"/>
  <c r="AA104" i="4"/>
  <c r="Z88" i="4"/>
  <c r="AA109" i="4"/>
  <c r="AA105" i="4"/>
  <c r="R22" i="1"/>
  <c r="AP13" i="1"/>
  <c r="AI112" i="4"/>
  <c r="L20" i="1"/>
  <c r="AN15" i="1"/>
  <c r="L24" i="1"/>
  <c r="CW35" i="4"/>
  <c r="L36" i="1"/>
  <c r="DR41" i="4"/>
  <c r="DQ41" i="4"/>
  <c r="AN33" i="1"/>
  <c r="L41" i="1"/>
  <c r="Z89" i="4"/>
  <c r="CW31" i="4"/>
  <c r="CV23" i="4"/>
  <c r="AA94" i="4"/>
  <c r="CW16" i="4"/>
  <c r="AM13" i="1"/>
  <c r="CU28" i="4"/>
  <c r="R25" i="1"/>
  <c r="L27" i="1"/>
  <c r="AM31" i="1"/>
  <c r="AA98" i="4"/>
  <c r="AA86" i="4"/>
  <c r="Z102" i="4"/>
  <c r="AA110" i="4"/>
  <c r="AA90" i="4"/>
  <c r="AA91" i="4"/>
  <c r="L22" i="1"/>
  <c r="AA26" i="8"/>
  <c r="CU25" i="4"/>
  <c r="DB32" i="4"/>
  <c r="L29" i="1"/>
  <c r="AN34" i="1"/>
  <c r="AM12" i="1"/>
  <c r="AA36" i="8"/>
  <c r="CW15" i="4"/>
  <c r="DB40" i="4"/>
  <c r="AA39" i="8"/>
  <c r="DB15" i="4"/>
  <c r="AA89" i="4"/>
  <c r="AA13" i="1"/>
  <c r="R20" i="1"/>
  <c r="R24" i="1"/>
  <c r="AA33" i="1"/>
  <c r="DQ21" i="4"/>
  <c r="DR21" i="4"/>
  <c r="AA101" i="4"/>
  <c r="AA113" i="4"/>
  <c r="Z93" i="4"/>
  <c r="Z110" i="4"/>
  <c r="DB20" i="4"/>
  <c r="R29" i="1"/>
  <c r="AN38" i="1"/>
  <c r="AA111" i="4"/>
  <c r="DB13" i="4"/>
  <c r="CU21" i="4"/>
  <c r="AA107" i="4"/>
  <c r="AP26" i="1"/>
  <c r="L30" i="1"/>
  <c r="AP37" i="1"/>
  <c r="Z113" i="4"/>
  <c r="Z86" i="4"/>
  <c r="L21" i="1"/>
  <c r="HN42" i="4"/>
  <c r="O17" i="16" s="1"/>
  <c r="O18" i="16" s="1"/>
  <c r="Z90" i="4"/>
  <c r="Z111" i="4"/>
  <c r="AA92" i="4"/>
  <c r="DB19" i="4"/>
  <c r="AN14" i="1"/>
  <c r="DB25" i="4"/>
  <c r="AM26" i="1"/>
  <c r="CU27" i="4"/>
  <c r="L28" i="1"/>
  <c r="AA29" i="8"/>
  <c r="R18" i="1"/>
  <c r="CU30" i="4"/>
  <c r="R27" i="1"/>
  <c r="AP12" i="1"/>
  <c r="AA33" i="8"/>
  <c r="R30" i="1"/>
  <c r="AM37" i="1"/>
  <c r="AP38" i="1"/>
  <c r="CW39" i="4"/>
  <c r="DB16" i="4"/>
  <c r="AA88" i="4"/>
  <c r="FG19" i="4"/>
  <c r="CW17" i="4"/>
  <c r="AA103" i="4"/>
  <c r="CW33" i="4"/>
  <c r="DB37" i="4"/>
  <c r="CU36" i="4"/>
  <c r="AP40" i="1"/>
  <c r="CW37" i="4"/>
  <c r="AM33" i="1"/>
  <c r="CV26" i="4"/>
  <c r="AA20" i="8"/>
  <c r="AA41" i="8"/>
  <c r="EA41" i="17"/>
  <c r="AA25" i="8"/>
  <c r="HM42" i="4"/>
  <c r="O9" i="16" s="1"/>
  <c r="O10" i="16" s="1"/>
  <c r="AA13" i="8"/>
  <c r="AA19" i="8"/>
  <c r="AA16" i="8"/>
  <c r="AA15" i="8"/>
  <c r="AD11" i="17"/>
  <c r="CG13" i="4" s="1"/>
  <c r="AD12" i="17"/>
  <c r="CG14" i="4" s="1"/>
  <c r="AQ36" i="4"/>
  <c r="AP36" i="4"/>
  <c r="DB18" i="4"/>
  <c r="AA12" i="8"/>
  <c r="T21" i="1"/>
  <c r="DB33" i="4"/>
  <c r="BV42" i="4"/>
  <c r="FK27" i="4"/>
  <c r="FJ27" i="4"/>
  <c r="FI27" i="4"/>
  <c r="FH24" i="4"/>
  <c r="FG24" i="4"/>
  <c r="FF24" i="4"/>
  <c r="FE24" i="4"/>
  <c r="T24" i="1"/>
  <c r="CU24" i="4"/>
  <c r="CY36" i="4"/>
  <c r="CQ36" i="4"/>
  <c r="CR36" i="4"/>
  <c r="FE20" i="4"/>
  <c r="FF20" i="4"/>
  <c r="FH20" i="4"/>
  <c r="G42" i="4"/>
  <c r="BP45" i="4" s="1"/>
  <c r="BQ46" i="4" s="1"/>
  <c r="AD10" i="17"/>
  <c r="CG12" i="4" s="1"/>
  <c r="EB41" i="17"/>
  <c r="F114" i="4"/>
  <c r="AU89" i="4"/>
  <c r="AV20" i="1"/>
  <c r="BR42" i="4"/>
  <c r="AQ21" i="4"/>
  <c r="CU20" i="4"/>
  <c r="T20" i="1"/>
  <c r="AP20" i="4"/>
  <c r="AW26" i="18"/>
  <c r="AW24" i="18"/>
  <c r="AX14" i="18"/>
  <c r="E84" i="4"/>
  <c r="E85" i="4"/>
  <c r="E15" i="1"/>
  <c r="CL14" i="1"/>
  <c r="CL17" i="1"/>
  <c r="DW41" i="17"/>
  <c r="AQ41" i="4"/>
  <c r="AP41" i="4"/>
  <c r="B78" i="4"/>
  <c r="A79" i="4"/>
  <c r="AP80" i="4"/>
  <c r="AQ79" i="4"/>
  <c r="AP21" i="4"/>
  <c r="DT38" i="17"/>
  <c r="DT39" i="17"/>
  <c r="DT36" i="17"/>
  <c r="DT35" i="17"/>
  <c r="DT34" i="17"/>
  <c r="T29" i="1"/>
  <c r="AQ29" i="4"/>
  <c r="AP29" i="4"/>
  <c r="CU29" i="4"/>
  <c r="FE29" i="4"/>
  <c r="FH29" i="4"/>
  <c r="FF29" i="4"/>
  <c r="FG29" i="4"/>
  <c r="DT33" i="17"/>
  <c r="DT32" i="17"/>
  <c r="DT31" i="17"/>
  <c r="AQ25" i="4"/>
  <c r="FI30" i="4"/>
  <c r="FK30" i="4"/>
  <c r="FF30" i="4"/>
  <c r="FE30" i="4"/>
  <c r="FH30" i="4"/>
  <c r="FG30" i="4"/>
  <c r="AP25" i="4"/>
  <c r="H42" i="4"/>
  <c r="T25" i="1"/>
  <c r="FE18" i="4"/>
  <c r="FH18" i="4"/>
  <c r="FI18" i="4"/>
  <c r="FF18" i="4"/>
  <c r="FJ18" i="4"/>
  <c r="FG18" i="4"/>
  <c r="DT28" i="17"/>
  <c r="DT30" i="17"/>
  <c r="DT29" i="17"/>
  <c r="CU18" i="4"/>
  <c r="T18" i="1"/>
  <c r="AP18" i="4"/>
  <c r="AP30" i="4"/>
  <c r="AQ30" i="4"/>
  <c r="T30" i="1"/>
  <c r="FH27" i="4"/>
  <c r="FG27" i="4"/>
  <c r="FF27" i="4"/>
  <c r="FE27" i="4"/>
  <c r="FH28" i="4"/>
  <c r="FF28" i="4"/>
  <c r="FE28" i="4"/>
  <c r="FG28" i="4"/>
  <c r="DT24" i="17"/>
  <c r="AP27" i="4"/>
  <c r="AQ27" i="4"/>
  <c r="T27" i="1"/>
  <c r="DT27" i="17"/>
  <c r="DT25" i="17"/>
  <c r="FE25" i="4"/>
  <c r="FG25" i="4"/>
  <c r="FF25" i="4"/>
  <c r="FH25" i="4"/>
  <c r="DT26" i="17"/>
  <c r="R21" i="1"/>
  <c r="AC42" i="4"/>
  <c r="BP49" i="4" s="1"/>
  <c r="BQ50" i="4" s="1"/>
  <c r="T28" i="1"/>
  <c r="AQ28" i="4"/>
  <c r="AP28" i="4"/>
  <c r="CJ42" i="4"/>
  <c r="CY23" i="4"/>
  <c r="AP23" i="4"/>
  <c r="AQ23" i="4"/>
  <c r="DT23" i="17"/>
  <c r="DT22" i="17"/>
  <c r="FF22" i="4"/>
  <c r="FE22" i="4"/>
  <c r="FG22" i="4"/>
  <c r="FH22" i="4"/>
  <c r="DT21" i="17"/>
  <c r="FE21" i="4"/>
  <c r="FF21" i="4"/>
  <c r="FH21" i="4"/>
  <c r="T22" i="1"/>
  <c r="AP22" i="4"/>
  <c r="AQ22" i="4"/>
  <c r="CU22" i="4"/>
  <c r="DT20" i="17"/>
  <c r="CX43" i="4"/>
  <c r="CX42" i="4"/>
  <c r="DT18" i="17"/>
  <c r="DT17" i="17"/>
  <c r="DT19" i="17"/>
  <c r="DW60" i="1"/>
  <c r="DT15" i="17"/>
  <c r="AD15" i="17"/>
  <c r="CG17" i="4" s="1"/>
  <c r="DT16" i="17"/>
  <c r="AD16" i="17"/>
  <c r="CG18" i="4" s="1"/>
  <c r="DT14" i="17"/>
  <c r="AD14" i="17"/>
  <c r="CG16" i="4" s="1"/>
  <c r="CJ43" i="4"/>
  <c r="CR23" i="4"/>
  <c r="CQ23" i="4"/>
  <c r="DT13" i="17"/>
  <c r="AA86" i="17"/>
  <c r="AA87" i="17"/>
  <c r="CP48" i="1"/>
  <c r="AD9" i="17"/>
  <c r="CG11" i="4" s="1"/>
  <c r="DT9" i="17"/>
  <c r="CP12" i="4"/>
  <c r="DF23" i="1"/>
  <c r="DT49" i="1" s="1"/>
  <c r="DU49" i="1"/>
  <c r="DG22" i="1"/>
  <c r="AN11" i="1"/>
  <c r="DX54" i="1"/>
  <c r="AM11" i="1"/>
  <c r="AP11" i="1"/>
  <c r="C4" i="16"/>
  <c r="DW58" i="1"/>
  <c r="D20" i="2"/>
  <c r="W4" i="16"/>
  <c r="EM17" i="1"/>
  <c r="DI39" i="1"/>
  <c r="E46" i="16"/>
  <c r="E48" i="16" s="1"/>
  <c r="E12" i="14"/>
  <c r="DW59" i="1"/>
  <c r="AS17" i="4" l="1"/>
  <c r="AP19" i="1"/>
  <c r="AN36" i="1"/>
  <c r="AA29" i="1"/>
  <c r="AM32" i="1"/>
  <c r="AA96" i="4"/>
  <c r="AA28" i="1"/>
  <c r="CS43" i="4"/>
  <c r="AM39" i="1"/>
  <c r="Z84" i="4"/>
  <c r="AI96" i="4"/>
  <c r="AP32" i="1"/>
  <c r="AA25" i="1"/>
  <c r="AP17" i="1"/>
  <c r="AI102" i="4"/>
  <c r="AA17" i="1"/>
  <c r="AM19" i="1"/>
  <c r="AI103" i="4"/>
  <c r="AI104" i="4"/>
  <c r="AM16" i="1"/>
  <c r="AN16" i="1"/>
  <c r="AN39" i="1"/>
  <c r="Y30" i="1"/>
  <c r="AN31" i="1"/>
  <c r="DB12" i="4"/>
  <c r="CV39" i="4"/>
  <c r="CW14" i="4"/>
  <c r="CV14" i="4" s="1"/>
  <c r="Y17" i="1"/>
  <c r="CW19" i="4"/>
  <c r="AI100" i="4"/>
  <c r="DB11" i="4"/>
  <c r="AP16" i="1"/>
  <c r="Y28" i="1"/>
  <c r="AP39" i="1"/>
  <c r="CW12" i="4"/>
  <c r="CV12" i="4" s="1"/>
  <c r="AM34" i="1"/>
  <c r="AA106" i="4"/>
  <c r="Y16" i="1"/>
  <c r="CW13" i="4"/>
  <c r="CV13" i="4" s="1"/>
  <c r="AN32" i="1"/>
  <c r="AN13" i="1"/>
  <c r="AM36" i="1"/>
  <c r="AP36" i="1"/>
  <c r="Z97" i="4"/>
  <c r="Z106" i="4"/>
  <c r="DB14" i="4"/>
  <c r="Z100" i="4"/>
  <c r="AM17" i="1"/>
  <c r="AN17" i="1"/>
  <c r="Y29" i="1"/>
  <c r="DB24" i="4"/>
  <c r="AN19" i="1"/>
  <c r="AA97" i="4"/>
  <c r="Z96" i="4"/>
  <c r="AI110" i="4"/>
  <c r="AA16" i="1"/>
  <c r="CW11" i="4"/>
  <c r="DB34" i="4"/>
  <c r="AN12" i="1"/>
  <c r="AP31" i="1"/>
  <c r="Y25" i="1"/>
  <c r="DO14" i="4"/>
  <c r="EC18" i="4"/>
  <c r="CK18" i="4"/>
  <c r="CM18" i="4"/>
  <c r="T54" i="1"/>
  <c r="U56" i="1" s="1"/>
  <c r="R54" i="1"/>
  <c r="S56" i="1" s="1"/>
  <c r="T53" i="1"/>
  <c r="U55" i="1" s="1"/>
  <c r="R53" i="1"/>
  <c r="S55" i="1" s="1"/>
  <c r="CH48" i="1"/>
  <c r="CL12" i="1"/>
  <c r="DW15" i="1"/>
  <c r="E22" i="14"/>
  <c r="AA17" i="18"/>
  <c r="DN15" i="4"/>
  <c r="CP15" i="4"/>
  <c r="DL15" i="4"/>
  <c r="AI83" i="4"/>
  <c r="AA83" i="4"/>
  <c r="AI89" i="4"/>
  <c r="Z83" i="4"/>
  <c r="BO83" i="4" s="1"/>
  <c r="AA84" i="4"/>
  <c r="BX83" i="4"/>
  <c r="BP83" i="4"/>
  <c r="DX11" i="1"/>
  <c r="AT83" i="4"/>
  <c r="AC89" i="4"/>
  <c r="BR89" i="4" s="1"/>
  <c r="CP16" i="4"/>
  <c r="DL16" i="4"/>
  <c r="DN16" i="4"/>
  <c r="C89" i="4"/>
  <c r="AR89" i="4" s="1"/>
  <c r="CN17" i="4"/>
  <c r="DK17" i="4"/>
  <c r="DM17" i="4"/>
  <c r="BM89" i="4"/>
  <c r="BA89" i="4"/>
  <c r="BT89" i="4"/>
  <c r="AX89" i="4"/>
  <c r="BL89" i="4"/>
  <c r="BQ89" i="4"/>
  <c r="AZ89" i="4"/>
  <c r="BS89" i="4"/>
  <c r="BV89" i="4"/>
  <c r="BN89" i="4"/>
  <c r="BU89" i="4"/>
  <c r="BB89" i="4"/>
  <c r="BF89" i="4"/>
  <c r="BE89" i="4"/>
  <c r="BC89" i="4"/>
  <c r="AY89" i="4"/>
  <c r="BW89" i="4"/>
  <c r="BK89" i="4"/>
  <c r="BD89" i="4"/>
  <c r="CL17" i="4"/>
  <c r="BA17" i="1"/>
  <c r="HO17" i="4"/>
  <c r="DC18" i="1"/>
  <c r="X18" i="1"/>
  <c r="AQ90" i="4" s="1"/>
  <c r="AP90" i="4" s="1"/>
  <c r="AL18" i="1"/>
  <c r="C18" i="1"/>
  <c r="DU18" i="1"/>
  <c r="DS18" i="1" s="1"/>
  <c r="DU61" i="1"/>
  <c r="DW61" i="1" s="1"/>
  <c r="CD18" i="1"/>
  <c r="A15" i="10"/>
  <c r="B90" i="4"/>
  <c r="D19" i="1"/>
  <c r="CP61" i="1"/>
  <c r="DJ18" i="4"/>
  <c r="A89" i="4"/>
  <c r="H89" i="4"/>
  <c r="AW89" i="4" s="1"/>
  <c r="W17" i="1"/>
  <c r="AK17" i="1"/>
  <c r="DT60" i="1"/>
  <c r="DT17" i="1"/>
  <c r="BO88" i="4"/>
  <c r="DW16" i="1"/>
  <c r="BP88" i="4"/>
  <c r="AT88" i="4"/>
  <c r="BC17" i="8"/>
  <c r="Z42" i="8"/>
  <c r="Z43" i="8"/>
  <c r="BP86" i="4"/>
  <c r="BO86" i="4"/>
  <c r="AT86" i="4"/>
  <c r="DQ43" i="4"/>
  <c r="L24" i="16" s="1"/>
  <c r="DR43" i="4"/>
  <c r="DQ42" i="4"/>
  <c r="DR42" i="4"/>
  <c r="AP41" i="1"/>
  <c r="AM41" i="1"/>
  <c r="AN41" i="1"/>
  <c r="G10" i="2"/>
  <c r="F20" i="3" s="1"/>
  <c r="H22" i="14"/>
  <c r="AM20" i="1"/>
  <c r="AA27" i="1"/>
  <c r="AI87" i="4"/>
  <c r="AI91" i="4"/>
  <c r="AI94" i="4"/>
  <c r="CR43" i="4"/>
  <c r="AN21" i="1"/>
  <c r="AN22" i="1"/>
  <c r="AP25" i="1"/>
  <c r="AN28" i="1"/>
  <c r="AM18" i="1"/>
  <c r="AP29" i="1"/>
  <c r="AI95" i="4"/>
  <c r="AP20" i="1"/>
  <c r="Z108" i="4"/>
  <c r="DB36" i="4"/>
  <c r="AP24" i="1"/>
  <c r="Y27" i="1"/>
  <c r="AI85" i="4"/>
  <c r="AI93" i="4"/>
  <c r="AI113" i="4"/>
  <c r="AI105" i="4"/>
  <c r="AI98" i="4"/>
  <c r="CV31" i="4"/>
  <c r="AI109" i="4"/>
  <c r="CQ43" i="4"/>
  <c r="AP21" i="1"/>
  <c r="AM22" i="1"/>
  <c r="DB23" i="4"/>
  <c r="AM25" i="1"/>
  <c r="AM28" i="1"/>
  <c r="AN27" i="1"/>
  <c r="CW18" i="4"/>
  <c r="AP18" i="1"/>
  <c r="AN30" i="1"/>
  <c r="AN29" i="1"/>
  <c r="AA95" i="4"/>
  <c r="AP28" i="1"/>
  <c r="AI111" i="4"/>
  <c r="CV15" i="4"/>
  <c r="CV35" i="4"/>
  <c r="CW22" i="4"/>
  <c r="AM21" i="1"/>
  <c r="AP22" i="1"/>
  <c r="AN25" i="1"/>
  <c r="AP27" i="1"/>
  <c r="AN18" i="1"/>
  <c r="AP30" i="1"/>
  <c r="AA30" i="1"/>
  <c r="AM29" i="1"/>
  <c r="CW20" i="4"/>
  <c r="AN20" i="1"/>
  <c r="AM24" i="1"/>
  <c r="AI88" i="4"/>
  <c r="AI92" i="4"/>
  <c r="CV37" i="4"/>
  <c r="AI101" i="4"/>
  <c r="Z95" i="4"/>
  <c r="R44" i="1"/>
  <c r="DL39" i="1" s="1"/>
  <c r="AM27" i="1"/>
  <c r="AM30" i="1"/>
  <c r="CW29" i="4"/>
  <c r="AI86" i="4"/>
  <c r="AA108" i="4"/>
  <c r="CW24" i="4"/>
  <c r="AN24" i="1"/>
  <c r="AI90" i="4"/>
  <c r="AI97" i="4"/>
  <c r="CW36" i="4"/>
  <c r="CV33" i="4"/>
  <c r="CV17" i="4"/>
  <c r="CW30" i="4"/>
  <c r="AI106" i="4"/>
  <c r="CW28" i="4"/>
  <c r="CV16" i="4"/>
  <c r="CV32" i="4"/>
  <c r="CV34" i="4"/>
  <c r="CW27" i="4"/>
  <c r="CV19" i="4"/>
  <c r="CW21" i="4"/>
  <c r="AI108" i="4"/>
  <c r="CW25" i="4"/>
  <c r="AI107" i="4"/>
  <c r="AI99" i="4"/>
  <c r="E14" i="1"/>
  <c r="FK42" i="4"/>
  <c r="AA43" i="8"/>
  <c r="Y12" i="14" s="1"/>
  <c r="CM15" i="1"/>
  <c r="AA42" i="8"/>
  <c r="AI84" i="4"/>
  <c r="CU42" i="4"/>
  <c r="E12" i="1"/>
  <c r="CT15" i="1"/>
  <c r="CN15" i="1"/>
  <c r="FH42" i="4"/>
  <c r="CU43" i="4"/>
  <c r="T44" i="1"/>
  <c r="DX55" i="1" s="1"/>
  <c r="DY55" i="1" s="1"/>
  <c r="FG42" i="4"/>
  <c r="ED58" i="1"/>
  <c r="EE58" i="1" s="1"/>
  <c r="EB58" i="1"/>
  <c r="EC58" i="1" s="1"/>
  <c r="FE42" i="4"/>
  <c r="FF42" i="4"/>
  <c r="AX24" i="18"/>
  <c r="AY21" i="18" s="1"/>
  <c r="AX26" i="18"/>
  <c r="AY25" i="18" s="1"/>
  <c r="AV42" i="1"/>
  <c r="F28" i="2" s="1"/>
  <c r="AV44" i="1"/>
  <c r="D28" i="2" s="1"/>
  <c r="EF58" i="1"/>
  <c r="CW15" i="1"/>
  <c r="CQ15" i="1"/>
  <c r="CU15" i="1"/>
  <c r="BB15" i="1"/>
  <c r="CF15" i="1"/>
  <c r="CX15" i="1"/>
  <c r="CV15" i="1"/>
  <c r="CS15" i="1"/>
  <c r="CH15" i="1"/>
  <c r="CR15" i="1"/>
  <c r="CP15" i="1"/>
  <c r="E16" i="1"/>
  <c r="E11" i="1"/>
  <c r="DZ58" i="1"/>
  <c r="EA58" i="1" s="1"/>
  <c r="E18" i="1"/>
  <c r="E17" i="1"/>
  <c r="DX56" i="1"/>
  <c r="DY56" i="1" s="1"/>
  <c r="DW17" i="1"/>
  <c r="AP79" i="4"/>
  <c r="AQ78" i="4"/>
  <c r="A78" i="4"/>
  <c r="B77" i="4"/>
  <c r="A77" i="4" s="1"/>
  <c r="CY42" i="4"/>
  <c r="CY43" i="4"/>
  <c r="Y18" i="1"/>
  <c r="FJ42" i="4"/>
  <c r="AA18" i="1"/>
  <c r="FI42" i="4"/>
  <c r="AP42" i="4"/>
  <c r="AQ42" i="4"/>
  <c r="CZ43" i="4"/>
  <c r="Q22" i="14" s="1"/>
  <c r="DA43" i="4"/>
  <c r="R22" i="14" s="1"/>
  <c r="DT41" i="17"/>
  <c r="DX61" i="1"/>
  <c r="DT40" i="17"/>
  <c r="DF22" i="1"/>
  <c r="DT48" i="1" s="1"/>
  <c r="DU48" i="1"/>
  <c r="DY54" i="1"/>
  <c r="E13" i="1"/>
  <c r="CV11" i="4"/>
  <c r="AA16" i="18"/>
  <c r="AA18" i="18" s="1"/>
  <c r="C16" i="18"/>
  <c r="CM19" i="4" l="1"/>
  <c r="CK19" i="4"/>
  <c r="EC19" i="4"/>
  <c r="BP87" i="4"/>
  <c r="BO87" i="4"/>
  <c r="BP89" i="4"/>
  <c r="BO89" i="4"/>
  <c r="DO15" i="4"/>
  <c r="CZ15" i="1"/>
  <c r="DB15" i="1" s="1"/>
  <c r="CY15" i="1"/>
  <c r="DA15" i="1" s="1"/>
  <c r="BP85" i="4"/>
  <c r="BO85" i="4"/>
  <c r="BX85" i="4"/>
  <c r="DX13" i="1"/>
  <c r="BX87" i="4"/>
  <c r="DY11" i="1"/>
  <c r="AC90" i="4"/>
  <c r="BR90" i="4" s="1"/>
  <c r="DN17" i="4"/>
  <c r="E89" i="4"/>
  <c r="AT89" i="4" s="1"/>
  <c r="DL17" i="4"/>
  <c r="DO16" i="4"/>
  <c r="CP17" i="4"/>
  <c r="DY61" i="1"/>
  <c r="C90" i="4"/>
  <c r="AR90" i="4" s="1"/>
  <c r="CN18" i="4"/>
  <c r="DX57" i="1"/>
  <c r="DY57" i="1" s="1"/>
  <c r="CL18" i="1"/>
  <c r="CJ18" i="1"/>
  <c r="CL18" i="4"/>
  <c r="HO18" i="4"/>
  <c r="BA18" i="1"/>
  <c r="X19" i="1"/>
  <c r="AQ91" i="4" s="1"/>
  <c r="AP91" i="4" s="1"/>
  <c r="DC19" i="1"/>
  <c r="D20" i="1"/>
  <c r="CD19" i="1"/>
  <c r="AL19" i="1"/>
  <c r="A16" i="10"/>
  <c r="C19" i="1"/>
  <c r="DU62" i="1"/>
  <c r="DW62" i="1" s="1"/>
  <c r="CP62" i="1"/>
  <c r="B91" i="4"/>
  <c r="DJ19" i="4"/>
  <c r="AD17" i="17"/>
  <c r="CG19" i="4" s="1"/>
  <c r="DU19" i="1"/>
  <c r="DS19" i="1" s="1"/>
  <c r="A90" i="4"/>
  <c r="H90" i="4"/>
  <c r="AW90" i="4" s="1"/>
  <c r="DW18" i="1"/>
  <c r="BE90" i="4"/>
  <c r="BC90" i="4"/>
  <c r="AX90" i="4"/>
  <c r="AU90" i="4"/>
  <c r="BD90" i="4"/>
  <c r="BF90" i="4"/>
  <c r="BP90" i="4"/>
  <c r="BV90" i="4"/>
  <c r="BT90" i="4"/>
  <c r="AZ90" i="4"/>
  <c r="BM90" i="4"/>
  <c r="BL90" i="4"/>
  <c r="BN90" i="4"/>
  <c r="BU90" i="4"/>
  <c r="BA90" i="4"/>
  <c r="BB90" i="4"/>
  <c r="BO90" i="4"/>
  <c r="AV90" i="4"/>
  <c r="BX90" i="4"/>
  <c r="BS90" i="4"/>
  <c r="BQ90" i="4"/>
  <c r="BW90" i="4"/>
  <c r="AY90" i="4"/>
  <c r="BK90" i="4"/>
  <c r="DK18" i="4"/>
  <c r="DM18" i="4"/>
  <c r="DT18" i="1"/>
  <c r="DT61" i="1"/>
  <c r="W18" i="1"/>
  <c r="AK18" i="1"/>
  <c r="DX60" i="1"/>
  <c r="DY60" i="1" s="1"/>
  <c r="CM13" i="1"/>
  <c r="DX58" i="1"/>
  <c r="DY58" i="1" s="1"/>
  <c r="EB54" i="1"/>
  <c r="CM11" i="1"/>
  <c r="CN11" i="1"/>
  <c r="CO11" i="1"/>
  <c r="CP11" i="1"/>
  <c r="CM12" i="1"/>
  <c r="CN12" i="1"/>
  <c r="CO12" i="1"/>
  <c r="CP12" i="1"/>
  <c r="ED55" i="1"/>
  <c r="EE55" i="1" s="1"/>
  <c r="CM14" i="1"/>
  <c r="DX59" i="1"/>
  <c r="DY59" i="1" s="1"/>
  <c r="DY16" i="1" s="1"/>
  <c r="CO15" i="1"/>
  <c r="BX88" i="4"/>
  <c r="DY12" i="1"/>
  <c r="BX91" i="4"/>
  <c r="DX12" i="1"/>
  <c r="D12" i="2"/>
  <c r="D22" i="14" s="1"/>
  <c r="CG8" i="1"/>
  <c r="Y44" i="1"/>
  <c r="D43" i="2" s="1"/>
  <c r="BX86" i="4"/>
  <c r="F35" i="16"/>
  <c r="DY14" i="1"/>
  <c r="DX14" i="1"/>
  <c r="AO42" i="1"/>
  <c r="CS8" i="1" s="1"/>
  <c r="CW42" i="4"/>
  <c r="DJ39" i="1"/>
  <c r="BX89" i="4"/>
  <c r="Z114" i="4"/>
  <c r="AN42" i="1"/>
  <c r="CR8" i="1" s="1"/>
  <c r="DB43" i="4"/>
  <c r="EV45" i="4" s="1"/>
  <c r="AP42" i="1"/>
  <c r="D38" i="2" s="1"/>
  <c r="CW43" i="4"/>
  <c r="AM42" i="1"/>
  <c r="D34" i="2" s="1"/>
  <c r="CF14" i="1"/>
  <c r="AA44" i="1"/>
  <c r="D42" i="2" s="1"/>
  <c r="CQ14" i="1"/>
  <c r="CV14" i="1"/>
  <c r="CR14" i="1"/>
  <c r="CX14" i="1"/>
  <c r="CV28" i="4"/>
  <c r="CV29" i="4"/>
  <c r="CV20" i="4"/>
  <c r="CV22" i="4"/>
  <c r="AA114" i="4"/>
  <c r="CV18" i="4"/>
  <c r="CV30" i="4"/>
  <c r="CV36" i="4"/>
  <c r="CV24" i="4"/>
  <c r="DZ57" i="1"/>
  <c r="EA57" i="1" s="1"/>
  <c r="CW14" i="1"/>
  <c r="CT14" i="1"/>
  <c r="CS14" i="1"/>
  <c r="CP14" i="1"/>
  <c r="CN14" i="1"/>
  <c r="EF57" i="1"/>
  <c r="CU14" i="1"/>
  <c r="BB14" i="1"/>
  <c r="CO14" i="1"/>
  <c r="CV25" i="4"/>
  <c r="CV21" i="4"/>
  <c r="CV27" i="4"/>
  <c r="CH14" i="1"/>
  <c r="ED57" i="1"/>
  <c r="EE57" i="1" s="1"/>
  <c r="EB57" i="1"/>
  <c r="EC57" i="1" s="1"/>
  <c r="CE8" i="1"/>
  <c r="CE16" i="1" s="1"/>
  <c r="D9" i="2"/>
  <c r="G22" i="14" s="1"/>
  <c r="DZ55" i="1"/>
  <c r="EA55" i="1" s="1"/>
  <c r="EF55" i="1"/>
  <c r="AI114" i="4"/>
  <c r="CH12" i="1"/>
  <c r="CF12" i="1"/>
  <c r="CV12" i="1"/>
  <c r="CX12" i="1"/>
  <c r="CQ12" i="1"/>
  <c r="CR12" i="1"/>
  <c r="EB55" i="1"/>
  <c r="EC55" i="1" s="1"/>
  <c r="CM18" i="1"/>
  <c r="CT17" i="1"/>
  <c r="CM17" i="1"/>
  <c r="CH16" i="1"/>
  <c r="CM16" i="1"/>
  <c r="CS12" i="1"/>
  <c r="CT12" i="1"/>
  <c r="CG12" i="1"/>
  <c r="BB12" i="1"/>
  <c r="CW12" i="1"/>
  <c r="CU12" i="1"/>
  <c r="CN13" i="1"/>
  <c r="ED60" i="1"/>
  <c r="EE60" i="1" s="1"/>
  <c r="EB60" i="1"/>
  <c r="EC60" i="1" s="1"/>
  <c r="ED61" i="1"/>
  <c r="EE61" i="1" s="1"/>
  <c r="EB61" i="1"/>
  <c r="EC61" i="1" s="1"/>
  <c r="ED59" i="1"/>
  <c r="EE59" i="1" s="1"/>
  <c r="EB59" i="1"/>
  <c r="EC59" i="1" s="1"/>
  <c r="CK17" i="1"/>
  <c r="CV58" i="1"/>
  <c r="CQ58" i="1"/>
  <c r="CW58" i="1"/>
  <c r="CN16" i="1"/>
  <c r="CO16" i="1"/>
  <c r="EF61" i="1"/>
  <c r="CX58" i="1"/>
  <c r="CS58" i="1"/>
  <c r="CF16" i="1"/>
  <c r="CU58" i="1"/>
  <c r="CT58" i="1"/>
  <c r="DZ59" i="1"/>
  <c r="EA59" i="1" s="1"/>
  <c r="CX16" i="1"/>
  <c r="CP16" i="1"/>
  <c r="CW16" i="1"/>
  <c r="CR58" i="1"/>
  <c r="CS16" i="1"/>
  <c r="CR16" i="1"/>
  <c r="CU16" i="1"/>
  <c r="EF59" i="1"/>
  <c r="CG16" i="1"/>
  <c r="CT16" i="1"/>
  <c r="CV16" i="1"/>
  <c r="CQ16" i="1"/>
  <c r="BB16" i="1"/>
  <c r="CP17" i="1"/>
  <c r="CQ18" i="1"/>
  <c r="CF18" i="1"/>
  <c r="CW11" i="1"/>
  <c r="CT11" i="1"/>
  <c r="CS18" i="1"/>
  <c r="CF17" i="1"/>
  <c r="CO17" i="1"/>
  <c r="DZ60" i="1"/>
  <c r="EA60" i="1" s="1"/>
  <c r="CW17" i="1"/>
  <c r="DZ61" i="1"/>
  <c r="EA61" i="1" s="1"/>
  <c r="CQ17" i="1"/>
  <c r="CV17" i="1"/>
  <c r="BB17" i="1"/>
  <c r="CU17" i="1"/>
  <c r="CS17" i="1"/>
  <c r="CE17" i="1"/>
  <c r="CX17" i="1"/>
  <c r="EF60" i="1"/>
  <c r="CN17" i="1"/>
  <c r="CU11" i="1"/>
  <c r="CV11" i="1"/>
  <c r="CT18" i="1"/>
  <c r="CW18" i="1"/>
  <c r="CR18" i="1"/>
  <c r="BB18" i="1"/>
  <c r="CH18" i="1"/>
  <c r="CF11" i="1"/>
  <c r="CS11" i="1"/>
  <c r="CX11" i="1"/>
  <c r="CG18" i="1"/>
  <c r="CQ11" i="1"/>
  <c r="BB11" i="1"/>
  <c r="CG11" i="1"/>
  <c r="CX18" i="1"/>
  <c r="CV18" i="1"/>
  <c r="CU18" i="1"/>
  <c r="CO18" i="1"/>
  <c r="ED54" i="1"/>
  <c r="CR11" i="1"/>
  <c r="EF54" i="1"/>
  <c r="DZ54" i="1"/>
  <c r="CH11" i="1"/>
  <c r="CP18" i="1"/>
  <c r="CN18" i="1"/>
  <c r="CH17" i="1"/>
  <c r="CR17" i="1"/>
  <c r="CG17" i="1"/>
  <c r="CK14" i="1"/>
  <c r="AQ77" i="4"/>
  <c r="AP77" i="4" s="1"/>
  <c r="AP78" i="4"/>
  <c r="DY13" i="1"/>
  <c r="EB56" i="1"/>
  <c r="ED56" i="1"/>
  <c r="CK19" i="1"/>
  <c r="CV13" i="1"/>
  <c r="EF56" i="1"/>
  <c r="CU13" i="1"/>
  <c r="CW13" i="1"/>
  <c r="CH13" i="1"/>
  <c r="CS13" i="1"/>
  <c r="CR13" i="1"/>
  <c r="CQ13" i="1"/>
  <c r="BB13" i="1"/>
  <c r="DZ56" i="1"/>
  <c r="CP13" i="1"/>
  <c r="CX13" i="1"/>
  <c r="CT13" i="1"/>
  <c r="CF13" i="1"/>
  <c r="CO13" i="1"/>
  <c r="AS19" i="4" l="1"/>
  <c r="CM20" i="4"/>
  <c r="CK20" i="4"/>
  <c r="EC20" i="4"/>
  <c r="DW19" i="1"/>
  <c r="CP47" i="1"/>
  <c r="CK12" i="1"/>
  <c r="DY17" i="1"/>
  <c r="T87" i="4"/>
  <c r="DX17" i="1"/>
  <c r="S87" i="4"/>
  <c r="CZ17" i="1"/>
  <c r="DB17" i="1" s="1"/>
  <c r="CZ13" i="1"/>
  <c r="DB13" i="1" s="1"/>
  <c r="CZ14" i="1"/>
  <c r="DB14" i="1" s="1"/>
  <c r="CZ12" i="1"/>
  <c r="CZ16" i="1"/>
  <c r="DB16" i="1" s="1"/>
  <c r="CZ18" i="1"/>
  <c r="DB18" i="1" s="1"/>
  <c r="V90" i="4" s="1"/>
  <c r="CZ11" i="1"/>
  <c r="CY17" i="1"/>
  <c r="DA17" i="1" s="1"/>
  <c r="CY12" i="1"/>
  <c r="CY13" i="1"/>
  <c r="DA13" i="1" s="1"/>
  <c r="CY16" i="1"/>
  <c r="DA16" i="1" s="1"/>
  <c r="CY18" i="1"/>
  <c r="DA18" i="1" s="1"/>
  <c r="CY14" i="1"/>
  <c r="DA14" i="1" s="1"/>
  <c r="U86" i="4" s="1"/>
  <c r="CY11" i="1"/>
  <c r="CE13" i="1"/>
  <c r="CE11" i="1"/>
  <c r="DX62" i="1"/>
  <c r="DY62" i="1" s="1"/>
  <c r="DY19" i="1" s="1"/>
  <c r="CE18" i="1"/>
  <c r="CG13" i="1"/>
  <c r="CG14" i="1"/>
  <c r="DY15" i="1"/>
  <c r="ED11" i="1"/>
  <c r="ED15" i="1"/>
  <c r="DZ11" i="1"/>
  <c r="DZ15" i="1"/>
  <c r="DX15" i="1"/>
  <c r="EF11" i="1"/>
  <c r="EF15" i="1"/>
  <c r="EB11" i="1"/>
  <c r="EB15" i="1"/>
  <c r="CG48" i="1"/>
  <c r="AC91" i="4"/>
  <c r="BR91" i="4" s="1"/>
  <c r="DL18" i="4"/>
  <c r="E90" i="4"/>
  <c r="AT90" i="4" s="1"/>
  <c r="CP18" i="4"/>
  <c r="DO17" i="4"/>
  <c r="E19" i="1"/>
  <c r="BB19" i="1" s="1"/>
  <c r="DN18" i="4"/>
  <c r="CO48" i="1"/>
  <c r="EC54" i="1"/>
  <c r="EC12" i="1" s="1"/>
  <c r="C91" i="4"/>
  <c r="AR91" i="4" s="1"/>
  <c r="CN19" i="4"/>
  <c r="DZ18" i="1"/>
  <c r="EF18" i="1"/>
  <c r="DY18" i="1"/>
  <c r="ED18" i="1"/>
  <c r="DK19" i="4"/>
  <c r="DM19" i="4"/>
  <c r="DT19" i="1"/>
  <c r="W19" i="1"/>
  <c r="AK19" i="1"/>
  <c r="DT62" i="1"/>
  <c r="DJ20" i="4"/>
  <c r="C20" i="1"/>
  <c r="AL20" i="1"/>
  <c r="DU20" i="1"/>
  <c r="DS20" i="1" s="1"/>
  <c r="DU63" i="1"/>
  <c r="B92" i="4"/>
  <c r="CD20" i="1"/>
  <c r="CI20" i="1" s="1"/>
  <c r="D21" i="1"/>
  <c r="A17" i="10"/>
  <c r="AD18" i="17"/>
  <c r="CG20" i="4" s="1"/>
  <c r="X20" i="1"/>
  <c r="AQ92" i="4" s="1"/>
  <c r="AP92" i="4" s="1"/>
  <c r="CP63" i="1"/>
  <c r="DC20" i="1"/>
  <c r="A91" i="4"/>
  <c r="H91" i="4"/>
  <c r="AW91" i="4" s="1"/>
  <c r="CL19" i="4"/>
  <c r="BA19" i="1"/>
  <c r="HO19" i="4"/>
  <c r="EB18" i="1"/>
  <c r="AZ91" i="4"/>
  <c r="BB91" i="4"/>
  <c r="BE91" i="4"/>
  <c r="AX91" i="4"/>
  <c r="BK91" i="4"/>
  <c r="BL91" i="4"/>
  <c r="BD91" i="4"/>
  <c r="AY91" i="4"/>
  <c r="BW91" i="4"/>
  <c r="BT91" i="4"/>
  <c r="BO91" i="4"/>
  <c r="BV91" i="4"/>
  <c r="BP91" i="4"/>
  <c r="BF91" i="4"/>
  <c r="AV91" i="4"/>
  <c r="BC91" i="4"/>
  <c r="BS91" i="4"/>
  <c r="BQ91" i="4"/>
  <c r="AU91" i="4"/>
  <c r="BA91" i="4"/>
  <c r="BU91" i="4"/>
  <c r="BN91" i="4"/>
  <c r="BM91" i="4"/>
  <c r="DX18" i="1"/>
  <c r="CJ19" i="1"/>
  <c r="CL19" i="1"/>
  <c r="CK16" i="1"/>
  <c r="CK13" i="1"/>
  <c r="CK15" i="1"/>
  <c r="CK18" i="1"/>
  <c r="CG15" i="1"/>
  <c r="C17" i="18"/>
  <c r="C18" i="18" s="1"/>
  <c r="W23" i="18" s="1"/>
  <c r="CI19" i="1"/>
  <c r="CI17" i="1"/>
  <c r="CI18" i="1"/>
  <c r="DX16" i="1"/>
  <c r="CE12" i="1"/>
  <c r="CE15" i="1"/>
  <c r="CI15" i="1"/>
  <c r="CI16" i="1"/>
  <c r="CI14" i="1"/>
  <c r="CE14" i="1"/>
  <c r="CI11" i="1"/>
  <c r="CI12" i="1"/>
  <c r="CI13" i="1"/>
  <c r="ED12" i="1"/>
  <c r="ED16" i="1"/>
  <c r="DZ12" i="1"/>
  <c r="DZ16" i="1"/>
  <c r="EF16" i="1"/>
  <c r="EB16" i="1"/>
  <c r="EF12" i="1"/>
  <c r="EB12" i="1"/>
  <c r="EE56" i="1"/>
  <c r="EC56" i="1"/>
  <c r="EF13" i="1"/>
  <c r="CT8" i="1"/>
  <c r="D36" i="2"/>
  <c r="CQ8" i="1"/>
  <c r="EA54" i="1"/>
  <c r="DZ14" i="1"/>
  <c r="EE54" i="1"/>
  <c r="ED14" i="1"/>
  <c r="EB14" i="1"/>
  <c r="EF14" i="1"/>
  <c r="D40" i="2"/>
  <c r="CS57" i="1"/>
  <c r="CR57" i="1"/>
  <c r="CQ57" i="1"/>
  <c r="CU57" i="1"/>
  <c r="CV57" i="1"/>
  <c r="CT57" i="1"/>
  <c r="CW57" i="1"/>
  <c r="CX57" i="1"/>
  <c r="CV43" i="4"/>
  <c r="CN47" i="1"/>
  <c r="CM48" i="1"/>
  <c r="CE48" i="1"/>
  <c r="U87" i="4"/>
  <c r="CQ55" i="1"/>
  <c r="CX55" i="1"/>
  <c r="CV55" i="1"/>
  <c r="CR55" i="1"/>
  <c r="CW55" i="1"/>
  <c r="CU55" i="1"/>
  <c r="CS55" i="1"/>
  <c r="CT55" i="1"/>
  <c r="V87" i="4"/>
  <c r="CU59" i="1"/>
  <c r="CX59" i="1"/>
  <c r="CW59" i="1"/>
  <c r="CV59" i="1"/>
  <c r="CQ60" i="1"/>
  <c r="CV60" i="1"/>
  <c r="CS54" i="1"/>
  <c r="CT59" i="1"/>
  <c r="CU60" i="1"/>
  <c r="CR59" i="1"/>
  <c r="CQ59" i="1"/>
  <c r="CS59" i="1"/>
  <c r="CR60" i="1"/>
  <c r="CX61" i="1"/>
  <c r="CX54" i="1"/>
  <c r="CX60" i="1"/>
  <c r="CQ61" i="1"/>
  <c r="CT54" i="1"/>
  <c r="CS60" i="1"/>
  <c r="DZ17" i="1"/>
  <c r="CW54" i="1"/>
  <c r="CT60" i="1"/>
  <c r="CW60" i="1"/>
  <c r="CS61" i="1"/>
  <c r="CR54" i="1"/>
  <c r="CR61" i="1"/>
  <c r="CU61" i="1"/>
  <c r="CV54" i="1"/>
  <c r="CV61" i="1"/>
  <c r="CU54" i="1"/>
  <c r="CT61" i="1"/>
  <c r="CQ54" i="1"/>
  <c r="CW61" i="1"/>
  <c r="EB17" i="1"/>
  <c r="ED17" i="1"/>
  <c r="EF17" i="1"/>
  <c r="EB13" i="1"/>
  <c r="ED13" i="1"/>
  <c r="EA56" i="1"/>
  <c r="EA18" i="1" s="1"/>
  <c r="DZ13" i="1"/>
  <c r="CS56" i="1"/>
  <c r="CR56" i="1"/>
  <c r="CQ56" i="1"/>
  <c r="CT56" i="1"/>
  <c r="CW56" i="1"/>
  <c r="CU56" i="1"/>
  <c r="CX56" i="1"/>
  <c r="CV56" i="1"/>
  <c r="AS20" i="4" l="1"/>
  <c r="DB11" i="1"/>
  <c r="V83" i="4" s="1"/>
  <c r="DA11" i="1"/>
  <c r="U83" i="4" s="1"/>
  <c r="DA12" i="1"/>
  <c r="U84" i="4" s="1"/>
  <c r="CK21" i="4"/>
  <c r="EC21" i="4"/>
  <c r="CM21" i="4"/>
  <c r="DB12" i="1"/>
  <c r="V84" i="4" s="1"/>
  <c r="DX19" i="1"/>
  <c r="EE17" i="1"/>
  <c r="EC17" i="1"/>
  <c r="S89" i="4"/>
  <c r="S90" i="4"/>
  <c r="T83" i="4"/>
  <c r="T89" i="4"/>
  <c r="T88" i="4"/>
  <c r="T84" i="4"/>
  <c r="S88" i="4"/>
  <c r="T86" i="4"/>
  <c r="S83" i="4"/>
  <c r="C19" i="18"/>
  <c r="EE13" i="1"/>
  <c r="EC13" i="1"/>
  <c r="DJ21" i="4"/>
  <c r="EE15" i="1"/>
  <c r="EC11" i="1"/>
  <c r="EC15" i="1"/>
  <c r="BG83" i="4"/>
  <c r="BH83" i="4"/>
  <c r="EA11" i="1"/>
  <c r="EA15" i="1"/>
  <c r="CU19" i="1"/>
  <c r="CG19" i="1"/>
  <c r="CQ19" i="1"/>
  <c r="CH19" i="1"/>
  <c r="CM19" i="1"/>
  <c r="ED62" i="1"/>
  <c r="EB62" i="1"/>
  <c r="CP19" i="4"/>
  <c r="CS19" i="1"/>
  <c r="CR19" i="1"/>
  <c r="CF19" i="1"/>
  <c r="CP19" i="1"/>
  <c r="CE19" i="1"/>
  <c r="AC92" i="4"/>
  <c r="BR92" i="4" s="1"/>
  <c r="DN19" i="4"/>
  <c r="CW19" i="1"/>
  <c r="CT19" i="1"/>
  <c r="CX19" i="1"/>
  <c r="CN19" i="1"/>
  <c r="E91" i="4"/>
  <c r="AT91" i="4" s="1"/>
  <c r="DO18" i="4"/>
  <c r="E20" i="1"/>
  <c r="DL19" i="4"/>
  <c r="CV19" i="1"/>
  <c r="DZ62" i="1"/>
  <c r="CO19" i="1"/>
  <c r="EF62" i="1"/>
  <c r="EF19" i="1" s="1"/>
  <c r="C92" i="4"/>
  <c r="AR92" i="4" s="1"/>
  <c r="CN20" i="4"/>
  <c r="EE16" i="1"/>
  <c r="EE11" i="1"/>
  <c r="BX92" i="4"/>
  <c r="BU92" i="4"/>
  <c r="AX92" i="4"/>
  <c r="AU92" i="4"/>
  <c r="BA92" i="4"/>
  <c r="BK92" i="4"/>
  <c r="BL92" i="4"/>
  <c r="BE92" i="4"/>
  <c r="BB92" i="4"/>
  <c r="AY92" i="4"/>
  <c r="AZ92" i="4"/>
  <c r="BW92" i="4"/>
  <c r="BP92" i="4"/>
  <c r="BV92" i="4"/>
  <c r="BM92" i="4"/>
  <c r="BF92" i="4"/>
  <c r="BC92" i="4"/>
  <c r="BD92" i="4"/>
  <c r="AV92" i="4"/>
  <c r="BS92" i="4"/>
  <c r="BN92" i="4"/>
  <c r="BT92" i="4"/>
  <c r="BQ92" i="4"/>
  <c r="BO92" i="4"/>
  <c r="CJ20" i="1"/>
  <c r="CL20" i="1"/>
  <c r="CK20" i="1"/>
  <c r="H92" i="4"/>
  <c r="AW92" i="4" s="1"/>
  <c r="A92" i="4"/>
  <c r="W20" i="1"/>
  <c r="DT63" i="1"/>
  <c r="DT20" i="1"/>
  <c r="AK20" i="1"/>
  <c r="EC18" i="1"/>
  <c r="DW63" i="1"/>
  <c r="DW20" i="1" s="1"/>
  <c r="DX63" i="1"/>
  <c r="DX20" i="1" s="1"/>
  <c r="DM20" i="4"/>
  <c r="DK20" i="4"/>
  <c r="HO20" i="4"/>
  <c r="CL20" i="4"/>
  <c r="BA20" i="1"/>
  <c r="EE18" i="1"/>
  <c r="C21" i="1"/>
  <c r="B93" i="4"/>
  <c r="A18" i="10"/>
  <c r="AD19" i="17"/>
  <c r="CG21" i="4" s="1"/>
  <c r="AL21" i="1"/>
  <c r="CD21" i="1"/>
  <c r="DC21" i="1"/>
  <c r="D22" i="1"/>
  <c r="DU64" i="1"/>
  <c r="DU21" i="1"/>
  <c r="DS21" i="1" s="1"/>
  <c r="X21" i="1"/>
  <c r="AQ93" i="4" s="1"/>
  <c r="AP93" i="4" s="1"/>
  <c r="CP64" i="1"/>
  <c r="EC14" i="1"/>
  <c r="EA12" i="1"/>
  <c r="EA16" i="1"/>
  <c r="EC16" i="1"/>
  <c r="EA13" i="1"/>
  <c r="EE14" i="1"/>
  <c r="EE12" i="1"/>
  <c r="S86" i="4"/>
  <c r="EA14" i="1"/>
  <c r="V86" i="4"/>
  <c r="S84" i="4"/>
  <c r="V88" i="4"/>
  <c r="U90" i="4"/>
  <c r="V89" i="4"/>
  <c r="U88" i="4"/>
  <c r="T90" i="4"/>
  <c r="U89" i="4"/>
  <c r="EA17" i="1"/>
  <c r="T85" i="4"/>
  <c r="BH88" i="4" s="1"/>
  <c r="U85" i="4"/>
  <c r="S85" i="4"/>
  <c r="AS21" i="4" l="1"/>
  <c r="CO20" i="1"/>
  <c r="CP20" i="1"/>
  <c r="CM20" i="1"/>
  <c r="CN20" i="1"/>
  <c r="E92" i="4"/>
  <c r="AT92" i="4" s="1"/>
  <c r="CE20" i="1"/>
  <c r="EC22" i="4"/>
  <c r="CM22" i="4"/>
  <c r="CK22" i="4"/>
  <c r="EC62" i="1"/>
  <c r="EC19" i="1" s="1"/>
  <c r="EB19" i="1"/>
  <c r="EE62" i="1"/>
  <c r="EE19" i="1" s="1"/>
  <c r="ED19" i="1"/>
  <c r="EA62" i="1"/>
  <c r="EA19" i="1" s="1"/>
  <c r="DZ19" i="1"/>
  <c r="CZ19" i="1"/>
  <c r="CY19" i="1"/>
  <c r="BI83" i="4"/>
  <c r="BJ83" i="4"/>
  <c r="CV20" i="1"/>
  <c r="CR20" i="1"/>
  <c r="DZ63" i="1"/>
  <c r="CW20" i="1"/>
  <c r="EF63" i="1"/>
  <c r="EF20" i="1" s="1"/>
  <c r="EB63" i="1"/>
  <c r="CX20" i="1"/>
  <c r="CU20" i="1"/>
  <c r="CG20" i="1"/>
  <c r="ED63" i="1"/>
  <c r="CT20" i="1"/>
  <c r="CQ20" i="1"/>
  <c r="CH20" i="1"/>
  <c r="CS20" i="1"/>
  <c r="BB20" i="1"/>
  <c r="CF20" i="1"/>
  <c r="CS62" i="1"/>
  <c r="CV62" i="1"/>
  <c r="CW62" i="1"/>
  <c r="CQ62" i="1"/>
  <c r="CX62" i="1"/>
  <c r="CT62" i="1"/>
  <c r="CR62" i="1"/>
  <c r="CU62" i="1"/>
  <c r="E21" i="1"/>
  <c r="DL20" i="4"/>
  <c r="DO19" i="4"/>
  <c r="AC93" i="4"/>
  <c r="DN20" i="4"/>
  <c r="CP20" i="4"/>
  <c r="C93" i="4"/>
  <c r="CN21" i="4"/>
  <c r="DY63" i="1"/>
  <c r="DY20" i="1" s="1"/>
  <c r="BI90" i="4"/>
  <c r="BH90" i="4"/>
  <c r="D23" i="1"/>
  <c r="DU65" i="1"/>
  <c r="CD22" i="1"/>
  <c r="AD20" i="17"/>
  <c r="CG22" i="4" s="1"/>
  <c r="CP65" i="1"/>
  <c r="A19" i="10"/>
  <c r="AL22" i="1"/>
  <c r="DU22" i="1"/>
  <c r="DS22" i="1" s="1"/>
  <c r="C22" i="1"/>
  <c r="X22" i="1"/>
  <c r="AQ94" i="4" s="1"/>
  <c r="AP94" i="4" s="1"/>
  <c r="DJ22" i="4"/>
  <c r="B94" i="4"/>
  <c r="DC22" i="1"/>
  <c r="DM21" i="4"/>
  <c r="DK21" i="4"/>
  <c r="AK21" i="1"/>
  <c r="W21" i="1"/>
  <c r="DT21" i="1"/>
  <c r="DT64" i="1"/>
  <c r="BU93" i="4"/>
  <c r="BK93" i="4"/>
  <c r="AV93" i="4"/>
  <c r="BB93" i="4"/>
  <c r="BQ93" i="4"/>
  <c r="AZ93" i="4"/>
  <c r="BV93" i="4"/>
  <c r="BA93" i="4"/>
  <c r="BP93" i="4"/>
  <c r="BD93" i="4"/>
  <c r="AX93" i="4"/>
  <c r="BT93" i="4"/>
  <c r="AU93" i="4"/>
  <c r="BN93" i="4"/>
  <c r="AY93" i="4"/>
  <c r="BX93" i="4"/>
  <c r="BS93" i="4"/>
  <c r="BF93" i="4"/>
  <c r="BC93" i="4"/>
  <c r="BM93" i="4"/>
  <c r="BO93" i="4"/>
  <c r="BL93" i="4"/>
  <c r="BE93" i="4"/>
  <c r="BW93" i="4"/>
  <c r="BG90" i="4"/>
  <c r="AT93" i="4"/>
  <c r="CK21" i="1"/>
  <c r="CI21" i="1"/>
  <c r="CJ21" i="1"/>
  <c r="CL21" i="1"/>
  <c r="AR93" i="4"/>
  <c r="BA21" i="1"/>
  <c r="CL21" i="4"/>
  <c r="HO21" i="4"/>
  <c r="BR93" i="4"/>
  <c r="DW64" i="1"/>
  <c r="DX64" i="1"/>
  <c r="DX21" i="1" s="1"/>
  <c r="A93" i="4"/>
  <c r="H93" i="4"/>
  <c r="AW93" i="4" s="1"/>
  <c r="BI88" i="4"/>
  <c r="BG88" i="4"/>
  <c r="BH89" i="4"/>
  <c r="BG86" i="4"/>
  <c r="BI86" i="4"/>
  <c r="BH86" i="4"/>
  <c r="BI89" i="4"/>
  <c r="BG89" i="4"/>
  <c r="V85" i="4"/>
  <c r="BJ88" i="4" s="1"/>
  <c r="AS22" i="4" l="1"/>
  <c r="E94" i="4" s="1"/>
  <c r="CO21" i="1"/>
  <c r="CP21" i="1"/>
  <c r="CM21" i="1"/>
  <c r="CN21" i="1"/>
  <c r="CV21" i="1"/>
  <c r="DA19" i="1"/>
  <c r="U91" i="4" s="1"/>
  <c r="BI91" i="4" s="1"/>
  <c r="CM23" i="4"/>
  <c r="CK23" i="4"/>
  <c r="EC23" i="4"/>
  <c r="DB19" i="1"/>
  <c r="V91" i="4" s="1"/>
  <c r="BJ91" i="4" s="1"/>
  <c r="T91" i="4"/>
  <c r="BH91" i="4" s="1"/>
  <c r="CY20" i="1"/>
  <c r="DA20" i="1" s="1"/>
  <c r="U92" i="4" s="1"/>
  <c r="S91" i="4"/>
  <c r="BG91" i="4" s="1"/>
  <c r="CZ20" i="1"/>
  <c r="DB20" i="1" s="1"/>
  <c r="EC63" i="1"/>
  <c r="EC20" i="1" s="1"/>
  <c r="EB20" i="1"/>
  <c r="EE63" i="1"/>
  <c r="EE20" i="1" s="1"/>
  <c r="ED20" i="1"/>
  <c r="EA63" i="1"/>
  <c r="EA20" i="1" s="1"/>
  <c r="DZ20" i="1"/>
  <c r="CR63" i="1"/>
  <c r="CS63" i="1"/>
  <c r="CQ63" i="1"/>
  <c r="BB21" i="1"/>
  <c r="CQ21" i="1"/>
  <c r="CT63" i="1"/>
  <c r="CX63" i="1"/>
  <c r="EB64" i="1"/>
  <c r="ED64" i="1"/>
  <c r="CV63" i="1"/>
  <c r="CW63" i="1"/>
  <c r="CU63" i="1"/>
  <c r="CX21" i="1"/>
  <c r="DZ64" i="1"/>
  <c r="DZ21" i="1" s="1"/>
  <c r="CT21" i="1"/>
  <c r="CS21" i="1"/>
  <c r="CF21" i="1"/>
  <c r="CG21" i="1"/>
  <c r="CU21" i="1"/>
  <c r="CW21" i="1"/>
  <c r="EF64" i="1"/>
  <c r="EF21" i="1" s="1"/>
  <c r="CH21" i="1"/>
  <c r="CR21" i="1"/>
  <c r="CE21" i="1"/>
  <c r="E22" i="1"/>
  <c r="AC94" i="4"/>
  <c r="BR94" i="4" s="1"/>
  <c r="CP21" i="4"/>
  <c r="DO20" i="4"/>
  <c r="DL21" i="4"/>
  <c r="E93" i="4"/>
  <c r="DN21" i="4"/>
  <c r="C94" i="4"/>
  <c r="AR94" i="4" s="1"/>
  <c r="CN22" i="4"/>
  <c r="DW21" i="1"/>
  <c r="DY64" i="1"/>
  <c r="DY21" i="1" s="1"/>
  <c r="A94" i="4"/>
  <c r="H94" i="4"/>
  <c r="AW94" i="4" s="1"/>
  <c r="DK22" i="4"/>
  <c r="DM22" i="4"/>
  <c r="CK22" i="1"/>
  <c r="CI22" i="1"/>
  <c r="CJ22" i="1"/>
  <c r="CL22" i="1"/>
  <c r="BT94" i="4"/>
  <c r="BM94" i="4"/>
  <c r="BD94" i="4"/>
  <c r="BB94" i="4"/>
  <c r="AX94" i="4"/>
  <c r="BS94" i="4"/>
  <c r="BC94" i="4"/>
  <c r="BL94" i="4"/>
  <c r="BV94" i="4"/>
  <c r="AZ94" i="4"/>
  <c r="BX94" i="4"/>
  <c r="BF94" i="4"/>
  <c r="AY94" i="4"/>
  <c r="BW94" i="4"/>
  <c r="BN94" i="4"/>
  <c r="BP94" i="4"/>
  <c r="AV94" i="4"/>
  <c r="BQ94" i="4"/>
  <c r="BK94" i="4"/>
  <c r="AU94" i="4"/>
  <c r="BA94" i="4"/>
  <c r="BU94" i="4"/>
  <c r="BE94" i="4"/>
  <c r="BO94" i="4"/>
  <c r="DW65" i="1"/>
  <c r="DW22" i="1" s="1"/>
  <c r="DX65" i="1"/>
  <c r="DX22" i="1" s="1"/>
  <c r="BA22" i="1"/>
  <c r="HO22" i="4"/>
  <c r="CL22" i="4"/>
  <c r="DT22" i="1"/>
  <c r="DT65" i="1"/>
  <c r="W22" i="1"/>
  <c r="AK22" i="1"/>
  <c r="DJ23" i="4"/>
  <c r="A20" i="10"/>
  <c r="X23" i="1"/>
  <c r="AQ95" i="4" s="1"/>
  <c r="AP95" i="4" s="1"/>
  <c r="CP66" i="1"/>
  <c r="D24" i="1"/>
  <c r="CD23" i="1"/>
  <c r="DU23" i="1"/>
  <c r="DS23" i="1" s="1"/>
  <c r="AL23" i="1"/>
  <c r="DC23" i="1"/>
  <c r="AD21" i="17"/>
  <c r="CG23" i="4" s="1"/>
  <c r="B95" i="4"/>
  <c r="C23" i="1"/>
  <c r="DU66" i="1"/>
  <c r="BJ90" i="4"/>
  <c r="BJ89" i="4"/>
  <c r="BJ86" i="4"/>
  <c r="AS23" i="4" l="1"/>
  <c r="CO22" i="1"/>
  <c r="CP22" i="1"/>
  <c r="CM22" i="1"/>
  <c r="CN22" i="1"/>
  <c r="CG22" i="1"/>
  <c r="CM24" i="4"/>
  <c r="CK24" i="4"/>
  <c r="EC24" i="4"/>
  <c r="T92" i="4"/>
  <c r="BH92" i="4" s="1"/>
  <c r="S92" i="4"/>
  <c r="BG92" i="4" s="1"/>
  <c r="CZ21" i="1"/>
  <c r="DB21" i="1" s="1"/>
  <c r="V93" i="4" s="1"/>
  <c r="CY21" i="1"/>
  <c r="BI92" i="4"/>
  <c r="AT94" i="4"/>
  <c r="CW64" i="1"/>
  <c r="EA64" i="1"/>
  <c r="V92" i="4"/>
  <c r="BJ92" i="4" s="1"/>
  <c r="CT64" i="1"/>
  <c r="CV64" i="1"/>
  <c r="EF65" i="1"/>
  <c r="EF22" i="1" s="1"/>
  <c r="ED21" i="1"/>
  <c r="EE64" i="1"/>
  <c r="ED65" i="1"/>
  <c r="EB65" i="1"/>
  <c r="EB21" i="1"/>
  <c r="EC64" i="1"/>
  <c r="CX64" i="1"/>
  <c r="CQ64" i="1"/>
  <c r="CX22" i="1"/>
  <c r="CR64" i="1"/>
  <c r="CS64" i="1"/>
  <c r="CW22" i="1"/>
  <c r="CV22" i="1"/>
  <c r="CS22" i="1"/>
  <c r="CH22" i="1"/>
  <c r="CQ22" i="1"/>
  <c r="CF22" i="1"/>
  <c r="CR22" i="1"/>
  <c r="DZ65" i="1"/>
  <c r="CT22" i="1"/>
  <c r="CU64" i="1"/>
  <c r="BB22" i="1"/>
  <c r="CE22" i="1"/>
  <c r="CU22" i="1"/>
  <c r="DO21" i="4"/>
  <c r="AC95" i="4"/>
  <c r="DL22" i="4"/>
  <c r="E23" i="1"/>
  <c r="DN22" i="4"/>
  <c r="CP22" i="4"/>
  <c r="C95" i="4"/>
  <c r="CN23" i="4"/>
  <c r="DY65" i="1"/>
  <c r="DY22" i="1" s="1"/>
  <c r="EF23" i="1"/>
  <c r="AK23" i="1"/>
  <c r="DT23" i="1"/>
  <c r="W23" i="1"/>
  <c r="DT66" i="1"/>
  <c r="AT95" i="4"/>
  <c r="AR95" i="4"/>
  <c r="BL95" i="4"/>
  <c r="AY95" i="4"/>
  <c r="BX95" i="4"/>
  <c r="AU95" i="4"/>
  <c r="BC95" i="4"/>
  <c r="BA95" i="4"/>
  <c r="BM95" i="4"/>
  <c r="AX95" i="4"/>
  <c r="BB95" i="4"/>
  <c r="BK95" i="4"/>
  <c r="BE95" i="4"/>
  <c r="BQ95" i="4"/>
  <c r="BW95" i="4"/>
  <c r="BU95" i="4"/>
  <c r="BT95" i="4"/>
  <c r="BS95" i="4"/>
  <c r="AV95" i="4"/>
  <c r="BF95" i="4"/>
  <c r="BV95" i="4"/>
  <c r="AZ95" i="4"/>
  <c r="BN95" i="4"/>
  <c r="BD95" i="4"/>
  <c r="BO95" i="4"/>
  <c r="BP95" i="4"/>
  <c r="BR95" i="4"/>
  <c r="CJ23" i="1"/>
  <c r="CK23" i="1"/>
  <c r="CL23" i="1"/>
  <c r="CI23" i="1"/>
  <c r="HO23" i="4"/>
  <c r="CL23" i="4"/>
  <c r="BA23" i="1"/>
  <c r="H95" i="4"/>
  <c r="AW95" i="4" s="1"/>
  <c r="A95" i="4"/>
  <c r="DY23" i="1"/>
  <c r="DW66" i="1"/>
  <c r="DX66" i="1"/>
  <c r="DX23" i="1" s="1"/>
  <c r="CD24" i="1"/>
  <c r="AL24" i="1"/>
  <c r="C24" i="1"/>
  <c r="A21" i="10"/>
  <c r="DJ24" i="4"/>
  <c r="D25" i="1"/>
  <c r="X24" i="1"/>
  <c r="AQ96" i="4" s="1"/>
  <c r="AP96" i="4" s="1"/>
  <c r="DU24" i="1"/>
  <c r="DS24" i="1" s="1"/>
  <c r="DG13" i="1" s="1"/>
  <c r="DF13" i="1" s="1"/>
  <c r="DU67" i="1"/>
  <c r="AD22" i="17"/>
  <c r="CG24" i="4" s="1"/>
  <c r="B96" i="4"/>
  <c r="DC24" i="1"/>
  <c r="CP67" i="1"/>
  <c r="DM23" i="4"/>
  <c r="DK23" i="4"/>
  <c r="BG93" i="4"/>
  <c r="DZ23" i="1"/>
  <c r="ED23" i="1"/>
  <c r="EB23" i="1"/>
  <c r="BI93" i="4"/>
  <c r="BJ93" i="4"/>
  <c r="AS24" i="4" l="1"/>
  <c r="CO23" i="1"/>
  <c r="CP23" i="1"/>
  <c r="CM23" i="1"/>
  <c r="CN23" i="1"/>
  <c r="E95" i="4"/>
  <c r="CG23" i="1"/>
  <c r="DA21" i="1"/>
  <c r="U93" i="4" s="1"/>
  <c r="CK25" i="4"/>
  <c r="EC25" i="4"/>
  <c r="CM25" i="4"/>
  <c r="CZ22" i="1"/>
  <c r="DB22" i="1" s="1"/>
  <c r="CY22" i="1"/>
  <c r="DA22" i="1" s="1"/>
  <c r="EE65" i="1"/>
  <c r="EE22" i="1" s="1"/>
  <c r="ED22" i="1"/>
  <c r="EA65" i="1"/>
  <c r="EA22" i="1" s="1"/>
  <c r="DZ22" i="1"/>
  <c r="EC21" i="1"/>
  <c r="EA21" i="1"/>
  <c r="EE21" i="1"/>
  <c r="EC65" i="1"/>
  <c r="EC22" i="1" s="1"/>
  <c r="EB22" i="1"/>
  <c r="S93" i="4"/>
  <c r="CQ65" i="1"/>
  <c r="T93" i="4"/>
  <c r="CT65" i="1"/>
  <c r="CS65" i="1"/>
  <c r="CR65" i="1"/>
  <c r="CV65" i="1"/>
  <c r="EB66" i="1"/>
  <c r="EC66" i="1" s="1"/>
  <c r="EC23" i="1" s="1"/>
  <c r="ED66" i="1"/>
  <c r="EE66" i="1" s="1"/>
  <c r="EE23" i="1" s="1"/>
  <c r="CU65" i="1"/>
  <c r="CX65" i="1"/>
  <c r="CW65" i="1"/>
  <c r="CX23" i="1"/>
  <c r="CS23" i="1"/>
  <c r="E24" i="1"/>
  <c r="CU23" i="1"/>
  <c r="DZ66" i="1"/>
  <c r="EA66" i="1" s="1"/>
  <c r="EA23" i="1" s="1"/>
  <c r="CE23" i="1"/>
  <c r="CP23" i="4"/>
  <c r="CW23" i="1"/>
  <c r="CR23" i="1"/>
  <c r="BB23" i="1"/>
  <c r="CH23" i="1"/>
  <c r="DL23" i="4"/>
  <c r="AC96" i="4"/>
  <c r="BR96" i="4" s="1"/>
  <c r="CT23" i="1"/>
  <c r="CQ23" i="1"/>
  <c r="EF66" i="1"/>
  <c r="CV23" i="1"/>
  <c r="CF23" i="1"/>
  <c r="DN23" i="4"/>
  <c r="DO22" i="4"/>
  <c r="C96" i="4"/>
  <c r="AR96" i="4" s="1"/>
  <c r="CN24" i="4"/>
  <c r="DW23" i="1"/>
  <c r="DY66" i="1"/>
  <c r="DW67" i="1"/>
  <c r="DW24" i="1" s="1"/>
  <c r="DX67" i="1"/>
  <c r="DX24" i="1" s="1"/>
  <c r="DM24" i="4"/>
  <c r="DK24" i="4"/>
  <c r="CK24" i="1"/>
  <c r="CI24" i="1"/>
  <c r="CJ24" i="1"/>
  <c r="CL24" i="1"/>
  <c r="BA24" i="1"/>
  <c r="HO24" i="4"/>
  <c r="CL24" i="4"/>
  <c r="A96" i="4"/>
  <c r="H96" i="4"/>
  <c r="AW96" i="4" s="1"/>
  <c r="BK96" i="4"/>
  <c r="BD96" i="4"/>
  <c r="BU96" i="4"/>
  <c r="BF96" i="4"/>
  <c r="BO96" i="4"/>
  <c r="BE96" i="4"/>
  <c r="BS96" i="4"/>
  <c r="BT96" i="4"/>
  <c r="BQ96" i="4"/>
  <c r="BA96" i="4"/>
  <c r="BB96" i="4"/>
  <c r="BM96" i="4"/>
  <c r="BX96" i="4"/>
  <c r="AX96" i="4"/>
  <c r="BV96" i="4"/>
  <c r="BW96" i="4"/>
  <c r="AZ96" i="4"/>
  <c r="BP96" i="4"/>
  <c r="BC96" i="4"/>
  <c r="AU96" i="4"/>
  <c r="BL96" i="4"/>
  <c r="AY96" i="4"/>
  <c r="AV96" i="4"/>
  <c r="BN96" i="4"/>
  <c r="AK24" i="1"/>
  <c r="DT24" i="1"/>
  <c r="DT67" i="1"/>
  <c r="W24" i="1"/>
  <c r="DU68" i="1"/>
  <c r="CP68" i="1"/>
  <c r="AD23" i="17"/>
  <c r="CG25" i="4" s="1"/>
  <c r="A22" i="10"/>
  <c r="C25" i="1"/>
  <c r="CD25" i="1"/>
  <c r="DU25" i="1"/>
  <c r="DS25" i="1" s="1"/>
  <c r="X25" i="1"/>
  <c r="AQ97" i="4" s="1"/>
  <c r="AP97" i="4" s="1"/>
  <c r="DJ25" i="4"/>
  <c r="DC25" i="1"/>
  <c r="AL25" i="1"/>
  <c r="D26" i="1"/>
  <c r="B97" i="4"/>
  <c r="AS25" i="4" l="1"/>
  <c r="CO24" i="1"/>
  <c r="CP24" i="1"/>
  <c r="CM24" i="1"/>
  <c r="CN24" i="1"/>
  <c r="EC26" i="4"/>
  <c r="CM26" i="4"/>
  <c r="CK26" i="4"/>
  <c r="V94" i="4"/>
  <c r="BJ94" i="4" s="1"/>
  <c r="U94" i="4"/>
  <c r="BI94" i="4" s="1"/>
  <c r="CZ23" i="1"/>
  <c r="DB23" i="1" s="1"/>
  <c r="CY23" i="1"/>
  <c r="S94" i="4"/>
  <c r="BG94" i="4" s="1"/>
  <c r="BH93" i="4"/>
  <c r="AC97" i="4"/>
  <c r="BR97" i="4" s="1"/>
  <c r="E25" i="1"/>
  <c r="CU24" i="1"/>
  <c r="EB67" i="1"/>
  <c r="ED67" i="1"/>
  <c r="T94" i="4"/>
  <c r="BH94" i="4" s="1"/>
  <c r="CH24" i="1"/>
  <c r="CR24" i="1"/>
  <c r="CX66" i="1"/>
  <c r="CQ66" i="1"/>
  <c r="CV24" i="1"/>
  <c r="CE24" i="1"/>
  <c r="CF24" i="1"/>
  <c r="CQ24" i="1"/>
  <c r="BB24" i="1"/>
  <c r="CS24" i="1"/>
  <c r="EF67" i="1"/>
  <c r="EF24" i="1" s="1"/>
  <c r="CG24" i="1"/>
  <c r="CW66" i="1"/>
  <c r="CX24" i="1"/>
  <c r="CT24" i="1"/>
  <c r="DZ67" i="1"/>
  <c r="CW24" i="1"/>
  <c r="CS66" i="1"/>
  <c r="CU66" i="1"/>
  <c r="DL24" i="4"/>
  <c r="E96" i="4"/>
  <c r="AT96" i="4" s="1"/>
  <c r="CR66" i="1"/>
  <c r="CV66" i="1"/>
  <c r="CP24" i="4"/>
  <c r="DN24" i="4"/>
  <c r="CT66" i="1"/>
  <c r="DO23" i="4"/>
  <c r="C97" i="4"/>
  <c r="AR97" i="4" s="1"/>
  <c r="CN25" i="4"/>
  <c r="DY67" i="1"/>
  <c r="DY24" i="1" s="1"/>
  <c r="BS97" i="4"/>
  <c r="BC97" i="4"/>
  <c r="BQ97" i="4"/>
  <c r="BA97" i="4"/>
  <c r="BO97" i="4"/>
  <c r="BW97" i="4"/>
  <c r="BE97" i="4"/>
  <c r="AX97" i="4"/>
  <c r="BX97" i="4"/>
  <c r="AY97" i="4"/>
  <c r="BT97" i="4"/>
  <c r="BP97" i="4"/>
  <c r="BN97" i="4"/>
  <c r="BF97" i="4"/>
  <c r="AV97" i="4"/>
  <c r="BM97" i="4"/>
  <c r="AU97" i="4"/>
  <c r="BV97" i="4"/>
  <c r="AZ97" i="4"/>
  <c r="BB97" i="4"/>
  <c r="BD97" i="4"/>
  <c r="BU97" i="4"/>
  <c r="BK97" i="4"/>
  <c r="BL97" i="4"/>
  <c r="A97" i="4"/>
  <c r="H97" i="4"/>
  <c r="AW97" i="4" s="1"/>
  <c r="DM25" i="4"/>
  <c r="DK25" i="4"/>
  <c r="DT68" i="1"/>
  <c r="W25" i="1"/>
  <c r="DT25" i="1"/>
  <c r="AK25" i="1"/>
  <c r="DW68" i="1"/>
  <c r="DX68" i="1"/>
  <c r="DX25" i="1" s="1"/>
  <c r="C26" i="1"/>
  <c r="DJ26" i="4"/>
  <c r="CD26" i="1"/>
  <c r="A23" i="10"/>
  <c r="D27" i="1"/>
  <c r="DC26" i="1"/>
  <c r="X26" i="1"/>
  <c r="AQ98" i="4" s="1"/>
  <c r="AP98" i="4" s="1"/>
  <c r="AL26" i="1"/>
  <c r="DU69" i="1"/>
  <c r="B98" i="4"/>
  <c r="AD24" i="17"/>
  <c r="CG26" i="4" s="1"/>
  <c r="CP69" i="1"/>
  <c r="DU26" i="1"/>
  <c r="BA25" i="1"/>
  <c r="HO25" i="4"/>
  <c r="CL25" i="4"/>
  <c r="CK25" i="1"/>
  <c r="CI25" i="1"/>
  <c r="CL25" i="1"/>
  <c r="CJ25" i="1"/>
  <c r="AS26" i="4" l="1"/>
  <c r="CO25" i="1"/>
  <c r="CP25" i="1"/>
  <c r="CM25" i="1"/>
  <c r="CN25" i="1"/>
  <c r="DA23" i="1"/>
  <c r="U95" i="4" s="1"/>
  <c r="BI95" i="4" s="1"/>
  <c r="CM27" i="4"/>
  <c r="CK27" i="4"/>
  <c r="EC27" i="4"/>
  <c r="EA67" i="1"/>
  <c r="EA24" i="1" s="1"/>
  <c r="DP13" i="1" s="1"/>
  <c r="DZ24" i="1"/>
  <c r="DK13" i="1" s="1"/>
  <c r="E18" i="14" s="1"/>
  <c r="EE67" i="1"/>
  <c r="EE24" i="1" s="1"/>
  <c r="DR13" i="1" s="1"/>
  <c r="ED24" i="1"/>
  <c r="DM13" i="1" s="1"/>
  <c r="H18" i="14" s="1"/>
  <c r="EC67" i="1"/>
  <c r="EC24" i="1" s="1"/>
  <c r="DQ13" i="1" s="1"/>
  <c r="EB24" i="1"/>
  <c r="DL13" i="1" s="1"/>
  <c r="G18" i="14" s="1"/>
  <c r="V95" i="4"/>
  <c r="BJ95" i="4" s="1"/>
  <c r="CZ24" i="1"/>
  <c r="DB24" i="1" s="1"/>
  <c r="CY24" i="1"/>
  <c r="DA24" i="1" s="1"/>
  <c r="BB25" i="1"/>
  <c r="CS25" i="1"/>
  <c r="CR25" i="1"/>
  <c r="CE25" i="1"/>
  <c r="DZ68" i="1"/>
  <c r="DZ25" i="1" s="1"/>
  <c r="CH25" i="1"/>
  <c r="CQ25" i="1"/>
  <c r="CF25" i="1"/>
  <c r="CV25" i="1"/>
  <c r="E97" i="4"/>
  <c r="AT97" i="4" s="1"/>
  <c r="AC98" i="4"/>
  <c r="BR98" i="4" s="1"/>
  <c r="CU25" i="1"/>
  <c r="CX25" i="1"/>
  <c r="CG25" i="1"/>
  <c r="EF68" i="1"/>
  <c r="EF25" i="1" s="1"/>
  <c r="CW25" i="1"/>
  <c r="CT25" i="1"/>
  <c r="ED68" i="1"/>
  <c r="ED25" i="1" s="1"/>
  <c r="EB68" i="1"/>
  <c r="EC68" i="1" s="1"/>
  <c r="EC25" i="1" s="1"/>
  <c r="E26" i="1"/>
  <c r="DL25" i="4"/>
  <c r="CP25" i="4"/>
  <c r="DN25" i="4"/>
  <c r="CQ67" i="1"/>
  <c r="T95" i="4"/>
  <c r="BH95" i="4" s="1"/>
  <c r="CT67" i="1"/>
  <c r="CR67" i="1"/>
  <c r="CS67" i="1"/>
  <c r="CV67" i="1"/>
  <c r="CU67" i="1"/>
  <c r="CW67" i="1"/>
  <c r="CX67" i="1"/>
  <c r="DO24" i="4"/>
  <c r="S95" i="4"/>
  <c r="BG95" i="4" s="1"/>
  <c r="DW25" i="1"/>
  <c r="DY68" i="1"/>
  <c r="DY25" i="1" s="1"/>
  <c r="C98" i="4"/>
  <c r="AR98" i="4" s="1"/>
  <c r="CN26" i="4"/>
  <c r="A98" i="4"/>
  <c r="H98" i="4"/>
  <c r="AW98" i="4" s="1"/>
  <c r="DM26" i="4"/>
  <c r="DK26" i="4"/>
  <c r="DR12" i="1"/>
  <c r="DM12" i="1"/>
  <c r="H17" i="14" s="1"/>
  <c r="DL12" i="1"/>
  <c r="G17" i="14" s="1"/>
  <c r="DI13" i="1"/>
  <c r="E8" i="14" s="1"/>
  <c r="DN13" i="1"/>
  <c r="U18" i="14" s="1"/>
  <c r="DO13" i="1"/>
  <c r="DI12" i="1"/>
  <c r="E7" i="14" s="1"/>
  <c r="DJ12" i="1"/>
  <c r="D17" i="14" s="1"/>
  <c r="DK12" i="1"/>
  <c r="E17" i="14" s="1"/>
  <c r="DO12" i="1"/>
  <c r="DQ12" i="1"/>
  <c r="DJ13" i="1"/>
  <c r="D18" i="14" s="1"/>
  <c r="DP12" i="1"/>
  <c r="DN12" i="1"/>
  <c r="U17" i="14" s="1"/>
  <c r="DS26" i="1"/>
  <c r="DW69" i="1"/>
  <c r="DX69" i="1"/>
  <c r="C27" i="1"/>
  <c r="AD25" i="17"/>
  <c r="CG27" i="4" s="1"/>
  <c r="DU70" i="1"/>
  <c r="DJ27" i="4"/>
  <c r="CD27" i="1"/>
  <c r="DC27" i="1"/>
  <c r="CP70" i="1"/>
  <c r="A24" i="10"/>
  <c r="DU27" i="1"/>
  <c r="DS27" i="1" s="1"/>
  <c r="AL27" i="1"/>
  <c r="B99" i="4"/>
  <c r="X27" i="1"/>
  <c r="AQ99" i="4" s="1"/>
  <c r="AP99" i="4" s="1"/>
  <c r="D28" i="1"/>
  <c r="DT69" i="1"/>
  <c r="DT26" i="1"/>
  <c r="AK26" i="1"/>
  <c r="W26" i="1"/>
  <c r="BF98" i="4"/>
  <c r="BK98" i="4"/>
  <c r="BA98" i="4"/>
  <c r="BX98" i="4"/>
  <c r="BS98" i="4"/>
  <c r="AV98" i="4"/>
  <c r="BD98" i="4"/>
  <c r="AU98" i="4"/>
  <c r="BP98" i="4"/>
  <c r="BO98" i="4"/>
  <c r="BE98" i="4"/>
  <c r="AX98" i="4"/>
  <c r="BL98" i="4"/>
  <c r="AZ98" i="4"/>
  <c r="AY98" i="4"/>
  <c r="BC98" i="4"/>
  <c r="BM98" i="4"/>
  <c r="BU98" i="4"/>
  <c r="BW98" i="4"/>
  <c r="BT98" i="4"/>
  <c r="BQ98" i="4"/>
  <c r="BN98" i="4"/>
  <c r="BB98" i="4"/>
  <c r="CK26" i="1"/>
  <c r="CI26" i="1"/>
  <c r="CL26" i="1"/>
  <c r="CJ26" i="1"/>
  <c r="CL26" i="4"/>
  <c r="HO26" i="4"/>
  <c r="BA26" i="1"/>
  <c r="AS27" i="4" l="1"/>
  <c r="CO26" i="1"/>
  <c r="CP26" i="1"/>
  <c r="CM26" i="1"/>
  <c r="CN26" i="1"/>
  <c r="CM28" i="4"/>
  <c r="CK28" i="4"/>
  <c r="EC28" i="4"/>
  <c r="V96" i="4"/>
  <c r="BJ96" i="4" s="1"/>
  <c r="U96" i="4"/>
  <c r="BI96" i="4" s="1"/>
  <c r="CZ25" i="1"/>
  <c r="CZ46" i="1" s="1"/>
  <c r="CY25" i="1"/>
  <c r="CY46" i="1" s="1"/>
  <c r="CH26" i="1"/>
  <c r="EA68" i="1"/>
  <c r="EA25" i="1" s="1"/>
  <c r="AC99" i="4"/>
  <c r="BR99" i="4" s="1"/>
  <c r="E98" i="4"/>
  <c r="AT98" i="4" s="1"/>
  <c r="CW68" i="1"/>
  <c r="CQ68" i="1"/>
  <c r="CX68" i="1"/>
  <c r="CV68" i="1"/>
  <c r="CR26" i="1"/>
  <c r="CW26" i="1"/>
  <c r="BB26" i="1"/>
  <c r="CU68" i="1"/>
  <c r="CU26" i="1"/>
  <c r="CR68" i="1"/>
  <c r="CS26" i="1"/>
  <c r="CX26" i="1"/>
  <c r="EF69" i="1"/>
  <c r="EF26" i="1" s="1"/>
  <c r="CV26" i="1"/>
  <c r="CT26" i="1"/>
  <c r="DZ69" i="1"/>
  <c r="EA69" i="1" s="1"/>
  <c r="CQ26" i="1"/>
  <c r="CT68" i="1"/>
  <c r="CS68" i="1"/>
  <c r="EE68" i="1"/>
  <c r="EE25" i="1" s="1"/>
  <c r="EB25" i="1"/>
  <c r="CE26" i="1"/>
  <c r="CF26" i="1"/>
  <c r="CG26" i="1"/>
  <c r="ED69" i="1"/>
  <c r="EB69" i="1"/>
  <c r="DN26" i="4"/>
  <c r="E27" i="1"/>
  <c r="DO25" i="4"/>
  <c r="CP26" i="4"/>
  <c r="DL26" i="4"/>
  <c r="C99" i="4"/>
  <c r="CN27" i="4"/>
  <c r="R18" i="14"/>
  <c r="S96" i="4"/>
  <c r="BG96" i="4" s="1"/>
  <c r="T96" i="4"/>
  <c r="BH96" i="4" s="1"/>
  <c r="BI97" i="4"/>
  <c r="DY69" i="1"/>
  <c r="DY26" i="1" s="1"/>
  <c r="I18" i="14"/>
  <c r="F18" i="14"/>
  <c r="I17" i="14"/>
  <c r="F17" i="14"/>
  <c r="BC99" i="4"/>
  <c r="AU99" i="4"/>
  <c r="BQ99" i="4"/>
  <c r="BB99" i="4"/>
  <c r="BO99" i="4"/>
  <c r="AX99" i="4"/>
  <c r="AV99" i="4"/>
  <c r="BW99" i="4"/>
  <c r="BU99" i="4"/>
  <c r="AY99" i="4"/>
  <c r="BA99" i="4"/>
  <c r="BD99" i="4"/>
  <c r="BM99" i="4"/>
  <c r="BL99" i="4"/>
  <c r="BS99" i="4"/>
  <c r="BP99" i="4"/>
  <c r="BF99" i="4"/>
  <c r="AR99" i="4"/>
  <c r="BT99" i="4"/>
  <c r="BX99" i="4"/>
  <c r="BK99" i="4"/>
  <c r="AZ99" i="4"/>
  <c r="BE99" i="4"/>
  <c r="BN99" i="4"/>
  <c r="DM27" i="4"/>
  <c r="DK27" i="4"/>
  <c r="H99" i="4"/>
  <c r="AW99" i="4" s="1"/>
  <c r="A99" i="4"/>
  <c r="DW70" i="1"/>
  <c r="DW27" i="1" s="1"/>
  <c r="DX70" i="1"/>
  <c r="DX27" i="1" s="1"/>
  <c r="DX26" i="1"/>
  <c r="DW26" i="1"/>
  <c r="CL27" i="4"/>
  <c r="BA27" i="1"/>
  <c r="HO27" i="4"/>
  <c r="X28" i="1"/>
  <c r="AQ100" i="4" s="1"/>
  <c r="AP100" i="4" s="1"/>
  <c r="A25" i="10"/>
  <c r="DC28" i="1"/>
  <c r="C28" i="1"/>
  <c r="CD28" i="1"/>
  <c r="DU28" i="1"/>
  <c r="DS28" i="1" s="1"/>
  <c r="AD26" i="17"/>
  <c r="CG28" i="4" s="1"/>
  <c r="DJ28" i="4"/>
  <c r="DU71" i="1"/>
  <c r="AL28" i="1"/>
  <c r="CP71" i="1"/>
  <c r="D29" i="1"/>
  <c r="B100" i="4"/>
  <c r="CJ27" i="1"/>
  <c r="CL27" i="1"/>
  <c r="CI27" i="1"/>
  <c r="CK27" i="1"/>
  <c r="AK27" i="1"/>
  <c r="DT27" i="1"/>
  <c r="DT70" i="1"/>
  <c r="W27" i="1"/>
  <c r="AS28" i="4" l="1"/>
  <c r="CR27" i="1"/>
  <c r="CO27" i="1"/>
  <c r="CP27" i="1"/>
  <c r="CM27" i="1"/>
  <c r="CN27" i="1"/>
  <c r="DA46" i="1"/>
  <c r="DA25" i="1"/>
  <c r="U97" i="4" s="1"/>
  <c r="CK29" i="4"/>
  <c r="EC29" i="4"/>
  <c r="CM29" i="4"/>
  <c r="EA26" i="1"/>
  <c r="DZ26" i="1"/>
  <c r="EC69" i="1"/>
  <c r="EC26" i="1" s="1"/>
  <c r="EB26" i="1"/>
  <c r="EE69" i="1"/>
  <c r="EE26" i="1" s="1"/>
  <c r="ED26" i="1"/>
  <c r="DB25" i="1"/>
  <c r="V97" i="4" s="1"/>
  <c r="BJ97" i="4" s="1"/>
  <c r="CZ26" i="1"/>
  <c r="CY26" i="1"/>
  <c r="S97" i="4"/>
  <c r="T97" i="4"/>
  <c r="E99" i="4"/>
  <c r="AT99" i="4" s="1"/>
  <c r="AC100" i="4"/>
  <c r="CR69" i="1"/>
  <c r="CQ69" i="1"/>
  <c r="CT69" i="1"/>
  <c r="CS69" i="1"/>
  <c r="CU69" i="1"/>
  <c r="CX69" i="1"/>
  <c r="CV69" i="1"/>
  <c r="CW69" i="1"/>
  <c r="EB70" i="1"/>
  <c r="CS27" i="1"/>
  <c r="CU27" i="1"/>
  <c r="CH27" i="1"/>
  <c r="DL27" i="4"/>
  <c r="CX27" i="1"/>
  <c r="CT27" i="1"/>
  <c r="CW27" i="1"/>
  <c r="ED70" i="1"/>
  <c r="DN27" i="4"/>
  <c r="E28" i="1"/>
  <c r="CF27" i="1"/>
  <c r="CV27" i="1"/>
  <c r="CP27" i="4"/>
  <c r="EF70" i="1"/>
  <c r="EF27" i="1" s="1"/>
  <c r="CE27" i="1"/>
  <c r="DZ70" i="1"/>
  <c r="CQ27" i="1"/>
  <c r="BB27" i="1"/>
  <c r="CG27" i="1"/>
  <c r="DO26" i="4"/>
  <c r="C100" i="4"/>
  <c r="AR100" i="4" s="1"/>
  <c r="CN28" i="4"/>
  <c r="BG97" i="4"/>
  <c r="BH97" i="4"/>
  <c r="DY70" i="1"/>
  <c r="DY27" i="1" s="1"/>
  <c r="DJ29" i="4"/>
  <c r="DC29" i="1"/>
  <c r="AD27" i="17"/>
  <c r="CG29" i="4" s="1"/>
  <c r="X29" i="1"/>
  <c r="AQ101" i="4" s="1"/>
  <c r="AP101" i="4" s="1"/>
  <c r="DU29" i="1"/>
  <c r="DS29" i="1" s="1"/>
  <c r="CP72" i="1"/>
  <c r="D30" i="1"/>
  <c r="DU72" i="1"/>
  <c r="C29" i="1"/>
  <c r="CD29" i="1"/>
  <c r="AL29" i="1"/>
  <c r="B101" i="4"/>
  <c r="A26" i="10"/>
  <c r="DM28" i="4"/>
  <c r="DK28" i="4"/>
  <c r="W28" i="1"/>
  <c r="DT71" i="1"/>
  <c r="DT28" i="1"/>
  <c r="AK28" i="1"/>
  <c r="AT100" i="4"/>
  <c r="BR100" i="4"/>
  <c r="A100" i="4"/>
  <c r="H100" i="4"/>
  <c r="AW100" i="4" s="1"/>
  <c r="DW71" i="1"/>
  <c r="DX71" i="1"/>
  <c r="DX28" i="1" s="1"/>
  <c r="CJ28" i="1"/>
  <c r="CL28" i="1"/>
  <c r="CI28" i="1"/>
  <c r="CK28" i="1"/>
  <c r="BF100" i="4"/>
  <c r="BL100" i="4"/>
  <c r="BO100" i="4"/>
  <c r="AV100" i="4"/>
  <c r="AY100" i="4"/>
  <c r="BB100" i="4"/>
  <c r="BP100" i="4"/>
  <c r="AZ100" i="4"/>
  <c r="BU100" i="4"/>
  <c r="BE100" i="4"/>
  <c r="BW100" i="4"/>
  <c r="BD100" i="4"/>
  <c r="BC100" i="4"/>
  <c r="BS100" i="4"/>
  <c r="AU100" i="4"/>
  <c r="BK100" i="4"/>
  <c r="BX100" i="4"/>
  <c r="BQ100" i="4"/>
  <c r="AX100" i="4"/>
  <c r="BM100" i="4"/>
  <c r="BA100" i="4"/>
  <c r="BN100" i="4"/>
  <c r="BT100" i="4"/>
  <c r="HO28" i="4"/>
  <c r="CL28" i="4"/>
  <c r="BA28" i="1"/>
  <c r="EB28" i="1"/>
  <c r="AS29" i="4" l="1"/>
  <c r="CO28" i="1"/>
  <c r="CP28" i="1"/>
  <c r="CM28" i="1"/>
  <c r="CN28" i="1"/>
  <c r="CY27" i="1"/>
  <c r="DA27" i="1" s="1"/>
  <c r="U99" i="4" s="1"/>
  <c r="BI99" i="4" s="1"/>
  <c r="ED71" i="1"/>
  <c r="ED28" i="1" s="1"/>
  <c r="DA26" i="1"/>
  <c r="U98" i="4" s="1"/>
  <c r="BI98" i="4" s="1"/>
  <c r="EC30" i="4"/>
  <c r="CM30" i="4"/>
  <c r="CK30" i="4"/>
  <c r="DB26" i="1"/>
  <c r="V98" i="4" s="1"/>
  <c r="BJ98" i="4" s="1"/>
  <c r="CZ27" i="1"/>
  <c r="EE70" i="1"/>
  <c r="EE27" i="1" s="1"/>
  <c r="ED27" i="1"/>
  <c r="EA70" i="1"/>
  <c r="EA27" i="1" s="1"/>
  <c r="DZ27" i="1"/>
  <c r="EC70" i="1"/>
  <c r="EC27" i="1" s="1"/>
  <c r="EB27" i="1"/>
  <c r="S98" i="4"/>
  <c r="BG98" i="4" s="1"/>
  <c r="E100" i="4"/>
  <c r="AC101" i="4"/>
  <c r="BR101" i="4" s="1"/>
  <c r="CH28" i="1"/>
  <c r="CQ28" i="1"/>
  <c r="EB71" i="1"/>
  <c r="EC71" i="1" s="1"/>
  <c r="EC28" i="1" s="1"/>
  <c r="CU28" i="1"/>
  <c r="CF28" i="1"/>
  <c r="CW28" i="1"/>
  <c r="CV28" i="1"/>
  <c r="T98" i="4"/>
  <c r="BH98" i="4" s="1"/>
  <c r="CT70" i="1"/>
  <c r="BB28" i="1"/>
  <c r="CR28" i="1"/>
  <c r="CE28" i="1"/>
  <c r="DZ71" i="1"/>
  <c r="DZ28" i="1" s="1"/>
  <c r="CX28" i="1"/>
  <c r="EF71" i="1"/>
  <c r="EF28" i="1" s="1"/>
  <c r="CS28" i="1"/>
  <c r="CT28" i="1"/>
  <c r="CG28" i="1"/>
  <c r="CS70" i="1"/>
  <c r="CR70" i="1"/>
  <c r="CQ70" i="1"/>
  <c r="CU70" i="1"/>
  <c r="CX70" i="1"/>
  <c r="CW70" i="1"/>
  <c r="DL28" i="4"/>
  <c r="E29" i="1"/>
  <c r="DO27" i="4"/>
  <c r="DN28" i="4"/>
  <c r="CP28" i="4"/>
  <c r="CV70" i="1"/>
  <c r="C101" i="4"/>
  <c r="AR101" i="4" s="1"/>
  <c r="CN29" i="4"/>
  <c r="DW28" i="1"/>
  <c r="DY71" i="1"/>
  <c r="DY28" i="1" s="1"/>
  <c r="DT29" i="1"/>
  <c r="AK29" i="1"/>
  <c r="W29" i="1"/>
  <c r="DT72" i="1"/>
  <c r="DM29" i="4"/>
  <c r="DK29" i="4"/>
  <c r="H101" i="4"/>
  <c r="AW101" i="4" s="1"/>
  <c r="A101" i="4"/>
  <c r="DX72" i="1"/>
  <c r="DX29" i="1" s="1"/>
  <c r="DW72" i="1"/>
  <c r="DW29" i="1" s="1"/>
  <c r="BX101" i="4"/>
  <c r="BL101" i="4"/>
  <c r="BN101" i="4"/>
  <c r="BO101" i="4"/>
  <c r="BA101" i="4"/>
  <c r="BM101" i="4"/>
  <c r="AY101" i="4"/>
  <c r="BU101" i="4"/>
  <c r="AU101" i="4"/>
  <c r="BT101" i="4"/>
  <c r="AX101" i="4"/>
  <c r="BD101" i="4"/>
  <c r="BC101" i="4"/>
  <c r="BP101" i="4"/>
  <c r="BB101" i="4"/>
  <c r="BQ101" i="4"/>
  <c r="BK101" i="4"/>
  <c r="BF101" i="4"/>
  <c r="AZ101" i="4"/>
  <c r="BE101" i="4"/>
  <c r="BS101" i="4"/>
  <c r="BW101" i="4"/>
  <c r="AV101" i="4"/>
  <c r="C30" i="1"/>
  <c r="CP73" i="1"/>
  <c r="CD30" i="1"/>
  <c r="D31" i="1"/>
  <c r="AD28" i="17"/>
  <c r="CG30" i="4" s="1"/>
  <c r="DU73" i="1"/>
  <c r="A27" i="10"/>
  <c r="DU30" i="1"/>
  <c r="DS30" i="1" s="1"/>
  <c r="X30" i="1"/>
  <c r="AQ102" i="4" s="1"/>
  <c r="AP102" i="4" s="1"/>
  <c r="DJ30" i="4"/>
  <c r="AL30" i="1"/>
  <c r="DC30" i="1"/>
  <c r="B102" i="4"/>
  <c r="HO29" i="4"/>
  <c r="CL29" i="4"/>
  <c r="BA29" i="1"/>
  <c r="CL29" i="1"/>
  <c r="CJ29" i="1"/>
  <c r="CK29" i="1"/>
  <c r="CI29" i="1"/>
  <c r="CF29" i="1" l="1"/>
  <c r="CO29" i="1"/>
  <c r="CP29" i="1"/>
  <c r="CM29" i="1"/>
  <c r="CN29" i="1"/>
  <c r="EE71" i="1"/>
  <c r="EE28" i="1" s="1"/>
  <c r="AS30" i="4"/>
  <c r="CM31" i="4"/>
  <c r="CK31" i="4"/>
  <c r="EC31" i="4"/>
  <c r="DB27" i="1"/>
  <c r="V99" i="4" s="1"/>
  <c r="BJ99" i="4"/>
  <c r="CZ28" i="1"/>
  <c r="CY28" i="1"/>
  <c r="CE29" i="1"/>
  <c r="AC102" i="4"/>
  <c r="BR102" i="4" s="1"/>
  <c r="E101" i="4"/>
  <c r="AT101" i="4" s="1"/>
  <c r="BB29" i="1"/>
  <c r="CV71" i="1"/>
  <c r="DZ72" i="1"/>
  <c r="CR29" i="1"/>
  <c r="CT71" i="1"/>
  <c r="CR71" i="1"/>
  <c r="CQ71" i="1"/>
  <c r="EA71" i="1"/>
  <c r="CS71" i="1"/>
  <c r="CW71" i="1"/>
  <c r="CX71" i="1"/>
  <c r="S99" i="4"/>
  <c r="BG99" i="4" s="1"/>
  <c r="CU71" i="1"/>
  <c r="ED72" i="1"/>
  <c r="EB72" i="1"/>
  <c r="CU29" i="1"/>
  <c r="CW29" i="1"/>
  <c r="CT29" i="1"/>
  <c r="CV29" i="1"/>
  <c r="EF72" i="1"/>
  <c r="EF29" i="1" s="1"/>
  <c r="CQ29" i="1"/>
  <c r="CS29" i="1"/>
  <c r="CX29" i="1"/>
  <c r="CH29" i="1"/>
  <c r="CG29" i="1"/>
  <c r="T99" i="4"/>
  <c r="BH99" i="4" s="1"/>
  <c r="E30" i="1"/>
  <c r="DN29" i="4"/>
  <c r="DO28" i="4"/>
  <c r="CP29" i="4"/>
  <c r="DL29" i="4"/>
  <c r="C102" i="4"/>
  <c r="AR102" i="4" s="1"/>
  <c r="CN30" i="4"/>
  <c r="DY72" i="1"/>
  <c r="DY29" i="1" s="1"/>
  <c r="CJ30" i="1"/>
  <c r="CK30" i="1"/>
  <c r="CL30" i="1"/>
  <c r="CI30" i="1"/>
  <c r="DM30" i="4"/>
  <c r="DK30" i="4"/>
  <c r="DX73" i="1"/>
  <c r="DX30" i="1" s="1"/>
  <c r="DW73" i="1"/>
  <c r="HO30" i="4"/>
  <c r="CL30" i="4"/>
  <c r="BA30" i="1"/>
  <c r="H102" i="4"/>
  <c r="AW102" i="4" s="1"/>
  <c r="A102" i="4"/>
  <c r="BT102" i="4"/>
  <c r="AX102" i="4"/>
  <c r="AY102" i="4"/>
  <c r="BX102" i="4"/>
  <c r="BE102" i="4"/>
  <c r="BC102" i="4"/>
  <c r="BU102" i="4"/>
  <c r="BK102" i="4"/>
  <c r="BQ102" i="4"/>
  <c r="AV102" i="4"/>
  <c r="AZ102" i="4"/>
  <c r="BF102" i="4"/>
  <c r="BA102" i="4"/>
  <c r="BM102" i="4"/>
  <c r="BB102" i="4"/>
  <c r="AU102" i="4"/>
  <c r="BP102" i="4"/>
  <c r="BL102" i="4"/>
  <c r="BO102" i="4"/>
  <c r="BN102" i="4"/>
  <c r="BD102" i="4"/>
  <c r="BW102" i="4"/>
  <c r="BS102" i="4"/>
  <c r="AK30" i="1"/>
  <c r="DT30" i="1"/>
  <c r="W30" i="1"/>
  <c r="DT73" i="1"/>
  <c r="CD31" i="1"/>
  <c r="DU74" i="1"/>
  <c r="DU31" i="1"/>
  <c r="DS31" i="1" s="1"/>
  <c r="DG14" i="1" s="1"/>
  <c r="DF14" i="1" s="1"/>
  <c r="C31" i="1"/>
  <c r="D32" i="1"/>
  <c r="A28" i="10"/>
  <c r="AL31" i="1"/>
  <c r="DC31" i="1"/>
  <c r="B103" i="4"/>
  <c r="CP74" i="1"/>
  <c r="DJ31" i="4"/>
  <c r="AD29" i="17"/>
  <c r="CG31" i="4" s="1"/>
  <c r="X31" i="1"/>
  <c r="AQ103" i="4" s="1"/>
  <c r="AP103" i="4" s="1"/>
  <c r="AT102" i="4"/>
  <c r="ED30" i="1"/>
  <c r="BG100" i="4"/>
  <c r="DZ30" i="1"/>
  <c r="EB30" i="1"/>
  <c r="BH100" i="4"/>
  <c r="CG30" i="1" l="1"/>
  <c r="CN30" i="1"/>
  <c r="CO30" i="1"/>
  <c r="CP30" i="1"/>
  <c r="CM30" i="1"/>
  <c r="AS31" i="4"/>
  <c r="DB28" i="1"/>
  <c r="V100" i="4" s="1"/>
  <c r="DA28" i="1"/>
  <c r="U100" i="4" s="1"/>
  <c r="CM32" i="4"/>
  <c r="CK32" i="4"/>
  <c r="EC32" i="4"/>
  <c r="CZ29" i="1"/>
  <c r="DB29" i="1" s="1"/>
  <c r="V101" i="4" s="1"/>
  <c r="BJ101" i="4" s="1"/>
  <c r="CY29" i="1"/>
  <c r="DA29" i="1" s="1"/>
  <c r="S100" i="4"/>
  <c r="EC72" i="1"/>
  <c r="EC29" i="1" s="1"/>
  <c r="EB29" i="1"/>
  <c r="EA72" i="1"/>
  <c r="EA29" i="1" s="1"/>
  <c r="DZ29" i="1"/>
  <c r="EE72" i="1"/>
  <c r="EE29" i="1" s="1"/>
  <c r="ED29" i="1"/>
  <c r="EA28" i="1"/>
  <c r="BI100" i="4"/>
  <c r="BJ100" i="4"/>
  <c r="AC103" i="4"/>
  <c r="BR103" i="4" s="1"/>
  <c r="E102" i="4"/>
  <c r="T100" i="4"/>
  <c r="ED73" i="1"/>
  <c r="EE73" i="1" s="1"/>
  <c r="EE30" i="1" s="1"/>
  <c r="EB73" i="1"/>
  <c r="EC73" i="1" s="1"/>
  <c r="EC30" i="1" s="1"/>
  <c r="CW72" i="1"/>
  <c r="CT72" i="1"/>
  <c r="CT30" i="1"/>
  <c r="DZ73" i="1"/>
  <c r="EA73" i="1" s="1"/>
  <c r="EA30" i="1" s="1"/>
  <c r="CW30" i="1"/>
  <c r="CR72" i="1"/>
  <c r="CQ72" i="1"/>
  <c r="CS72" i="1"/>
  <c r="CV72" i="1"/>
  <c r="CX30" i="1"/>
  <c r="CX72" i="1"/>
  <c r="CU72" i="1"/>
  <c r="CV30" i="1"/>
  <c r="CQ30" i="1"/>
  <c r="CS30" i="1"/>
  <c r="CF30" i="1"/>
  <c r="CU30" i="1"/>
  <c r="EF73" i="1"/>
  <c r="EF30" i="1" s="1"/>
  <c r="CH30" i="1"/>
  <c r="BB30" i="1"/>
  <c r="CR30" i="1"/>
  <c r="CE30" i="1"/>
  <c r="DO29" i="4"/>
  <c r="CP30" i="4"/>
  <c r="DL30" i="4"/>
  <c r="E31" i="1"/>
  <c r="DN30" i="4"/>
  <c r="C103" i="4"/>
  <c r="AR103" i="4" s="1"/>
  <c r="CN31" i="4"/>
  <c r="DW30" i="1"/>
  <c r="DY73" i="1"/>
  <c r="DY30" i="1" s="1"/>
  <c r="W31" i="1"/>
  <c r="DT74" i="1"/>
  <c r="AK31" i="1"/>
  <c r="DT31" i="1"/>
  <c r="DM31" i="4"/>
  <c r="DK31" i="4"/>
  <c r="DW74" i="1"/>
  <c r="DX74" i="1"/>
  <c r="DX31" i="1" s="1"/>
  <c r="BA31" i="1"/>
  <c r="CL31" i="4"/>
  <c r="HO31" i="4"/>
  <c r="BQ103" i="4"/>
  <c r="BP103" i="4"/>
  <c r="BK103" i="4"/>
  <c r="BT103" i="4"/>
  <c r="BB103" i="4"/>
  <c r="BU103" i="4"/>
  <c r="BF103" i="4"/>
  <c r="AX103" i="4"/>
  <c r="BM103" i="4"/>
  <c r="BO103" i="4"/>
  <c r="AZ103" i="4"/>
  <c r="BS103" i="4"/>
  <c r="BA103" i="4"/>
  <c r="BE103" i="4"/>
  <c r="AV103" i="4"/>
  <c r="BW103" i="4"/>
  <c r="BD103" i="4"/>
  <c r="AY103" i="4"/>
  <c r="BL103" i="4"/>
  <c r="BN103" i="4"/>
  <c r="BC103" i="4"/>
  <c r="BX103" i="4"/>
  <c r="AU103" i="4"/>
  <c r="H103" i="4"/>
  <c r="AW103" i="4" s="1"/>
  <c r="A103" i="4"/>
  <c r="B104" i="4"/>
  <c r="A29" i="10"/>
  <c r="DJ32" i="4"/>
  <c r="C32" i="1"/>
  <c r="DU32" i="1"/>
  <c r="DS32" i="1" s="1"/>
  <c r="CD32" i="1"/>
  <c r="DU75" i="1"/>
  <c r="D33" i="1"/>
  <c r="AD30" i="17"/>
  <c r="CG32" i="4" s="1"/>
  <c r="X32" i="1"/>
  <c r="AQ104" i="4" s="1"/>
  <c r="AP104" i="4" s="1"/>
  <c r="DC32" i="1"/>
  <c r="CP75" i="1"/>
  <c r="AL32" i="1"/>
  <c r="CI31" i="1"/>
  <c r="CL31" i="1"/>
  <c r="CJ31" i="1"/>
  <c r="CK31" i="1"/>
  <c r="BI102" i="4"/>
  <c r="CN31" i="1" l="1"/>
  <c r="CO31" i="1"/>
  <c r="CP31" i="1"/>
  <c r="CM31" i="1"/>
  <c r="AS32" i="4"/>
  <c r="CK33" i="4"/>
  <c r="EC33" i="4"/>
  <c r="CM33" i="4"/>
  <c r="S101" i="4"/>
  <c r="BG101" i="4" s="1"/>
  <c r="U101" i="4"/>
  <c r="CZ30" i="1"/>
  <c r="DB30" i="1" s="1"/>
  <c r="V102" i="4" s="1"/>
  <c r="CY30" i="1"/>
  <c r="AC104" i="4"/>
  <c r="BR104" i="4" s="1"/>
  <c r="E103" i="4"/>
  <c r="AT103" i="4" s="1"/>
  <c r="T101" i="4"/>
  <c r="BH101" i="4" s="1"/>
  <c r="ED74" i="1"/>
  <c r="EB74" i="1"/>
  <c r="CX73" i="1"/>
  <c r="CW73" i="1"/>
  <c r="CU73" i="1"/>
  <c r="CV73" i="1"/>
  <c r="CW31" i="1"/>
  <c r="CQ73" i="1"/>
  <c r="CT73" i="1"/>
  <c r="BB31" i="1"/>
  <c r="CS73" i="1"/>
  <c r="CR73" i="1"/>
  <c r="DZ74" i="1"/>
  <c r="DL31" i="4"/>
  <c r="CE31" i="1"/>
  <c r="EF74" i="1"/>
  <c r="EF31" i="1" s="1"/>
  <c r="CF31" i="1"/>
  <c r="CX31" i="1"/>
  <c r="CH31" i="1"/>
  <c r="DN31" i="4"/>
  <c r="CU31" i="1"/>
  <c r="CR31" i="1"/>
  <c r="CV31" i="1"/>
  <c r="CT31" i="1"/>
  <c r="CG31" i="1"/>
  <c r="CP31" i="4"/>
  <c r="E32" i="1"/>
  <c r="CQ31" i="1"/>
  <c r="CS31" i="1"/>
  <c r="DO30" i="4"/>
  <c r="C104" i="4"/>
  <c r="AR104" i="4" s="1"/>
  <c r="CN32" i="4"/>
  <c r="DW31" i="1"/>
  <c r="DY74" i="1"/>
  <c r="DY31" i="1" s="1"/>
  <c r="BF104" i="4"/>
  <c r="BC104" i="4"/>
  <c r="AV104" i="4"/>
  <c r="BD104" i="4"/>
  <c r="BL104" i="4"/>
  <c r="BO104" i="4"/>
  <c r="BB104" i="4"/>
  <c r="BE104" i="4"/>
  <c r="BN104" i="4"/>
  <c r="AZ104" i="4"/>
  <c r="BV104" i="4"/>
  <c r="BA104" i="4"/>
  <c r="AU104" i="4"/>
  <c r="BW104" i="4"/>
  <c r="BX104" i="4"/>
  <c r="BQ104" i="4"/>
  <c r="AX104" i="4"/>
  <c r="BK104" i="4"/>
  <c r="BS104" i="4"/>
  <c r="BT104" i="4"/>
  <c r="BP104" i="4"/>
  <c r="BU104" i="4"/>
  <c r="AY104" i="4"/>
  <c r="BM104" i="4"/>
  <c r="CJ32" i="1"/>
  <c r="CI32" i="1"/>
  <c r="CL32" i="1"/>
  <c r="CK32" i="1"/>
  <c r="A104" i="4"/>
  <c r="H104" i="4"/>
  <c r="AW104" i="4" s="1"/>
  <c r="BA32" i="1"/>
  <c r="CL32" i="4"/>
  <c r="HO32" i="4"/>
  <c r="CP76" i="1"/>
  <c r="A30" i="10"/>
  <c r="DU76" i="1"/>
  <c r="D34" i="1"/>
  <c r="C33" i="1"/>
  <c r="DJ33" i="4"/>
  <c r="DU33" i="1"/>
  <c r="DS33" i="1" s="1"/>
  <c r="CD33" i="1"/>
  <c r="B105" i="4"/>
  <c r="AD31" i="17"/>
  <c r="CG33" i="4" s="1"/>
  <c r="DC33" i="1"/>
  <c r="AL33" i="1"/>
  <c r="X33" i="1"/>
  <c r="AQ105" i="4" s="1"/>
  <c r="AP105" i="4" s="1"/>
  <c r="W32" i="1"/>
  <c r="DT32" i="1"/>
  <c r="AK32" i="1"/>
  <c r="DT75" i="1"/>
  <c r="DX75" i="1"/>
  <c r="DX32" i="1" s="1"/>
  <c r="DW75" i="1"/>
  <c r="DM32" i="4"/>
  <c r="DK32" i="4"/>
  <c r="BH102" i="4"/>
  <c r="CN32" i="1" l="1"/>
  <c r="CO32" i="1"/>
  <c r="CP32" i="1"/>
  <c r="CM32" i="1"/>
  <c r="AS33" i="4"/>
  <c r="DA30" i="1"/>
  <c r="U102" i="4" s="1"/>
  <c r="EC34" i="4"/>
  <c r="CM34" i="4"/>
  <c r="CK34" i="4"/>
  <c r="EA74" i="1"/>
  <c r="EA31" i="1" s="1"/>
  <c r="DZ31" i="1"/>
  <c r="EC74" i="1"/>
  <c r="EC31" i="1" s="1"/>
  <c r="EB31" i="1"/>
  <c r="BJ102" i="4"/>
  <c r="EE74" i="1"/>
  <c r="EE31" i="1" s="1"/>
  <c r="ED31" i="1"/>
  <c r="BI101" i="4"/>
  <c r="CZ31" i="1"/>
  <c r="DB31" i="1" s="1"/>
  <c r="CY31" i="1"/>
  <c r="DA31" i="1" s="1"/>
  <c r="U103" i="4" s="1"/>
  <c r="BI103" i="4" s="1"/>
  <c r="T102" i="4"/>
  <c r="AC105" i="4"/>
  <c r="BR105" i="4" s="1"/>
  <c r="E33" i="1"/>
  <c r="E104" i="4"/>
  <c r="AT104" i="4" s="1"/>
  <c r="EB75" i="1"/>
  <c r="ED75" i="1"/>
  <c r="CW32" i="1"/>
  <c r="BB32" i="1"/>
  <c r="CS32" i="1"/>
  <c r="DZ75" i="1"/>
  <c r="DZ32" i="1" s="1"/>
  <c r="CG32" i="1"/>
  <c r="CU74" i="1"/>
  <c r="CW74" i="1"/>
  <c r="CV74" i="1"/>
  <c r="CX74" i="1"/>
  <c r="S102" i="4"/>
  <c r="BG102" i="4" s="1"/>
  <c r="CQ32" i="1"/>
  <c r="CU32" i="1"/>
  <c r="CT32" i="1"/>
  <c r="CR32" i="1"/>
  <c r="CE32" i="1"/>
  <c r="CX32" i="1"/>
  <c r="CF32" i="1"/>
  <c r="EF75" i="1"/>
  <c r="EF32" i="1" s="1"/>
  <c r="CH32" i="1"/>
  <c r="CS74" i="1"/>
  <c r="CQ74" i="1"/>
  <c r="CT74" i="1"/>
  <c r="CR74" i="1"/>
  <c r="CV32" i="1"/>
  <c r="DL32" i="4"/>
  <c r="DN32" i="4"/>
  <c r="DO31" i="4"/>
  <c r="CP32" i="4"/>
  <c r="C105" i="4"/>
  <c r="AR105" i="4" s="1"/>
  <c r="CN33" i="4"/>
  <c r="DW32" i="1"/>
  <c r="DY75" i="1"/>
  <c r="DY32" i="1" s="1"/>
  <c r="CI33" i="1"/>
  <c r="CK33" i="1"/>
  <c r="CL33" i="1"/>
  <c r="CJ33" i="1"/>
  <c r="DJ34" i="4"/>
  <c r="X34" i="1"/>
  <c r="AQ106" i="4" s="1"/>
  <c r="AP106" i="4" s="1"/>
  <c r="CD34" i="1"/>
  <c r="DU34" i="1"/>
  <c r="DC34" i="1"/>
  <c r="D35" i="1"/>
  <c r="B106" i="4"/>
  <c r="DU77" i="1"/>
  <c r="AL34" i="1"/>
  <c r="CP77" i="1"/>
  <c r="AD32" i="17"/>
  <c r="CG34" i="4" s="1"/>
  <c r="C34" i="1"/>
  <c r="A31" i="10"/>
  <c r="DW76" i="1"/>
  <c r="DW33" i="1" s="1"/>
  <c r="DX76" i="1"/>
  <c r="DX33" i="1" s="1"/>
  <c r="CL33" i="4"/>
  <c r="BA33" i="1"/>
  <c r="HO33" i="4"/>
  <c r="DM33" i="4"/>
  <c r="DK33" i="4"/>
  <c r="BU105" i="4"/>
  <c r="BB105" i="4"/>
  <c r="BO105" i="4"/>
  <c r="BW105" i="4"/>
  <c r="BA105" i="4"/>
  <c r="BF105" i="4"/>
  <c r="BM105" i="4"/>
  <c r="BE105" i="4"/>
  <c r="AX105" i="4"/>
  <c r="BQ105" i="4"/>
  <c r="BP105" i="4"/>
  <c r="BC105" i="4"/>
  <c r="AY105" i="4"/>
  <c r="BT105" i="4"/>
  <c r="BV105" i="4"/>
  <c r="BK105" i="4"/>
  <c r="BL105" i="4"/>
  <c r="AV105" i="4"/>
  <c r="BS105" i="4"/>
  <c r="AU105" i="4"/>
  <c r="BN105" i="4"/>
  <c r="BD105" i="4"/>
  <c r="AZ105" i="4"/>
  <c r="BX105" i="4"/>
  <c r="H105" i="4"/>
  <c r="AW105" i="4" s="1"/>
  <c r="A105" i="4"/>
  <c r="DT76" i="1"/>
  <c r="AK33" i="1"/>
  <c r="W33" i="1"/>
  <c r="DT33" i="1"/>
  <c r="CN33" i="1" l="1"/>
  <c r="CP33" i="1"/>
  <c r="CM33" i="1"/>
  <c r="CO33" i="1"/>
  <c r="AS34" i="4"/>
  <c r="CM35" i="4"/>
  <c r="CK35" i="4"/>
  <c r="EC35" i="4"/>
  <c r="T103" i="4"/>
  <c r="BH103" i="4" s="1"/>
  <c r="CZ32" i="1"/>
  <c r="CY32" i="1"/>
  <c r="CQ33" i="1"/>
  <c r="DS34" i="1"/>
  <c r="DO14" i="1"/>
  <c r="DQ14" i="1"/>
  <c r="DK14" i="1"/>
  <c r="E19" i="14" s="1"/>
  <c r="DN14" i="1"/>
  <c r="U19" i="14" s="1"/>
  <c r="DI14" i="1"/>
  <c r="E9" i="14" s="1"/>
  <c r="DM14" i="1"/>
  <c r="H19" i="14" s="1"/>
  <c r="DL14" i="1"/>
  <c r="G19" i="14" s="1"/>
  <c r="DJ14" i="1"/>
  <c r="D19" i="14" s="1"/>
  <c r="DP14" i="1"/>
  <c r="DR14" i="1"/>
  <c r="CW33" i="1"/>
  <c r="CS33" i="1"/>
  <c r="CF33" i="1"/>
  <c r="EB76" i="1"/>
  <c r="ED76" i="1"/>
  <c r="CX33" i="1"/>
  <c r="CH33" i="1"/>
  <c r="CU33" i="1"/>
  <c r="CR33" i="1"/>
  <c r="EF76" i="1"/>
  <c r="EF33" i="1" s="1"/>
  <c r="CE33" i="1"/>
  <c r="CV33" i="1"/>
  <c r="BB33" i="1"/>
  <c r="CT33" i="1"/>
  <c r="DZ76" i="1"/>
  <c r="CG33" i="1"/>
  <c r="DL33" i="4"/>
  <c r="CP33" i="4"/>
  <c r="AC106" i="4"/>
  <c r="BR106" i="4" s="1"/>
  <c r="E105" i="4"/>
  <c r="AT105" i="4" s="1"/>
  <c r="DN33" i="4"/>
  <c r="E34" i="1"/>
  <c r="S103" i="4"/>
  <c r="BG103" i="4" s="1"/>
  <c r="V103" i="4"/>
  <c r="BJ103" i="4" s="1"/>
  <c r="EE75" i="1"/>
  <c r="EE32" i="1" s="1"/>
  <c r="ED32" i="1"/>
  <c r="EC75" i="1"/>
  <c r="EC32" i="1" s="1"/>
  <c r="EB32" i="1"/>
  <c r="C106" i="4"/>
  <c r="AR106" i="4" s="1"/>
  <c r="CN34" i="4"/>
  <c r="EA75" i="1"/>
  <c r="EA32" i="1" s="1"/>
  <c r="CU75" i="1"/>
  <c r="CS75" i="1"/>
  <c r="CV75" i="1"/>
  <c r="CQ75" i="1"/>
  <c r="CT75" i="1"/>
  <c r="CW75" i="1"/>
  <c r="CX75" i="1"/>
  <c r="CR75" i="1"/>
  <c r="DO32" i="4"/>
  <c r="DY76" i="1"/>
  <c r="DY33" i="1" s="1"/>
  <c r="AK34" i="1"/>
  <c r="DT34" i="1"/>
  <c r="DT77" i="1"/>
  <c r="W34" i="1"/>
  <c r="DW77" i="1"/>
  <c r="DX77" i="1"/>
  <c r="A106" i="4"/>
  <c r="H106" i="4"/>
  <c r="AW106" i="4" s="1"/>
  <c r="CI34" i="1"/>
  <c r="CK34" i="1"/>
  <c r="CL34" i="1"/>
  <c r="CJ34" i="1"/>
  <c r="HO34" i="4"/>
  <c r="BA34" i="1"/>
  <c r="CL34" i="4"/>
  <c r="AL35" i="1"/>
  <c r="B107" i="4"/>
  <c r="DJ35" i="4"/>
  <c r="DC35" i="1"/>
  <c r="D36" i="1"/>
  <c r="DJ36" i="4" s="1"/>
  <c r="A32" i="10"/>
  <c r="X35" i="1"/>
  <c r="AQ107" i="4" s="1"/>
  <c r="AP107" i="4" s="1"/>
  <c r="AD33" i="17"/>
  <c r="CG35" i="4" s="1"/>
  <c r="C35" i="1"/>
  <c r="CD35" i="1"/>
  <c r="DU78" i="1"/>
  <c r="DU35" i="1"/>
  <c r="DS35" i="1" s="1"/>
  <c r="CP78" i="1"/>
  <c r="AX106" i="4"/>
  <c r="BB106" i="4"/>
  <c r="BX106" i="4"/>
  <c r="BF106" i="4"/>
  <c r="BE106" i="4"/>
  <c r="BU106" i="4"/>
  <c r="BS106" i="4"/>
  <c r="BW106" i="4"/>
  <c r="BA106" i="4"/>
  <c r="AY106" i="4"/>
  <c r="BL106" i="4"/>
  <c r="BK106" i="4"/>
  <c r="BP106" i="4"/>
  <c r="AZ106" i="4"/>
  <c r="BN106" i="4"/>
  <c r="BM106" i="4"/>
  <c r="BO106" i="4"/>
  <c r="BQ106" i="4"/>
  <c r="BT106" i="4"/>
  <c r="BC106" i="4"/>
  <c r="BV106" i="4"/>
  <c r="AU106" i="4"/>
  <c r="BD106" i="4"/>
  <c r="AV106" i="4"/>
  <c r="DM34" i="4"/>
  <c r="DK34" i="4"/>
  <c r="CQ34" i="1" l="1"/>
  <c r="CP34" i="1"/>
  <c r="CM34" i="1"/>
  <c r="CN34" i="1"/>
  <c r="CO34" i="1"/>
  <c r="AS35" i="4"/>
  <c r="DA32" i="1"/>
  <c r="U104" i="4" s="1"/>
  <c r="CM36" i="4"/>
  <c r="CK36" i="4"/>
  <c r="EC36" i="4"/>
  <c r="EC76" i="1"/>
  <c r="EC33" i="1" s="1"/>
  <c r="EB33" i="1"/>
  <c r="EA76" i="1"/>
  <c r="EA33" i="1" s="1"/>
  <c r="DZ33" i="1"/>
  <c r="EE76" i="1"/>
  <c r="EE33" i="1" s="1"/>
  <c r="ED33" i="1"/>
  <c r="R19" i="14"/>
  <c r="DB32" i="1"/>
  <c r="V104" i="4" s="1"/>
  <c r="S104" i="4"/>
  <c r="CZ33" i="1"/>
  <c r="DB33" i="1" s="1"/>
  <c r="CY33" i="1"/>
  <c r="DA33" i="1" s="1"/>
  <c r="F19" i="14"/>
  <c r="I19" i="14"/>
  <c r="DW34" i="1"/>
  <c r="DX34" i="1"/>
  <c r="CV76" i="1"/>
  <c r="CS76" i="1"/>
  <c r="CW76" i="1"/>
  <c r="CV34" i="1"/>
  <c r="DZ77" i="1"/>
  <c r="EA77" i="1" s="1"/>
  <c r="EA34" i="1" s="1"/>
  <c r="CU34" i="1"/>
  <c r="CX76" i="1"/>
  <c r="CE34" i="1"/>
  <c r="CS34" i="1"/>
  <c r="EF77" i="1"/>
  <c r="EF34" i="1" s="1"/>
  <c r="CX34" i="1"/>
  <c r="BB34" i="1"/>
  <c r="CW34" i="1"/>
  <c r="CF34" i="1"/>
  <c r="ED77" i="1"/>
  <c r="EE77" i="1" s="1"/>
  <c r="EE34" i="1" s="1"/>
  <c r="EB77" i="1"/>
  <c r="EC77" i="1" s="1"/>
  <c r="EC34" i="1" s="1"/>
  <c r="CR76" i="1"/>
  <c r="CT76" i="1"/>
  <c r="CU76" i="1"/>
  <c r="CQ76" i="1"/>
  <c r="CT34" i="1"/>
  <c r="CH34" i="1"/>
  <c r="CR34" i="1"/>
  <c r="CG34" i="1"/>
  <c r="BJ104" i="4"/>
  <c r="DN34" i="4"/>
  <c r="DL34" i="4"/>
  <c r="E35" i="1"/>
  <c r="AC107" i="4"/>
  <c r="E106" i="4"/>
  <c r="AT106" i="4" s="1"/>
  <c r="CP34" i="4"/>
  <c r="DO33" i="4"/>
  <c r="BG104" i="4"/>
  <c r="C107" i="4"/>
  <c r="CN35" i="4"/>
  <c r="T104" i="4"/>
  <c r="DY77" i="1"/>
  <c r="DY34" i="1" s="1"/>
  <c r="CK35" i="1"/>
  <c r="CJ35" i="1"/>
  <c r="CL35" i="1"/>
  <c r="CI35" i="1"/>
  <c r="A107" i="4"/>
  <c r="H107" i="4"/>
  <c r="AW107" i="4" s="1"/>
  <c r="HO35" i="4"/>
  <c r="BA35" i="1"/>
  <c r="CL35" i="4"/>
  <c r="DT78" i="1"/>
  <c r="W35" i="1"/>
  <c r="AK35" i="1"/>
  <c r="DT35" i="1"/>
  <c r="AL36" i="1"/>
  <c r="D37" i="1"/>
  <c r="B108" i="4"/>
  <c r="C36" i="1"/>
  <c r="CP79" i="1"/>
  <c r="X36" i="1"/>
  <c r="AQ108" i="4" s="1"/>
  <c r="AP108" i="4" s="1"/>
  <c r="AD34" i="17"/>
  <c r="CG36" i="4" s="1"/>
  <c r="DU36" i="1"/>
  <c r="DS36" i="1" s="1"/>
  <c r="DU79" i="1"/>
  <c r="DC36" i="1"/>
  <c r="A33" i="10"/>
  <c r="CD36" i="1"/>
  <c r="AT107" i="4"/>
  <c r="AR107" i="4"/>
  <c r="DW78" i="1"/>
  <c r="DX78" i="1"/>
  <c r="DX35" i="1" s="1"/>
  <c r="BU107" i="4"/>
  <c r="AZ107" i="4"/>
  <c r="BC107" i="4"/>
  <c r="BW107" i="4"/>
  <c r="AY107" i="4"/>
  <c r="BL107" i="4"/>
  <c r="AU107" i="4"/>
  <c r="BT107" i="4"/>
  <c r="BD107" i="4"/>
  <c r="BR107" i="4"/>
  <c r="AX107" i="4"/>
  <c r="BQ107" i="4"/>
  <c r="BV107" i="4"/>
  <c r="BE107" i="4"/>
  <c r="BA107" i="4"/>
  <c r="BF107" i="4"/>
  <c r="BX107" i="4"/>
  <c r="BS107" i="4"/>
  <c r="BK107" i="4"/>
  <c r="BP107" i="4"/>
  <c r="BN107" i="4"/>
  <c r="BO107" i="4"/>
  <c r="BB107" i="4"/>
  <c r="BM107" i="4"/>
  <c r="AV107" i="4"/>
  <c r="DK35" i="4"/>
  <c r="DM35" i="4"/>
  <c r="EB35" i="1"/>
  <c r="BB35" i="1" l="1"/>
  <c r="CP35" i="1"/>
  <c r="CM35" i="1"/>
  <c r="CN35" i="1"/>
  <c r="CO35" i="1"/>
  <c r="AS36" i="4"/>
  <c r="CK37" i="4"/>
  <c r="EC37" i="4"/>
  <c r="CM37" i="4"/>
  <c r="CY34" i="1"/>
  <c r="T105" i="4"/>
  <c r="BH105" i="4" s="1"/>
  <c r="V105" i="4"/>
  <c r="S105" i="4"/>
  <c r="BG105" i="4" s="1"/>
  <c r="CZ34" i="1"/>
  <c r="DZ34" i="1"/>
  <c r="BH104" i="4"/>
  <c r="ED34" i="1"/>
  <c r="BI104" i="4"/>
  <c r="EB34" i="1"/>
  <c r="U105" i="4"/>
  <c r="BI105" i="4" s="1"/>
  <c r="CV77" i="1"/>
  <c r="CX77" i="1"/>
  <c r="EB78" i="1"/>
  <c r="EC78" i="1" s="1"/>
  <c r="EC35" i="1" s="1"/>
  <c r="CU77" i="1"/>
  <c r="CW77" i="1"/>
  <c r="CT77" i="1"/>
  <c r="CS35" i="1"/>
  <c r="CR77" i="1"/>
  <c r="CW35" i="1"/>
  <c r="CG35" i="1"/>
  <c r="CS77" i="1"/>
  <c r="CX35" i="1"/>
  <c r="CU35" i="1"/>
  <c r="DZ78" i="1"/>
  <c r="DZ35" i="1" s="1"/>
  <c r="CH35" i="1"/>
  <c r="CQ77" i="1"/>
  <c r="CQ35" i="1"/>
  <c r="CR35" i="1"/>
  <c r="CE35" i="1"/>
  <c r="EF78" i="1"/>
  <c r="EF35" i="1" s="1"/>
  <c r="CT35" i="1"/>
  <c r="CV35" i="1"/>
  <c r="CF35" i="1"/>
  <c r="ED78" i="1"/>
  <c r="ED35" i="1" s="1"/>
  <c r="E36" i="1"/>
  <c r="AC108" i="4"/>
  <c r="BR108" i="4" s="1"/>
  <c r="CP35" i="4"/>
  <c r="DN35" i="4"/>
  <c r="DL35" i="4"/>
  <c r="E107" i="4"/>
  <c r="DO34" i="4"/>
  <c r="C108" i="4"/>
  <c r="CN36" i="4"/>
  <c r="DW35" i="1"/>
  <c r="DY78" i="1"/>
  <c r="DY35" i="1" s="1"/>
  <c r="W36" i="1"/>
  <c r="AK36" i="1"/>
  <c r="DT36" i="1"/>
  <c r="DT79" i="1"/>
  <c r="DK36" i="4"/>
  <c r="DM36" i="4"/>
  <c r="H108" i="4"/>
  <c r="AW108" i="4" s="1"/>
  <c r="J10" i="14" s="1"/>
  <c r="A108" i="4"/>
  <c r="BS108" i="4"/>
  <c r="AY108" i="4"/>
  <c r="BN108" i="4"/>
  <c r="BT108" i="4"/>
  <c r="BP108" i="4"/>
  <c r="BM108" i="4"/>
  <c r="BQ108" i="4"/>
  <c r="BO108" i="4"/>
  <c r="BA108" i="4"/>
  <c r="AV108" i="4"/>
  <c r="BD108" i="4"/>
  <c r="BX108" i="4"/>
  <c r="AR108" i="4"/>
  <c r="BV108" i="4"/>
  <c r="BL108" i="4"/>
  <c r="AX108" i="4"/>
  <c r="AZ108" i="4"/>
  <c r="AU108" i="4"/>
  <c r="H10" i="14" s="1"/>
  <c r="BB108" i="4"/>
  <c r="BF108" i="4"/>
  <c r="BK108" i="4"/>
  <c r="BE108" i="4"/>
  <c r="T10" i="14" s="1"/>
  <c r="BU108" i="4"/>
  <c r="BW108" i="4"/>
  <c r="BC108" i="4"/>
  <c r="DU80" i="1"/>
  <c r="CP80" i="1"/>
  <c r="DU37" i="1"/>
  <c r="DS37" i="1" s="1"/>
  <c r="AL37" i="1"/>
  <c r="DC37" i="1"/>
  <c r="CD37" i="1"/>
  <c r="A34" i="10"/>
  <c r="DJ37" i="4"/>
  <c r="D38" i="1"/>
  <c r="X37" i="1"/>
  <c r="AQ109" i="4" s="1"/>
  <c r="AP109" i="4" s="1"/>
  <c r="B109" i="4"/>
  <c r="C37" i="1"/>
  <c r="AD35" i="17"/>
  <c r="CG37" i="4" s="1"/>
  <c r="CK36" i="1"/>
  <c r="CJ36" i="1"/>
  <c r="CL36" i="1"/>
  <c r="CI36" i="1"/>
  <c r="DX79" i="1"/>
  <c r="DX36" i="1" s="1"/>
  <c r="DW79" i="1"/>
  <c r="DW36" i="1" s="1"/>
  <c r="HO36" i="4"/>
  <c r="BA36" i="1"/>
  <c r="CL36" i="4"/>
  <c r="BH107" i="4"/>
  <c r="J19" i="14"/>
  <c r="M18" i="14"/>
  <c r="T9" i="14"/>
  <c r="O19" i="14"/>
  <c r="P8" i="14"/>
  <c r="J9" i="14"/>
  <c r="W9" i="14"/>
  <c r="M8" i="14"/>
  <c r="T19" i="14"/>
  <c r="K19" i="14"/>
  <c r="I8" i="14"/>
  <c r="L8" i="14"/>
  <c r="I9" i="14"/>
  <c r="N19" i="14"/>
  <c r="H8" i="14"/>
  <c r="L9" i="14"/>
  <c r="J8" i="14"/>
  <c r="J18" i="14"/>
  <c r="R8" i="14"/>
  <c r="W8" i="14"/>
  <c r="Y8" i="14"/>
  <c r="M9" i="14"/>
  <c r="U9" i="14"/>
  <c r="K9" i="14"/>
  <c r="P9" i="14"/>
  <c r="N9" i="14"/>
  <c r="K8" i="14"/>
  <c r="M19" i="14"/>
  <c r="N18" i="14"/>
  <c r="T18" i="14"/>
  <c r="O9" i="14"/>
  <c r="X8" i="14"/>
  <c r="K18" i="14"/>
  <c r="N8" i="14"/>
  <c r="F9" i="14"/>
  <c r="R9" i="14"/>
  <c r="O8" i="14"/>
  <c r="S8" i="14"/>
  <c r="H9" i="14"/>
  <c r="T8" i="14"/>
  <c r="F8" i="14"/>
  <c r="S9" i="14"/>
  <c r="U8" i="14"/>
  <c r="O18" i="14"/>
  <c r="U10" i="14"/>
  <c r="O20" i="14"/>
  <c r="N10" i="14"/>
  <c r="S10" i="14"/>
  <c r="K10" i="14"/>
  <c r="I10" i="14"/>
  <c r="L10" i="14"/>
  <c r="W10" i="14"/>
  <c r="F10" i="14"/>
  <c r="R10" i="14"/>
  <c r="P10" i="14"/>
  <c r="O10" i="14"/>
  <c r="M10" i="14"/>
  <c r="DB34" i="1" l="1"/>
  <c r="AS37" i="4"/>
  <c r="Q9" i="14"/>
  <c r="Q8" i="14"/>
  <c r="DA34" i="1"/>
  <c r="EC38" i="4"/>
  <c r="CM38" i="4"/>
  <c r="CK38" i="4"/>
  <c r="S106" i="4"/>
  <c r="BG106" i="4" s="1"/>
  <c r="CZ35" i="1"/>
  <c r="CY35" i="1"/>
  <c r="BJ105" i="4"/>
  <c r="BJ106" i="4"/>
  <c r="ED37" i="1"/>
  <c r="T106" i="4"/>
  <c r="BH106" i="4" s="1"/>
  <c r="CT78" i="1"/>
  <c r="CU78" i="1"/>
  <c r="CR78" i="1"/>
  <c r="EA78" i="1"/>
  <c r="CQ78" i="1"/>
  <c r="CP36" i="1"/>
  <c r="ED79" i="1"/>
  <c r="EB79" i="1"/>
  <c r="CF36" i="1"/>
  <c r="CR36" i="1"/>
  <c r="CM36" i="1"/>
  <c r="CS78" i="1"/>
  <c r="CX78" i="1"/>
  <c r="CV78" i="1"/>
  <c r="CW78" i="1"/>
  <c r="EE78" i="1"/>
  <c r="CT36" i="1"/>
  <c r="CQ36" i="1"/>
  <c r="CE36" i="1"/>
  <c r="CX36" i="1"/>
  <c r="CH36" i="1"/>
  <c r="CV36" i="1"/>
  <c r="CO36" i="1"/>
  <c r="CW36" i="1"/>
  <c r="CU36" i="1"/>
  <c r="CN36" i="1"/>
  <c r="CS36" i="1"/>
  <c r="CG36" i="1"/>
  <c r="EF79" i="1"/>
  <c r="EF36" i="1" s="1"/>
  <c r="BB36" i="1"/>
  <c r="DZ79" i="1"/>
  <c r="DO35" i="4"/>
  <c r="E37" i="1"/>
  <c r="DN36" i="4"/>
  <c r="DL36" i="4"/>
  <c r="E108" i="4"/>
  <c r="AT108" i="4" s="1"/>
  <c r="T20" i="14" s="1"/>
  <c r="CP36" i="4"/>
  <c r="AC109" i="4"/>
  <c r="BR109" i="4" s="1"/>
  <c r="C109" i="4"/>
  <c r="CN37" i="4"/>
  <c r="DY79" i="1"/>
  <c r="DY36" i="1" s="1"/>
  <c r="A35" i="10"/>
  <c r="DC38" i="1"/>
  <c r="B110" i="4"/>
  <c r="DJ38" i="4"/>
  <c r="AL38" i="1"/>
  <c r="CP81" i="1"/>
  <c r="DU81" i="1"/>
  <c r="X38" i="1"/>
  <c r="AQ110" i="4" s="1"/>
  <c r="AP110" i="4" s="1"/>
  <c r="D39" i="1"/>
  <c r="DU38" i="1"/>
  <c r="AD36" i="17"/>
  <c r="CG38" i="4" s="1"/>
  <c r="C38" i="1"/>
  <c r="CD38" i="1"/>
  <c r="DW80" i="1"/>
  <c r="DX80" i="1"/>
  <c r="DX37" i="1" s="1"/>
  <c r="W37" i="1"/>
  <c r="AK37" i="1"/>
  <c r="DT80" i="1"/>
  <c r="DT37" i="1"/>
  <c r="DK37" i="4"/>
  <c r="DM37" i="4"/>
  <c r="A109" i="4"/>
  <c r="H109" i="4"/>
  <c r="AW109" i="4" s="1"/>
  <c r="AR109" i="4"/>
  <c r="HO37" i="4"/>
  <c r="BA37" i="1"/>
  <c r="CL37" i="4"/>
  <c r="BV109" i="4"/>
  <c r="BS109" i="4"/>
  <c r="AU109" i="4"/>
  <c r="AV109" i="4"/>
  <c r="BX109" i="4"/>
  <c r="BO109" i="4"/>
  <c r="AZ109" i="4"/>
  <c r="BE109" i="4"/>
  <c r="BT109" i="4"/>
  <c r="BF109" i="4"/>
  <c r="AY109" i="4"/>
  <c r="BB109" i="4"/>
  <c r="BW109" i="4"/>
  <c r="BU109" i="4"/>
  <c r="BM109" i="4"/>
  <c r="BL109" i="4"/>
  <c r="BC109" i="4"/>
  <c r="BD109" i="4"/>
  <c r="BK109" i="4"/>
  <c r="BQ109" i="4"/>
  <c r="BP109" i="4"/>
  <c r="AX109" i="4"/>
  <c r="BN109" i="4"/>
  <c r="BA109" i="4"/>
  <c r="CJ37" i="1"/>
  <c r="CK37" i="1"/>
  <c r="CI37" i="1"/>
  <c r="CL37" i="1"/>
  <c r="BJ107" i="4"/>
  <c r="EB37" i="1"/>
  <c r="BG107" i="4"/>
  <c r="DZ37" i="1"/>
  <c r="Y20" i="14"/>
  <c r="Y18" i="14"/>
  <c r="X19" i="14"/>
  <c r="X20" i="14"/>
  <c r="V18" i="14"/>
  <c r="V19" i="14"/>
  <c r="X18" i="14"/>
  <c r="L18" i="14"/>
  <c r="L19" i="14"/>
  <c r="V20" i="14"/>
  <c r="Q10" i="14"/>
  <c r="DB35" i="1" l="1"/>
  <c r="U106" i="4"/>
  <c r="BI106" i="4" s="1"/>
  <c r="V106" i="4"/>
  <c r="CP37" i="1"/>
  <c r="EB80" i="1"/>
  <c r="EC80" i="1" s="1"/>
  <c r="EC37" i="1" s="1"/>
  <c r="ED80" i="1"/>
  <c r="EE80" i="1" s="1"/>
  <c r="EE37" i="1" s="1"/>
  <c r="CM39" i="4"/>
  <c r="CK39" i="4"/>
  <c r="EC39" i="4"/>
  <c r="T107" i="4"/>
  <c r="DA35" i="1"/>
  <c r="CZ36" i="1"/>
  <c r="CY36" i="1"/>
  <c r="EE79" i="1"/>
  <c r="EE36" i="1" s="1"/>
  <c r="ED36" i="1"/>
  <c r="DS38" i="1"/>
  <c r="EE35" i="1"/>
  <c r="EA79" i="1"/>
  <c r="EA36" i="1" s="1"/>
  <c r="DZ36" i="1"/>
  <c r="EC79" i="1"/>
  <c r="EC36" i="1" s="1"/>
  <c r="EB36" i="1"/>
  <c r="EA35" i="1"/>
  <c r="S107" i="4"/>
  <c r="CV79" i="1"/>
  <c r="CR79" i="1"/>
  <c r="CW79" i="1"/>
  <c r="CX79" i="1"/>
  <c r="CU79" i="1"/>
  <c r="CQ79" i="1"/>
  <c r="CS79" i="1"/>
  <c r="CT79" i="1"/>
  <c r="BB37" i="1"/>
  <c r="CR37" i="1"/>
  <c r="CO37" i="1"/>
  <c r="EF80" i="1"/>
  <c r="EF37" i="1" s="1"/>
  <c r="CX37" i="1"/>
  <c r="CV37" i="1"/>
  <c r="DZ80" i="1"/>
  <c r="EA80" i="1" s="1"/>
  <c r="EA37" i="1" s="1"/>
  <c r="CS37" i="1"/>
  <c r="CG37" i="1"/>
  <c r="CQ37" i="1"/>
  <c r="CU37" i="1"/>
  <c r="CT37" i="1"/>
  <c r="CE37" i="1"/>
  <c r="CM37" i="1"/>
  <c r="CW37" i="1"/>
  <c r="CN37" i="1"/>
  <c r="CH37" i="1"/>
  <c r="CF37" i="1"/>
  <c r="AC110" i="4"/>
  <c r="BR110" i="4" s="1"/>
  <c r="DN37" i="4"/>
  <c r="DL37" i="4"/>
  <c r="CP37" i="4"/>
  <c r="E38" i="1"/>
  <c r="E109" i="4"/>
  <c r="AT109" i="4" s="1"/>
  <c r="DO36" i="4"/>
  <c r="AS38" i="4"/>
  <c r="C110" i="4"/>
  <c r="AR110" i="4" s="1"/>
  <c r="CN38" i="4"/>
  <c r="DW37" i="1"/>
  <c r="DY80" i="1"/>
  <c r="DY37" i="1" s="1"/>
  <c r="CK38" i="1"/>
  <c r="CL38" i="1"/>
  <c r="CI38" i="1"/>
  <c r="CJ38" i="1"/>
  <c r="DU39" i="1"/>
  <c r="DS39" i="1" s="1"/>
  <c r="C39" i="1"/>
  <c r="AD37" i="17"/>
  <c r="CG39" i="4" s="1"/>
  <c r="B111" i="4"/>
  <c r="CP82" i="1"/>
  <c r="AL39" i="1"/>
  <c r="D40" i="1"/>
  <c r="DU82" i="1"/>
  <c r="DJ39" i="4"/>
  <c r="DC39" i="1"/>
  <c r="X39" i="1"/>
  <c r="AQ111" i="4" s="1"/>
  <c r="AP111" i="4" s="1"/>
  <c r="A36" i="10"/>
  <c r="CD39" i="1"/>
  <c r="W38" i="1"/>
  <c r="AK38" i="1"/>
  <c r="DT81" i="1"/>
  <c r="DT38" i="1"/>
  <c r="BX110" i="4"/>
  <c r="BV110" i="4"/>
  <c r="BQ110" i="4"/>
  <c r="AX110" i="4"/>
  <c r="BL110" i="4"/>
  <c r="BM110" i="4"/>
  <c r="BB110" i="4"/>
  <c r="AV110" i="4"/>
  <c r="AY110" i="4"/>
  <c r="BF110" i="4"/>
  <c r="BT110" i="4"/>
  <c r="BN110" i="4"/>
  <c r="BE110" i="4"/>
  <c r="BS110" i="4"/>
  <c r="BU110" i="4"/>
  <c r="BP110" i="4"/>
  <c r="AZ110" i="4"/>
  <c r="AU110" i="4"/>
  <c r="BC110" i="4"/>
  <c r="BA110" i="4"/>
  <c r="BO110" i="4"/>
  <c r="BW110" i="4"/>
  <c r="BK110" i="4"/>
  <c r="BD110" i="4"/>
  <c r="DK38" i="4"/>
  <c r="DM38" i="4"/>
  <c r="CL38" i="4"/>
  <c r="HO38" i="4"/>
  <c r="BA38" i="1"/>
  <c r="DX81" i="1"/>
  <c r="DW81" i="1"/>
  <c r="H110" i="4"/>
  <c r="AW110" i="4" s="1"/>
  <c r="A110" i="4"/>
  <c r="BI109" i="4"/>
  <c r="V107" i="4" l="1"/>
  <c r="DA36" i="1"/>
  <c r="DB36" i="1"/>
  <c r="U107" i="4"/>
  <c r="BI107" i="4" s="1"/>
  <c r="CO38" i="1"/>
  <c r="EB81" i="1"/>
  <c r="EC81" i="1" s="1"/>
  <c r="ED81" i="1"/>
  <c r="EE81" i="1" s="1"/>
  <c r="CM40" i="4"/>
  <c r="CK40" i="4"/>
  <c r="EC40" i="4"/>
  <c r="BI108" i="4"/>
  <c r="M20" i="14" s="1"/>
  <c r="EE38" i="1"/>
  <c r="EC38" i="1"/>
  <c r="ED38" i="1"/>
  <c r="DG15" i="1"/>
  <c r="CZ37" i="1"/>
  <c r="CY37" i="1"/>
  <c r="T108" i="4"/>
  <c r="BH108" i="4" s="1"/>
  <c r="BJ108" i="4"/>
  <c r="DX38" i="1"/>
  <c r="EB38" i="1"/>
  <c r="S108" i="4"/>
  <c r="BG108" i="4" s="1"/>
  <c r="CH38" i="1"/>
  <c r="CV38" i="1"/>
  <c r="CX38" i="1"/>
  <c r="CT80" i="1"/>
  <c r="CW80" i="1"/>
  <c r="CU80" i="1"/>
  <c r="CM38" i="1"/>
  <c r="EF81" i="1"/>
  <c r="EF38" i="1" s="1"/>
  <c r="CW38" i="1"/>
  <c r="CR38" i="1"/>
  <c r="CX80" i="1"/>
  <c r="CT38" i="1"/>
  <c r="CP38" i="1"/>
  <c r="CU38" i="1"/>
  <c r="CV80" i="1"/>
  <c r="CE38" i="1"/>
  <c r="CQ38" i="1"/>
  <c r="BB38" i="1"/>
  <c r="CQ80" i="1"/>
  <c r="CS80" i="1"/>
  <c r="DZ81" i="1"/>
  <c r="DZ38" i="1" s="1"/>
  <c r="DK15" i="1" s="1"/>
  <c r="E20" i="14" s="1"/>
  <c r="CG38" i="1"/>
  <c r="CF38" i="1"/>
  <c r="CN38" i="1"/>
  <c r="CS38" i="1"/>
  <c r="CR80" i="1"/>
  <c r="CP38" i="4"/>
  <c r="E39" i="1"/>
  <c r="DZ82" i="1" s="1"/>
  <c r="BA39" i="1"/>
  <c r="E110" i="4"/>
  <c r="AT110" i="4" s="1"/>
  <c r="DL38" i="4"/>
  <c r="DN38" i="4"/>
  <c r="AC111" i="4"/>
  <c r="BR111" i="4" s="1"/>
  <c r="DO37" i="4"/>
  <c r="AS39" i="4"/>
  <c r="C111" i="4"/>
  <c r="AR111" i="4" s="1"/>
  <c r="CN39" i="4"/>
  <c r="DW38" i="1"/>
  <c r="DY81" i="1"/>
  <c r="DY38" i="1" s="1"/>
  <c r="HO39" i="4"/>
  <c r="CL39" i="4"/>
  <c r="DW82" i="1"/>
  <c r="DX82" i="1"/>
  <c r="DX39" i="1" s="1"/>
  <c r="BX111" i="4"/>
  <c r="BK111" i="4"/>
  <c r="BN111" i="4"/>
  <c r="BF111" i="4"/>
  <c r="AX111" i="4"/>
  <c r="AU111" i="4"/>
  <c r="BW111" i="4"/>
  <c r="BC111" i="4"/>
  <c r="BL111" i="4"/>
  <c r="BV111" i="4"/>
  <c r="BD111" i="4"/>
  <c r="BP111" i="4"/>
  <c r="BA111" i="4"/>
  <c r="AV111" i="4"/>
  <c r="BO111" i="4"/>
  <c r="BE111" i="4"/>
  <c r="BS111" i="4"/>
  <c r="AY111" i="4"/>
  <c r="BQ111" i="4"/>
  <c r="AZ111" i="4"/>
  <c r="BT111" i="4"/>
  <c r="BU111" i="4"/>
  <c r="BM111" i="4"/>
  <c r="BB111" i="4"/>
  <c r="A111" i="4"/>
  <c r="H111" i="4"/>
  <c r="AW111" i="4" s="1"/>
  <c r="X40" i="1"/>
  <c r="AQ112" i="4" s="1"/>
  <c r="AP112" i="4" s="1"/>
  <c r="DU40" i="1"/>
  <c r="DS40" i="1" s="1"/>
  <c r="B112" i="4"/>
  <c r="A37" i="10"/>
  <c r="CP83" i="1"/>
  <c r="DC40" i="1"/>
  <c r="DU83" i="1"/>
  <c r="CD40" i="1"/>
  <c r="D41" i="1"/>
  <c r="DJ40" i="4"/>
  <c r="AL40" i="1"/>
  <c r="C40" i="1"/>
  <c r="AD38" i="17"/>
  <c r="CG40" i="4" s="1"/>
  <c r="CI39" i="1"/>
  <c r="CL39" i="1"/>
  <c r="CJ39" i="1"/>
  <c r="CK39" i="1"/>
  <c r="DM39" i="4"/>
  <c r="DK39" i="4"/>
  <c r="DT82" i="1"/>
  <c r="W39" i="1"/>
  <c r="AK39" i="1"/>
  <c r="DT39" i="1"/>
  <c r="DO15" i="1" l="1"/>
  <c r="DL15" i="1"/>
  <c r="G20" i="14" s="1"/>
  <c r="DJ15" i="1"/>
  <c r="D20" i="14" s="1"/>
  <c r="F20" i="14" s="1"/>
  <c r="DN15" i="1"/>
  <c r="U20" i="14" s="1"/>
  <c r="EB82" i="1"/>
  <c r="EB39" i="1" s="1"/>
  <c r="V108" i="4"/>
  <c r="DA37" i="1"/>
  <c r="DB37" i="1"/>
  <c r="U108" i="4"/>
  <c r="CF39" i="1"/>
  <c r="ED82" i="1"/>
  <c r="ED39" i="1" s="1"/>
  <c r="BP42" i="7"/>
  <c r="BN42" i="7"/>
  <c r="BM42" i="7"/>
  <c r="HQ14" i="4" s="1"/>
  <c r="AR41" i="4" s="1"/>
  <c r="CM41" i="4"/>
  <c r="DR15" i="1"/>
  <c r="N20" i="14"/>
  <c r="DQ15" i="1"/>
  <c r="DM15" i="1"/>
  <c r="H20" i="14" s="1"/>
  <c r="DF15" i="1"/>
  <c r="DI15" i="1"/>
  <c r="E10" i="14" s="1"/>
  <c r="CG39" i="1"/>
  <c r="CE39" i="1"/>
  <c r="CH39" i="1"/>
  <c r="CZ38" i="1"/>
  <c r="CY38" i="1"/>
  <c r="CT39" i="1"/>
  <c r="EF82" i="1"/>
  <c r="CP39" i="1"/>
  <c r="CR39" i="1"/>
  <c r="CS39" i="1"/>
  <c r="CM39" i="1"/>
  <c r="CW39" i="1"/>
  <c r="CO39" i="1"/>
  <c r="CQ39" i="1"/>
  <c r="CX39" i="1"/>
  <c r="CU39" i="1"/>
  <c r="CV39" i="1"/>
  <c r="CN39" i="1"/>
  <c r="BB39" i="1"/>
  <c r="EA81" i="1"/>
  <c r="EA38" i="1" s="1"/>
  <c r="DP15" i="1" s="1"/>
  <c r="CT81" i="1"/>
  <c r="CS81" i="1"/>
  <c r="CQ81" i="1"/>
  <c r="EF39" i="1"/>
  <c r="T109" i="4"/>
  <c r="BH109" i="4" s="1"/>
  <c r="DZ39" i="1"/>
  <c r="CX81" i="1"/>
  <c r="S109" i="4"/>
  <c r="BG109" i="4" s="1"/>
  <c r="CW81" i="1"/>
  <c r="CR81" i="1"/>
  <c r="CU81" i="1"/>
  <c r="CV81" i="1"/>
  <c r="CP39" i="4"/>
  <c r="E40" i="1"/>
  <c r="AC112" i="4"/>
  <c r="BR112" i="4" s="1"/>
  <c r="DL39" i="4"/>
  <c r="DN39" i="4"/>
  <c r="DO38" i="4"/>
  <c r="E111" i="4"/>
  <c r="AT111" i="4" s="1"/>
  <c r="AS40" i="4"/>
  <c r="C112" i="4"/>
  <c r="AR112" i="4" s="1"/>
  <c r="CN40" i="4"/>
  <c r="DW39" i="1"/>
  <c r="DY82" i="1"/>
  <c r="DY39" i="1" s="1"/>
  <c r="EA82" i="1"/>
  <c r="EA39" i="1" s="1"/>
  <c r="DM40" i="4"/>
  <c r="DK40" i="4"/>
  <c r="H112" i="4"/>
  <c r="AW112" i="4" s="1"/>
  <c r="A112" i="4"/>
  <c r="AD39" i="17"/>
  <c r="B113" i="4"/>
  <c r="AL41" i="1"/>
  <c r="CP84" i="1"/>
  <c r="D6" i="3"/>
  <c r="DU84" i="1"/>
  <c r="DJ41" i="4"/>
  <c r="DU41" i="1"/>
  <c r="DS41" i="1" s="1"/>
  <c r="C41" i="1"/>
  <c r="DI6" i="1"/>
  <c r="DC41" i="1"/>
  <c r="X41" i="1"/>
  <c r="AQ113" i="4" s="1"/>
  <c r="AP113" i="4" s="1"/>
  <c r="CD41" i="1"/>
  <c r="A38" i="10"/>
  <c r="BQ112" i="4"/>
  <c r="BF112" i="4"/>
  <c r="U11" i="14" s="1"/>
  <c r="BU112" i="4"/>
  <c r="BO112" i="4"/>
  <c r="BX112" i="4"/>
  <c r="BL112" i="4"/>
  <c r="BT112" i="4"/>
  <c r="BK112" i="4"/>
  <c r="BD112" i="4"/>
  <c r="BA112" i="4"/>
  <c r="O11" i="14" s="1"/>
  <c r="BN112" i="4"/>
  <c r="BP112" i="4"/>
  <c r="BC112" i="4"/>
  <c r="AY112" i="4"/>
  <c r="M11" i="14" s="1"/>
  <c r="BM112" i="4"/>
  <c r="AZ112" i="4"/>
  <c r="BE112" i="4"/>
  <c r="AV112" i="4"/>
  <c r="I11" i="14" s="1"/>
  <c r="BB112" i="4"/>
  <c r="BV112" i="4"/>
  <c r="AX112" i="4"/>
  <c r="BW112" i="4"/>
  <c r="BS112" i="4"/>
  <c r="AU112" i="4"/>
  <c r="BA40" i="1"/>
  <c r="HO40" i="4"/>
  <c r="CL40" i="4"/>
  <c r="DW83" i="1"/>
  <c r="DW40" i="1" s="1"/>
  <c r="DX83" i="1"/>
  <c r="DX40" i="1" s="1"/>
  <c r="AK40" i="1"/>
  <c r="W40" i="1"/>
  <c r="DT83" i="1"/>
  <c r="DT40" i="1"/>
  <c r="CJ40" i="1"/>
  <c r="CK40" i="1"/>
  <c r="CI40" i="1"/>
  <c r="CL40" i="1"/>
  <c r="EC82" i="1"/>
  <c r="P11" i="14" l="1"/>
  <c r="K11" i="14"/>
  <c r="EE82" i="1"/>
  <c r="Y21" i="14"/>
  <c r="L11" i="14"/>
  <c r="R11" i="14"/>
  <c r="J11" i="14"/>
  <c r="T11" i="14"/>
  <c r="S11" i="14"/>
  <c r="W11" i="14"/>
  <c r="H11" i="14"/>
  <c r="X21" i="14" s="1"/>
  <c r="N11" i="14"/>
  <c r="O21" i="14"/>
  <c r="F11" i="14"/>
  <c r="V21" i="14" s="1"/>
  <c r="DA38" i="1"/>
  <c r="U110" i="4" s="1"/>
  <c r="BI110" i="4" s="1"/>
  <c r="CN41" i="4"/>
  <c r="CN43" i="4" s="1"/>
  <c r="DB38" i="1"/>
  <c r="D113" i="4"/>
  <c r="U109" i="4"/>
  <c r="V109" i="4"/>
  <c r="BJ109" i="4" s="1"/>
  <c r="CH40" i="1"/>
  <c r="ED83" i="1"/>
  <c r="EB83" i="1"/>
  <c r="DZ83" i="1"/>
  <c r="DZ40" i="1" s="1"/>
  <c r="AR38" i="4"/>
  <c r="AR39" i="4"/>
  <c r="AR40" i="4"/>
  <c r="AR36" i="4"/>
  <c r="AR37" i="4"/>
  <c r="I20" i="14"/>
  <c r="AR34" i="4"/>
  <c r="AR35" i="4"/>
  <c r="AR32" i="4"/>
  <c r="AR33" i="4"/>
  <c r="AR28" i="4"/>
  <c r="AR31" i="4"/>
  <c r="AR30" i="4"/>
  <c r="AR29" i="4"/>
  <c r="R20" i="14"/>
  <c r="AR25" i="4"/>
  <c r="AR27" i="4"/>
  <c r="AR26" i="4"/>
  <c r="AR21" i="4"/>
  <c r="AR23" i="4"/>
  <c r="AR22" i="4"/>
  <c r="AR24" i="4"/>
  <c r="AR18" i="4"/>
  <c r="AR20" i="4"/>
  <c r="AR19" i="4"/>
  <c r="AR17" i="4"/>
  <c r="AR16" i="4"/>
  <c r="AR15" i="4"/>
  <c r="AR13" i="4"/>
  <c r="AR14" i="4"/>
  <c r="Q11" i="16"/>
  <c r="Q12" i="16" s="1"/>
  <c r="AR11" i="4"/>
  <c r="AR12" i="4"/>
  <c r="CZ39" i="1"/>
  <c r="S110" i="4"/>
  <c r="BG110" i="4" s="1"/>
  <c r="J20" i="14" s="1"/>
  <c r="CY39" i="1"/>
  <c r="CR82" i="1"/>
  <c r="CS82" i="1"/>
  <c r="AS106" i="4"/>
  <c r="AS99" i="4"/>
  <c r="AS92" i="4"/>
  <c r="CQ82" i="1"/>
  <c r="CT82" i="1"/>
  <c r="CU82" i="1"/>
  <c r="CX82" i="1"/>
  <c r="CW82" i="1"/>
  <c r="CV82" i="1"/>
  <c r="T110" i="4"/>
  <c r="BH110" i="4" s="1"/>
  <c r="K20" i="14" s="1"/>
  <c r="AS83" i="4"/>
  <c r="AS41" i="4"/>
  <c r="CT40" i="1"/>
  <c r="CX40" i="1"/>
  <c r="CQ40" i="1"/>
  <c r="CR40" i="1"/>
  <c r="CM40" i="1"/>
  <c r="CP40" i="1"/>
  <c r="CF40" i="1"/>
  <c r="CO40" i="1"/>
  <c r="CE40" i="1"/>
  <c r="CS40" i="1"/>
  <c r="EF83" i="1"/>
  <c r="EF40" i="1" s="1"/>
  <c r="CU40" i="1"/>
  <c r="CW40" i="1"/>
  <c r="CN40" i="1"/>
  <c r="CV40" i="1"/>
  <c r="BB40" i="1"/>
  <c r="CG40" i="1"/>
  <c r="DN40" i="4"/>
  <c r="CP40" i="4"/>
  <c r="E112" i="4"/>
  <c r="AT112" i="4" s="1"/>
  <c r="T21" i="14" s="1"/>
  <c r="DL40" i="4"/>
  <c r="DO39" i="4"/>
  <c r="AD40" i="17"/>
  <c r="CG41" i="4"/>
  <c r="BI111" i="4"/>
  <c r="DY83" i="1"/>
  <c r="DY40" i="1" s="1"/>
  <c r="AS90" i="4"/>
  <c r="AS104" i="4"/>
  <c r="HQ15" i="4"/>
  <c r="O19" i="18"/>
  <c r="O17" i="18"/>
  <c r="P24" i="18" s="1"/>
  <c r="DQ36" i="1"/>
  <c r="DG36" i="1"/>
  <c r="DF36" i="1" s="1"/>
  <c r="DL34" i="1"/>
  <c r="DH37" i="1"/>
  <c r="DR37" i="1"/>
  <c r="DH34" i="1"/>
  <c r="DJ38" i="1"/>
  <c r="DL37" i="1"/>
  <c r="DM33" i="1"/>
  <c r="DM36" i="1"/>
  <c r="DJ36" i="1"/>
  <c r="DO35" i="1"/>
  <c r="DR36" i="1"/>
  <c r="DN37" i="1"/>
  <c r="DM35" i="1"/>
  <c r="DH33" i="1"/>
  <c r="DO37" i="1"/>
  <c r="DG38" i="1"/>
  <c r="DF38" i="1" s="1"/>
  <c r="DK33" i="1"/>
  <c r="DI34" i="1"/>
  <c r="DO33" i="1"/>
  <c r="DG34" i="1"/>
  <c r="DF34" i="1" s="1"/>
  <c r="DR34" i="1"/>
  <c r="DG35" i="1"/>
  <c r="DF35" i="1" s="1"/>
  <c r="DJ33" i="1"/>
  <c r="DM38" i="1"/>
  <c r="DM34" i="1"/>
  <c r="DH36" i="1"/>
  <c r="DP37" i="1"/>
  <c r="DL33" i="1"/>
  <c r="DN33" i="1"/>
  <c r="DI36" i="1"/>
  <c r="DQ33" i="1"/>
  <c r="DL36" i="1"/>
  <c r="DI38" i="1"/>
  <c r="DI37" i="1"/>
  <c r="DL35" i="1"/>
  <c r="DI35" i="1"/>
  <c r="DQ34" i="1"/>
  <c r="DP35" i="1"/>
  <c r="DP36" i="1"/>
  <c r="DK37" i="1"/>
  <c r="DN38" i="1"/>
  <c r="DK38" i="1"/>
  <c r="DP34" i="1"/>
  <c r="DQ37" i="1"/>
  <c r="DI33" i="1"/>
  <c r="DR33" i="1"/>
  <c r="DM37" i="1"/>
  <c r="DP33" i="1"/>
  <c r="DG37" i="1"/>
  <c r="DF37" i="1" s="1"/>
  <c r="DO34" i="1"/>
  <c r="DO36" i="1"/>
  <c r="DK36" i="1"/>
  <c r="DJ35" i="1"/>
  <c r="DR35" i="1"/>
  <c r="DH35" i="1"/>
  <c r="DN35" i="1"/>
  <c r="DK35" i="1"/>
  <c r="DL38" i="1"/>
  <c r="DN36" i="1"/>
  <c r="DQ35" i="1"/>
  <c r="DK34" i="1"/>
  <c r="DJ34" i="1"/>
  <c r="DJ37" i="1"/>
  <c r="DN34" i="1"/>
  <c r="DG33" i="1"/>
  <c r="DF33" i="1" s="1"/>
  <c r="DW84" i="1"/>
  <c r="DW41" i="1" s="1"/>
  <c r="DX84" i="1"/>
  <c r="DX41" i="1" s="1"/>
  <c r="CK41" i="1"/>
  <c r="CJ41" i="1"/>
  <c r="CI41" i="1"/>
  <c r="CI42" i="1" s="1"/>
  <c r="C6" i="16" s="1"/>
  <c r="CL41" i="1"/>
  <c r="AK41" i="1"/>
  <c r="DT84" i="1"/>
  <c r="DT41" i="1"/>
  <c r="W41" i="1"/>
  <c r="H113" i="4"/>
  <c r="H114" i="4" s="1"/>
  <c r="A113" i="4"/>
  <c r="EE39" i="1"/>
  <c r="BN113" i="4"/>
  <c r="AU113" i="4"/>
  <c r="BL113" i="4"/>
  <c r="AY113" i="4"/>
  <c r="AV113" i="4"/>
  <c r="BU113" i="4"/>
  <c r="BF113" i="4"/>
  <c r="AS113" i="4"/>
  <c r="AX113" i="4"/>
  <c r="BQ113" i="4"/>
  <c r="BB113" i="4"/>
  <c r="BT113" i="4"/>
  <c r="BV113" i="4"/>
  <c r="BP113" i="4"/>
  <c r="BK113" i="4"/>
  <c r="BC113" i="4"/>
  <c r="BO113" i="4"/>
  <c r="BM113" i="4"/>
  <c r="BA113" i="4"/>
  <c r="BE113" i="4"/>
  <c r="BD113" i="4"/>
  <c r="BX113" i="4"/>
  <c r="BS113" i="4"/>
  <c r="BW113" i="4"/>
  <c r="AZ113" i="4"/>
  <c r="AR70" i="4" s="1"/>
  <c r="DG16" i="1"/>
  <c r="EC41" i="4"/>
  <c r="BO42" i="7"/>
  <c r="EC39" i="1"/>
  <c r="AS97" i="4"/>
  <c r="AS111" i="4"/>
  <c r="DJ42" i="4"/>
  <c r="DK41" i="4"/>
  <c r="DM41" i="4"/>
  <c r="DJ43" i="4"/>
  <c r="CM42" i="4"/>
  <c r="CM43" i="4"/>
  <c r="BU47" i="4" s="1"/>
  <c r="C113" i="4"/>
  <c r="C114" i="4" s="1"/>
  <c r="CK41" i="4"/>
  <c r="HO41" i="4" s="1"/>
  <c r="BL42" i="7"/>
  <c r="O11" i="18" s="1"/>
  <c r="AS107" i="4"/>
  <c r="AS100" i="4"/>
  <c r="AS93" i="4"/>
  <c r="AS86" i="4"/>
  <c r="AS109" i="4"/>
  <c r="AS95" i="4"/>
  <c r="AS102" i="4"/>
  <c r="AS88" i="4"/>
  <c r="Q11" i="14" l="1"/>
  <c r="EA83" i="1"/>
  <c r="EA40" i="1" s="1"/>
  <c r="S111" i="4"/>
  <c r="AS42" i="4"/>
  <c r="T22" i="14" s="1"/>
  <c r="D112" i="4"/>
  <c r="DB39" i="1"/>
  <c r="V110" i="4"/>
  <c r="BJ110" i="4" s="1"/>
  <c r="EC83" i="1"/>
  <c r="EC40" i="1" s="1"/>
  <c r="DQ16" i="1" s="1"/>
  <c r="DQ17" i="1" s="1"/>
  <c r="EB40" i="1"/>
  <c r="EE83" i="1"/>
  <c r="EE40" i="1" s="1"/>
  <c r="DR16" i="1" s="1"/>
  <c r="DR17" i="1" s="1"/>
  <c r="F11" i="2" s="1"/>
  <c r="ED40" i="1"/>
  <c r="D98" i="4"/>
  <c r="D101" i="4"/>
  <c r="D105" i="4"/>
  <c r="D111" i="4"/>
  <c r="D99" i="4"/>
  <c r="D102" i="4"/>
  <c r="D104" i="4"/>
  <c r="D109" i="4"/>
  <c r="D110" i="4"/>
  <c r="D103" i="4"/>
  <c r="D107" i="4"/>
  <c r="D108" i="4"/>
  <c r="D100" i="4"/>
  <c r="D106" i="4"/>
  <c r="BU48" i="4"/>
  <c r="D91" i="4"/>
  <c r="D94" i="4"/>
  <c r="D92" i="4"/>
  <c r="D95" i="4"/>
  <c r="D97" i="4"/>
  <c r="D93" i="4"/>
  <c r="D96" i="4"/>
  <c r="L20" i="14"/>
  <c r="AS101" i="4"/>
  <c r="AS108" i="4"/>
  <c r="AS110" i="4"/>
  <c r="AS103" i="4"/>
  <c r="D86" i="4"/>
  <c r="D89" i="4"/>
  <c r="D84" i="4"/>
  <c r="D85" i="4"/>
  <c r="D83" i="4"/>
  <c r="D87" i="4"/>
  <c r="D88" i="4"/>
  <c r="D90" i="4"/>
  <c r="AS96" i="4" s="1"/>
  <c r="T111" i="4"/>
  <c r="BH111" i="4" s="1"/>
  <c r="AR42" i="4"/>
  <c r="S22" i="14" s="1"/>
  <c r="N7" i="14"/>
  <c r="S7" i="14"/>
  <c r="L7" i="14"/>
  <c r="K7" i="14"/>
  <c r="X7" i="14"/>
  <c r="T7" i="14"/>
  <c r="R7" i="14"/>
  <c r="M7" i="14"/>
  <c r="O7" i="14"/>
  <c r="P7" i="14"/>
  <c r="U7" i="14"/>
  <c r="DA39" i="1"/>
  <c r="CZ40" i="1"/>
  <c r="CY40" i="1"/>
  <c r="ED41" i="1"/>
  <c r="DM16" i="1" s="1"/>
  <c r="H21" i="14" s="1"/>
  <c r="EB41" i="1"/>
  <c r="AW113" i="4"/>
  <c r="AR113" i="4"/>
  <c r="E113" i="4"/>
  <c r="CX83" i="1"/>
  <c r="CW83" i="1"/>
  <c r="CU83" i="1"/>
  <c r="CV83" i="1"/>
  <c r="DO40" i="4"/>
  <c r="CR83" i="1"/>
  <c r="CQ83" i="1"/>
  <c r="CT83" i="1"/>
  <c r="CS83" i="1"/>
  <c r="CG42" i="4"/>
  <c r="CG43" i="4"/>
  <c r="E41" i="1"/>
  <c r="DY84" i="1"/>
  <c r="DY41" i="1" s="1"/>
  <c r="DO16" i="1" s="1"/>
  <c r="DO17" i="1" s="1"/>
  <c r="DR38" i="1"/>
  <c r="R46" i="1"/>
  <c r="F10" i="2" s="1"/>
  <c r="I10" i="2" s="1"/>
  <c r="F21" i="3" s="1"/>
  <c r="CJ45" i="1"/>
  <c r="CJ42" i="1"/>
  <c r="W6" i="16" s="1"/>
  <c r="X6" i="16" s="1"/>
  <c r="BA41" i="1"/>
  <c r="CL41" i="4"/>
  <c r="CK43" i="4"/>
  <c r="DL41" i="4"/>
  <c r="DK43" i="4"/>
  <c r="G24" i="16" s="1"/>
  <c r="DK42" i="4"/>
  <c r="EC43" i="4"/>
  <c r="G12" i="14" s="1"/>
  <c r="EC42" i="4"/>
  <c r="AC113" i="4"/>
  <c r="CL42" i="1"/>
  <c r="W5" i="16" s="1"/>
  <c r="DP38" i="1"/>
  <c r="T46" i="1"/>
  <c r="F13" i="2" s="1"/>
  <c r="I13" i="2" s="1"/>
  <c r="F15" i="3" s="1"/>
  <c r="CL45" i="1"/>
  <c r="CJ50" i="4"/>
  <c r="CK55" i="4"/>
  <c r="DH53" i="4"/>
  <c r="DJ16" i="1"/>
  <c r="D21" i="14" s="1"/>
  <c r="DI16" i="1"/>
  <c r="E11" i="14" s="1"/>
  <c r="R21" i="14" s="1"/>
  <c r="DF16" i="1"/>
  <c r="CI45" i="1"/>
  <c r="DQ38" i="1"/>
  <c r="N30" i="18"/>
  <c r="P26" i="18"/>
  <c r="BG111" i="4"/>
  <c r="F12" i="14"/>
  <c r="K29" i="18"/>
  <c r="G23" i="16"/>
  <c r="L23" i="16" s="1"/>
  <c r="J12" i="14"/>
  <c r="O18" i="18"/>
  <c r="Q11" i="18"/>
  <c r="Q16" i="18"/>
  <c r="Q18" i="18" s="1"/>
  <c r="DM42" i="4"/>
  <c r="BP6" i="1" s="1"/>
  <c r="DN41" i="4"/>
  <c r="DM43" i="4"/>
  <c r="EY49" i="4" s="1"/>
  <c r="CK42" i="1"/>
  <c r="C5" i="16" s="1"/>
  <c r="CK45" i="1"/>
  <c r="DO38" i="1"/>
  <c r="Q18" i="16"/>
  <c r="EY48" i="4"/>
  <c r="V111" i="4"/>
  <c r="AJ43" i="12"/>
  <c r="DB40" i="1" l="1"/>
  <c r="U111" i="4"/>
  <c r="DA40" i="1"/>
  <c r="DL16" i="1"/>
  <c r="G21" i="14" s="1"/>
  <c r="I21" i="14" s="1"/>
  <c r="ED84" i="1"/>
  <c r="EE84" i="1" s="1"/>
  <c r="EE41" i="1" s="1"/>
  <c r="EB84" i="1"/>
  <c r="EC84" i="1" s="1"/>
  <c r="EC41" i="1" s="1"/>
  <c r="AS105" i="4"/>
  <c r="S20" i="14" s="1"/>
  <c r="AS112" i="4"/>
  <c r="S21" i="14" s="1"/>
  <c r="AS98" i="4"/>
  <c r="S19" i="14" s="1"/>
  <c r="AS91" i="4"/>
  <c r="AS94" i="4"/>
  <c r="Q7" i="14"/>
  <c r="AS89" i="4"/>
  <c r="D114" i="4"/>
  <c r="BJ111" i="4"/>
  <c r="AC114" i="4"/>
  <c r="BR113" i="4"/>
  <c r="E114" i="4"/>
  <c r="AT113" i="4"/>
  <c r="DV11" i="1"/>
  <c r="CH41" i="1"/>
  <c r="CH42" i="1" s="1"/>
  <c r="CE41" i="1"/>
  <c r="CE42" i="1" s="1"/>
  <c r="CF41" i="1"/>
  <c r="CF42" i="1" s="1"/>
  <c r="T112" i="4"/>
  <c r="BH112" i="4" s="1"/>
  <c r="K21" i="14" s="1"/>
  <c r="S112" i="4"/>
  <c r="BG112" i="4" s="1"/>
  <c r="J21" i="14" s="1"/>
  <c r="CG41" i="1"/>
  <c r="CR41" i="1"/>
  <c r="CO41" i="1"/>
  <c r="CO42" i="1" s="1"/>
  <c r="BB41" i="1"/>
  <c r="F47" i="16" s="1"/>
  <c r="CU41" i="1"/>
  <c r="DZ84" i="1"/>
  <c r="EF84" i="1"/>
  <c r="EF41" i="1" s="1"/>
  <c r="DN16" i="1" s="1"/>
  <c r="U21" i="14" s="1"/>
  <c r="CT41" i="1"/>
  <c r="CS41" i="1"/>
  <c r="CP41" i="1"/>
  <c r="CP42" i="1" s="1"/>
  <c r="E44" i="1"/>
  <c r="CN41" i="1"/>
  <c r="CN42" i="1" s="1"/>
  <c r="CX41" i="1"/>
  <c r="CV41" i="1"/>
  <c r="DH38" i="1"/>
  <c r="CW41" i="1"/>
  <c r="CM41" i="1"/>
  <c r="CM42" i="1" s="1"/>
  <c r="CQ41" i="1"/>
  <c r="DJ17" i="1"/>
  <c r="DI17" i="1"/>
  <c r="G11" i="2"/>
  <c r="F18" i="3" s="1"/>
  <c r="DM17" i="1"/>
  <c r="D11" i="2" s="1"/>
  <c r="CP41" i="4"/>
  <c r="CP43" i="4" s="1"/>
  <c r="CL43" i="4"/>
  <c r="DV18" i="1"/>
  <c r="DV25" i="1"/>
  <c r="DV32" i="1"/>
  <c r="DN43" i="4"/>
  <c r="DN42" i="4"/>
  <c r="DO41" i="4"/>
  <c r="N32" i="18"/>
  <c r="H10" i="18"/>
  <c r="H46" i="16"/>
  <c r="X5" i="16"/>
  <c r="CL50" i="4"/>
  <c r="CL52" i="4" s="1"/>
  <c r="CN50" i="4"/>
  <c r="CN52" i="4" s="1"/>
  <c r="CK56" i="4"/>
  <c r="CM50" i="4"/>
  <c r="CM52" i="4" s="1"/>
  <c r="CK50" i="4"/>
  <c r="Q19" i="16"/>
  <c r="F19" i="16"/>
  <c r="E35" i="16"/>
  <c r="C45" i="16"/>
  <c r="C49" i="16" s="1"/>
  <c r="DH56" i="4"/>
  <c r="P5" i="15"/>
  <c r="F36" i="16"/>
  <c r="E36" i="16"/>
  <c r="DV39" i="1"/>
  <c r="K31" i="18"/>
  <c r="W24" i="18" s="1"/>
  <c r="G29" i="18"/>
  <c r="G31" i="18" s="1"/>
  <c r="DL43" i="4"/>
  <c r="DL42" i="4"/>
  <c r="DV14" i="1"/>
  <c r="DV28" i="1"/>
  <c r="DV35" i="1"/>
  <c r="DV21" i="1"/>
  <c r="DV37" i="1"/>
  <c r="DV30" i="1"/>
  <c r="DV23" i="1"/>
  <c r="DV16" i="1"/>
  <c r="AJ42" i="12"/>
  <c r="F50" i="12" s="1"/>
  <c r="BK7" i="1" s="1"/>
  <c r="AG98" i="4"/>
  <c r="BV101" i="4" s="1"/>
  <c r="V112" i="4" l="1"/>
  <c r="BJ112" i="4" s="1"/>
  <c r="N21" i="14" s="1"/>
  <c r="U112" i="4"/>
  <c r="BI112" i="4" s="1"/>
  <c r="M21" i="14" s="1"/>
  <c r="DL17" i="1"/>
  <c r="L21" i="14"/>
  <c r="S18" i="14"/>
  <c r="DV54" i="1"/>
  <c r="DV65" i="1"/>
  <c r="H27" i="2"/>
  <c r="F24" i="3" s="1"/>
  <c r="DV80" i="1"/>
  <c r="DV83" i="1"/>
  <c r="BV102" i="4"/>
  <c r="BV99" i="4"/>
  <c r="DV73" i="1"/>
  <c r="DV79" i="1"/>
  <c r="DV66" i="1"/>
  <c r="DV72" i="1"/>
  <c r="CY41" i="1"/>
  <c r="CZ41" i="1"/>
  <c r="DV59" i="1"/>
  <c r="DV60" i="1"/>
  <c r="DV82" i="1"/>
  <c r="DV58" i="1"/>
  <c r="DN17" i="1"/>
  <c r="C27" i="2" s="1"/>
  <c r="EA84" i="1"/>
  <c r="EA41" i="1" s="1"/>
  <c r="DP16" i="1" s="1"/>
  <c r="DZ41" i="1"/>
  <c r="DK16" i="1" s="1"/>
  <c r="E21" i="14" s="1"/>
  <c r="F21" i="14" s="1"/>
  <c r="DV78" i="1"/>
  <c r="DV81" i="1"/>
  <c r="DV76" i="1"/>
  <c r="DV77" i="1"/>
  <c r="DV74" i="1"/>
  <c r="DV75" i="1"/>
  <c r="DV70" i="1"/>
  <c r="DV71" i="1"/>
  <c r="DV68" i="1"/>
  <c r="DV69" i="1"/>
  <c r="DV64" i="1"/>
  <c r="DV67" i="1"/>
  <c r="DV62" i="1"/>
  <c r="DV63" i="1"/>
  <c r="DV57" i="1"/>
  <c r="DV61" i="1"/>
  <c r="DV55" i="1"/>
  <c r="DV56" i="1"/>
  <c r="CE45" i="1"/>
  <c r="CH45" i="1"/>
  <c r="CF45" i="1"/>
  <c r="DH39" i="1"/>
  <c r="D12" i="14"/>
  <c r="F20" i="2"/>
  <c r="DV84" i="1"/>
  <c r="CP44" i="1"/>
  <c r="U45" i="1" s="1"/>
  <c r="C23" i="2" s="1"/>
  <c r="CQ84" i="1"/>
  <c r="CQ85" i="1" s="1"/>
  <c r="CQ51" i="1" s="1"/>
  <c r="F34" i="2" s="1"/>
  <c r="CR84" i="1"/>
  <c r="CR85" i="1" s="1"/>
  <c r="CR51" i="1" s="1"/>
  <c r="F36" i="2" s="1"/>
  <c r="CT84" i="1"/>
  <c r="CT85" i="1" s="1"/>
  <c r="CT51" i="1" s="1"/>
  <c r="F38" i="2" s="1"/>
  <c r="CS84" i="1"/>
  <c r="CS85" i="1" s="1"/>
  <c r="CS51" i="1" s="1"/>
  <c r="F40" i="2" s="1"/>
  <c r="CN44" i="1"/>
  <c r="S45" i="1" s="1"/>
  <c r="C22" i="2" s="1"/>
  <c r="CW84" i="1"/>
  <c r="CW85" i="1" s="1"/>
  <c r="CW51" i="1" s="1"/>
  <c r="F41" i="2" s="1"/>
  <c r="CU84" i="1"/>
  <c r="CU85" i="1" s="1"/>
  <c r="CU51" i="1" s="1"/>
  <c r="F35" i="2" s="1"/>
  <c r="CX84" i="1"/>
  <c r="CX85" i="1" s="1"/>
  <c r="CX51" i="1" s="1"/>
  <c r="F39" i="2" s="1"/>
  <c r="CV84" i="1"/>
  <c r="CV85" i="1" s="1"/>
  <c r="CV51" i="1" s="1"/>
  <c r="F37" i="2" s="1"/>
  <c r="CG45" i="1"/>
  <c r="CG42" i="1"/>
  <c r="E38" i="16"/>
  <c r="H12" i="18"/>
  <c r="G17" i="18"/>
  <c r="G16" i="18"/>
  <c r="F38" i="16"/>
  <c r="F37" i="16"/>
  <c r="E37" i="16"/>
  <c r="DO42" i="4"/>
  <c r="CK57" i="4" s="1"/>
  <c r="CK58" i="4" s="1"/>
  <c r="DO43" i="4"/>
  <c r="W26" i="18"/>
  <c r="W25" i="18"/>
  <c r="F20" i="16"/>
  <c r="D20" i="16"/>
  <c r="H48" i="16"/>
  <c r="F46" i="16"/>
  <c r="BV100" i="4"/>
  <c r="BV98" i="4"/>
  <c r="Y22" i="14"/>
  <c r="BV103" i="4"/>
  <c r="AG114" i="4"/>
  <c r="Y19" i="14" l="1"/>
  <c r="DB41" i="1"/>
  <c r="CZ47" i="1"/>
  <c r="DA41" i="1"/>
  <c r="CY47" i="1"/>
  <c r="DV40" i="1"/>
  <c r="DV33" i="1"/>
  <c r="DV19" i="1"/>
  <c r="DV26" i="1"/>
  <c r="DV12" i="1"/>
  <c r="DV24" i="1"/>
  <c r="DV17" i="1"/>
  <c r="DV31" i="1"/>
  <c r="DV38" i="1"/>
  <c r="G14" i="2"/>
  <c r="F12" i="3" s="1"/>
  <c r="DK17" i="1"/>
  <c r="D14" i="2" s="1"/>
  <c r="I14" i="2"/>
  <c r="F13" i="3" s="1"/>
  <c r="DP17" i="1"/>
  <c r="F14" i="2" s="1"/>
  <c r="DV34" i="1"/>
  <c r="DV20" i="1"/>
  <c r="DV27" i="1"/>
  <c r="DV13" i="1"/>
  <c r="DV41" i="1"/>
  <c r="DV36" i="1"/>
  <c r="DV29" i="1"/>
  <c r="DV22" i="1"/>
  <c r="DV15" i="1"/>
  <c r="H22" i="2"/>
  <c r="F22" i="3" s="1"/>
  <c r="I22" i="14"/>
  <c r="BQ51" i="4"/>
  <c r="CZ42" i="1"/>
  <c r="T113" i="4"/>
  <c r="S113" i="4"/>
  <c r="CY42" i="1"/>
  <c r="BQ47" i="4"/>
  <c r="F22" i="14"/>
  <c r="H23" i="2"/>
  <c r="F16" i="3" s="1"/>
  <c r="G4" i="16"/>
  <c r="D21" i="16"/>
  <c r="B38" i="15"/>
  <c r="N38" i="15" s="1"/>
  <c r="ED42" i="4"/>
  <c r="L16" i="18"/>
  <c r="L18" i="18" s="1"/>
  <c r="G18" i="18"/>
  <c r="F48" i="16"/>
  <c r="H45" i="16"/>
  <c r="H49" i="16" s="1"/>
  <c r="Y26" i="18"/>
  <c r="Y25" i="18"/>
  <c r="DA47" i="1" l="1"/>
  <c r="D32" i="2"/>
  <c r="K22" i="14" s="1"/>
  <c r="DH16" i="1"/>
  <c r="D11" i="14" s="1"/>
  <c r="D31" i="2"/>
  <c r="J22" i="14" s="1"/>
  <c r="CY53" i="1"/>
  <c r="DH15" i="1"/>
  <c r="D10" i="14" s="1"/>
  <c r="DH14" i="1"/>
  <c r="D9" i="14" s="1"/>
  <c r="DH12" i="1"/>
  <c r="D7" i="14" s="1"/>
  <c r="DH13" i="1"/>
  <c r="D8" i="14" s="1"/>
  <c r="T114" i="4"/>
  <c r="BH113" i="4"/>
  <c r="S114" i="4"/>
  <c r="BG113" i="4"/>
  <c r="V113" i="4"/>
  <c r="AR45" i="1"/>
  <c r="F32" i="2" s="1"/>
  <c r="DB42" i="1"/>
  <c r="EM36" i="1" s="1"/>
  <c r="DB43" i="1"/>
  <c r="U113" i="4"/>
  <c r="DA43" i="1"/>
  <c r="F31" i="2" s="1"/>
  <c r="DA42" i="1"/>
  <c r="J24" i="18"/>
  <c r="J23" i="18" s="1"/>
  <c r="G5" i="16"/>
  <c r="G12" i="16" s="1"/>
  <c r="D45" i="16" s="1"/>
  <c r="G11" i="16"/>
  <c r="J11" i="16" s="1"/>
  <c r="G6" i="16"/>
  <c r="G13" i="16" s="1"/>
  <c r="J4" i="16"/>
  <c r="P21" i="14" l="1"/>
  <c r="G11" i="14"/>
  <c r="W21" i="14" s="1"/>
  <c r="Q21" i="14"/>
  <c r="L22" i="14"/>
  <c r="P19" i="14"/>
  <c r="P18" i="14"/>
  <c r="P20" i="14"/>
  <c r="Q19" i="14"/>
  <c r="G9" i="14"/>
  <c r="G10" i="14"/>
  <c r="Q20" i="14"/>
  <c r="Q18" i="14"/>
  <c r="DH17" i="1"/>
  <c r="G8" i="14"/>
  <c r="U114" i="4"/>
  <c r="BI113" i="4"/>
  <c r="V114" i="4"/>
  <c r="BJ113" i="4"/>
  <c r="ET47" i="4"/>
  <c r="M22" i="14"/>
  <c r="ET49" i="4"/>
  <c r="N22" i="14"/>
  <c r="J12" i="16"/>
  <c r="D46" i="16" s="1"/>
  <c r="D48" i="16" s="1"/>
  <c r="D49" i="16" s="1"/>
  <c r="J13" i="16"/>
  <c r="N12" i="16"/>
  <c r="N13" i="16" s="1"/>
  <c r="S11" i="16"/>
  <c r="R4" i="16"/>
  <c r="J6" i="16"/>
  <c r="J5" i="16"/>
  <c r="N4" i="16"/>
  <c r="N5" i="16" s="1"/>
  <c r="W18" i="14" l="1"/>
  <c r="W20" i="14"/>
  <c r="W19" i="14"/>
  <c r="E45" i="16"/>
  <c r="E49" i="16" s="1"/>
  <c r="F45" i="16"/>
  <c r="F49" i="16" s="1"/>
  <c r="AW85" i="4" l="1"/>
  <c r="AR85" i="4" l="1"/>
  <c r="BR85" i="4"/>
  <c r="AS85" i="4"/>
  <c r="AT85" i="4" l="1"/>
  <c r="BH85" i="4" l="1"/>
  <c r="BG85" i="4"/>
  <c r="BJ85" i="4" l="1"/>
  <c r="BI85" i="4" l="1"/>
  <c r="BR82" i="4" l="1"/>
  <c r="BH82" i="4" l="1"/>
  <c r="BG82" i="4"/>
  <c r="BI82" i="4" l="1"/>
  <c r="BJ82" i="4"/>
  <c r="AW82" i="4" l="1"/>
  <c r="BR87" i="4"/>
  <c r="AR87" i="4"/>
  <c r="AW87" i="4"/>
  <c r="AR82" i="4" l="1"/>
  <c r="AT82" i="4"/>
  <c r="AT87" i="4"/>
  <c r="AS87" i="4" l="1"/>
  <c r="BH87" i="4" l="1"/>
  <c r="BG87" i="4" l="1"/>
  <c r="BI87" i="4"/>
  <c r="AF80" i="4" l="1"/>
  <c r="AF79" i="4" l="1"/>
  <c r="AF78" i="4"/>
  <c r="AF77" i="4" l="1"/>
  <c r="AB77" i="4" l="1"/>
  <c r="AB78" i="4"/>
  <c r="AB80" i="4"/>
  <c r="AB79" i="4"/>
  <c r="Y78" i="4"/>
  <c r="Y77" i="4"/>
  <c r="W79" i="4" l="1"/>
  <c r="Y79" i="4"/>
  <c r="Y80" i="4"/>
  <c r="Y81" i="4"/>
  <c r="W78" i="4"/>
  <c r="AF81" i="4"/>
  <c r="AB81" i="4"/>
  <c r="W82" i="4"/>
  <c r="W77" i="4"/>
  <c r="AF82" i="4"/>
  <c r="Y82" i="4"/>
  <c r="AB82" i="4"/>
  <c r="W80" i="4"/>
  <c r="W81" i="4"/>
  <c r="F78" i="4"/>
  <c r="G82" i="4"/>
  <c r="BM84" i="4" l="1"/>
  <c r="BQ84" i="4"/>
  <c r="W7" i="14" s="1"/>
  <c r="X81" i="4"/>
  <c r="X82" i="4"/>
  <c r="X80" i="4"/>
  <c r="BU84" i="4"/>
  <c r="X77" i="4"/>
  <c r="X78" i="4"/>
  <c r="X79" i="4"/>
  <c r="BK84" i="4"/>
  <c r="O17" i="14" s="1"/>
  <c r="AA79" i="4"/>
  <c r="G81" i="4"/>
  <c r="F80" i="4"/>
  <c r="F81" i="4"/>
  <c r="G78" i="4"/>
  <c r="G80" i="4"/>
  <c r="F82" i="4" l="1"/>
  <c r="F77" i="4"/>
  <c r="BL84" i="4"/>
  <c r="P17" i="14" s="1"/>
  <c r="G79" i="4"/>
  <c r="AV84" i="4" s="1"/>
  <c r="I7" i="14" s="1"/>
  <c r="G77" i="4"/>
  <c r="F79" i="4"/>
  <c r="Z78" i="4"/>
  <c r="AA80" i="4"/>
  <c r="AA78" i="4"/>
  <c r="Z77" i="4"/>
  <c r="AI81" i="4"/>
  <c r="Z80" i="4"/>
  <c r="Z79" i="4"/>
  <c r="Z82" i="4"/>
  <c r="AA82" i="4"/>
  <c r="Y17" i="14" l="1"/>
  <c r="AU84" i="4"/>
  <c r="H7" i="14" s="1"/>
  <c r="AA81" i="4"/>
  <c r="BP84" i="4" s="1"/>
  <c r="R17" i="14" s="1"/>
  <c r="Z81" i="4"/>
  <c r="BO84" i="4" s="1"/>
  <c r="Q17" i="14" s="1"/>
  <c r="AA77" i="4"/>
  <c r="AI78" i="4"/>
  <c r="AI77" i="4"/>
  <c r="AI80" i="4"/>
  <c r="AI82" i="4"/>
  <c r="X17" i="14" l="1"/>
  <c r="AI79" i="4"/>
  <c r="BX84" i="4" s="1"/>
  <c r="Y7" i="14" s="1"/>
  <c r="BJ87" i="4" l="1"/>
  <c r="AD82" i="4" l="1"/>
  <c r="BS84" i="4" s="1"/>
  <c r="E77" i="4" l="1"/>
  <c r="AC77" i="4"/>
  <c r="C77" i="4"/>
  <c r="H77" i="4"/>
  <c r="C78" i="4" l="1"/>
  <c r="E78" i="4"/>
  <c r="AC78" i="4"/>
  <c r="H78" i="4"/>
  <c r="AC79" i="4" l="1"/>
  <c r="C79" i="4"/>
  <c r="H79" i="4"/>
  <c r="T77" i="4" l="1"/>
  <c r="S77" i="4"/>
  <c r="E79" i="4"/>
  <c r="C80" i="4"/>
  <c r="AC80" i="4"/>
  <c r="H80" i="4"/>
  <c r="V77" i="4" l="1"/>
  <c r="U77" i="4"/>
  <c r="T78" i="4"/>
  <c r="S78" i="4"/>
  <c r="E80" i="4"/>
  <c r="C81" i="4"/>
  <c r="AC81" i="4"/>
  <c r="H81" i="4"/>
  <c r="U78" i="4" l="1"/>
  <c r="V78" i="4"/>
  <c r="C82" i="4"/>
  <c r="AR84" i="4" s="1"/>
  <c r="F7" i="14" s="1"/>
  <c r="V17" i="14" s="1"/>
  <c r="D81" i="4"/>
  <c r="T79" i="4"/>
  <c r="S79" i="4"/>
  <c r="E81" i="4"/>
  <c r="H82" i="4"/>
  <c r="AW84" i="4" s="1"/>
  <c r="J7" i="14" s="1"/>
  <c r="U79" i="4" l="1"/>
  <c r="V79" i="4"/>
  <c r="D82" i="4"/>
  <c r="AS82" i="4" s="1"/>
  <c r="D79" i="4"/>
  <c r="D80" i="4"/>
  <c r="D77" i="4"/>
  <c r="D78" i="4"/>
  <c r="T80" i="4"/>
  <c r="S80" i="4"/>
  <c r="E82" i="4"/>
  <c r="AT84" i="4" s="1"/>
  <c r="T17" i="14" s="1"/>
  <c r="AC82" i="4"/>
  <c r="BR84" i="4" s="1"/>
  <c r="G7" i="14" s="1"/>
  <c r="W17" i="14" s="1"/>
  <c r="AS84" i="4" l="1"/>
  <c r="S17" i="14" s="1"/>
  <c r="U80" i="4"/>
  <c r="T81" i="4"/>
  <c r="S81" i="4"/>
  <c r="V80" i="4" l="1"/>
  <c r="U81" i="4"/>
  <c r="V81" i="4"/>
  <c r="S82" i="4" l="1"/>
  <c r="BG84" i="4" s="1"/>
  <c r="J17" i="14" s="1"/>
  <c r="T82" i="4"/>
  <c r="BH84" i="4" s="1"/>
  <c r="K17" i="14" s="1"/>
  <c r="L17" i="14" l="1"/>
  <c r="V82" i="4"/>
  <c r="BJ84" i="4" s="1"/>
  <c r="N17" i="14" s="1"/>
  <c r="U82" i="4"/>
  <c r="BI84" i="4" s="1"/>
  <c r="M17" i="14" s="1"/>
</calcChain>
</file>

<file path=xl/sharedStrings.xml><?xml version="1.0" encoding="utf-8"?>
<sst xmlns="http://schemas.openxmlformats.org/spreadsheetml/2006/main" count="7560" uniqueCount="1470">
  <si>
    <t xml:space="preserve">Daily Effluent TSS conc.  </t>
  </si>
  <si>
    <t>PUMP ENG</t>
  </si>
  <si>
    <t>BLOWER ENG</t>
  </si>
  <si>
    <t>DIGESTER GAS</t>
  </si>
  <si>
    <t>PRODUCED</t>
  </si>
  <si>
    <t>FUEL CELLS</t>
  </si>
  <si>
    <t xml:space="preserve">   FLARED</t>
  </si>
  <si>
    <t xml:space="preserve">     VENTED</t>
  </si>
  <si>
    <t>TOTAL WASTED</t>
  </si>
  <si>
    <t xml:space="preserve"> ENGINES</t>
  </si>
  <si>
    <t>TOTAL USED</t>
  </si>
  <si>
    <t>M. VEHICLE FUEL(GAL)</t>
  </si>
  <si>
    <t>ON HAND START OF MONTH</t>
  </si>
  <si>
    <t>DELIVERED</t>
  </si>
  <si>
    <t>ON HAND END OF MONTH</t>
  </si>
  <si>
    <t>DIESEL</t>
  </si>
  <si>
    <t>GASOLINE</t>
  </si>
  <si>
    <t>WATER CONSUMPTION</t>
  </si>
  <si>
    <t>CONSUMPTION THIS MONTH</t>
  </si>
  <si>
    <t>PREVIOUS MONTH CONSUMPTION</t>
  </si>
  <si>
    <t xml:space="preserve">STEAM </t>
  </si>
  <si>
    <t>HEATING</t>
  </si>
  <si>
    <t>PROCESS</t>
  </si>
  <si>
    <t>MILLION LBS</t>
  </si>
  <si>
    <t xml:space="preserve">Comments: </t>
  </si>
  <si>
    <t>PLANT SUPERINTENDENT</t>
  </si>
  <si>
    <t>ENERGY MANAGER</t>
  </si>
  <si>
    <r>
      <t xml:space="preserve">            </t>
    </r>
    <r>
      <rPr>
        <b/>
        <u/>
        <sz val="10"/>
        <rFont val="Times"/>
      </rPr>
      <t>GENERATED</t>
    </r>
  </si>
  <si>
    <t>LOCATION:</t>
  </si>
  <si>
    <t xml:space="preserve">Vented </t>
  </si>
  <si>
    <t>Notes</t>
  </si>
  <si>
    <t>Below</t>
  </si>
  <si>
    <t>See</t>
  </si>
  <si>
    <t>BOD</t>
  </si>
  <si>
    <t>Alk (N&amp;S)</t>
  </si>
  <si>
    <t>Chemist in Charge:  Nurum Islam</t>
  </si>
  <si>
    <t>date</t>
  </si>
  <si>
    <t>storage tanks reading</t>
  </si>
  <si>
    <t>emg gen #9</t>
  </si>
  <si>
    <t>diesel #12</t>
  </si>
  <si>
    <t>gasoline #11</t>
  </si>
  <si>
    <t>onsite</t>
  </si>
  <si>
    <t>Totalizer</t>
  </si>
  <si>
    <t>39a</t>
  </si>
  <si>
    <t>39b</t>
  </si>
  <si>
    <t>to boats</t>
  </si>
  <si>
    <t>cuft</t>
  </si>
  <si>
    <t>centrate</t>
  </si>
  <si>
    <t>gallons by totalizer</t>
  </si>
  <si>
    <t xml:space="preserve">cuft centrate to boat </t>
  </si>
  <si>
    <t xml:space="preserve">Centrate cuft </t>
  </si>
  <si>
    <t>Net</t>
  </si>
  <si>
    <t>permanent boilers</t>
  </si>
  <si>
    <t>#14, 15, 16</t>
  </si>
  <si>
    <t>Tully, Wecare Organics, Coastal Distribution</t>
  </si>
  <si>
    <t>Sludge Feed Rate gpm</t>
  </si>
  <si>
    <t>Loading Rate DT/Hr</t>
  </si>
  <si>
    <t>EMERGENCY GEN (by dw)</t>
  </si>
  <si>
    <t>dw</t>
  </si>
  <si>
    <t>by P&amp;B bld</t>
  </si>
  <si>
    <t>temporary generators</t>
  </si>
  <si>
    <t>toolroom</t>
  </si>
  <si>
    <t>SRT</t>
  </si>
  <si>
    <t>#2 - 19</t>
  </si>
  <si>
    <t>#1 - 18</t>
  </si>
  <si>
    <t>Return Sludge MGD</t>
  </si>
  <si>
    <t>SRT  (days)</t>
  </si>
  <si>
    <t>SRT (days)</t>
  </si>
  <si>
    <t>SRT (day)</t>
  </si>
  <si>
    <t>Some of the monthly average data were from DMR.  cBOD data were 5days behind</t>
  </si>
  <si>
    <t>Flow MGD</t>
  </si>
  <si>
    <t>TSS lb/d</t>
  </si>
  <si>
    <t>BOD lb/d</t>
  </si>
  <si>
    <t>-</t>
  </si>
  <si>
    <t>TS lb/d</t>
  </si>
  <si>
    <t>thickener overflow</t>
  </si>
  <si>
    <t>To South</t>
  </si>
  <si>
    <t>To North</t>
  </si>
  <si>
    <t>RAS</t>
  </si>
  <si>
    <t>WAS</t>
  </si>
  <si>
    <t>in - out</t>
  </si>
  <si>
    <t>Sludge Age (day)</t>
  </si>
  <si>
    <t>Sludge age (days)</t>
  </si>
  <si>
    <t>Sludge age  (days)</t>
  </si>
  <si>
    <t>in</t>
  </si>
  <si>
    <t>out</t>
  </si>
  <si>
    <t>TS (chloride)</t>
  </si>
  <si>
    <t xml:space="preserve">  Digested Sludge</t>
  </si>
  <si>
    <t>deliveries</t>
  </si>
  <si>
    <t>Part Time</t>
  </si>
  <si>
    <t>Page 4 of 4</t>
  </si>
  <si>
    <t xml:space="preserve"> %</t>
  </si>
  <si>
    <t xml:space="preserve">  wet tons</t>
  </si>
  <si>
    <t>hours per week</t>
  </si>
  <si>
    <t>If needed, don't forget to multiply by 1000</t>
  </si>
  <si>
    <t>If you have dewatering, move this over to cell BL10</t>
  </si>
  <si>
    <t>NYOFCO</t>
  </si>
  <si>
    <t>pick one or more</t>
  </si>
  <si>
    <t>parameter</t>
  </si>
  <si>
    <t>dry flow</t>
  </si>
  <si>
    <t>daily flow</t>
  </si>
  <si>
    <t>inf cbod</t>
  </si>
  <si>
    <t>eff cbod</t>
  </si>
  <si>
    <t>inf tss</t>
  </si>
  <si>
    <t>eff tss</t>
  </si>
  <si>
    <t>inf no2</t>
  </si>
  <si>
    <t>inf no3</t>
  </si>
  <si>
    <t>inf nh3</t>
  </si>
  <si>
    <t>inf tkn</t>
  </si>
  <si>
    <t>eff no2</t>
  </si>
  <si>
    <t>eff no3</t>
  </si>
  <si>
    <t>eff nh3</t>
  </si>
  <si>
    <t>eff tkn</t>
  </si>
  <si>
    <t>Loadings Calculations Are Done Here {Total Flow TSS &amp; CBOD Loadings are now  reported on DMR and tabs}</t>
  </si>
  <si>
    <t>If a number is starred, it is replaced by the arithmetic mean for all calculations.</t>
  </si>
  <si>
    <t>column</t>
  </si>
  <si>
    <t>e</t>
  </si>
  <si>
    <t>g</t>
  </si>
  <si>
    <t>r</t>
  </si>
  <si>
    <t>s</t>
  </si>
  <si>
    <t>t</t>
  </si>
  <si>
    <t>u</t>
  </si>
  <si>
    <t>ak</t>
  </si>
  <si>
    <t>al</t>
  </si>
  <si>
    <t>am</t>
  </si>
  <si>
    <t>an</t>
  </si>
  <si>
    <t>ao</t>
  </si>
  <si>
    <t>ap</t>
  </si>
  <si>
    <t>aq</t>
  </si>
  <si>
    <t>ar</t>
  </si>
  <si>
    <t>Ar. Means</t>
  </si>
  <si>
    <t>Avg</t>
  </si>
  <si>
    <t>Inf. CBOD</t>
  </si>
  <si>
    <t>Dry #/d</t>
  </si>
  <si>
    <t>30-Day Flow Weighting with Dry Flow</t>
  </si>
  <si>
    <t>CBOD Inf</t>
  </si>
  <si>
    <t>30-Day Arithmetic Means</t>
  </si>
  <si>
    <t>Eff. CBOD</t>
  </si>
  <si>
    <t>CBOD Eff</t>
  </si>
  <si>
    <t>Inf. TSS</t>
  </si>
  <si>
    <t>Eff. TSS</t>
  </si>
  <si>
    <t>TSS Eff</t>
  </si>
  <si>
    <t>For use in Percent Removal Calculations</t>
  </si>
  <si>
    <t>{starred values replaced with monthly avg conc}</t>
  </si>
  <si>
    <t>{Wet flow concentrations removed}</t>
  </si>
  <si>
    <t>30-day arithmetic mean {w/o wet weather conc.}</t>
  </si>
  <si>
    <t>With wet weather concentrations:</t>
  </si>
  <si>
    <t>Rounded Avg</t>
  </si>
  <si>
    <t>NITROGEN CALCULATIONS DONE HERE</t>
  </si>
  <si>
    <t>(For ALL Plants)</t>
  </si>
  <si>
    <t>NOTE:</t>
  </si>
  <si>
    <t>Influent   (lb/d)</t>
  </si>
  <si>
    <t>Effluent   (lb/d)</t>
  </si>
  <si>
    <t>Influent (mg/L)</t>
  </si>
  <si>
    <t>TN w/ Total Flow</t>
  </si>
  <si>
    <t>Influent (lbs/day)</t>
  </si>
  <si>
    <t>Effluent (lbs/day)</t>
  </si>
  <si>
    <t>7-DAY ARITMETIC MEAN CALCULATIONS</t>
  </si>
  <si>
    <t>NUMBER OF DAYS IN CURRENT MONTH</t>
  </si>
  <si>
    <t>Week Dates (Sun-Sat)</t>
  </si>
  <si>
    <t>PREVIOUS MONTH'S DAILY DATA *</t>
  </si>
  <si>
    <t>CURRENT MONTH'S DAILY DATA</t>
  </si>
  <si>
    <t>* To update Section entitled "Previous Month's Daily Data" when starting sheet for a new month, i.e. April 2003:</t>
  </si>
  <si>
    <t>1.  Open previous month's file, i.e. March 2003</t>
  </si>
  <si>
    <t xml:space="preserve">2.  Highlight and copy cells DF33 to DP39 ( "Current Month's Daily Data" table of March 2003 file), </t>
  </si>
  <si>
    <t>3.  Paste as Values to new month's file (April 2003) in cells DF22 to DP28 ("Previous Month's Daily Data" table)</t>
  </si>
  <si>
    <t>Flows (MGD)</t>
  </si>
  <si>
    <t>***   MANUALLY UPDATE DATA ONLY, NOT DATE INFO ***</t>
  </si>
  <si>
    <t>Dry Flow Avg</t>
  </si>
  <si>
    <t xml:space="preserve">    {PASTE AS VALUE, PREVIOUS MONTHS DATA, see note in cell DD42}</t>
  </si>
  <si>
    <t>Total Flow</t>
  </si>
  <si>
    <t>(FOR USE IN CURRENT MONTH'S 7-DAY MEANS)</t>
  </si>
  <si>
    <t>Total Flow Avg</t>
  </si>
  <si>
    <t>(FOR USE IN NEXT MONTH'S 7-DAY FLOW WEIGHTED MEANS)</t>
  </si>
  <si>
    <t xml:space="preserve"> A R I T H M E T I C   M E A N S   -  Concentrations</t>
  </si>
  <si>
    <t>TSS Inf Conc</t>
  </si>
  <si>
    <t>TSS Eff Conc</t>
  </si>
  <si>
    <t>CBOD Inf Conc</t>
  </si>
  <si>
    <t>CBOD Eff Conc</t>
  </si>
  <si>
    <t>GEO MEAN</t>
  </si>
  <si>
    <t xml:space="preserve"> A R I T H M E T I C   M E A N S   - LOADS (Daily Flow)</t>
  </si>
  <si>
    <t>TSS Inf Load</t>
  </si>
  <si>
    <t>TSS Eff Load</t>
  </si>
  <si>
    <t>CBOD Inf Load</t>
  </si>
  <si>
    <t>CBOD Eff Load</t>
  </si>
  <si>
    <t>7-DAY ARITHMETIC MEAN CALCULATIONS</t>
  </si>
  <si>
    <t>Total TSS lbs</t>
  </si>
  <si>
    <t>Total CBOD lbs</t>
  </si>
  <si>
    <t>[GEOMEAN]</t>
  </si>
  <si>
    <t>DAILY FLOW  -  12-MONTH ROLLING AVERAGE CALCULATION</t>
  </si>
  <si>
    <t>***   MANUALLY UPDATE   ***</t>
  </si>
  <si>
    <t>MONTH</t>
  </si>
  <si>
    <t>FLOW</t>
  </si>
  <si>
    <t xml:space="preserve">Do NOT "move" the months - just update the year and the flow for the current month.  </t>
  </si>
  <si>
    <t>e.g. for April 2003 - replace "ARP 02" with "APR 03" in cell EK10, and manually enter the flow from cell EK17 into cell EK11</t>
  </si>
  <si>
    <t>NITROGEN LOADING  -  12-MONTH ROLLING AVERAGE CALCULATION</t>
  </si>
  <si>
    <t>TN</t>
  </si>
  <si>
    <t xml:space="preserve">Do NOT "move" the months - just update the year and the NITROGEN LOADING  for the current month.  </t>
  </si>
  <si>
    <t>e.g. for April 2003 - replace "APR 02" with "APR 03" in cell EK29, and manually COPY &amp; PASTE RANGE VALUE the nitrogen from cell EK36 into cell EK30</t>
  </si>
  <si>
    <t>N Loading</t>
  </si>
  <si>
    <t>Current Month Average</t>
  </si>
  <si>
    <t>Minimum Effluent pH</t>
  </si>
  <si>
    <t>Violation Counting</t>
  </si>
  <si>
    <t>TOTAL</t>
  </si>
  <si>
    <t>NYCDEP - PROCESS ENGINEERING SECTION</t>
  </si>
  <si>
    <t>DISCHARGE MONITORING REPORT</t>
  </si>
  <si>
    <t>Temperature, Celsius</t>
  </si>
  <si>
    <t>Dissolved Oxygen, Effluent</t>
  </si>
  <si>
    <t>CBOD Influent, 30-Day Concentration</t>
  </si>
  <si>
    <t>CBOD Effluent, 30-Day Conc &amp; Loading</t>
  </si>
  <si>
    <t>CBOD Effluent, 7-Day Conc &amp; Loading</t>
  </si>
  <si>
    <t>TSS Influent, 30-Day Concentration</t>
  </si>
  <si>
    <t>TSS Effluent, 30-Day Conc &amp; Loading</t>
  </si>
  <si>
    <t>TSS Effluent 7-Day Conc &amp; Loading</t>
  </si>
  <si>
    <t xml:space="preserve">TSS Effluent, Daily </t>
  </si>
  <si>
    <t>pH Influent</t>
  </si>
  <si>
    <t>pH Effluent</t>
  </si>
  <si>
    <t>Settleable Solids, Influent</t>
  </si>
  <si>
    <t>Settleable Solids, Effluent</t>
  </si>
  <si>
    <t>Flow (Plant/Dry Weather)</t>
  </si>
  <si>
    <t>Daily Flow 12-Month Rolling Average</t>
  </si>
  <si>
    <t>CBOD Percent Removal</t>
  </si>
  <si>
    <t>TSS Percent Removal</t>
  </si>
  <si>
    <t>Max Daily Chlorine Residual</t>
  </si>
  <si>
    <t>Max Daily Fecal Coliform</t>
  </si>
  <si>
    <t>30 - Day Geometric Fecal Coliform</t>
  </si>
  <si>
    <t>7 - Day Max Geometric Fecal Average</t>
  </si>
  <si>
    <t>Chlorides (mg/L)</t>
  </si>
  <si>
    <t>Maximum Hourly Flow</t>
  </si>
  <si>
    <t>Current Wet Weather Capacity</t>
  </si>
  <si>
    <t>Total Influent Nitrogen Monthly Average Conc. &amp; Loading</t>
  </si>
  <si>
    <t>Total Effluent Nitrogen Monthly Average Conc. &amp; Loading</t>
  </si>
  <si>
    <t>Total Effluent Nitrogen 12-Month Rolling Average (lbs/day):</t>
  </si>
  <si>
    <t>NO2 Influent, 30-Day Conc &amp; Loading</t>
  </si>
  <si>
    <t>NO2 Effluent, 30-Day Conc &amp; Loading</t>
  </si>
  <si>
    <t>NO3 Influent, 30-Day Conc &amp; Loading</t>
  </si>
  <si>
    <t>NO3 Effluent, 30-Day Conc &amp; Loading</t>
  </si>
  <si>
    <t>TKN Influent, 30-Day Conc &amp; Loading</t>
  </si>
  <si>
    <t>TKN Effluent, 30-Day Conc &amp; Loading</t>
  </si>
  <si>
    <t>NH3 Influent, 30-Day Conc &amp; Loading</t>
  </si>
  <si>
    <t>NH3 Effluent, 30-Day Conc &amp; Loading</t>
  </si>
  <si>
    <t>Total Phosphorous (mg/L)</t>
  </si>
  <si>
    <t>All averages are arithmetic means.</t>
  </si>
  <si>
    <t>REMARKS:</t>
  </si>
  <si>
    <t>(1)  Plant did not throttle during the month.</t>
  </si>
  <si>
    <t xml:space="preserve">(2)  Restricted flow caused by mechanical problems.  </t>
  </si>
  <si>
    <t>(3)  Restricted flow due to construction activities.</t>
  </si>
  <si>
    <t>(4)  Sanitary system.</t>
  </si>
  <si>
    <t>(5)  Other.</t>
  </si>
  <si>
    <t>PROCESS ENGINEER:</t>
  </si>
  <si>
    <t>PLANT CHIEF:</t>
  </si>
  <si>
    <t xml:space="preserve">MONTH:   </t>
  </si>
  <si>
    <t>VALUES</t>
  </si>
  <si>
    <t>Avg Month</t>
  </si>
  <si>
    <t>Max. Week</t>
  </si>
  <si>
    <t>Daily Max</t>
  </si>
  <si>
    <t>Min</t>
  </si>
  <si>
    <t>Daily Max Avg</t>
  </si>
  <si>
    <t>Avg Month:</t>
  </si>
  <si>
    <t xml:space="preserve">Note:- </t>
  </si>
  <si>
    <t>Contact tank flows were used during the month.</t>
  </si>
  <si>
    <t>#/100 ml</t>
  </si>
  <si>
    <t>Max:</t>
  </si>
  <si>
    <t>Avg:</t>
  </si>
  <si>
    <t>Load:</t>
  </si>
  <si>
    <t>Dry:</t>
  </si>
  <si>
    <t>REMARK</t>
  </si>
  <si>
    <t># OF VIOL.</t>
  </si>
  <si>
    <t>/</t>
  </si>
  <si>
    <t>Limits</t>
  </si>
  <si>
    <t>Plant  Specific Limits</t>
  </si>
  <si>
    <t>For violation on Day 1, check the flow</t>
  </si>
  <si>
    <t>for the last day of previous month.</t>
  </si>
  <si>
    <t>Non-Compliance</t>
  </si>
  <si>
    <t>MONITORING PERIOD:</t>
  </si>
  <si>
    <t>From:</t>
  </si>
  <si>
    <t>To:</t>
  </si>
  <si>
    <t>Date(s) of Non-Compliance</t>
  </si>
  <si>
    <t>Month</t>
  </si>
  <si>
    <t>Type of Failure</t>
  </si>
  <si>
    <t>Effluent:  high pH</t>
  </si>
  <si>
    <t>Effluent: low pH</t>
  </si>
  <si>
    <t>SS Effluent 7-day</t>
  </si>
  <si>
    <t>SS 7 day loading</t>
  </si>
  <si>
    <t>SS Effluent 30-day</t>
  </si>
  <si>
    <t>SS 30 day loading</t>
  </si>
  <si>
    <t>&lt;  % removal SS</t>
  </si>
  <si>
    <t>BOD Effluent 7-day</t>
  </si>
  <si>
    <t>BOD 7 day loading</t>
  </si>
  <si>
    <t>BOD Effluent 30-day</t>
  </si>
  <si>
    <t>BOD 30 day loading</t>
  </si>
  <si>
    <t>&lt;  % removal BOD</t>
  </si>
  <si>
    <t>Fecal 30-day</t>
  </si>
  <si>
    <t>Fecal 7-day</t>
  </si>
  <si>
    <t>Excessive Flow</t>
  </si>
  <si>
    <t>Year</t>
  </si>
  <si>
    <t xml:space="preserve">PLANT: </t>
  </si>
  <si>
    <t xml:space="preserve">SPDES Permit Number:  </t>
  </si>
  <si>
    <t>Quantity</t>
  </si>
  <si>
    <t>Remarks</t>
  </si>
  <si>
    <t xml:space="preserve">      Cause                                                                               (A) mechanical failure</t>
  </si>
  <si>
    <t>(B) electrical failure              (C) biological upset             (D) non-rep. sample</t>
  </si>
  <si>
    <t>(E) sample error                   (F) lab instrument failure        (G) process unit failure</t>
  </si>
  <si>
    <t xml:space="preserve">(H) illegal discharge               (I) more investigation                          required    </t>
  </si>
  <si>
    <t>(J) late notification                 (K) human error                   (L) combined sewer</t>
  </si>
  <si>
    <t>Possible Corrective Action                                                     (1) in-house repairs</t>
  </si>
  <si>
    <t>(2) contractual repairs           (3) purchase parts                 (4) under investigation</t>
  </si>
  <si>
    <t>(5) additional training              (6) process correction            (7) additional testing</t>
  </si>
  <si>
    <t>(8) notified IPP                     (9) no action required             (10) under construction</t>
  </si>
  <si>
    <t>page 2</t>
  </si>
  <si>
    <t>D</t>
  </si>
  <si>
    <t>A</t>
  </si>
  <si>
    <t>Y</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</si>
  <si>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</si>
  <si>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</si>
  <si>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</si>
  <si>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</si>
  <si>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</si>
  <si>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</si>
  <si>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</si>
  <si>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</si>
  <si>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</si>
  <si>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</si>
  <si>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</si>
  <si>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</si>
  <si>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</si>
  <si>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</si>
  <si>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</si>
  <si>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</si>
  <si>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</si>
  <si>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</si>
  <si>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</si>
  <si>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</si>
  <si>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</si>
  <si>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</si>
  <si>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</si>
  <si>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</si>
  <si>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</si>
  <si>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</si>
  <si>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</si>
  <si>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</si>
  <si>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</si>
  <si>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</si>
  <si>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</si>
  <si>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Bowery Bay WPCP Analytical and Treatment Sheet</t>
  </si>
  <si>
    <t>Raw Sewage</t>
  </si>
  <si>
    <t>High Level</t>
  </si>
  <si>
    <t>NOTES:</t>
  </si>
  <si>
    <t>SATURDAY AND SUNDAY SAMPLES ARE COMPOSITED PRIOR TO ANALYSIS</t>
  </si>
  <si>
    <t>EXCEPT FOR RAW AND FINAL SAMPLES WHICH ARE ANALYZED DAILY.</t>
  </si>
  <si>
    <t>STARRED VALUES ARE EXCLUDED FROM ALL CALCULATIONS.</t>
  </si>
  <si>
    <t>N/A INDICATES SCHEDULED ANALYSIS NOT DONE.</t>
  </si>
  <si>
    <t>BLANK SPACES INDICATE ANALYSIS NOT SCHEDULED.</t>
  </si>
  <si>
    <t>SLUDGE (HEAVY METALS AND CATIONS) IS ON A DRY WEIGHT BASIS.</t>
  </si>
  <si>
    <t>OIL/GREASE ANALYSIS BY FREON EXTRACTION.</t>
  </si>
  <si>
    <t>HEAVY METAL AND CATION PERFORMED ON A MONTHLY COMPOSITE.</t>
  </si>
  <si>
    <t>DATE PRINTED:</t>
  </si>
  <si>
    <t>% Vol</t>
  </si>
  <si>
    <t>Lower Level</t>
  </si>
  <si>
    <t>Plant</t>
  </si>
  <si>
    <t>Prim Eff</t>
  </si>
  <si>
    <t>South</t>
  </si>
  <si>
    <t>(mg/L)</t>
  </si>
  <si>
    <t>North</t>
  </si>
  <si>
    <t xml:space="preserve">Plant </t>
  </si>
  <si>
    <t>Eff</t>
  </si>
  <si>
    <t>Thick</t>
  </si>
  <si>
    <t>Aerator Effluent</t>
  </si>
  <si>
    <t>Average Aerator</t>
  </si>
  <si>
    <t>AVG</t>
  </si>
  <si>
    <t>Grit Analysis</t>
  </si>
  <si>
    <t>No. 1</t>
  </si>
  <si>
    <t>%SOL.</t>
  </si>
  <si>
    <t>Return Sludge</t>
  </si>
  <si>
    <t>%VOL.</t>
  </si>
  <si>
    <t>No. 2</t>
  </si>
  <si>
    <t>No. 3</t>
  </si>
  <si>
    <t xml:space="preserve">Sludge </t>
  </si>
  <si>
    <t>Density</t>
  </si>
  <si>
    <t>Index</t>
  </si>
  <si>
    <t>No. 4</t>
  </si>
  <si>
    <t>Page 1 of 6</t>
  </si>
  <si>
    <t>Carb. Biochemical Oxygen Demand (mg/L)</t>
  </si>
  <si>
    <t>Raw</t>
  </si>
  <si>
    <t>Sewage</t>
  </si>
  <si>
    <t>H.L.</t>
  </si>
  <si>
    <t>L.L.</t>
  </si>
  <si>
    <t xml:space="preserve">Primary </t>
  </si>
  <si>
    <t>Thickener</t>
  </si>
  <si>
    <t>Sludge</t>
  </si>
  <si>
    <t>Feed</t>
  </si>
  <si>
    <t>% VOL</t>
  </si>
  <si>
    <t>Thickened</t>
  </si>
  <si>
    <t>% SOL</t>
  </si>
  <si>
    <t>Primary</t>
  </si>
  <si>
    <t>Digester</t>
  </si>
  <si>
    <t>%SOL</t>
  </si>
  <si>
    <t>%VOL</t>
  </si>
  <si>
    <t>Secondary</t>
  </si>
  <si>
    <t>Cylinders (30 min)</t>
  </si>
  <si>
    <t>(ml/L)</t>
  </si>
  <si>
    <t>Page 2 of 6</t>
  </si>
  <si>
    <t>Waste Sludge</t>
  </si>
  <si>
    <t>Digester Control</t>
  </si>
  <si>
    <t>Digester Volatiles</t>
  </si>
  <si>
    <t>No. 5</t>
  </si>
  <si>
    <t xml:space="preserve">REMARKS: (1) </t>
  </si>
  <si>
    <t xml:space="preserve">                   (2) FECAL COLIFORM AVERAGE GEOMETRIC.</t>
  </si>
  <si>
    <t xml:space="preserve">                   (3) UNC = UNCOUNTABLE DUE TO EXCESS NON-FECAL COLIFORM COLONIES</t>
  </si>
  <si>
    <t>No. 6</t>
  </si>
  <si>
    <t>No.7</t>
  </si>
  <si>
    <t>No.8</t>
  </si>
  <si>
    <t>Alkalinity</t>
  </si>
  <si>
    <t>Alkalinity (mg/L)</t>
  </si>
  <si>
    <t>Prim</t>
  </si>
  <si>
    <t>N &amp; S</t>
  </si>
  <si>
    <t>pH</t>
  </si>
  <si>
    <t>CBOD (mg/L)</t>
  </si>
  <si>
    <t>Dissolved Oxygen (mg/L)</t>
  </si>
  <si>
    <t xml:space="preserve"> A.M.</t>
  </si>
  <si>
    <t xml:space="preserve"> P.M.</t>
  </si>
  <si>
    <t>D.O.</t>
  </si>
  <si>
    <t>Suspended Solids</t>
  </si>
  <si>
    <t>Final</t>
  </si>
  <si>
    <t>CBOD</t>
  </si>
  <si>
    <t>High</t>
  </si>
  <si>
    <t>Level</t>
  </si>
  <si>
    <t>Lower</t>
  </si>
  <si>
    <t>% Rem</t>
  </si>
  <si>
    <t>% REM</t>
  </si>
  <si>
    <t>Temp</t>
  </si>
  <si>
    <t>°C</t>
  </si>
  <si>
    <t>Max</t>
  </si>
  <si>
    <t>Page 3 of 6</t>
  </si>
  <si>
    <t>Chlorine</t>
  </si>
  <si>
    <t>Resid.</t>
  </si>
  <si>
    <t>Fecal</t>
  </si>
  <si>
    <t>Coliform</t>
  </si>
  <si>
    <t xml:space="preserve"> 100ml</t>
  </si>
  <si>
    <t>Tot</t>
  </si>
  <si>
    <t>Plant Flows (MGD)</t>
  </si>
  <si>
    <t>Daily</t>
  </si>
  <si>
    <t>Material</t>
  </si>
  <si>
    <t>Rakings</t>
  </si>
  <si>
    <t>Exc Act Sludge</t>
  </si>
  <si>
    <t>Corr For Recir Digest Sludge</t>
  </si>
  <si>
    <t>Net Solids Removed</t>
  </si>
  <si>
    <t>Digester Operation</t>
  </si>
  <si>
    <t>Cubic Feet Added</t>
  </si>
  <si>
    <t>Pounds Solids Added</t>
  </si>
  <si>
    <t>Dry</t>
  </si>
  <si>
    <t>Cubic Feet</t>
  </si>
  <si>
    <t>Aer</t>
  </si>
  <si>
    <t>%</t>
  </si>
  <si>
    <t>Solids</t>
  </si>
  <si>
    <t>lbs</t>
  </si>
  <si>
    <t>Air</t>
  </si>
  <si>
    <t>MCF</t>
  </si>
  <si>
    <t>Per</t>
  </si>
  <si>
    <t>Cu. Ft.</t>
  </si>
  <si>
    <t>gal</t>
  </si>
  <si>
    <t xml:space="preserve">Per </t>
  </si>
  <si>
    <t>MG</t>
  </si>
  <si>
    <t>Detention Time (hours)</t>
  </si>
  <si>
    <t>Tanks</t>
  </si>
  <si>
    <t>Aeration</t>
  </si>
  <si>
    <t>Water Consumption</t>
  </si>
  <si>
    <t>Diff:</t>
  </si>
  <si>
    <t>Surface</t>
  </si>
  <si>
    <t>Loading</t>
  </si>
  <si>
    <t>Rate</t>
  </si>
  <si>
    <t>gpd/sq ft</t>
  </si>
  <si>
    <t>Operation</t>
  </si>
  <si>
    <t>S</t>
  </si>
  <si>
    <t>T</t>
  </si>
  <si>
    <t>E</t>
  </si>
  <si>
    <t>P</t>
  </si>
  <si>
    <t>R</t>
  </si>
  <si>
    <t>I</t>
  </si>
  <si>
    <t>O</t>
  </si>
  <si>
    <t>N</t>
  </si>
  <si>
    <t>Load</t>
  </si>
  <si>
    <t>Tons</t>
  </si>
  <si>
    <t>Removal</t>
  </si>
  <si>
    <t>Removed</t>
  </si>
  <si>
    <t>Under</t>
  </si>
  <si>
    <t>Pri Eff</t>
  </si>
  <si>
    <t>Page 4 of 6</t>
  </si>
  <si>
    <t>Sludge Age (days)</t>
  </si>
  <si>
    <t>MONTHLY SLUDGE INVENTORY (cu ft)</t>
  </si>
  <si>
    <t>by Storage volume</t>
  </si>
  <si>
    <t>Stor. 1st</t>
  </si>
  <si>
    <t>Stor. end</t>
  </si>
  <si>
    <t>Stor chang</t>
  </si>
  <si>
    <t>To Boat</t>
  </si>
  <si>
    <t>From Boat</t>
  </si>
  <si>
    <t>Lbs</t>
  </si>
  <si>
    <t>by Production</t>
  </si>
  <si>
    <t>Produced</t>
  </si>
  <si>
    <t>Boat</t>
  </si>
  <si>
    <t xml:space="preserve">To Dewatering  </t>
  </si>
  <si>
    <t>Difference</t>
  </si>
  <si>
    <t>Thickened Sludge</t>
  </si>
  <si>
    <t>x1000</t>
  </si>
  <si>
    <t>Dry Lbs</t>
  </si>
  <si>
    <t>Lbs Vol</t>
  </si>
  <si>
    <t>Digested Sludge</t>
  </si>
  <si>
    <t xml:space="preserve">To Storage </t>
  </si>
  <si>
    <t>Bowery Bay Sludge</t>
  </si>
  <si>
    <t>Foreign</t>
  </si>
  <si>
    <t>°F</t>
  </si>
  <si>
    <t>Sodium</t>
  </si>
  <si>
    <t>Hypochlorite</t>
  </si>
  <si>
    <t>gals</t>
  </si>
  <si>
    <t>Page 5 of 6</t>
  </si>
  <si>
    <t>/ MG</t>
  </si>
  <si>
    <t>Residual</t>
  </si>
  <si>
    <t>Power</t>
  </si>
  <si>
    <t>X 1000 KWH</t>
  </si>
  <si>
    <t>Gener</t>
  </si>
  <si>
    <t>Purchase</t>
  </si>
  <si>
    <t>Special Remarks:</t>
  </si>
  <si>
    <t>Note:</t>
  </si>
  <si>
    <t>Digester gas (x 1000 cuft)</t>
  </si>
  <si>
    <t>To Boilers</t>
  </si>
  <si>
    <t xml:space="preserve">Main </t>
  </si>
  <si>
    <t>building</t>
  </si>
  <si>
    <t>Dewatering</t>
  </si>
  <si>
    <t>Flared</t>
  </si>
  <si>
    <t>Fuel Oil (gallons)</t>
  </si>
  <si>
    <t xml:space="preserve">To </t>
  </si>
  <si>
    <t>Generators</t>
  </si>
  <si>
    <t>Natural Gas (x1000 cuft)</t>
  </si>
  <si>
    <t>Page 6 of 6</t>
  </si>
  <si>
    <t>Weather</t>
  </si>
  <si>
    <t>Bowery Bay WPCP Nutrient Sheet</t>
  </si>
  <si>
    <t>Nitrogen</t>
  </si>
  <si>
    <t>Average Total FLow</t>
  </si>
  <si>
    <t>(MGD)</t>
  </si>
  <si>
    <t>Phosphorus</t>
  </si>
  <si>
    <t>Ortho</t>
  </si>
  <si>
    <t>Sludge Age:</t>
  </si>
  <si>
    <t>Centrate</t>
  </si>
  <si>
    <t>Sludge To Dewatering</t>
  </si>
  <si>
    <t>Demand</t>
  </si>
  <si>
    <t>COD</t>
  </si>
  <si>
    <t>Days</t>
  </si>
  <si>
    <t>Plant Influent</t>
  </si>
  <si>
    <t>Primary Effluent (mg/L)</t>
  </si>
  <si>
    <t>Remarks:</t>
  </si>
  <si>
    <t>Phosphorous</t>
  </si>
  <si>
    <t>DATE:</t>
  </si>
  <si>
    <t>Plant Effluent (mg/L)</t>
  </si>
  <si>
    <t>Page 1 of 2</t>
  </si>
  <si>
    <t xml:space="preserve">Nitrogen </t>
  </si>
  <si>
    <t>Centrate (mg/L)</t>
  </si>
  <si>
    <t>Cake (mg/L)</t>
  </si>
  <si>
    <t>Page 2 of 2</t>
  </si>
  <si>
    <t>TANKS IN SERVICE</t>
  </si>
  <si>
    <t>PRIMARY</t>
  </si>
  <si>
    <t>AER.</t>
  </si>
  <si>
    <t>SOUTH</t>
  </si>
  <si>
    <t>NORTH</t>
  </si>
  <si>
    <t>F-1,4,8,11</t>
  </si>
  <si>
    <t>F-2,3,9,10</t>
  </si>
  <si>
    <t>F-5,7</t>
  </si>
  <si>
    <t xml:space="preserve">  F-6</t>
  </si>
  <si>
    <t>F-12,14,15,17</t>
  </si>
  <si>
    <t>Last day</t>
  </si>
  <si>
    <t>F-13,16</t>
  </si>
  <si>
    <t>FACTORS</t>
  </si>
  <si>
    <t>CONVERSION OF mg/l TO Tons/Gallon</t>
  </si>
  <si>
    <t>GRIT FACTOR</t>
  </si>
  <si>
    <t>SCUM FACTOR</t>
  </si>
  <si>
    <t>SLUDGE FACTOR</t>
  </si>
  <si>
    <t>RAKINGS FACTOR (#/CU FT)</t>
  </si>
  <si>
    <t>GRIT FACTOR (#/CU FT)</t>
  </si>
  <si>
    <t>SCUM FACTOR (#/CU FT)</t>
  </si>
  <si>
    <t>Secondary Sludge Wasting South: MGD</t>
  </si>
  <si>
    <t>Secondary Sludge Wasting North: MGD</t>
  </si>
  <si>
    <t>MONTH:</t>
  </si>
  <si>
    <t xml:space="preserve">        MISCELLANEOUS</t>
  </si>
  <si>
    <t>PRIM. EFF. ALKA. N &amp; S (mg/L)</t>
  </si>
  <si>
    <t xml:space="preserve">Thick </t>
  </si>
  <si>
    <t xml:space="preserve">Aerator Effluent </t>
  </si>
  <si>
    <t>NO.1&amp;2</t>
  </si>
  <si>
    <t>NO.3&amp;4</t>
  </si>
  <si>
    <t>NO.5&amp;6</t>
  </si>
  <si>
    <t>NO.7&amp;8</t>
  </si>
  <si>
    <t>NO.9&amp;10</t>
  </si>
  <si>
    <t xml:space="preserve">          NO.1</t>
  </si>
  <si>
    <t xml:space="preserve">            GRIT ANALYSIS</t>
  </si>
  <si>
    <t xml:space="preserve">          NO.2</t>
  </si>
  <si>
    <t xml:space="preserve">          NO.3</t>
  </si>
  <si>
    <t xml:space="preserve">          NO.4</t>
  </si>
  <si>
    <t>TSS (mg/L)</t>
  </si>
  <si>
    <t xml:space="preserve">Thickened </t>
  </si>
  <si>
    <t>Chlorides Influent</t>
  </si>
  <si>
    <t xml:space="preserve">Lower </t>
  </si>
  <si>
    <t>Plant Influent  (mg/L)</t>
  </si>
  <si>
    <t>Primary Effluent</t>
  </si>
  <si>
    <t>Plant Effluent</t>
  </si>
  <si>
    <t>Dewatering Nutrient Analysis</t>
  </si>
  <si>
    <t>PH</t>
  </si>
  <si>
    <t>Dewatering Solids Analysis</t>
  </si>
  <si>
    <t>Sludge Feed</t>
  </si>
  <si>
    <t>Cake</t>
  </si>
  <si>
    <t xml:space="preserve">SS </t>
  </si>
  <si>
    <t>VOL. SS</t>
  </si>
  <si>
    <t>ALK</t>
  </si>
  <si>
    <t>Special Centrate Sample</t>
  </si>
  <si>
    <t>TSS</t>
  </si>
  <si>
    <t>TVS</t>
  </si>
  <si>
    <t xml:space="preserve">Receipt </t>
  </si>
  <si>
    <t>Bowery Bay Lab Sheet</t>
  </si>
  <si>
    <t>Bower Bay WPCP PT Sheet</t>
  </si>
  <si>
    <t xml:space="preserve">Effluent </t>
  </si>
  <si>
    <t>Temperature</t>
  </si>
  <si>
    <t>Low Level</t>
  </si>
  <si>
    <t>Raw Low Level</t>
  </si>
  <si>
    <t>Raw High Level</t>
  </si>
  <si>
    <t>Final Effluent</t>
  </si>
  <si>
    <t>MAX</t>
  </si>
  <si>
    <t>MIN</t>
  </si>
  <si>
    <t>( &gt;, &lt;</t>
  </si>
  <si>
    <t>or E )</t>
  </si>
  <si>
    <t>Count</t>
  </si>
  <si>
    <t>(# FC/100ml)</t>
  </si>
  <si>
    <t>Sample Cl2</t>
  </si>
  <si>
    <t>Avg Eff</t>
  </si>
  <si>
    <t xml:space="preserve">Chlorine </t>
  </si>
  <si>
    <t>DISSOLVED OXYGEN (mg/L)</t>
  </si>
  <si>
    <t>AM</t>
  </si>
  <si>
    <t>PM</t>
  </si>
  <si>
    <t>Cylinder Readings</t>
  </si>
  <si>
    <t>CYL</t>
  </si>
  <si>
    <t>SSV</t>
  </si>
  <si>
    <t>CUFTx1000</t>
  </si>
  <si>
    <t>Fuel Oil (gal)</t>
  </si>
  <si>
    <t>To</t>
  </si>
  <si>
    <t>Boiler</t>
  </si>
  <si>
    <t>PURCH GAS</t>
  </si>
  <si>
    <t>USED</t>
  </si>
  <si>
    <t>CuFt x1000</t>
  </si>
  <si>
    <t>Dig Gas</t>
  </si>
  <si>
    <t>POWER</t>
  </si>
  <si>
    <t>(1000 KWH)</t>
  </si>
  <si>
    <t>PURCH</t>
  </si>
  <si>
    <t>GEN</t>
  </si>
  <si>
    <t>Process</t>
  </si>
  <si>
    <t>MCF/day</t>
  </si>
  <si>
    <t>Centrifuges</t>
  </si>
  <si>
    <t>Units</t>
  </si>
  <si>
    <t>in Oper</t>
  </si>
  <si>
    <t>Oper</t>
  </si>
  <si>
    <t>Hours</t>
  </si>
  <si>
    <t>Polymer</t>
  </si>
  <si>
    <t>gal from</t>
  </si>
  <si>
    <t>Storage</t>
  </si>
  <si>
    <t>gal mixed</t>
  </si>
  <si>
    <t>polymer</t>
  </si>
  <si>
    <t>Cake Removed</t>
  </si>
  <si>
    <t>Truck</t>
  </si>
  <si>
    <t>Trips</t>
  </si>
  <si>
    <t>Wet</t>
  </si>
  <si>
    <t>Digester Sludge</t>
  </si>
  <si>
    <t>cu ft</t>
  </si>
  <si>
    <t>Rain</t>
  </si>
  <si>
    <t>Clear</t>
  </si>
  <si>
    <t>Tanks In Service</t>
  </si>
  <si>
    <t>Pri</t>
  </si>
  <si>
    <t>1,4,8,11</t>
  </si>
  <si>
    <t>2,3,9,10</t>
  </si>
  <si>
    <t>5,7</t>
  </si>
  <si>
    <t xml:space="preserve">      6</t>
  </si>
  <si>
    <t>12,14,15,17</t>
  </si>
  <si>
    <t>13,16</t>
  </si>
  <si>
    <t>Bowery Bay WPCP Dewatering Sheet</t>
  </si>
  <si>
    <t>To Centrifuges</t>
  </si>
  <si>
    <t>Vol Sol</t>
  </si>
  <si>
    <t>TS</t>
  </si>
  <si>
    <t>SS</t>
  </si>
  <si>
    <t>VOL.</t>
  </si>
  <si>
    <t>Page 1 of 3</t>
  </si>
  <si>
    <t>In</t>
  </si>
  <si>
    <t xml:space="preserve">Oper </t>
  </si>
  <si>
    <t>Gallons</t>
  </si>
  <si>
    <t>Polymer:</t>
  </si>
  <si>
    <t>Gal From</t>
  </si>
  <si>
    <t>GPM</t>
  </si>
  <si>
    <t>active</t>
  </si>
  <si>
    <t>[lbs/gal]</t>
  </si>
  <si>
    <t>Gal Mix</t>
  </si>
  <si>
    <t>Mixed Conc.</t>
  </si>
  <si>
    <t>Neat Conc.</t>
  </si>
  <si>
    <t>Active</t>
  </si>
  <si>
    <t>Contractual Comparison</t>
  </si>
  <si>
    <t>Dosage (lbs/ton)</t>
  </si>
  <si>
    <t>Cake (%Sol)</t>
  </si>
  <si>
    <t>Act. Lbs/</t>
  </si>
  <si>
    <t>Dry Ton</t>
  </si>
  <si>
    <t>lbs of poly/</t>
  </si>
  <si>
    <t>Actual</t>
  </si>
  <si>
    <t>Centrifuge</t>
  </si>
  <si>
    <t>Capture</t>
  </si>
  <si>
    <t>Contract</t>
  </si>
  <si>
    <t xml:space="preserve">Truck </t>
  </si>
  <si>
    <t>Pass?</t>
  </si>
  <si>
    <t>LBS/</t>
  </si>
  <si>
    <t>Page 2 of 3</t>
  </si>
  <si>
    <t>Ferric</t>
  </si>
  <si>
    <t>Chloride</t>
  </si>
  <si>
    <t>Gal</t>
  </si>
  <si>
    <t>Odor Control</t>
  </si>
  <si>
    <t>Hypo</t>
  </si>
  <si>
    <t>NaOH</t>
  </si>
  <si>
    <t>Power (KWH)</t>
  </si>
  <si>
    <t>M</t>
  </si>
  <si>
    <t>/Wet</t>
  </si>
  <si>
    <t>Ton</t>
  </si>
  <si>
    <t>Building Heating</t>
  </si>
  <si>
    <t>Fuel Oil</t>
  </si>
  <si>
    <t>Purchased</t>
  </si>
  <si>
    <t>Gas</t>
  </si>
  <si>
    <t>1000 Cu. Ft.</t>
  </si>
  <si>
    <t>TOT</t>
  </si>
  <si>
    <t>Dewatered Sludge Cake Inventory And Production</t>
  </si>
  <si>
    <t>Dry Tons Cake Inventory 1st of Month</t>
  </si>
  <si>
    <t>Dry Tons Cake Inventory End of Month</t>
  </si>
  <si>
    <t>Dry Tons Cake Removed for Month</t>
  </si>
  <si>
    <t>Dry Tons Cake Produced for Month</t>
  </si>
  <si>
    <t xml:space="preserve">% Capture </t>
  </si>
  <si>
    <t>% Capture is calculated as follows:</t>
  </si>
  <si>
    <t xml:space="preserve">1-((dry tons feed-dry tons produced)/dry tons feed) </t>
  </si>
  <si>
    <t>Page 3 of 3</t>
  </si>
  <si>
    <t>=</t>
  </si>
  <si>
    <t>BOWERY BAY -- HOURLY FLOW</t>
  </si>
  <si>
    <t>SPDES PERMIT# NY0026158</t>
  </si>
  <si>
    <t>2.0 STD</t>
  </si>
  <si>
    <t>PLUS 2.0 STD</t>
  </si>
  <si>
    <t>BOWERY BAY -- DRY FLOW</t>
  </si>
  <si>
    <t>7:00</t>
  </si>
  <si>
    <t>8:00</t>
  </si>
  <si>
    <t>9:00</t>
  </si>
  <si>
    <t>10:00</t>
  </si>
  <si>
    <t>11:00</t>
  </si>
  <si>
    <t>Noon</t>
  </si>
  <si>
    <t>12:00</t>
  </si>
  <si>
    <t>1:00</t>
  </si>
  <si>
    <t>2:00</t>
  </si>
  <si>
    <t>3:00</t>
  </si>
  <si>
    <t>4:00</t>
  </si>
  <si>
    <t>5:00</t>
  </si>
  <si>
    <t>6:00</t>
  </si>
  <si>
    <t>Midnt</t>
  </si>
  <si>
    <t>DRY</t>
  </si>
  <si>
    <t>7-6 PM</t>
  </si>
  <si>
    <t>7-6 AM</t>
  </si>
  <si>
    <t xml:space="preserve">Total </t>
  </si>
  <si>
    <t>Plus 2.0 STD</t>
  </si>
  <si>
    <t>Avg Dry Flow</t>
  </si>
  <si>
    <t>Bowery Bay -- Dry Flow Calculation Sheet</t>
  </si>
  <si>
    <t>Rain Flows are omitted here!</t>
  </si>
  <si>
    <t>Bowery Bay High Level Hourly Flow Data</t>
  </si>
  <si>
    <t xml:space="preserve">DAILY </t>
  </si>
  <si>
    <t>DAILY</t>
  </si>
  <si>
    <t>Bowery Bay Lower Level Hourly Flow Data</t>
  </si>
  <si>
    <t>AVG DRY FLOW</t>
  </si>
  <si>
    <t>TOTAL BYPASS</t>
  </si>
  <si>
    <t>Bowery Bay WPCP -- Daily Average Flow Summary</t>
  </si>
  <si>
    <t>MAXIMUM DAILY FLOW (MGD)</t>
  </si>
  <si>
    <t>MAXIMUM HOURLY FLOW (MGD))</t>
  </si>
  <si>
    <t>Bypass</t>
  </si>
  <si>
    <t>% Flow</t>
  </si>
  <si>
    <t>:wcs</t>
  </si>
  <si>
    <t>PLANT</t>
  </si>
  <si>
    <t xml:space="preserve"> TOTAL TRUCK TRIP</t>
  </si>
  <si>
    <t>GRAND TOTAL  ( TRIP )</t>
  </si>
  <si>
    <t xml:space="preserve"> TOTAL VOLUME </t>
  </si>
  <si>
    <t>( CU. YD )</t>
  </si>
  <si>
    <t>Grand Volume</t>
  </si>
  <si>
    <t xml:space="preserve"> ( cu yd)</t>
  </si>
  <si>
    <t xml:space="preserve">  6CY</t>
  </si>
  <si>
    <t xml:space="preserve">    GRIT</t>
  </si>
  <si>
    <t xml:space="preserve"> 10CY</t>
  </si>
  <si>
    <t xml:space="preserve">   ( Transportation Section )</t>
  </si>
  <si>
    <t xml:space="preserve">   ( Transportation Section + Contractor )</t>
  </si>
  <si>
    <t xml:space="preserve"> 15CY</t>
  </si>
  <si>
    <t xml:space="preserve">          TRANSPORTATION SECTION MVO</t>
  </si>
  <si>
    <t xml:space="preserve"> 20CY</t>
  </si>
  <si>
    <t xml:space="preserve"> 26CY</t>
  </si>
  <si>
    <t xml:space="preserve">     SCREEN</t>
  </si>
  <si>
    <t>TRUCK TRIP</t>
  </si>
  <si>
    <t xml:space="preserve"> MIXED</t>
  </si>
  <si>
    <t xml:space="preserve"> 28CY</t>
  </si>
  <si>
    <t>6CY</t>
  </si>
  <si>
    <t xml:space="preserve">          GREASE</t>
  </si>
  <si>
    <t>GRIT</t>
  </si>
  <si>
    <t>TRIP</t>
  </si>
  <si>
    <t>CU. YDS</t>
  </si>
  <si>
    <t>PRIVATE CONTRACTORS</t>
  </si>
  <si>
    <t>SCREEN</t>
  </si>
  <si>
    <t xml:space="preserve">  MIXED</t>
  </si>
  <si>
    <t xml:space="preserve">            GREASE</t>
  </si>
  <si>
    <t>CONTAINER WORKSHEET</t>
  </si>
  <si>
    <t>SCREENINGS</t>
  </si>
  <si>
    <t>CUYDS</t>
  </si>
  <si>
    <t>CUFT</t>
  </si>
  <si>
    <t>GREASE</t>
  </si>
  <si>
    <t>FACTOR</t>
  </si>
  <si>
    <t>MIXED</t>
  </si>
  <si>
    <t xml:space="preserve">BOWERY BAY FLOW AND MASS BALANCE </t>
  </si>
  <si>
    <t>DATE PRINTED</t>
  </si>
  <si>
    <t>INFLUENT</t>
  </si>
  <si>
    <t>FLOW:</t>
  </si>
  <si>
    <t>CONC:</t>
  </si>
  <si>
    <t>MASS:</t>
  </si>
  <si>
    <t>SLUDGE OUT</t>
  </si>
  <si>
    <t>%SOL:</t>
  </si>
  <si>
    <t>MAIN SEWAGE</t>
  </si>
  <si>
    <t>PUMPS</t>
  </si>
  <si>
    <t>PPM</t>
  </si>
  <si>
    <t>LBS/DAY</t>
  </si>
  <si>
    <t>TONS/DAY</t>
  </si>
  <si>
    <t>CU.FT./DAY</t>
  </si>
  <si>
    <t>STORAGE</t>
  </si>
  <si>
    <t>TANKS</t>
  </si>
  <si>
    <t xml:space="preserve">   DEWATERING</t>
  </si>
  <si>
    <t xml:space="preserve">  CENTRIFUGES</t>
  </si>
  <si>
    <t>DT/DAY</t>
  </si>
  <si>
    <t>RAW</t>
  </si>
  <si>
    <t>DIG.SL. OUT</t>
  </si>
  <si>
    <t>RECYCLES</t>
  </si>
  <si>
    <t>DIGESTER</t>
  </si>
  <si>
    <t>TOTAL SOLIDS FROM DEWATERING</t>
  </si>
  <si>
    <t>PRIMARY SLUDGE.</t>
  </si>
  <si>
    <t>THICK SL.</t>
  </si>
  <si>
    <t>PRIM. EFF.</t>
  </si>
  <si>
    <t>THICKENER</t>
  </si>
  <si>
    <t>AERATION</t>
  </si>
  <si>
    <t>LBS</t>
  </si>
  <si>
    <t>THICK OVER FLOW</t>
  </si>
  <si>
    <t>WASTE SL. TO THICK.</t>
  </si>
  <si>
    <t>THICKENERS FEED</t>
  </si>
  <si>
    <t>SECONDARY BYPASS</t>
  </si>
  <si>
    <t>FINAL</t>
  </si>
  <si>
    <t>BOX</t>
  </si>
  <si>
    <t xml:space="preserve">ACC. IS THE AMOUNT OF SLUDGE  REMAINED IN THE SLUDGE STORAGE TANKS. </t>
  </si>
  <si>
    <t>% Mass Balance Error % = (In-(Out+Storage Tank Inventory Accumulation))/In*100%.</t>
  </si>
  <si>
    <t>Done around the total system (production/hauled/centrate), storage tanks, and centrifuges.</t>
  </si>
  <si>
    <t xml:space="preserve">TO SCUM COLLECTOR </t>
  </si>
  <si>
    <t>% Mass Balance Error</t>
  </si>
  <si>
    <t>CU.FT./MONTH</t>
  </si>
  <si>
    <t>D.LB/MONTH</t>
  </si>
  <si>
    <t>MASS IN - MASS OUT =  ACC.</t>
  </si>
  <si>
    <t>MASS IN</t>
  </si>
  <si>
    <t>MASS OUT</t>
  </si>
  <si>
    <t>ACC.</t>
  </si>
  <si>
    <t>R E C Y C L E</t>
  </si>
  <si>
    <t>CHLORINE</t>
  </si>
  <si>
    <t>CONTACT TANK</t>
  </si>
  <si>
    <t>EFFLUENT</t>
  </si>
  <si>
    <t>GAL./DAY</t>
  </si>
  <si>
    <t>BOWERY BAY:</t>
  </si>
  <si>
    <t>SLUDGE MASS BALANCE</t>
  </si>
  <si>
    <t>TANK AND CENTRIFUGE INVENTORY/THROUGHPUT</t>
  </si>
  <si>
    <t>BB:  SLUDGE PRODUCTION</t>
  </si>
  <si>
    <t>BB:  SLUDGE TO OAKWOOD BEACH</t>
  </si>
  <si>
    <t>BB SLUDGE STORAGE:  START OF MONTH</t>
  </si>
  <si>
    <t>BB SLUDGE STORAGE:  END OF MONTH</t>
  </si>
  <si>
    <t>SLUDGE TO CENTRIFUGE</t>
  </si>
  <si>
    <t>CENTRATE SOLIDS</t>
  </si>
  <si>
    <t>CAKE TRUCKED</t>
  </si>
  <si>
    <t>CAKE IN HOPPERS:  START OF MONTH</t>
  </si>
  <si>
    <t>CAKE IN STORAGE:  START OF MONTH</t>
  </si>
  <si>
    <t>CAKE IN HOPPERS:  END OF MONTH</t>
  </si>
  <si>
    <t>CAKE IN STORAGE:  END OF MONTH</t>
  </si>
  <si>
    <t>BALANCE AROUND STORAGE TANKS</t>
  </si>
  <si>
    <t>SLUDGE TO STORAGE</t>
  </si>
  <si>
    <t>CHANGE IN STORAGE</t>
  </si>
  <si>
    <t>SLUDGE FROM STORAGE TO CENTRIFUGES</t>
  </si>
  <si>
    <t>BALANCE AROUND CENTRIFUGES</t>
  </si>
  <si>
    <t>CHANGE IN CAKE STORAGE</t>
  </si>
  <si>
    <t>CENTRAGE SOLIDS</t>
  </si>
  <si>
    <t>HAULED SOLIDS</t>
  </si>
  <si>
    <t>BOWERY BAY PERCENT SOLIDS:</t>
  </si>
  <si>
    <t>INVENTORY</t>
  </si>
  <si>
    <t>x 1000</t>
  </si>
  <si>
    <t>TOTALS</t>
  </si>
  <si>
    <t>% MASS</t>
  </si>
  <si>
    <t>BALANCE</t>
  </si>
  <si>
    <t>ERROR</t>
  </si>
  <si>
    <t>Bowery Bay Sodium Hypochlorite Balance Sheet</t>
  </si>
  <si>
    <t>6 AM Read</t>
  </si>
  <si>
    <t>(gal)</t>
  </si>
  <si>
    <t>Truck Deliveries (gals)</t>
  </si>
  <si>
    <t xml:space="preserve">No. 1 </t>
  </si>
  <si>
    <t>Summary</t>
  </si>
  <si>
    <t>Disinfection</t>
  </si>
  <si>
    <t>TOTAL=</t>
  </si>
  <si>
    <t>AVG.  =</t>
  </si>
  <si>
    <t>Other</t>
  </si>
  <si>
    <t>Consumed</t>
  </si>
  <si>
    <t>gal/day</t>
  </si>
  <si>
    <t>Struvite</t>
  </si>
  <si>
    <t>Thickening</t>
  </si>
  <si>
    <t>Bowery Bay Dewatering Facility Polymer Balance Sheet</t>
  </si>
  <si>
    <t>Tank #1</t>
  </si>
  <si>
    <t>Tank #2</t>
  </si>
  <si>
    <t>Truck Deliveries</t>
  </si>
  <si>
    <t>Weight</t>
  </si>
  <si>
    <t>(lb)</t>
  </si>
  <si>
    <t>Conc</t>
  </si>
  <si>
    <t>(lb/gal)</t>
  </si>
  <si>
    <t>Bowery Bay Dewatering Facility Ferric Chloride Balance Sheet</t>
  </si>
  <si>
    <t xml:space="preserve">% </t>
  </si>
  <si>
    <t>Desity</t>
  </si>
  <si>
    <t xml:space="preserve"> (lb/gal)</t>
  </si>
  <si>
    <t>Vol</t>
  </si>
  <si>
    <t xml:space="preserve">Total = </t>
  </si>
  <si>
    <t>update D11 only, F9</t>
  </si>
  <si>
    <t>Update EF area for Flow</t>
  </si>
  <si>
    <t>&amp; N 12-mon rolling avg</t>
  </si>
  <si>
    <t>Update DF22 to DL 27</t>
  </si>
  <si>
    <t>for 7-day avg</t>
  </si>
  <si>
    <t xml:space="preserve"> 92-15-7 {04/2003}--27c</t>
  </si>
  <si>
    <t>NEW YORK STATE DEPARTMENT OF ENVIRONMENTAL CONSERVATION</t>
  </si>
  <si>
    <t>DIVISION OF WATER</t>
  </si>
  <si>
    <t>WASTEWATER FACILITY OPERATION REPORT FOR THE MONTH OF:</t>
  </si>
  <si>
    <t>SPDES PERMIT No.</t>
  </si>
  <si>
    <t>NY-0026158</t>
  </si>
  <si>
    <t>Day</t>
  </si>
  <si>
    <t>Permitted</t>
  </si>
  <si>
    <t>Flow</t>
  </si>
  <si>
    <t>(1) Refer to January 1994 edition of DMR Manual for Completing the Discharge Monitoring Report for the National Pollution Discharge Elimination System (NPDES), for procedures to calculate loadings, means, maximum, minimum, percent removal, etc.</t>
  </si>
  <si>
    <t>(2)  If temperature is measured more than once a day, report the average for the day.</t>
  </si>
  <si>
    <t>NOTE:  Refer to current SPDES permit for specific monitoring requirements.  Sample type for temperature, pH and settleable solids is grab.</t>
  </si>
  <si>
    <t>Date</t>
  </si>
  <si>
    <t>Volume of Sewage Treated</t>
  </si>
  <si>
    <t>Dry Flow</t>
  </si>
  <si>
    <t>MGD</t>
  </si>
  <si>
    <t>Monthly</t>
  </si>
  <si>
    <t>Average</t>
  </si>
  <si>
    <t>FACILITY NAME</t>
  </si>
  <si>
    <t>Bowery Bay</t>
  </si>
  <si>
    <t>Inst. Max.</t>
  </si>
  <si>
    <t>Daily Average</t>
  </si>
  <si>
    <t>12-Month Rolling</t>
  </si>
  <si>
    <t>Inst. Min</t>
  </si>
  <si>
    <t>FACILITY OWNER</t>
  </si>
  <si>
    <t>New York City Department of Environmental Protection</t>
  </si>
  <si>
    <t>Temperature (C)</t>
  </si>
  <si>
    <t>Effluent</t>
  </si>
  <si>
    <t>(2)</t>
  </si>
  <si>
    <t>Maximum</t>
  </si>
  <si>
    <t>pH (S.U.)</t>
  </si>
  <si>
    <t>Influent</t>
  </si>
  <si>
    <t>Minimum</t>
  </si>
  <si>
    <t>of Instantaneous Samples</t>
  </si>
  <si>
    <t>30-Day Average Effluent Loading (1)</t>
  </si>
  <si>
    <t>Settleable Solids (ml/L)</t>
  </si>
  <si>
    <t>FACILITY LOCATION</t>
  </si>
  <si>
    <t>CBOD5 (mg/L)</t>
  </si>
  <si>
    <t>24-hour comp</t>
  </si>
  <si>
    <t>30-day arithmetic mean (1)</t>
  </si>
  <si>
    <t>% Removal</t>
  </si>
  <si>
    <t>lbs/day</t>
  </si>
  <si>
    <t>Total Suspended Solids (mg/L)</t>
  </si>
  <si>
    <t>Suspended Solids (mg/L)</t>
  </si>
  <si>
    <t>Page 1 of 4</t>
  </si>
  <si>
    <t>Violation of</t>
  </si>
  <si>
    <t>daily TSS limit?</t>
  </si>
  <si>
    <t/>
  </si>
  <si>
    <t>FACILITY MAILING ADDRESS [Street, City, State, Zip code]</t>
  </si>
  <si>
    <t>DAY</t>
  </si>
  <si>
    <t>DATE</t>
  </si>
  <si>
    <t>Total Phosphorous  (mg/L)</t>
  </si>
  <si>
    <t>Orthophosphate (mg/L)</t>
  </si>
  <si>
    <t>TELEPHONE NUMBER</t>
  </si>
  <si>
    <t>(718) 595-5050</t>
  </si>
  <si>
    <t>Chlorine Residual</t>
  </si>
  <si>
    <t>Effluent (mg/L)</t>
  </si>
  <si>
    <t>Fecal Coliform</t>
  </si>
  <si>
    <t>MF  FC/100ml</t>
  </si>
  <si>
    <t>30 day Geometric</t>
  </si>
  <si>
    <t>Mean (1)</t>
  </si>
  <si>
    <t>CHIEF OPERATOR'S NAME</t>
  </si>
  <si>
    <t>REMARKS</t>
  </si>
  <si>
    <t>Enter any other comments, observations, operating</t>
  </si>
  <si>
    <t>problems, equipment failure, etc.</t>
  </si>
  <si>
    <t xml:space="preserve">Page 2 of 4    </t>
  </si>
  <si>
    <t>Certification Grade</t>
  </si>
  <si>
    <t>Grade 4A</t>
  </si>
  <si>
    <t>Logged Weather</t>
  </si>
  <si>
    <t>30-Day Means</t>
  </si>
  <si>
    <t>See (1)</t>
  </si>
  <si>
    <t>30 Day Average</t>
  </si>
  <si>
    <t>Quantitative</t>
  </si>
  <si>
    <t>Discharge Loading</t>
  </si>
  <si>
    <t xml:space="preserve"> </t>
  </si>
  <si>
    <t>Copper</t>
  </si>
  <si>
    <t>Nitrogen Series  (mg/L)</t>
  </si>
  <si>
    <t>NO2</t>
  </si>
  <si>
    <t>Arithmetic Means     (mg/L)</t>
  </si>
  <si>
    <t>Chromium</t>
  </si>
  <si>
    <t>NO3</t>
  </si>
  <si>
    <t>Nickel</t>
  </si>
  <si>
    <t>NH3</t>
  </si>
  <si>
    <t>Zinc</t>
  </si>
  <si>
    <t>TKN</t>
  </si>
  <si>
    <t>Lead</t>
  </si>
  <si>
    <t>Total Nitrogen</t>
  </si>
  <si>
    <t>Cadmium</t>
  </si>
  <si>
    <t>Mercury</t>
  </si>
  <si>
    <t>Arsenic</t>
  </si>
  <si>
    <t>Silver</t>
  </si>
  <si>
    <t>DO</t>
  </si>
  <si>
    <t>mg/L</t>
  </si>
  <si>
    <t>Chlorides</t>
  </si>
  <si>
    <t>Sample</t>
  </si>
  <si>
    <t>Type</t>
  </si>
  <si>
    <t>ACTIVATED SLUDGE</t>
  </si>
  <si>
    <t>PROCESS CONTROL</t>
  </si>
  <si>
    <t>Aerator</t>
  </si>
  <si>
    <t>SS mg/L</t>
  </si>
  <si>
    <t>Settleable Sludge</t>
  </si>
  <si>
    <t>Volume mg/L</t>
  </si>
  <si>
    <t>(SSV)  30 Minutes</t>
  </si>
  <si>
    <t>If you are NR or PR - replace this in cells AY50 and AY118:</t>
  </si>
  <si>
    <t>Return</t>
  </si>
  <si>
    <t>Act. Sludge</t>
  </si>
  <si>
    <t>RAS (MGD)</t>
  </si>
  <si>
    <t>Page 3 of 4</t>
  </si>
  <si>
    <t>Waste</t>
  </si>
  <si>
    <t>WAS lbs/day</t>
  </si>
  <si>
    <t>Effects on Receiving Stream</t>
  </si>
  <si>
    <t>Rikers Island Channel</t>
  </si>
  <si>
    <t>TRUCKED WASTE RECEIVED THIS MONTH</t>
  </si>
  <si>
    <t>1.  Septage, holding tank waste and</t>
  </si>
  <si>
    <t xml:space="preserve">      portable toilet waste</t>
  </si>
  <si>
    <t>Volume (gallons)</t>
  </si>
  <si>
    <t>2.  All other</t>
  </si>
  <si>
    <t xml:space="preserve">     types of wastes</t>
  </si>
  <si>
    <t>3.  Number of Part 364 haulers currently</t>
  </si>
  <si>
    <t xml:space="preserve">     approved to transport wastes to this</t>
  </si>
  <si>
    <t xml:space="preserve">     POTW</t>
  </si>
  <si>
    <t>a.  Septage, etc.</t>
  </si>
  <si>
    <t xml:space="preserve">b.  All others      </t>
  </si>
  <si>
    <t>Septage Hauler Accepting Plants:   HP, 26, OB</t>
  </si>
  <si>
    <t>STATION</t>
  </si>
  <si>
    <t>PARAMETER</t>
  </si>
  <si>
    <t>Total</t>
  </si>
  <si>
    <t>put below number here</t>
  </si>
  <si>
    <t>RESULT</t>
  </si>
  <si>
    <t>Max. day</t>
  </si>
  <si>
    <t>And fill in Part 1, total and max</t>
  </si>
  <si>
    <t>Name and amount of chemicals used in treatment</t>
  </si>
  <si>
    <t>process during month:</t>
  </si>
  <si>
    <t>a.</t>
  </si>
  <si>
    <t>b.</t>
  </si>
  <si>
    <t>c.</t>
  </si>
  <si>
    <t>d.</t>
  </si>
  <si>
    <t>e.</t>
  </si>
  <si>
    <t>Amount of electrical power consumed</t>
  </si>
  <si>
    <t>Amount of fuel consumed</t>
  </si>
  <si>
    <t>f.</t>
  </si>
  <si>
    <t>Labor expended:</t>
  </si>
  <si>
    <t>Position</t>
  </si>
  <si>
    <t>Name</t>
  </si>
  <si>
    <t>SSEE</t>
  </si>
  <si>
    <t>SEE</t>
  </si>
  <si>
    <t>Oiler</t>
  </si>
  <si>
    <t>SSTW</t>
  </si>
  <si>
    <t>STW</t>
  </si>
  <si>
    <t>Clerical</t>
  </si>
  <si>
    <t>Hours per week are straight hours only, and do not include any overtime or compensatory time.</t>
  </si>
  <si>
    <t>I hearby affirm under penalty of perjury that information provided on this form is true to the best of my knowledge and belief.  False statements</t>
  </si>
  <si>
    <t>made herein are punishable as a Class A misdemeanor pursuant to Section 210.45 of the Penal Law.</t>
  </si>
  <si>
    <t>Signature of Chief Operator or Designated Facility Representative.</t>
  </si>
  <si>
    <t>Sodium Hypochlorite</t>
  </si>
  <si>
    <t>Caustic Soda</t>
  </si>
  <si>
    <t>Ferric Chloride</t>
  </si>
  <si>
    <t>Polymer Cationic</t>
  </si>
  <si>
    <t>Polymer Anionic</t>
  </si>
  <si>
    <t>Commercial</t>
  </si>
  <si>
    <t>Stand - by</t>
  </si>
  <si>
    <t>Generated</t>
  </si>
  <si>
    <t>Natural gas</t>
  </si>
  <si>
    <t>Oil</t>
  </si>
  <si>
    <t>Gasoline</t>
  </si>
  <si>
    <t>Coal</t>
  </si>
  <si>
    <t>Digester gas</t>
  </si>
  <si>
    <t>Propane</t>
  </si>
  <si>
    <t xml:space="preserve">  gallons</t>
  </si>
  <si>
    <t xml:space="preserve">  kilowatt hours</t>
  </si>
  <si>
    <t xml:space="preserve">  cubic feet</t>
  </si>
  <si>
    <t xml:space="preserve">  tons</t>
  </si>
  <si>
    <t>Number</t>
  </si>
  <si>
    <t>Full Time</t>
  </si>
  <si>
    <t>Plant Sludge Production (digested sludge to storage):</t>
  </si>
  <si>
    <t>Dewatering:</t>
  </si>
  <si>
    <t>Other Solid Wastes:</t>
  </si>
  <si>
    <t>Amount</t>
  </si>
  <si>
    <t>Solid Content</t>
  </si>
  <si>
    <t>Volatile Solids Content</t>
  </si>
  <si>
    <t>Dewatered At:</t>
  </si>
  <si>
    <t>Amount of Cake</t>
  </si>
  <si>
    <t>Disposed By:</t>
  </si>
  <si>
    <t>Screenings</t>
  </si>
  <si>
    <t>Grit</t>
  </si>
  <si>
    <t>Scum</t>
  </si>
  <si>
    <t>Daily Loadings based on Dry Flow</t>
  </si>
  <si>
    <t>Daily Loadings based on Daily Flow</t>
  </si>
  <si>
    <t>{starred values replaced with monthly average concentrations}</t>
  </si>
  <si>
    <t>Influent   (mg/L)</t>
  </si>
  <si>
    <t>Effluent   (mg/L)</t>
  </si>
  <si>
    <t>Total #/d</t>
  </si>
  <si>
    <t xml:space="preserve"> Eff use for further calculations (e.g. 12-month rolling average)</t>
  </si>
  <si>
    <t>30-Day Flow Weighting with Total Flow</t>
  </si>
  <si>
    <t>* If all influent or all effluent concentration are starred for a particular day,</t>
  </si>
  <si>
    <t>Average - Rounded</t>
  </si>
  <si>
    <t xml:space="preserve"> Eff use for reporting (e.g. DMR, Tab, Nutrients)</t>
  </si>
  <si>
    <t>TSS Inf</t>
  </si>
  <si>
    <t xml:space="preserve">  manually input the average concentrations for that day in the calculation</t>
  </si>
  <si>
    <t>TN Influent</t>
  </si>
  <si>
    <t>TN Effluent</t>
  </si>
  <si>
    <t xml:space="preserve">  table above.</t>
  </si>
  <si>
    <t xml:space="preserve">  (average influent concentrations are located in cells CO8 - CR8)</t>
  </si>
  <si>
    <t>Comparisons of Mean Calculations</t>
  </si>
  <si>
    <t xml:space="preserve">  (average effluent concentrations are located in cells CS8 - CV8)</t>
  </si>
  <si>
    <t>Week of</t>
  </si>
  <si>
    <t>SDI</t>
  </si>
  <si>
    <t>Sludge prod</t>
  </si>
  <si>
    <t xml:space="preserve">Thickened sludge </t>
  </si>
  <si>
    <t>(Sun - Sat)</t>
  </si>
  <si>
    <t>(mgd)</t>
  </si>
  <si>
    <t>(MCF/d)</t>
  </si>
  <si>
    <t>(1000 cuft/d)</t>
  </si>
  <si>
    <t>%sol</t>
  </si>
  <si>
    <t>%vol</t>
  </si>
  <si>
    <t>Monthly Avg</t>
  </si>
  <si>
    <t>5-day CBOD (mg/L)</t>
  </si>
  <si>
    <t>Total Nitrogen (mg/L)</t>
  </si>
  <si>
    <t>Hypo for Disinfection</t>
  </si>
  <si>
    <t>Cl2 Residual</t>
  </si>
  <si>
    <t>Final Eff</t>
  </si>
  <si>
    <t>(gpd)</t>
  </si>
  <si>
    <t>Notes/Comments:</t>
  </si>
  <si>
    <t>Bowery Bay WPCP Monthly Report</t>
  </si>
  <si>
    <t>Total Nitrogen (lb/d)</t>
  </si>
  <si>
    <t>mcf/d</t>
  </si>
  <si>
    <t>sludge prd</t>
  </si>
  <si>
    <t>1000cuft/d</t>
  </si>
  <si>
    <t>chlorides</t>
  </si>
  <si>
    <t>thickened sludge</t>
  </si>
  <si>
    <t>Digester sludge</t>
  </si>
  <si>
    <t>total nitrogen (mg/L)</t>
  </si>
  <si>
    <t>total nitrogen (lb/d)</t>
  </si>
  <si>
    <t>inf</t>
  </si>
  <si>
    <t>eff</t>
  </si>
  <si>
    <t>hypo dis</t>
  </si>
  <si>
    <t>gpd</t>
  </si>
  <si>
    <t>Cl2 res</t>
  </si>
  <si>
    <t>FER only</t>
  </si>
  <si>
    <t>Aerator Effluent (mg/L)</t>
  </si>
  <si>
    <t>Average Aerator (mg/L)</t>
  </si>
  <si>
    <t>Aer Eff (mg/L)</t>
  </si>
  <si>
    <t>Avg Aer</t>
  </si>
  <si>
    <t>max</t>
  </si>
  <si>
    <t>min</t>
  </si>
  <si>
    <t xml:space="preserve">Thickener </t>
  </si>
  <si>
    <t xml:space="preserve">Polymer </t>
  </si>
  <si>
    <t>Previous Month  Update the links</t>
  </si>
  <si>
    <t>influent</t>
  </si>
  <si>
    <t>Gas Produced (Cu. Ft.)</t>
  </si>
  <si>
    <t>ppm</t>
  </si>
  <si>
    <t>solids</t>
  </si>
  <si>
    <t>cake removed by trucks</t>
  </si>
  <si>
    <t>F</t>
  </si>
  <si>
    <t>Dig temp</t>
  </si>
  <si>
    <t>dig temp</t>
  </si>
  <si>
    <t>Gas (Cu. Ft./lb Vol destroyed)</t>
  </si>
  <si>
    <t>Pounds Volatiles Destroyed</t>
  </si>
  <si>
    <t>WASTE SLUDGE</t>
  </si>
  <si>
    <t>thicken sludge + effluent</t>
  </si>
  <si>
    <t xml:space="preserve"> Feed </t>
  </si>
  <si>
    <t>Boilers</t>
  </si>
  <si>
    <t>2.    Digester gas produced is a calculated value -- with the assumption that 1 pound of volatile solids destroyed</t>
  </si>
  <si>
    <t>SAMPLE RECEPTION TEMP</t>
  </si>
  <si>
    <t>Celcius</t>
  </si>
  <si>
    <t>Ice?</t>
  </si>
  <si>
    <t>pH DETERMINATIONS ARE MADE EVERY THREE HOURS.</t>
  </si>
  <si>
    <t xml:space="preserve">South </t>
  </si>
  <si>
    <t>South3</t>
  </si>
  <si>
    <t>Meter 1</t>
  </si>
  <si>
    <t>Meter 2</t>
  </si>
  <si>
    <t>Berrian</t>
  </si>
  <si>
    <t>Steinway</t>
  </si>
  <si>
    <t>cBOD</t>
  </si>
  <si>
    <t>Bold: Sludge feed and polymer solution used were calculated from feed pumps.</t>
  </si>
  <si>
    <t>info from marine section</t>
  </si>
  <si>
    <t>i.e., 04/01/08</t>
  </si>
  <si>
    <t>Primary  Dig</t>
  </si>
  <si>
    <t>Secondary Dig</t>
  </si>
  <si>
    <t>Primary  Digester</t>
  </si>
  <si>
    <t>Secondary Digester</t>
  </si>
  <si>
    <t>generator</t>
  </si>
  <si>
    <t xml:space="preserve">Sampling Anomaly      </t>
  </si>
  <si>
    <t>Polymer Deliveries</t>
  </si>
  <si>
    <t>7-day geometric FC average</t>
  </si>
  <si>
    <t>(#/100ml)</t>
  </si>
  <si>
    <t>High level</t>
  </si>
  <si>
    <t>MONTHLY ENERGY REPORT</t>
  </si>
  <si>
    <t xml:space="preserve">       BUREAU OF WASTEWATER TREATMENT</t>
  </si>
  <si>
    <t>LOCATION #:_______________________</t>
  </si>
  <si>
    <t>SLUDGE PRODUCTION:</t>
  </si>
  <si>
    <t>TOTAL SEWAGE FLOW:</t>
  </si>
  <si>
    <t>MG/MONTH</t>
  </si>
  <si>
    <t>SLUDGE TO DEWATERING:</t>
  </si>
  <si>
    <t>ELELCTRICITY</t>
  </si>
  <si>
    <t>FEEDER # 1</t>
  </si>
  <si>
    <t>FEEDER # 2</t>
  </si>
  <si>
    <t>FEEDER # 3</t>
  </si>
  <si>
    <t>FEEDER # 4</t>
  </si>
  <si>
    <t xml:space="preserve">GENERATORS    </t>
  </si>
  <si>
    <t xml:space="preserve">       FUEL CELLS</t>
  </si>
  <si>
    <t xml:space="preserve"> TOTAL</t>
  </si>
  <si>
    <t>KWH</t>
  </si>
  <si>
    <t>KW</t>
  </si>
  <si>
    <t>FUEL (GALLONS)</t>
  </si>
  <si>
    <t>#1DLS</t>
  </si>
  <si>
    <t>#2DLS</t>
  </si>
  <si>
    <t>#2D</t>
  </si>
  <si>
    <t>#2</t>
  </si>
  <si>
    <t>#4</t>
  </si>
  <si>
    <t xml:space="preserve">          TOTAL</t>
  </si>
  <si>
    <t>BEGIN OF MONTH</t>
  </si>
  <si>
    <t>END OF MONTH</t>
  </si>
  <si>
    <t>DEWAT  BOILERS</t>
  </si>
  <si>
    <t>BLACK START GEN</t>
  </si>
  <si>
    <t>PUMP ENGINES</t>
  </si>
  <si>
    <t>BLOWER ENGINES</t>
  </si>
  <si>
    <t>TOTAL CONSUMPTION</t>
  </si>
  <si>
    <t>TOTAL DELIVERIES</t>
  </si>
  <si>
    <t>UTILITY GAS</t>
  </si>
  <si>
    <t>BOILERS</t>
  </si>
  <si>
    <t>ENGINES</t>
  </si>
  <si>
    <t>DEWATERING</t>
  </si>
  <si>
    <t>MAIN PLANT</t>
  </si>
  <si>
    <t xml:space="preserve">FUEL CELLS </t>
  </si>
  <si>
    <t xml:space="preserve">         TOTAL</t>
  </si>
  <si>
    <t>CUFTX1000</t>
  </si>
  <si>
    <t>F/M</t>
  </si>
  <si>
    <t>/d</t>
  </si>
  <si>
    <t>natural gas x1000 cuft</t>
  </si>
  <si>
    <t xml:space="preserve">Feed </t>
  </si>
  <si>
    <t>Septage</t>
  </si>
  <si>
    <t>trips</t>
  </si>
  <si>
    <t>day</t>
  </si>
  <si>
    <r>
      <t xml:space="preserve">gallons * </t>
    </r>
    <r>
      <rPr>
        <b/>
        <sz val="12"/>
        <color indexed="10"/>
        <rFont val="Arial"/>
        <family val="2"/>
      </rPr>
      <t>100</t>
    </r>
    <r>
      <rPr>
        <sz val="12"/>
        <rFont val="Arial"/>
        <family val="2"/>
      </rPr>
      <t xml:space="preserve"> per trip</t>
    </r>
  </si>
  <si>
    <t>flow @ 95% of sludge feed</t>
  </si>
  <si>
    <t>GENERATORS (by P&amp;B bld)</t>
  </si>
  <si>
    <t>PLANT  BOILERS</t>
  </si>
  <si>
    <t>Plant BOILERS</t>
  </si>
  <si>
    <t>Treated Centrate (SCT)</t>
  </si>
  <si>
    <t>Alk</t>
  </si>
  <si>
    <t>RAW CENTRATE</t>
  </si>
  <si>
    <t>SCT</t>
  </si>
  <si>
    <t>Froth Control</t>
  </si>
  <si>
    <t>Hypo Froth Control Building</t>
  </si>
  <si>
    <t>Sodium Hydroxide (NaOH)</t>
  </si>
  <si>
    <t>total</t>
  </si>
  <si>
    <t>average</t>
  </si>
  <si>
    <t>Caustic</t>
  </si>
  <si>
    <t>Digester gas venting  &amp; Location</t>
  </si>
  <si>
    <t>Aer Eff DO (mg/L)</t>
  </si>
  <si>
    <t>AerEff</t>
  </si>
  <si>
    <t>Treated Centrate Tank</t>
  </si>
  <si>
    <t>Inf</t>
  </si>
  <si>
    <t xml:space="preserve">P&amp;B building </t>
  </si>
  <si>
    <t>DW build</t>
  </si>
  <si>
    <t xml:space="preserve">to AT 10 </t>
  </si>
  <si>
    <t>typ - -10%</t>
  </si>
  <si>
    <t>Effl</t>
  </si>
  <si>
    <t>PST</t>
  </si>
  <si>
    <t>AT</t>
  </si>
  <si>
    <t>FST</t>
  </si>
  <si>
    <t>CCT</t>
  </si>
  <si>
    <t>out eff</t>
  </si>
  <si>
    <t>out - sludge</t>
  </si>
  <si>
    <t>out total</t>
  </si>
  <si>
    <t>4301 Berrian Blvd., Astoria,  New York  12115</t>
  </si>
  <si>
    <t>4301 Berrian Blvd., Astoria,  New York  11211</t>
  </si>
  <si>
    <t>Blowers</t>
  </si>
  <si>
    <t>wasting rate</t>
  </si>
  <si>
    <t xml:space="preserve">KWH to </t>
  </si>
  <si>
    <t xml:space="preserve">       will produce 15 cubic feet of digester gas.</t>
  </si>
  <si>
    <t>Berrian 1</t>
  </si>
  <si>
    <t>Berrian 2</t>
  </si>
  <si>
    <t>readings from DCS system</t>
  </si>
  <si>
    <t>process air cfm</t>
  </si>
  <si>
    <t>(unless noted otherwise)</t>
  </si>
  <si>
    <t>blowers kwh</t>
  </si>
  <si>
    <t>swas rate south and north</t>
  </si>
  <si>
    <t>Meter  (x1000 cuft)</t>
  </si>
  <si>
    <t>Meter 3</t>
  </si>
  <si>
    <t>Digester Gas Wasted (estimated)</t>
  </si>
  <si>
    <t>MG per month</t>
  </si>
  <si>
    <t>raw cent</t>
  </si>
  <si>
    <t>cent N</t>
  </si>
  <si>
    <t>cent S</t>
  </si>
  <si>
    <t>RAS to 10</t>
  </si>
  <si>
    <t>BofL</t>
  </si>
  <si>
    <t>#</t>
  </si>
  <si>
    <t>(started march 2013, report manager was used rather than trending and save as text from DCS system)</t>
  </si>
  <si>
    <t>NB RAS</t>
  </si>
  <si>
    <t>to SCT</t>
  </si>
  <si>
    <t>Blower Energy</t>
  </si>
  <si>
    <t>kwh/d</t>
  </si>
  <si>
    <t>Blower</t>
  </si>
  <si>
    <t>kwh</t>
  </si>
  <si>
    <t>Volatile Dest.</t>
  </si>
  <si>
    <t>DewateringCake</t>
  </si>
  <si>
    <t>Polymer Dosage</t>
  </si>
  <si>
    <t>#/DT</t>
  </si>
  <si>
    <t>Glycerin</t>
  </si>
  <si>
    <t>Hypo for other uses</t>
  </si>
  <si>
    <t>gals/day</t>
  </si>
  <si>
    <t>caustic</t>
  </si>
  <si>
    <t>glycerin</t>
  </si>
  <si>
    <t>ferric</t>
  </si>
  <si>
    <t>hypo for other</t>
  </si>
  <si>
    <t>cake</t>
  </si>
  <si>
    <t xml:space="preserve">Water Consumption Meter                               </t>
  </si>
  <si>
    <t>avg mgd</t>
  </si>
  <si>
    <t>OTE</t>
  </si>
  <si>
    <t xml:space="preserve">Bold: sludge production were calculated from thickener blanket readings.  </t>
  </si>
  <si>
    <t>effluent flows</t>
  </si>
  <si>
    <t xml:space="preserve">RAS rate </t>
  </si>
  <si>
    <t>Flows were taken from DCS</t>
  </si>
  <si>
    <r>
      <t xml:space="preserve">Digester gas produced is a calculated value.  One flare was in service since 1/30/2013 burning gas produced from Digester 6 &amp; 7 (total of 4 primary digesters are in service during the month).  Thre rest of digester gas produced was vented out.  </t>
    </r>
    <r>
      <rPr>
        <b/>
        <sz val="10"/>
        <color indexed="10"/>
        <rFont val="Times"/>
      </rPr>
      <t>Started venting digester gas 100% on 11/14/13.</t>
    </r>
  </si>
  <si>
    <t>MLSS</t>
  </si>
  <si>
    <t>SWAS</t>
  </si>
  <si>
    <t>Centrate to AT10</t>
  </si>
  <si>
    <t xml:space="preserve"> ~0.6mgd of south battery secondary activated sludge was wasted thru TWAS pump #3 to thickener started on 09/10/2012 - 1/7/2013</t>
  </si>
  <si>
    <t>Return Active Sludge (RAS) rate --- started Feb 2014</t>
  </si>
  <si>
    <t xml:space="preserve">2.  Process air cfm, blower KW, SWAS rate North &amp; South, Aerator effluent DO readings, CCT effluent flows (used for reporting) were taken from DCS.  Started from Feb 2014, RAS rate was taken from DCS. </t>
  </si>
  <si>
    <t>3.  Only SWAS pumps were in service for wasting started on 1/7/2014.</t>
  </si>
  <si>
    <t>* The blowers are shut down some hours during the 7-3 shifts on 5/5, 5/6, 5/12 and 5/19</t>
  </si>
  <si>
    <t>* Annual generator load Test taken on 5/13</t>
  </si>
  <si>
    <t>Process Control Engineer: Yue Yue Guo</t>
  </si>
  <si>
    <t>Plant Superintendent: Eric Klee</t>
  </si>
  <si>
    <t>Mr. Eric Klee</t>
  </si>
  <si>
    <t>SCT
pH</t>
  </si>
  <si>
    <t>Dewaterubg Sludge well overflow, high concentrated solid sludge recycle back to HL, data were highlined in blue</t>
  </si>
  <si>
    <t>*Centrate totalizer is not reading correctly, the flow of centrate cannot be greater than sludge feed</t>
  </si>
  <si>
    <t>* The level senor meter is malfunction, the hypo usage is approximate number.</t>
  </si>
  <si>
    <t>Centrate totalizer OOS on 5/15/5015</t>
  </si>
  <si>
    <t>1.  Started flare digester gas for digester #6 on 3/27/2014 , started flare digester gas for digester #3 on 5/23/2014 and started flare digester gas for digester #7 on 2/28/2015. All Digester gas are flared after 7/15/2015.</t>
  </si>
  <si>
    <t>5. Force Main "A" Leakage, plant switched to emergency mode on 6/5/2015.</t>
  </si>
  <si>
    <t>% TN Removal</t>
  </si>
  <si>
    <t>4. Primary Tank #12 OOS for maintance on 9/9/2014, to replace a new Screw collector in the tank and returned back to service on 10/22/2015.</t>
  </si>
  <si>
    <t>Yes</t>
  </si>
  <si>
    <t>6. Only Operating two blowers from 11/9/2015</t>
  </si>
  <si>
    <t>7. Target TRC set to 0.4mg/L on 11/9/2015.</t>
  </si>
  <si>
    <t>8. Digester No.7 is venting digas from 10/7/2015.</t>
  </si>
  <si>
    <t>Volatiles/Alkalinity Ratio</t>
  </si>
  <si>
    <t>Dig.</t>
  </si>
  <si>
    <t xml:space="preserve">Digested Sludge cuft </t>
  </si>
  <si>
    <t>* Hypo Delivery on 12/17 divided into Froth hypo storage tank and plant effluent Hypo Storage Tank</t>
  </si>
  <si>
    <t>1-15th</t>
  </si>
  <si>
    <t>16-31th</t>
  </si>
  <si>
    <t xml:space="preserve">COD </t>
  </si>
  <si>
    <t xml:space="preserve">TSS </t>
  </si>
  <si>
    <t>Nitrogen Analysis</t>
  </si>
  <si>
    <t>Infl_HL</t>
  </si>
  <si>
    <t>Infl_LL</t>
  </si>
  <si>
    <t>Nitrogen (as N)</t>
  </si>
  <si>
    <t>NH3 as NH3 (mg/L)</t>
  </si>
  <si>
    <t>10.primary Tank No. 2 OOS on 11/14/2015 and returned to service on 1/5/2016.</t>
  </si>
  <si>
    <t>11. Dewatering shut down on 1/4/2016 for belt contract work.</t>
  </si>
  <si>
    <t>Dewatering shut down on 1/4/2016 for belt contract work</t>
  </si>
  <si>
    <t>with out centrate NH3</t>
  </si>
  <si>
    <t>9. Started running Caustic system on 11/23/2015. Caustic is only feeding to SCT at approximate rate of 350 gal/day. Shut off the caustic system on 1/4/2016 due to dewatering shut down.</t>
  </si>
  <si>
    <t>12. Final Tank No. 4 OOS due to chain problem on 1/11/2016</t>
  </si>
  <si>
    <t>13. Took out AT No. 6 OOS on 1/12/2016 for diffuser inspection and returned back to service on 1/15/2016</t>
  </si>
  <si>
    <t>14.Final Tank No. 7 OOS due to flight issue on 1/14/2016.</t>
  </si>
  <si>
    <t>*Dewatering shut down on January 4th for contract work</t>
  </si>
  <si>
    <t>1/16/2016 
1/23/2016</t>
  </si>
  <si>
    <t>3*</t>
  </si>
  <si>
    <t>5*</t>
  </si>
  <si>
    <t>12/27/15:  DO Control O/S, Contingency Sampling - DO</t>
  </si>
  <si>
    <t>1/3/2016: DO Control O/S, Contingency Sampling - DO</t>
  </si>
  <si>
    <t>1/10/2016: DO Control O/S, Contingency Sampling - DO</t>
  </si>
  <si>
    <t>1/17/2016: DO Control O/S, Contingency Sampling - DO</t>
  </si>
  <si>
    <t>1/24/2016: DO Control O/S, Contingency Sampling - DO</t>
  </si>
  <si>
    <t>ACTION CARTING &amp; EPIC</t>
  </si>
  <si>
    <t>Influent HL &amp; LL NO3 value &lt; MDL, sustituted with zero</t>
  </si>
  <si>
    <t>Influent LL NO3 value &lt; MDL, sustituted with zero</t>
  </si>
  <si>
    <t>Influent HL &amp; LL NO2 value &lt; MDL, sustituted with zero</t>
  </si>
  <si>
    <t xml:space="preserve">Gas Production According to Digester Gas Meters: </t>
  </si>
  <si>
    <t>On January 5, 2016 the contact tank auto sampler malfunctioned. Therefore only seven of eight required effluent grab samples were collected and analyzed by the lab. Although all remaining samples were taken and analyzed by the lab, the results for effluent TSS and CBOD were starred and removed from all corresponding calculations as deemed non-representative for the day.</t>
  </si>
  <si>
    <t>On January 16 and 23, 2016 Bowery Bay exceeded the limit for the daily effluent total suspended solids concentration of 50 mg/L with effluent values of 52 mg/L and 90 mg/L respectively. The excursion on January 16, 2016 is attributed to high influent flow due to prolong wet weather event and influent flow distribution limitations directly related to the Forcemain leakage and associated pumping scheme. The North Battery was hydraulic overloaded which caused the solids washout.
The excursion on January 23, 2016 is attributable to high influent flow due to tidal infiltration during high tide and flow distribution limitations directly related to the Forcemain leakage and associated pumping scheme.  Unusually high influent chlorides caused poor sludge settleability and compactability in the final settling tanks.  The aeration tank influent gate were adjusted to allow greater flow through the D-passes in North Battery aeration tanks which preserve solid inventory in the system and avoid losing Nitrifying biomass necessary to sustain the Biological Nutrient Removal process.</t>
  </si>
  <si>
    <t>Sample was not analysised in Lab due to weather condition</t>
  </si>
  <si>
    <t>Date of Sample</t>
  </si>
  <si>
    <t>Cyanide</t>
  </si>
  <si>
    <t>Effluent Conc.</t>
  </si>
  <si>
    <t>ug/l</t>
  </si>
  <si>
    <t>ug/L</t>
  </si>
  <si>
    <t>ng/L</t>
  </si>
  <si>
    <t>---</t>
  </si>
  <si>
    <t xml:space="preserve"> 21.3</t>
  </si>
  <si>
    <t xml:space="preserve"> ---</t>
  </si>
  <si>
    <t xml:space="preserve"> 13.7</t>
  </si>
  <si>
    <t>&lt; 8.0</t>
  </si>
  <si>
    <t xml:space="preserve"> 3.09</t>
  </si>
  <si>
    <t>30.3*</t>
  </si>
  <si>
    <t>19.7*</t>
  </si>
  <si>
    <t>18.6*</t>
  </si>
  <si>
    <t>Metering Gas Produced =</t>
  </si>
  <si>
    <t>cubic feet</t>
  </si>
  <si>
    <t>* Digester No. 7 is venting gas due to pipe leakage</t>
  </si>
  <si>
    <t>&gt;</t>
  </si>
  <si>
    <t>&lt;0.011</t>
  </si>
  <si>
    <t>&lt;6</t>
  </si>
  <si>
    <t>y</t>
  </si>
  <si>
    <t>&lt;0.012</t>
  </si>
  <si>
    <t>PCLS1R5-14</t>
  </si>
  <si>
    <t>PCLS3R6-15</t>
  </si>
  <si>
    <t>PWIS7R2-15</t>
  </si>
  <si>
    <t>NO SOP</t>
  </si>
  <si>
    <t>PCLS11R4-12</t>
  </si>
  <si>
    <t>PWIS13R2-15</t>
  </si>
  <si>
    <t>PWIS1R3-14</t>
  </si>
  <si>
    <t>PWIS8R2-14</t>
  </si>
  <si>
    <t>PCLS7R5-12</t>
  </si>
  <si>
    <t>PCLS6R8-15</t>
  </si>
  <si>
    <t>PCLS6R7-13</t>
  </si>
  <si>
    <t>PCLS1R4-13</t>
  </si>
  <si>
    <t>QALW3R0-12</t>
  </si>
  <si>
    <t xml:space="preserve">            GRIT ANALYSIS  TOTAL SOLIDS</t>
  </si>
  <si>
    <t>INF.HL</t>
  </si>
  <si>
    <t>1/4/16</t>
  </si>
  <si>
    <t>%Sol</t>
  </si>
  <si>
    <t>%Vol</t>
  </si>
  <si>
    <t>Inf.LL</t>
  </si>
  <si>
    <t>1/11/16</t>
  </si>
  <si>
    <t>01/04/16</t>
  </si>
  <si>
    <t>EFF.</t>
  </si>
  <si>
    <t>1/18/16</t>
  </si>
  <si>
    <t>01/11/16</t>
  </si>
  <si>
    <t>1/25/16</t>
  </si>
  <si>
    <t>01/18/16</t>
  </si>
  <si>
    <t>01/25/16</t>
  </si>
  <si>
    <t>SOP#</t>
  </si>
  <si>
    <t xml:space="preserve">Shut </t>
  </si>
  <si>
    <t>Down</t>
  </si>
  <si>
    <t>Snow</t>
  </si>
  <si>
    <t>Snow Melt</t>
  </si>
  <si>
    <t>Enterococcus</t>
  </si>
  <si>
    <t>MF  E/100ml</t>
  </si>
  <si>
    <t>&lt;</t>
  </si>
  <si>
    <t>Daily Maximum</t>
  </si>
  <si>
    <t>NO2  (as N)</t>
  </si>
  <si>
    <t>NO3 (as N)</t>
  </si>
  <si>
    <t>NH3 (as NH3)</t>
  </si>
  <si>
    <t>TKN (as N)</t>
  </si>
  <si>
    <t>Daily Effluent TSS Concentration &gt; 50 mg/L</t>
  </si>
  <si>
    <t>Daily Effluent TSS Concentration &gt; 50 MG/L, Missing Fecal Analysis</t>
  </si>
  <si>
    <t>Missing Sample, See DMR</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</si>
</sst>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3" formatCode="_(* #,##0.00_);_(* \(#,##0.00\);_(* &quot;-&quot;??_);_(@_)"/>
    <numFmt numFmtId="164" formatCode="mm/dd/yyyy"/>
    <numFmt numFmtId="165" formatCode="0.0"/>
    <numFmt numFmtId="166" formatCode="mm/dd"/>
    <numFmt numFmtId="167" formatCode="#,##0.0"/>
    <numFmt numFmtId="168" formatCode="#,##0.0000"/>
    <numFmt numFmtId="169" formatCode="0.0000"/>
    <numFmt numFmtId="170" formatCode="0.000"/>
    <numFmt numFmtId="171" formatCode="0.00000"/>
    <numFmt numFmtId="172" formatCode="0.000000"/>
    <numFmt numFmtId="173" formatCode="hh:mm\ AM/PM"/>
    <numFmt numFmtId="174" formatCode="0.0%"/>
    <numFmt numFmtId="175" formatCode="0.000%"/>
    <numFmt numFmtId="176" formatCode="#,##0.000"/>
    <numFmt numFmtId="177" formatCode="hh:mm"/>
    <numFmt numFmtId="178" formatCode="dd\-mmm\-yy"/>
    <numFmt numFmtId="179" formatCode="General;[Red]\-General"/>
    <numFmt numFmtId="180" formatCode="mmmm"/>
    <numFmt numFmtId="181" formatCode="[$-409]ddd"/>
    <numFmt numFmtId="182" formatCode="mm/dd/yy;@"/>
    <numFmt numFmtId="183" formatCode="ddd"/>
    <numFmt numFmtId="184" formatCode="mmmm\ yyyy"/>
    <numFmt numFmtId="185" formatCode="m/d/yy;@"/>
    <numFmt numFmtId="186" formatCode="0.0_);[Red]\(0.0\)"/>
    <numFmt numFmtId="187" formatCode="_(* #,##0_);_(* \(#,##0\);_(* &quot;-&quot;??_);_(@_)"/>
    <numFmt numFmtId="188" formatCode="d"/>
    <numFmt numFmtId="189" formatCode="m/d;@"/>
    <numFmt numFmtId="190" formatCode="_(* #,##0.0000_);_(* \(#,##0.0000\);_(* &quot;-&quot;??_);_(@_)"/>
    <numFmt numFmtId="191" formatCode="_(* #,##0.0_);_(* \(#,##0.0\);_(* &quot;-&quot;??_);_(@_)"/>
  </numFmts>
  <fonts count="127">
    <font>
      <sz val="12"/>
      <name val="Arial"/>
    </font>
    <font>
      <b/>
      <sz val="10"/>
      <name val="Arial"/>
      <family val="2"/>
    </font>
    <font>
      <sz val="12"/>
      <name val="Arial MT"/>
    </font>
    <font>
      <b/>
      <sz val="12"/>
      <color indexed="8"/>
      <name val="Arial"/>
      <family val="2"/>
    </font>
    <font>
      <b/>
      <sz val="12"/>
      <name val="Arial"/>
      <family val="2"/>
    </font>
    <font>
      <b/>
      <sz val="12"/>
      <name val="Arial"/>
      <family val="2"/>
    </font>
    <font>
      <b/>
      <sz val="10"/>
      <color indexed="8"/>
      <name val="Arial"/>
      <family val="2"/>
    </font>
    <font>
      <b/>
      <sz val="12"/>
      <color indexed="12"/>
      <name val="Arial"/>
      <family val="2"/>
    </font>
    <font>
      <sz val="12"/>
      <color indexed="8"/>
      <name val="Arial"/>
      <family val="2"/>
    </font>
    <font>
      <b/>
      <i/>
      <sz val="12"/>
      <color indexed="8"/>
      <name val="Arial"/>
      <family val="2"/>
    </font>
    <font>
      <b/>
      <sz val="14"/>
      <color indexed="8"/>
      <name val="Arial"/>
      <family val="2"/>
    </font>
    <font>
      <b/>
      <sz val="14"/>
      <name val="Arial"/>
      <family val="2"/>
    </font>
    <font>
      <b/>
      <sz val="12"/>
      <name val="Arial"/>
      <family val="2"/>
    </font>
    <font>
      <sz val="12"/>
      <name val="Arial"/>
      <family val="2"/>
    </font>
    <font>
      <b/>
      <sz val="18"/>
      <name val="Arial"/>
      <family val="2"/>
    </font>
    <font>
      <b/>
      <sz val="8"/>
      <name val="Arial"/>
      <family val="2"/>
    </font>
    <font>
      <b/>
      <i/>
      <sz val="12"/>
      <name val="Arial"/>
      <family val="2"/>
    </font>
    <font>
      <sz val="12"/>
      <color indexed="8"/>
      <name val="Arial MT"/>
    </font>
    <font>
      <b/>
      <sz val="18"/>
      <color indexed="8"/>
      <name val="Arial"/>
      <family val="2"/>
    </font>
    <font>
      <b/>
      <sz val="12"/>
      <name val="Arial"/>
      <family val="2"/>
    </font>
    <font>
      <b/>
      <sz val="8"/>
      <color indexed="8"/>
      <name val="Arial"/>
      <family val="2"/>
    </font>
    <font>
      <b/>
      <sz val="9"/>
      <color indexed="8"/>
      <name val="Arial"/>
      <family val="2"/>
    </font>
    <font>
      <b/>
      <sz val="9"/>
      <name val="Arial"/>
      <family val="2"/>
    </font>
    <font>
      <sz val="9"/>
      <color indexed="8"/>
      <name val="Arial"/>
      <family val="2"/>
    </font>
    <font>
      <b/>
      <sz val="14"/>
      <name val="Arial"/>
      <family val="2"/>
    </font>
    <font>
      <b/>
      <u/>
      <sz val="10"/>
      <name val="Arial"/>
      <family val="2"/>
    </font>
    <font>
      <b/>
      <sz val="14"/>
      <color indexed="10"/>
      <name val="Arial"/>
      <family val="2"/>
    </font>
    <font>
      <b/>
      <i/>
      <sz val="14"/>
      <name val="Arial"/>
      <family val="2"/>
    </font>
    <font>
      <b/>
      <u/>
      <sz val="12"/>
      <name val="Arial"/>
      <family val="2"/>
    </font>
    <font>
      <b/>
      <sz val="12"/>
      <color indexed="8"/>
      <name val="Arial"/>
      <family val="2"/>
    </font>
    <font>
      <sz val="10"/>
      <color indexed="12"/>
      <name val="Arial"/>
      <family val="2"/>
    </font>
    <font>
      <sz val="10"/>
      <color indexed="8"/>
      <name val="Arial"/>
      <family val="2"/>
    </font>
    <font>
      <sz val="8"/>
      <name val="Arial"/>
      <family val="2"/>
    </font>
    <font>
      <sz val="12"/>
      <name val="Arial"/>
      <family val="2"/>
    </font>
    <font>
      <sz val="10"/>
      <name val="Arial"/>
      <family val="2"/>
    </font>
    <font>
      <sz val="8"/>
      <color indexed="8"/>
      <name val="Arial"/>
      <family val="2"/>
    </font>
    <font>
      <sz val="12"/>
      <color indexed="8"/>
      <name val="Arial"/>
      <family val="2"/>
    </font>
    <font>
      <sz val="11"/>
      <color indexed="8"/>
      <name val="Arial"/>
      <family val="2"/>
    </font>
    <font>
      <sz val="11"/>
      <color indexed="17"/>
      <name val="Arial"/>
      <family val="2"/>
    </font>
    <font>
      <sz val="11"/>
      <color indexed="12"/>
      <name val="Arial"/>
      <family val="2"/>
    </font>
    <font>
      <sz val="12"/>
      <color indexed="12"/>
      <name val="Arial"/>
      <family val="2"/>
    </font>
    <font>
      <sz val="8"/>
      <name val="Arial"/>
      <family val="2"/>
    </font>
    <font>
      <sz val="12"/>
      <color indexed="12"/>
      <name val="Arial"/>
      <family val="2"/>
    </font>
    <font>
      <i/>
      <sz val="12"/>
      <name val="Arial"/>
      <family val="2"/>
    </font>
    <font>
      <sz val="12"/>
      <color indexed="10"/>
      <name val="Arial"/>
      <family val="2"/>
    </font>
    <font>
      <sz val="10"/>
      <color indexed="8"/>
      <name val="Arial"/>
      <family val="2"/>
    </font>
    <font>
      <i/>
      <sz val="12"/>
      <color indexed="8"/>
      <name val="Arial"/>
      <family val="2"/>
    </font>
    <font>
      <sz val="11"/>
      <name val="Arial"/>
      <family val="2"/>
    </font>
    <font>
      <sz val="14"/>
      <color indexed="8"/>
      <name val="Arial"/>
      <family val="2"/>
    </font>
    <font>
      <sz val="12"/>
      <color indexed="9"/>
      <name val="Arial"/>
      <family val="2"/>
    </font>
    <font>
      <sz val="14"/>
      <name val="Arial"/>
      <family val="2"/>
    </font>
    <font>
      <sz val="18"/>
      <name val="Arial"/>
      <family val="2"/>
    </font>
    <font>
      <u val="double"/>
      <sz val="12"/>
      <name val="Arial"/>
      <family val="2"/>
    </font>
    <font>
      <i/>
      <sz val="14"/>
      <name val="Arial"/>
      <family val="2"/>
    </font>
    <font>
      <sz val="12"/>
      <color indexed="9"/>
      <name val="Arial"/>
      <family val="2"/>
    </font>
    <font>
      <u/>
      <sz val="12"/>
      <color indexed="8"/>
      <name val="Arial"/>
      <family val="2"/>
    </font>
    <font>
      <sz val="12"/>
      <name val="Arial"/>
      <family val="2"/>
    </font>
    <font>
      <sz val="12"/>
      <color indexed="16"/>
      <name val="Arial MT"/>
    </font>
    <font>
      <sz val="18"/>
      <color indexed="8"/>
      <name val="Arial"/>
      <family val="2"/>
    </font>
    <font>
      <sz val="12"/>
      <color indexed="15"/>
      <name val="Arial"/>
      <family val="2"/>
    </font>
    <font>
      <sz val="12"/>
      <color indexed="17"/>
      <name val="Arial"/>
      <family val="2"/>
    </font>
    <font>
      <b/>
      <sz val="10"/>
      <name val="Arial"/>
      <family val="2"/>
    </font>
    <font>
      <sz val="14"/>
      <color indexed="12"/>
      <name val="Arial"/>
      <family val="2"/>
    </font>
    <font>
      <sz val="10"/>
      <color indexed="17"/>
      <name val="Arial"/>
      <family val="2"/>
    </font>
    <font>
      <i/>
      <sz val="18"/>
      <color indexed="10"/>
      <name val="Arial"/>
      <family val="2"/>
    </font>
    <font>
      <sz val="24"/>
      <name val="Arial"/>
      <family val="2"/>
    </font>
    <font>
      <sz val="10"/>
      <color indexed="10"/>
      <name val="Arial"/>
      <family val="2"/>
    </font>
    <font>
      <sz val="10"/>
      <name val="Arial"/>
      <family val="2"/>
    </font>
    <font>
      <sz val="12"/>
      <name val="Arial"/>
      <family val="2"/>
    </font>
    <font>
      <b/>
      <sz val="14"/>
      <name val="Arial"/>
      <family val="2"/>
    </font>
    <font>
      <b/>
      <sz val="15"/>
      <color indexed="8"/>
      <name val="Arial"/>
      <family val="2"/>
    </font>
    <font>
      <b/>
      <sz val="15"/>
      <name val="Arial"/>
      <family val="2"/>
    </font>
    <font>
      <b/>
      <sz val="15"/>
      <color indexed="8"/>
      <name val="Arial MT"/>
    </font>
    <font>
      <sz val="10"/>
      <color indexed="8"/>
      <name val="Arial MT"/>
    </font>
    <font>
      <sz val="10"/>
      <color indexed="12"/>
      <name val="Arial"/>
      <family val="2"/>
    </font>
    <font>
      <b/>
      <sz val="12"/>
      <color indexed="8"/>
      <name val="Arial MT"/>
    </font>
    <font>
      <b/>
      <sz val="10"/>
      <color indexed="12"/>
      <name val="Arial"/>
      <family val="2"/>
    </font>
    <font>
      <sz val="9"/>
      <color indexed="12"/>
      <name val="Arial"/>
      <family val="2"/>
    </font>
    <font>
      <b/>
      <sz val="16"/>
      <name val="Arial"/>
      <family val="2"/>
    </font>
    <font>
      <b/>
      <sz val="16"/>
      <name val="Arial MT"/>
    </font>
    <font>
      <b/>
      <sz val="14"/>
      <color indexed="8"/>
      <name val="Arial"/>
      <family val="2"/>
    </font>
    <font>
      <b/>
      <i/>
      <sz val="10"/>
      <name val="Times New Roman"/>
      <family val="1"/>
    </font>
    <font>
      <sz val="11"/>
      <name val="Arial"/>
      <family val="2"/>
    </font>
    <font>
      <b/>
      <sz val="12"/>
      <color indexed="8"/>
      <name val="Arial"/>
      <family val="2"/>
    </font>
    <font>
      <b/>
      <sz val="12"/>
      <name val="Arial"/>
      <family val="2"/>
    </font>
    <font>
      <sz val="12"/>
      <color indexed="12"/>
      <name val="Times New Roman"/>
      <family val="1"/>
    </font>
    <font>
      <b/>
      <sz val="9"/>
      <color indexed="8"/>
      <name val="Arial"/>
      <family val="2"/>
    </font>
    <font>
      <sz val="10"/>
      <name val="Times New Roman"/>
      <family val="1"/>
    </font>
    <font>
      <sz val="9"/>
      <color indexed="8"/>
      <name val="Arial"/>
      <family val="2"/>
    </font>
    <font>
      <sz val="9"/>
      <name val="Arial"/>
      <family val="2"/>
    </font>
    <font>
      <sz val="9"/>
      <name val="Arial"/>
      <family val="2"/>
    </font>
    <font>
      <sz val="14"/>
      <color indexed="8"/>
      <name val="Arial"/>
      <family val="2"/>
    </font>
    <font>
      <sz val="12"/>
      <name val="Arial"/>
      <family val="2"/>
    </font>
    <font>
      <b/>
      <sz val="10"/>
      <name val="Times"/>
      <family val="1"/>
    </font>
    <font>
      <b/>
      <sz val="16"/>
      <name val="Times"/>
      <family val="1"/>
    </font>
    <font>
      <b/>
      <u/>
      <sz val="10"/>
      <name val="Times"/>
    </font>
    <font>
      <b/>
      <sz val="9"/>
      <name val="Times"/>
      <family val="1"/>
    </font>
    <font>
      <b/>
      <i/>
      <sz val="10"/>
      <name val="Times"/>
      <family val="1"/>
    </font>
    <font>
      <b/>
      <sz val="8"/>
      <name val="Times"/>
      <family val="1"/>
    </font>
    <font>
      <sz val="8"/>
      <name val="Times"/>
      <family val="1"/>
    </font>
    <font>
      <b/>
      <sz val="8"/>
      <name val="Times"/>
    </font>
    <font>
      <sz val="8"/>
      <name val="Times"/>
    </font>
    <font>
      <sz val="10"/>
      <name val="Times New Roman"/>
      <family val="1"/>
    </font>
    <font>
      <sz val="10"/>
      <color indexed="17"/>
      <name val="Times New Roman"/>
      <family val="1"/>
    </font>
    <font>
      <sz val="10"/>
      <name val="Times"/>
    </font>
    <font>
      <b/>
      <sz val="10"/>
      <name val="Times"/>
    </font>
    <font>
      <sz val="8"/>
      <color indexed="10"/>
      <name val="Times"/>
      <family val="1"/>
    </font>
    <font>
      <sz val="14"/>
      <name val="Arial"/>
      <family val="2"/>
    </font>
    <font>
      <b/>
      <sz val="10"/>
      <color indexed="12"/>
      <name val="Arial"/>
      <family val="2"/>
    </font>
    <font>
      <b/>
      <sz val="10"/>
      <color indexed="14"/>
      <name val="Arial"/>
      <family val="2"/>
    </font>
    <font>
      <b/>
      <sz val="10"/>
      <color indexed="14"/>
      <name val="Arial"/>
      <family val="2"/>
    </font>
    <font>
      <b/>
      <sz val="12"/>
      <color indexed="10"/>
      <name val="Arial"/>
      <family val="2"/>
    </font>
    <font>
      <sz val="26"/>
      <color indexed="10"/>
      <name val="Arial"/>
      <family val="2"/>
    </font>
    <font>
      <b/>
      <sz val="10"/>
      <color indexed="8"/>
      <name val="Arial"/>
      <family val="2"/>
    </font>
    <font>
      <sz val="11"/>
      <name val="Times New Roman"/>
      <family val="1"/>
    </font>
    <font>
      <b/>
      <sz val="14"/>
      <color indexed="10"/>
      <name val="Arial"/>
      <family val="2"/>
    </font>
    <font>
      <sz val="12"/>
      <color indexed="8"/>
      <name val="Arial"/>
      <family val="2"/>
    </font>
    <font>
      <sz val="12"/>
      <name val="Arial"/>
      <family val="2"/>
    </font>
    <font>
      <b/>
      <sz val="10"/>
      <color indexed="10"/>
      <name val="Times"/>
    </font>
    <font>
      <b/>
      <i/>
      <sz val="12"/>
      <color rgb="FFC00000"/>
      <name val="Arial"/>
      <family val="2"/>
    </font>
    <font>
      <sz val="12"/>
      <color theme="9" tint="0.59999389629810485"/>
      <name val="Arial"/>
      <family val="2"/>
    </font>
    <font>
      <sz val="10"/>
      <color rgb="FF0070C0"/>
      <name val="Arial"/>
      <family val="2"/>
    </font>
    <font>
      <sz val="10"/>
      <color rgb="FFFF0000"/>
      <name val="Arial"/>
      <family val="2"/>
    </font>
    <font>
      <sz val="12"/>
      <color rgb="FFFF0000"/>
      <name val="Arial"/>
      <family val="2"/>
    </font>
    <font>
      <sz val="10"/>
      <color rgb="FF0000FF"/>
      <name val="Arial"/>
      <family val="2"/>
    </font>
    <font>
      <b/>
      <i/>
      <u/>
      <sz val="12"/>
      <name val="Arial"/>
      <family val="2"/>
    </font>
    <font>
      <u val="singleAccounting"/>
      <sz val="12"/>
      <color indexed="8"/>
      <name val="Arial"/>
      <family val="2"/>
    </font>
  </fonts>
  <fills count="47">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indexed="42"/>
        <bgColor indexed="64"/>
      </patternFill>
    </fill>
    <fill>
      <patternFill patternType="solid">
        <fgColor indexed="27"/>
        <bgColor indexed="64"/>
      </patternFill>
    </fill>
    <fill>
      <patternFill patternType="solid">
        <fgColor indexed="31"/>
        <bgColor indexed="64"/>
      </patternFill>
    </fill>
    <fill>
      <patternFill patternType="solid">
        <fgColor indexed="22"/>
        <bgColor indexed="9"/>
      </patternFill>
    </fill>
    <fill>
      <patternFill patternType="solid">
        <fgColor indexed="22"/>
        <bgColor indexed="64"/>
      </patternFill>
    </fill>
    <fill>
      <patternFill patternType="solid">
        <fgColor indexed="43"/>
        <bgColor indexed="64"/>
      </patternFill>
    </fill>
    <fill>
      <patternFill patternType="solid">
        <fgColor indexed="26"/>
        <bgColor indexed="64"/>
      </patternFill>
    </fill>
    <fill>
      <patternFill patternType="solid">
        <fgColor indexed="48"/>
        <bgColor indexed="64"/>
      </patternFill>
    </fill>
    <fill>
      <patternFill patternType="solid">
        <fgColor indexed="8"/>
        <bgColor indexed="64"/>
      </patternFill>
    </fill>
    <fill>
      <patternFill patternType="solid">
        <fgColor indexed="11"/>
        <bgColor indexed="64"/>
      </patternFill>
    </fill>
    <fill>
      <patternFill patternType="solid">
        <fgColor indexed="45"/>
        <bgColor indexed="64"/>
      </patternFill>
    </fill>
    <fill>
      <patternFill patternType="solid">
        <fgColor indexed="9"/>
        <bgColor indexed="23"/>
      </patternFill>
    </fill>
    <fill>
      <patternFill patternType="lightDown">
        <bgColor indexed="9"/>
      </patternFill>
    </fill>
    <fill>
      <patternFill patternType="lightDown">
        <bgColor indexed="43"/>
      </patternFill>
    </fill>
    <fill>
      <patternFill patternType="solid">
        <fgColor indexed="9"/>
        <bgColor indexed="8"/>
      </patternFill>
    </fill>
    <fill>
      <patternFill patternType="solid">
        <fgColor indexed="15"/>
        <bgColor indexed="64"/>
      </patternFill>
    </fill>
    <fill>
      <patternFill patternType="solid">
        <fgColor indexed="15"/>
        <bgColor indexed="9"/>
      </patternFill>
    </fill>
    <fill>
      <patternFill patternType="solid">
        <fgColor indexed="9"/>
        <bgColor indexed="12"/>
      </patternFill>
    </fill>
    <fill>
      <patternFill patternType="solid">
        <fgColor indexed="43"/>
        <bgColor indexed="9"/>
      </patternFill>
    </fill>
    <fill>
      <patternFill patternType="solid">
        <fgColor indexed="47"/>
        <bgColor indexed="64"/>
      </patternFill>
    </fill>
    <fill>
      <patternFill patternType="solid">
        <fgColor indexed="41"/>
        <bgColor indexed="9"/>
      </patternFill>
    </fill>
    <fill>
      <patternFill patternType="gray125">
        <fgColor indexed="9"/>
        <bgColor indexed="9"/>
      </patternFill>
    </fill>
    <fill>
      <patternFill patternType="solid">
        <fgColor indexed="63"/>
        <bgColor indexed="64"/>
      </patternFill>
    </fill>
    <fill>
      <patternFill patternType="solid">
        <fgColor indexed="51"/>
        <bgColor indexed="64"/>
      </patternFill>
    </fill>
    <fill>
      <patternFill patternType="solid">
        <fgColor indexed="41"/>
        <bgColor indexed="64"/>
      </patternFill>
    </fill>
    <fill>
      <patternFill patternType="solid">
        <fgColor indexed="16"/>
        <bgColor indexed="64"/>
      </patternFill>
    </fill>
    <fill>
      <patternFill patternType="solid">
        <fgColor indexed="8"/>
        <bgColor indexed="9"/>
      </patternFill>
    </fill>
    <fill>
      <patternFill patternType="solid">
        <fgColor indexed="29"/>
        <bgColor indexed="64"/>
      </patternFill>
    </fill>
    <fill>
      <patternFill patternType="solid">
        <fgColor indexed="10"/>
        <bgColor indexed="64"/>
      </patternFill>
    </fill>
    <fill>
      <patternFill patternType="solid">
        <fgColor indexed="24"/>
        <bgColor indexed="64"/>
      </patternFill>
    </fill>
    <fill>
      <patternFill patternType="solid">
        <fgColor indexed="55"/>
        <bgColor indexed="23"/>
      </patternFill>
    </fill>
    <fill>
      <patternFill patternType="solid">
        <fgColor indexed="27"/>
        <bgColor indexed="11"/>
      </patternFill>
    </fill>
    <fill>
      <patternFill patternType="solid">
        <fgColor indexed="50"/>
        <bgColor indexed="64"/>
      </patternFill>
    </fill>
    <fill>
      <patternFill patternType="solid">
        <fgColor indexed="49"/>
        <bgColor indexed="64"/>
      </patternFill>
    </fill>
    <fill>
      <patternFill patternType="solid">
        <fgColor theme="0"/>
        <bgColor indexed="64"/>
      </patternFill>
    </fill>
    <fill>
      <patternFill patternType="solid">
        <fgColor rgb="FFE9F2F3"/>
        <bgColor indexed="64"/>
      </patternFill>
    </fill>
    <fill>
      <patternFill patternType="solid">
        <fgColor rgb="FFDFEBED"/>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rgb="FFFFFFCC"/>
        <bgColor indexed="64"/>
      </patternFill>
    </fill>
    <fill>
      <patternFill patternType="solid">
        <fgColor theme="6" tint="0.59999389629810485"/>
        <bgColor indexed="64"/>
      </patternFill>
    </fill>
    <fill>
      <patternFill patternType="solid">
        <fgColor theme="9" tint="0.79998168889431442"/>
        <bgColor indexed="9"/>
      </patternFill>
    </fill>
  </fills>
  <borders count="335">
    <border>
      <left/>
      <right/>
      <top/>
      <bottom/>
      <diagonal/>
    </border>
    <border>
      <left style="thin">
        <color indexed="8"/>
      </left>
      <right/>
      <top style="thin">
        <color indexed="8"/>
      </top>
      <bottom/>
      <diagonal/>
    </border>
    <border>
      <left style="thin">
        <color indexed="8"/>
      </left>
      <right/>
      <top style="thin">
        <color indexed="9"/>
      </top>
      <bottom/>
      <diagonal/>
    </border>
    <border>
      <left style="thin">
        <color indexed="8"/>
      </left>
      <right/>
      <top/>
      <bottom/>
      <diagonal/>
    </border>
    <border>
      <left/>
      <right/>
      <top style="thin">
        <color indexed="8"/>
      </top>
      <bottom/>
      <diagonal/>
    </border>
    <border>
      <left style="medium">
        <color indexed="8"/>
      </left>
      <right/>
      <top/>
      <bottom/>
      <diagonal/>
    </border>
    <border>
      <left style="thin">
        <color indexed="8"/>
      </left>
      <right/>
      <top style="double">
        <color indexed="8"/>
      </top>
      <bottom/>
      <diagonal/>
    </border>
    <border>
      <left/>
      <right/>
      <top style="medium">
        <color indexed="8"/>
      </top>
      <bottom/>
      <diagonal/>
    </border>
    <border>
      <left style="medium">
        <color indexed="8"/>
      </left>
      <right/>
      <top style="thin">
        <color indexed="8"/>
      </top>
      <bottom/>
      <diagonal/>
    </border>
    <border>
      <left style="double">
        <color indexed="8"/>
      </left>
      <right/>
      <top/>
      <bottom/>
      <diagonal/>
    </border>
    <border>
      <left style="double">
        <color indexed="8"/>
      </left>
      <right/>
      <top style="double">
        <color indexed="8"/>
      </top>
      <bottom/>
      <diagonal/>
    </border>
    <border>
      <left/>
      <right/>
      <top style="double">
        <color indexed="8"/>
      </top>
      <bottom/>
      <diagonal/>
    </border>
    <border>
      <left style="double">
        <color indexed="8"/>
      </left>
      <right/>
      <top style="thin">
        <color indexed="8"/>
      </top>
      <bottom/>
      <diagonal/>
    </border>
    <border>
      <left style="dashed">
        <color indexed="8"/>
      </left>
      <right/>
      <top style="thin">
        <color indexed="8"/>
      </top>
      <bottom/>
      <diagonal/>
    </border>
    <border>
      <left style="dashed">
        <color indexed="8"/>
      </left>
      <right/>
      <top/>
      <bottom/>
      <diagonal/>
    </border>
    <border>
      <left style="dashed">
        <color indexed="8"/>
      </left>
      <right/>
      <top style="double">
        <color indexed="8"/>
      </top>
      <bottom/>
      <diagonal/>
    </border>
    <border>
      <left style="thin">
        <color indexed="8"/>
      </left>
      <right/>
      <top style="medium">
        <color indexed="8"/>
      </top>
      <bottom/>
      <diagonal/>
    </border>
    <border>
      <left style="medium">
        <color indexed="8"/>
      </left>
      <right/>
      <top style="medium">
        <color indexed="8"/>
      </top>
      <bottom/>
      <diagonal/>
    </border>
    <border>
      <left/>
      <right/>
      <top style="medium">
        <color indexed="10"/>
      </top>
      <bottom/>
      <diagonal/>
    </border>
    <border>
      <left style="medium">
        <color indexed="10"/>
      </left>
      <right/>
      <top/>
      <bottom/>
      <diagonal/>
    </border>
    <border>
      <left style="medium">
        <color indexed="10"/>
      </left>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style="thin">
        <color indexed="8"/>
      </top>
      <bottom/>
      <diagonal/>
    </border>
    <border>
      <left style="medium">
        <color indexed="10"/>
      </left>
      <right/>
      <top style="thin">
        <color indexed="8"/>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10"/>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10"/>
      </right>
      <top style="thin">
        <color indexed="8"/>
      </top>
      <bottom style="thin">
        <color indexed="8"/>
      </bottom>
      <diagonal/>
    </border>
    <border>
      <left style="medium">
        <color indexed="8"/>
      </left>
      <right style="medium">
        <color indexed="8"/>
      </right>
      <top/>
      <bottom style="medium">
        <color indexed="8"/>
      </bottom>
      <diagonal/>
    </border>
    <border>
      <left style="thin">
        <color indexed="8"/>
      </left>
      <right style="thin">
        <color indexed="64"/>
      </right>
      <top style="medium">
        <color indexed="8"/>
      </top>
      <bottom/>
      <diagonal/>
    </border>
    <border>
      <left/>
      <right/>
      <top style="thin">
        <color indexed="64"/>
      </top>
      <bottom/>
      <diagonal/>
    </border>
    <border>
      <left style="medium">
        <color indexed="10"/>
      </left>
      <right/>
      <top style="medium">
        <color indexed="10"/>
      </top>
      <bottom/>
      <diagonal/>
    </border>
    <border>
      <left style="medium">
        <color indexed="12"/>
      </left>
      <right/>
      <top style="medium">
        <color indexed="12"/>
      </top>
      <bottom/>
      <diagonal/>
    </border>
    <border>
      <left/>
      <right/>
      <top style="medium">
        <color indexed="12"/>
      </top>
      <bottom/>
      <diagonal/>
    </border>
    <border>
      <left style="medium">
        <color indexed="12"/>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12"/>
      </left>
      <right/>
      <top style="medium">
        <color indexed="12"/>
      </top>
      <bottom/>
      <diagonal/>
    </border>
    <border>
      <left style="medium">
        <color indexed="64"/>
      </left>
      <right/>
      <top style="medium">
        <color indexed="12"/>
      </top>
      <bottom/>
      <diagonal/>
    </border>
    <border>
      <left style="medium">
        <color indexed="64"/>
      </left>
      <right/>
      <top style="thin">
        <color indexed="12"/>
      </top>
      <bottom/>
      <diagonal/>
    </border>
    <border>
      <left/>
      <right/>
      <top style="thin">
        <color indexed="12"/>
      </top>
      <bottom/>
      <diagonal/>
    </border>
    <border>
      <left style="medium">
        <color indexed="12"/>
      </left>
      <right/>
      <top style="thin">
        <color indexed="12"/>
      </top>
      <bottom/>
      <diagonal/>
    </border>
    <border>
      <left style="thin">
        <color indexed="12"/>
      </left>
      <right/>
      <top style="thin">
        <color indexed="12"/>
      </top>
      <bottom/>
      <diagonal/>
    </border>
    <border>
      <left style="medium">
        <color indexed="64"/>
      </left>
      <right/>
      <top style="medium">
        <color indexed="12"/>
      </top>
      <bottom style="medium">
        <color indexed="64"/>
      </bottom>
      <diagonal/>
    </border>
    <border>
      <left/>
      <right style="medium">
        <color indexed="64"/>
      </right>
      <top style="medium">
        <color indexed="12"/>
      </top>
      <bottom style="medium">
        <color indexed="64"/>
      </bottom>
      <diagonal/>
    </border>
    <border>
      <left style="thin">
        <color indexed="8"/>
      </left>
      <right style="thin">
        <color indexed="8"/>
      </right>
      <top style="thin">
        <color indexed="64"/>
      </top>
      <bottom style="thin">
        <color indexed="64"/>
      </bottom>
      <diagonal/>
    </border>
    <border>
      <left style="medium">
        <color indexed="8"/>
      </left>
      <right/>
      <top style="double">
        <color indexed="8"/>
      </top>
      <bottom/>
      <diagonal/>
    </border>
    <border>
      <left/>
      <right/>
      <top style="medium">
        <color indexed="16"/>
      </top>
      <bottom/>
      <diagonal/>
    </border>
    <border>
      <left/>
      <right/>
      <top style="medium">
        <color indexed="64"/>
      </top>
      <bottom/>
      <diagonal/>
    </border>
    <border>
      <left style="thin">
        <color indexed="8"/>
      </left>
      <right/>
      <top style="medium">
        <color indexed="64"/>
      </top>
      <bottom/>
      <diagonal/>
    </border>
    <border>
      <left style="medium">
        <color indexed="64"/>
      </left>
      <right/>
      <top/>
      <bottom/>
      <diagonal/>
    </border>
    <border>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8"/>
      </top>
      <bottom/>
      <diagonal/>
    </border>
    <border>
      <left/>
      <right/>
      <top style="thin">
        <color indexed="8"/>
      </top>
      <bottom style="thin">
        <color indexed="64"/>
      </bottom>
      <diagonal/>
    </border>
    <border>
      <left/>
      <right style="medium">
        <color indexed="64"/>
      </right>
      <top/>
      <bottom style="thin">
        <color indexed="64"/>
      </bottom>
      <diagonal/>
    </border>
    <border>
      <left style="medium">
        <color indexed="64"/>
      </left>
      <right/>
      <top style="thin">
        <color indexed="8"/>
      </top>
      <bottom style="medium">
        <color indexed="64"/>
      </bottom>
      <diagonal/>
    </border>
    <border>
      <left/>
      <right/>
      <top style="thin">
        <color indexed="8"/>
      </top>
      <bottom style="medium">
        <color indexed="64"/>
      </bottom>
      <diagonal/>
    </border>
    <border>
      <left style="thin">
        <color indexed="8"/>
      </left>
      <right/>
      <top style="thin">
        <color indexed="8"/>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style="thin">
        <color indexed="64"/>
      </right>
      <top style="medium">
        <color indexed="8"/>
      </top>
      <bottom style="thin">
        <color indexed="8"/>
      </bottom>
      <diagonal/>
    </border>
    <border>
      <left style="thin">
        <color indexed="8"/>
      </left>
      <right/>
      <top style="dashDotDot">
        <color indexed="8"/>
      </top>
      <bottom/>
      <diagonal/>
    </border>
    <border>
      <left style="double">
        <color indexed="8"/>
      </left>
      <right/>
      <top style="medium">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right style="medium">
        <color indexed="64"/>
      </right>
      <top/>
      <bottom/>
      <diagonal/>
    </border>
    <border>
      <left style="thin">
        <color indexed="8"/>
      </left>
      <right style="medium">
        <color indexed="64"/>
      </right>
      <top style="thin">
        <color indexed="8"/>
      </top>
      <bottom/>
      <diagonal/>
    </border>
    <border>
      <left style="medium">
        <color indexed="64"/>
      </left>
      <right/>
      <top style="medium">
        <color indexed="8"/>
      </top>
      <bottom/>
      <diagonal/>
    </border>
    <border>
      <left style="thin">
        <color indexed="8"/>
      </left>
      <right style="medium">
        <color indexed="64"/>
      </right>
      <top style="medium">
        <color indexed="8"/>
      </top>
      <bottom/>
      <diagonal/>
    </border>
    <border>
      <left style="medium">
        <color indexed="64"/>
      </left>
      <right/>
      <top style="medium">
        <color indexed="8"/>
      </top>
      <bottom style="medium">
        <color indexed="64"/>
      </bottom>
      <diagonal/>
    </border>
    <border>
      <left style="thin">
        <color indexed="8"/>
      </left>
      <right/>
      <top style="medium">
        <color indexed="8"/>
      </top>
      <bottom style="medium">
        <color indexed="64"/>
      </bottom>
      <diagonal/>
    </border>
    <border>
      <left style="thin">
        <color indexed="8"/>
      </left>
      <right style="medium">
        <color indexed="64"/>
      </right>
      <top style="medium">
        <color indexed="8"/>
      </top>
      <bottom style="medium">
        <color indexed="64"/>
      </bottom>
      <diagonal/>
    </border>
    <border>
      <left/>
      <right/>
      <top style="medium">
        <color indexed="8"/>
      </top>
      <bottom style="thin">
        <color indexed="64"/>
      </bottom>
      <diagonal/>
    </border>
    <border>
      <left/>
      <right style="thin">
        <color indexed="64"/>
      </right>
      <top style="thin">
        <color indexed="64"/>
      </top>
      <bottom style="thin">
        <color indexed="64"/>
      </bottom>
      <diagonal/>
    </border>
    <border>
      <left style="thin">
        <color indexed="12"/>
      </left>
      <right style="medium">
        <color indexed="64"/>
      </right>
      <top style="medium">
        <color indexed="12"/>
      </top>
      <bottom/>
      <diagonal/>
    </border>
    <border>
      <left style="thin">
        <color indexed="12"/>
      </left>
      <right style="medium">
        <color indexed="64"/>
      </right>
      <top style="thin">
        <color indexed="12"/>
      </top>
      <bottom/>
      <diagonal/>
    </border>
    <border>
      <left style="thin">
        <color indexed="64"/>
      </left>
      <right style="thin">
        <color indexed="64"/>
      </right>
      <top style="medium">
        <color indexed="8"/>
      </top>
      <bottom style="thin">
        <color indexed="8"/>
      </bottom>
      <diagonal/>
    </border>
    <border>
      <left style="thin">
        <color indexed="8"/>
      </left>
      <right style="thin">
        <color indexed="8"/>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8"/>
      </left>
      <right/>
      <top/>
      <bottom style="medium">
        <color indexed="8"/>
      </bottom>
      <diagonal/>
    </border>
    <border>
      <left/>
      <right/>
      <top/>
      <bottom style="medium">
        <color indexed="8"/>
      </bottom>
      <diagonal/>
    </border>
    <border>
      <left style="medium">
        <color indexed="8"/>
      </left>
      <right style="medium">
        <color indexed="64"/>
      </right>
      <top/>
      <bottom/>
      <diagonal/>
    </border>
    <border>
      <left style="medium">
        <color indexed="8"/>
      </left>
      <right/>
      <top style="medium">
        <color indexed="64"/>
      </top>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bottom/>
      <diagonal/>
    </border>
    <border>
      <left style="medium">
        <color indexed="8"/>
      </left>
      <right style="medium">
        <color indexed="64"/>
      </right>
      <top style="medium">
        <color indexed="8"/>
      </top>
      <bottom style="thin">
        <color indexed="64"/>
      </bottom>
      <diagonal/>
    </border>
    <border>
      <left style="double">
        <color indexed="8"/>
      </left>
      <right style="thin">
        <color indexed="8"/>
      </right>
      <top style="thin">
        <color indexed="64"/>
      </top>
      <bottom style="medium">
        <color indexed="64"/>
      </bottom>
      <diagonal/>
    </border>
    <border>
      <left style="medium">
        <color indexed="8"/>
      </left>
      <right style="thin">
        <color indexed="64"/>
      </right>
      <top style="thin">
        <color indexed="8"/>
      </top>
      <bottom/>
      <diagonal/>
    </border>
    <border>
      <left style="medium">
        <color indexed="8"/>
      </left>
      <right style="thin">
        <color indexed="64"/>
      </right>
      <top style="thin">
        <color indexed="8"/>
      </top>
      <bottom style="medium">
        <color indexed="8"/>
      </bottom>
      <diagonal/>
    </border>
    <border>
      <left style="thin">
        <color indexed="64"/>
      </left>
      <right style="thin">
        <color indexed="64"/>
      </right>
      <top style="thin">
        <color indexed="8"/>
      </top>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medium">
        <color indexed="8"/>
      </bottom>
      <diagonal/>
    </border>
    <border>
      <left style="thin">
        <color indexed="64"/>
      </left>
      <right style="thin">
        <color indexed="64"/>
      </right>
      <top style="thin">
        <color indexed="8"/>
      </top>
      <bottom style="medium">
        <color indexed="64"/>
      </bottom>
      <diagonal/>
    </border>
    <border>
      <left/>
      <right/>
      <top style="thin">
        <color indexed="8"/>
      </top>
      <bottom style="thin">
        <color indexed="8"/>
      </bottom>
      <diagonal/>
    </border>
    <border>
      <left style="medium">
        <color indexed="8"/>
      </left>
      <right style="thin">
        <color indexed="64"/>
      </right>
      <top style="thin">
        <color indexed="8"/>
      </top>
      <bottom style="thin">
        <color indexed="8"/>
      </bottom>
      <diagonal/>
    </border>
    <border>
      <left style="medium">
        <color indexed="8"/>
      </left>
      <right style="thin">
        <color indexed="64"/>
      </right>
      <top style="thin">
        <color indexed="8"/>
      </top>
      <bottom style="thin">
        <color indexed="64"/>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8"/>
      </top>
      <bottom style="thin">
        <color indexed="8"/>
      </bottom>
      <diagonal/>
    </border>
    <border>
      <left/>
      <right style="thin">
        <color indexed="64"/>
      </right>
      <top style="thin">
        <color indexed="64"/>
      </top>
      <bottom style="medium">
        <color indexed="64"/>
      </bottom>
      <diagonal/>
    </border>
    <border>
      <left style="thin">
        <color indexed="64"/>
      </left>
      <right style="medium">
        <color indexed="64"/>
      </right>
      <top style="thin">
        <color indexed="8"/>
      </top>
      <bottom style="medium">
        <color indexed="8"/>
      </bottom>
      <diagonal/>
    </border>
    <border>
      <left style="thin">
        <color indexed="8"/>
      </left>
      <right style="medium">
        <color indexed="8"/>
      </right>
      <top/>
      <bottom/>
      <diagonal/>
    </border>
    <border>
      <left style="thin">
        <color indexed="8"/>
      </left>
      <right style="medium">
        <color indexed="8"/>
      </right>
      <top style="thin">
        <color indexed="8"/>
      </top>
      <bottom style="thin">
        <color indexed="64"/>
      </bottom>
      <diagonal/>
    </border>
    <border>
      <left style="thin">
        <color indexed="8"/>
      </left>
      <right style="thin">
        <color indexed="64"/>
      </right>
      <top style="double">
        <color indexed="8"/>
      </top>
      <bottom/>
      <diagonal/>
    </border>
    <border>
      <left style="thin">
        <color indexed="8"/>
      </left>
      <right style="thin">
        <color indexed="64"/>
      </right>
      <top style="thin">
        <color indexed="8"/>
      </top>
      <bottom/>
      <diagonal/>
    </border>
    <border>
      <left style="thin">
        <color indexed="8"/>
      </left>
      <right/>
      <top style="thin">
        <color indexed="8"/>
      </top>
      <bottom style="thin">
        <color indexed="64"/>
      </bottom>
      <diagonal/>
    </border>
    <border>
      <left/>
      <right style="medium">
        <color indexed="8"/>
      </right>
      <top style="thin">
        <color indexed="8"/>
      </top>
      <bottom style="thin">
        <color indexed="64"/>
      </bottom>
      <diagonal/>
    </border>
    <border>
      <left style="thin">
        <color indexed="64"/>
      </left>
      <right style="medium">
        <color indexed="8"/>
      </right>
      <top style="thin">
        <color indexed="64"/>
      </top>
      <bottom style="thin">
        <color indexed="8"/>
      </bottom>
      <diagonal/>
    </border>
    <border>
      <left/>
      <right style="thin">
        <color indexed="64"/>
      </right>
      <top style="thin">
        <color indexed="8"/>
      </top>
      <bottom style="thin">
        <color indexed="64"/>
      </bottom>
      <diagonal/>
    </border>
    <border>
      <left style="thin">
        <color indexed="8"/>
      </left>
      <right style="thin">
        <color indexed="8"/>
      </right>
      <top style="double">
        <color indexed="8"/>
      </top>
      <bottom/>
      <diagonal/>
    </border>
    <border>
      <left style="thin">
        <color indexed="8"/>
      </left>
      <right style="thin">
        <color indexed="8"/>
      </right>
      <top style="thin">
        <color indexed="8"/>
      </top>
      <bottom style="medium">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8"/>
      </left>
      <right/>
      <top style="medium">
        <color indexed="8"/>
      </top>
      <bottom style="medium">
        <color indexed="64"/>
      </bottom>
      <diagonal/>
    </border>
    <border>
      <left/>
      <right/>
      <top style="medium">
        <color indexed="8"/>
      </top>
      <bottom style="medium">
        <color indexed="64"/>
      </bottom>
      <diagonal/>
    </border>
    <border>
      <left style="thin">
        <color indexed="8"/>
      </left>
      <right style="thin">
        <color indexed="8"/>
      </right>
      <top style="double">
        <color indexed="8"/>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medium">
        <color indexed="64"/>
      </bottom>
      <diagonal/>
    </border>
    <border>
      <left style="thin">
        <color indexed="8"/>
      </left>
      <right style="medium">
        <color indexed="8"/>
      </right>
      <top/>
      <bottom style="medium">
        <color indexed="64"/>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double">
        <color indexed="8"/>
      </bottom>
      <diagonal/>
    </border>
    <border>
      <left style="thin">
        <color indexed="8"/>
      </left>
      <right style="medium">
        <color indexed="8"/>
      </right>
      <top style="thin">
        <color indexed="64"/>
      </top>
      <bottom style="medium">
        <color indexed="64"/>
      </bottom>
      <diagonal/>
    </border>
    <border>
      <left/>
      <right style="medium">
        <color indexed="8"/>
      </right>
      <top/>
      <bottom/>
      <diagonal/>
    </border>
    <border>
      <left style="thin">
        <color indexed="8"/>
      </left>
      <right/>
      <top/>
      <bottom style="medium">
        <color indexed="64"/>
      </bottom>
      <diagonal/>
    </border>
    <border>
      <left style="thin">
        <color indexed="8"/>
      </left>
      <right style="medium">
        <color indexed="64"/>
      </right>
      <top/>
      <bottom style="medium">
        <color indexed="64"/>
      </bottom>
      <diagonal/>
    </border>
    <border>
      <left style="thin">
        <color indexed="64"/>
      </left>
      <right style="thin">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8"/>
      </right>
      <top style="medium">
        <color indexed="8"/>
      </top>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style="medium">
        <color indexed="64"/>
      </left>
      <right/>
      <top style="medium">
        <color indexed="64"/>
      </top>
      <bottom style="thin">
        <color indexed="8"/>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8"/>
      </top>
      <bottom style="double">
        <color indexed="64"/>
      </bottom>
      <diagonal/>
    </border>
    <border>
      <left style="medium">
        <color indexed="8"/>
      </left>
      <right style="thin">
        <color indexed="8"/>
      </right>
      <top style="thin">
        <color indexed="8"/>
      </top>
      <bottom style="double">
        <color indexed="64"/>
      </bottom>
      <diagonal/>
    </border>
    <border>
      <left style="thin">
        <color indexed="8"/>
      </left>
      <right style="medium">
        <color indexed="64"/>
      </right>
      <top style="medium">
        <color indexed="64"/>
      </top>
      <bottom/>
      <diagonal/>
    </border>
    <border>
      <left style="medium">
        <color indexed="64"/>
      </left>
      <right style="medium">
        <color indexed="64"/>
      </right>
      <top style="thin">
        <color indexed="8"/>
      </top>
      <bottom style="medium">
        <color indexed="64"/>
      </bottom>
      <diagonal/>
    </border>
    <border>
      <left style="thin">
        <color indexed="8"/>
      </left>
      <right style="medium">
        <color indexed="64"/>
      </right>
      <top style="double">
        <color indexed="8"/>
      </top>
      <bottom/>
      <diagonal/>
    </border>
    <border>
      <left style="medium">
        <color indexed="64"/>
      </left>
      <right/>
      <top style="medium">
        <color indexed="64"/>
      </top>
      <bottom style="medium">
        <color indexed="64"/>
      </bottom>
      <diagonal/>
    </border>
    <border>
      <left style="medium">
        <color indexed="8"/>
      </left>
      <right/>
      <top style="double">
        <color indexed="8"/>
      </top>
      <bottom style="medium">
        <color indexed="64"/>
      </bottom>
      <diagonal/>
    </border>
    <border>
      <left style="medium">
        <color indexed="8"/>
      </left>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medium">
        <color indexed="8"/>
      </left>
      <right style="thin">
        <color indexed="8"/>
      </right>
      <top style="thin">
        <color indexed="8"/>
      </top>
      <bottom style="medium">
        <color indexed="64"/>
      </bottom>
      <diagonal/>
    </border>
    <border>
      <left style="double">
        <color indexed="8"/>
      </left>
      <right style="thin">
        <color indexed="8"/>
      </right>
      <top style="thin">
        <color indexed="8"/>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double">
        <color indexed="8"/>
      </top>
      <bottom/>
      <diagonal/>
    </border>
    <border>
      <left style="thin">
        <color indexed="64"/>
      </left>
      <right/>
      <top style="thin">
        <color indexed="8"/>
      </top>
      <bottom/>
      <diagonal/>
    </border>
    <border>
      <left style="thin">
        <color indexed="64"/>
      </left>
      <right/>
      <top style="thin">
        <color indexed="8"/>
      </top>
      <bottom style="thin">
        <color indexed="8"/>
      </bottom>
      <diagonal/>
    </border>
    <border>
      <left/>
      <right style="thin">
        <color indexed="64"/>
      </right>
      <top style="medium">
        <color indexed="64"/>
      </top>
      <bottom style="medium">
        <color indexed="64"/>
      </bottom>
      <diagonal/>
    </border>
    <border>
      <left style="thin">
        <color indexed="8"/>
      </left>
      <right style="medium">
        <color indexed="64"/>
      </right>
      <top style="thin">
        <color indexed="8"/>
      </top>
      <bottom style="thin">
        <color indexed="8"/>
      </bottom>
      <diagonal/>
    </border>
    <border>
      <left/>
      <right style="medium">
        <color indexed="64"/>
      </right>
      <top style="medium">
        <color indexed="64"/>
      </top>
      <bottom style="thin">
        <color indexed="8"/>
      </bottom>
      <diagonal/>
    </border>
    <border>
      <left style="thin">
        <color indexed="8"/>
      </left>
      <right/>
      <top style="thin">
        <color indexed="8"/>
      </top>
      <bottom style="medium">
        <color indexed="8"/>
      </bottom>
      <diagonal/>
    </border>
    <border>
      <left style="medium">
        <color indexed="64"/>
      </left>
      <right/>
      <top style="double">
        <color indexed="8"/>
      </top>
      <bottom style="medium">
        <color indexed="64"/>
      </bottom>
      <diagonal/>
    </border>
    <border>
      <left style="thin">
        <color indexed="8"/>
      </left>
      <right/>
      <top style="double">
        <color indexed="8"/>
      </top>
      <bottom style="medium">
        <color indexed="64"/>
      </bottom>
      <diagonal/>
    </border>
    <border>
      <left style="thin">
        <color indexed="8"/>
      </left>
      <right style="medium">
        <color indexed="64"/>
      </right>
      <top style="double">
        <color indexed="8"/>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8"/>
      </top>
      <bottom/>
      <diagonal/>
    </border>
    <border>
      <left/>
      <right style="medium">
        <color indexed="64"/>
      </right>
      <top style="medium">
        <color indexed="8"/>
      </top>
      <bottom style="medium">
        <color indexed="64"/>
      </bottom>
      <diagonal/>
    </border>
    <border>
      <left style="medium">
        <color indexed="64"/>
      </left>
      <right style="medium">
        <color indexed="64"/>
      </right>
      <top style="thin">
        <color indexed="8"/>
      </top>
      <bottom/>
      <diagonal/>
    </border>
    <border>
      <left style="medium">
        <color indexed="64"/>
      </left>
      <right style="medium">
        <color indexed="64"/>
      </right>
      <top style="medium">
        <color indexed="8"/>
      </top>
      <bottom style="medium">
        <color indexed="64"/>
      </bottom>
      <diagonal/>
    </border>
    <border>
      <left style="medium">
        <color indexed="64"/>
      </left>
      <right style="medium">
        <color indexed="64"/>
      </right>
      <top style="medium">
        <color indexed="64"/>
      </top>
      <bottom style="thin">
        <color indexed="8"/>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style="thin">
        <color indexed="8"/>
      </top>
      <bottom/>
      <diagonal/>
    </border>
    <border>
      <left style="thin">
        <color indexed="64"/>
      </left>
      <right style="medium">
        <color indexed="64"/>
      </right>
      <top/>
      <bottom style="thin">
        <color indexed="8"/>
      </bottom>
      <diagonal/>
    </border>
    <border>
      <left style="thin">
        <color indexed="64"/>
      </left>
      <right style="thin">
        <color indexed="8"/>
      </right>
      <top/>
      <bottom/>
      <diagonal/>
    </border>
    <border>
      <left style="thin">
        <color indexed="8"/>
      </left>
      <right style="thin">
        <color indexed="64"/>
      </right>
      <top style="thin">
        <color indexed="64"/>
      </top>
      <bottom/>
      <diagonal/>
    </border>
    <border>
      <left style="thin">
        <color indexed="8"/>
      </left>
      <right style="thin">
        <color indexed="64"/>
      </right>
      <top/>
      <bottom/>
      <diagonal/>
    </border>
    <border>
      <left style="thin">
        <color indexed="8"/>
      </left>
      <right style="thin">
        <color indexed="64"/>
      </right>
      <top style="thin">
        <color indexed="8"/>
      </top>
      <bottom style="medium">
        <color indexed="8"/>
      </bottom>
      <diagonal/>
    </border>
    <border>
      <left style="medium">
        <color indexed="64"/>
      </left>
      <right style="thin">
        <color indexed="64"/>
      </right>
      <top style="thin">
        <color indexed="8"/>
      </top>
      <bottom style="medium">
        <color indexed="64"/>
      </bottom>
      <diagonal/>
    </border>
    <border>
      <left style="thin">
        <color indexed="39"/>
      </left>
      <right style="thin">
        <color indexed="39"/>
      </right>
      <top style="thin">
        <color indexed="39"/>
      </top>
      <bottom style="thin">
        <color indexed="39"/>
      </bottom>
      <diagonal/>
    </border>
    <border>
      <left style="thin">
        <color indexed="8"/>
      </left>
      <right style="thin">
        <color indexed="8"/>
      </right>
      <top style="thin">
        <color indexed="64"/>
      </top>
      <bottom style="double">
        <color indexed="64"/>
      </bottom>
      <diagonal/>
    </border>
    <border>
      <left style="thin">
        <color indexed="8"/>
      </left>
      <right style="thin">
        <color indexed="8"/>
      </right>
      <top/>
      <bottom style="medium">
        <color indexed="64"/>
      </bottom>
      <diagonal/>
    </border>
    <border>
      <left style="thin">
        <color indexed="8"/>
      </left>
      <right style="medium">
        <color indexed="8"/>
      </right>
      <top style="medium">
        <color indexed="8"/>
      </top>
      <bottom style="medium">
        <color indexed="64"/>
      </bottom>
      <diagonal/>
    </border>
    <border>
      <left style="medium">
        <color indexed="8"/>
      </left>
      <right style="thin">
        <color indexed="8"/>
      </right>
      <top style="medium">
        <color indexed="8"/>
      </top>
      <bottom style="thin">
        <color indexed="64"/>
      </bottom>
      <diagonal/>
    </border>
    <border>
      <left style="medium">
        <color indexed="8"/>
      </left>
      <right style="thin">
        <color indexed="64"/>
      </right>
      <top style="thin">
        <color indexed="64"/>
      </top>
      <bottom style="thin">
        <color indexed="64"/>
      </bottom>
      <diagonal/>
    </border>
    <border>
      <left/>
      <right style="thin">
        <color indexed="8"/>
      </right>
      <top style="thin">
        <color indexed="64"/>
      </top>
      <bottom style="thin">
        <color indexed="64"/>
      </bottom>
      <diagonal/>
    </border>
    <border>
      <left style="medium">
        <color indexed="8"/>
      </left>
      <right style="thin">
        <color indexed="8"/>
      </right>
      <top style="thin">
        <color indexed="64"/>
      </top>
      <bottom style="thin">
        <color indexed="64"/>
      </bottom>
      <diagonal/>
    </border>
    <border>
      <left style="medium">
        <color indexed="8"/>
      </left>
      <right/>
      <top style="thin">
        <color indexed="64"/>
      </top>
      <bottom style="thin">
        <color indexed="64"/>
      </bottom>
      <diagonal/>
    </border>
    <border>
      <left style="double">
        <color indexed="8"/>
      </left>
      <right/>
      <top style="thin">
        <color indexed="8"/>
      </top>
      <bottom style="double">
        <color indexed="64"/>
      </bottom>
      <diagonal/>
    </border>
    <border>
      <left style="dashed">
        <color indexed="8"/>
      </left>
      <right/>
      <top style="thin">
        <color indexed="8"/>
      </top>
      <bottom style="double">
        <color indexed="64"/>
      </bottom>
      <diagonal/>
    </border>
    <border>
      <left style="thin">
        <color indexed="8"/>
      </left>
      <right/>
      <top style="thin">
        <color indexed="8"/>
      </top>
      <bottom style="double">
        <color indexed="64"/>
      </bottom>
      <diagonal/>
    </border>
    <border>
      <left style="dashed">
        <color indexed="8"/>
      </left>
      <right style="double">
        <color indexed="8"/>
      </right>
      <top style="thin">
        <color indexed="8"/>
      </top>
      <bottom style="double">
        <color indexed="64"/>
      </bottom>
      <diagonal/>
    </border>
    <border>
      <left/>
      <right style="thin">
        <color indexed="64"/>
      </right>
      <top style="thin">
        <color indexed="8"/>
      </top>
      <bottom/>
      <diagonal/>
    </border>
    <border>
      <left/>
      <right style="thin">
        <color indexed="64"/>
      </right>
      <top/>
      <bottom style="thin">
        <color indexed="8"/>
      </bottom>
      <diagonal/>
    </border>
    <border>
      <left style="medium">
        <color indexed="64"/>
      </left>
      <right/>
      <top style="thin">
        <color indexed="64"/>
      </top>
      <bottom style="thin">
        <color indexed="64"/>
      </bottom>
      <diagonal/>
    </border>
    <border>
      <left style="thin">
        <color indexed="8"/>
      </left>
      <right/>
      <top/>
      <bottom style="thin">
        <color indexed="8"/>
      </bottom>
      <diagonal/>
    </border>
    <border>
      <left/>
      <right style="thin">
        <color indexed="8"/>
      </right>
      <top/>
      <bottom style="medium">
        <color indexed="64"/>
      </bottom>
      <diagonal/>
    </border>
    <border>
      <left style="medium">
        <color indexed="8"/>
      </left>
      <right style="medium">
        <color indexed="64"/>
      </right>
      <top style="medium">
        <color indexed="8"/>
      </top>
      <bottom/>
      <diagonal/>
    </border>
    <border>
      <left style="medium">
        <color indexed="8"/>
      </left>
      <right style="medium">
        <color indexed="64"/>
      </right>
      <top style="thin">
        <color indexed="8"/>
      </top>
      <bottom/>
      <diagonal/>
    </border>
    <border>
      <left style="medium">
        <color indexed="8"/>
      </left>
      <right style="medium">
        <color indexed="64"/>
      </right>
      <top style="double">
        <color indexed="8"/>
      </top>
      <bottom style="medium">
        <color indexed="8"/>
      </bottom>
      <diagonal/>
    </border>
    <border>
      <left style="thin">
        <color indexed="8"/>
      </left>
      <right style="thin">
        <color indexed="8"/>
      </right>
      <top/>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medium">
        <color indexed="8"/>
      </left>
      <right style="thin">
        <color indexed="8"/>
      </right>
      <top style="thin">
        <color indexed="8"/>
      </top>
      <bottom/>
      <diagonal/>
    </border>
    <border>
      <left/>
      <right/>
      <top/>
      <bottom style="thin">
        <color indexed="8"/>
      </bottom>
      <diagonal/>
    </border>
    <border>
      <left style="medium">
        <color indexed="8"/>
      </left>
      <right/>
      <top style="double">
        <color indexed="8"/>
      </top>
      <bottom style="thin">
        <color indexed="8"/>
      </bottom>
      <diagonal/>
    </border>
    <border>
      <left/>
      <right style="thin">
        <color indexed="8"/>
      </right>
      <top style="double">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64"/>
      </top>
      <bottom style="thin">
        <color indexed="64"/>
      </bottom>
      <diagonal/>
    </border>
    <border>
      <left/>
      <right style="medium">
        <color indexed="8"/>
      </right>
      <top/>
      <bottom style="thin">
        <color indexed="64"/>
      </bottom>
      <diagonal/>
    </border>
    <border>
      <left/>
      <right style="thin">
        <color indexed="8"/>
      </right>
      <top style="medium">
        <color indexed="8"/>
      </top>
      <bottom style="thin">
        <color indexed="8"/>
      </bottom>
      <diagonal/>
    </border>
    <border>
      <left/>
      <right style="thin">
        <color indexed="64"/>
      </right>
      <top style="medium">
        <color indexed="8"/>
      </top>
      <bottom/>
      <diagonal/>
    </border>
    <border>
      <left style="thin">
        <color indexed="8"/>
      </left>
      <right/>
      <top/>
      <bottom style="thin">
        <color indexed="64"/>
      </bottom>
      <diagonal/>
    </border>
    <border>
      <left/>
      <right style="medium">
        <color indexed="8"/>
      </right>
      <top style="medium">
        <color indexed="8"/>
      </top>
      <bottom/>
      <diagonal/>
    </border>
    <border>
      <left style="thin">
        <color indexed="8"/>
      </left>
      <right style="thin">
        <color indexed="64"/>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double">
        <color indexed="64"/>
      </bottom>
      <diagonal/>
    </border>
    <border>
      <left style="medium">
        <color indexed="64"/>
      </left>
      <right/>
      <top/>
      <bottom style="thin">
        <color indexed="64"/>
      </bottom>
      <diagonal/>
    </border>
    <border>
      <left/>
      <right style="medium">
        <color indexed="8"/>
      </right>
      <top style="medium">
        <color indexed="8"/>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8"/>
      </right>
      <top style="thin">
        <color indexed="64"/>
      </top>
      <bottom style="thin">
        <color indexed="64"/>
      </bottom>
      <diagonal/>
    </border>
    <border>
      <left style="medium">
        <color indexed="64"/>
      </left>
      <right style="thin">
        <color indexed="8"/>
      </right>
      <top style="thin">
        <color indexed="64"/>
      </top>
      <bottom style="thin">
        <color indexed="8"/>
      </bottom>
      <diagonal/>
    </border>
    <border>
      <left style="thin">
        <color indexed="8"/>
      </left>
      <right style="medium">
        <color indexed="64"/>
      </right>
      <top style="thin">
        <color indexed="64"/>
      </top>
      <bottom style="thin">
        <color indexed="64"/>
      </bottom>
      <diagonal/>
    </border>
    <border>
      <left style="thin">
        <color indexed="8"/>
      </left>
      <right style="medium">
        <color indexed="64"/>
      </right>
      <top style="thin">
        <color indexed="64"/>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8"/>
      </top>
      <bottom style="medium">
        <color indexed="64"/>
      </bottom>
      <diagonal/>
    </border>
    <border>
      <left style="medium">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medium">
        <color indexed="8"/>
      </right>
      <top style="thin">
        <color indexed="8"/>
      </top>
      <bottom/>
      <diagonal/>
    </border>
    <border>
      <left style="medium">
        <color indexed="8"/>
      </left>
      <right/>
      <top/>
      <bottom style="thin">
        <color indexed="8"/>
      </bottom>
      <diagonal/>
    </border>
    <border>
      <left/>
      <right style="medium">
        <color indexed="8"/>
      </right>
      <top/>
      <bottom style="thin">
        <color indexed="8"/>
      </bottom>
      <diagonal/>
    </border>
    <border>
      <left style="thin">
        <color indexed="8"/>
      </left>
      <right style="thin">
        <color indexed="8"/>
      </right>
      <top/>
      <bottom style="thin">
        <color indexed="8"/>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style="medium">
        <color indexed="64"/>
      </top>
      <bottom style="medium">
        <color indexed="64"/>
      </bottom>
      <diagonal/>
    </border>
    <border>
      <left style="medium">
        <color indexed="8"/>
      </left>
      <right/>
      <top style="medium">
        <color indexed="64"/>
      </top>
      <bottom style="thin">
        <color indexed="8"/>
      </bottom>
      <diagonal/>
    </border>
    <border>
      <left/>
      <right style="medium">
        <color indexed="8"/>
      </right>
      <top style="medium">
        <color indexed="64"/>
      </top>
      <bottom style="thin">
        <color indexed="8"/>
      </bottom>
      <diagonal/>
    </border>
    <border>
      <left style="medium">
        <color indexed="64"/>
      </left>
      <right/>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diagonal/>
    </border>
    <border>
      <left style="medium">
        <color indexed="64"/>
      </left>
      <right style="thin">
        <color indexed="8"/>
      </right>
      <top/>
      <bottom style="thin">
        <color indexed="8"/>
      </bottom>
      <diagonal/>
    </border>
    <border>
      <left style="thin">
        <color indexed="8"/>
      </left>
      <right style="medium">
        <color indexed="64"/>
      </right>
      <top/>
      <bottom style="thin">
        <color indexed="8"/>
      </bottom>
      <diagonal/>
    </border>
    <border>
      <left/>
      <right style="thin">
        <color indexed="64"/>
      </right>
      <top style="medium">
        <color indexed="8"/>
      </top>
      <bottom style="thin">
        <color indexed="8"/>
      </bottom>
      <diagonal/>
    </border>
    <border>
      <left/>
      <right style="thin">
        <color indexed="8"/>
      </right>
      <top/>
      <bottom style="thin">
        <color indexed="8"/>
      </bottom>
      <diagonal/>
    </border>
    <border>
      <left/>
      <right style="double">
        <color indexed="64"/>
      </right>
      <top/>
      <bottom style="thin">
        <color indexed="64"/>
      </bottom>
      <diagonal/>
    </border>
    <border>
      <left style="thin">
        <color indexed="8"/>
      </left>
      <right style="thin">
        <color theme="1"/>
      </right>
      <top style="thin">
        <color indexed="64"/>
      </top>
      <bottom/>
      <diagonal/>
    </border>
    <border>
      <left style="thin">
        <color indexed="8"/>
      </left>
      <right style="thin">
        <color theme="1"/>
      </right>
      <top style="thin">
        <color indexed="8"/>
      </top>
      <bottom/>
      <diagonal/>
    </border>
    <border>
      <left style="thin">
        <color indexed="8"/>
      </left>
      <right style="thin">
        <color theme="1"/>
      </right>
      <top style="thin">
        <color indexed="8"/>
      </top>
      <bottom style="thin">
        <color indexed="8"/>
      </bottom>
      <diagonal/>
    </border>
    <border>
      <left/>
      <right style="thin">
        <color theme="1"/>
      </right>
      <top style="thin">
        <color indexed="8"/>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theme="1"/>
      </top>
      <bottom style="thin">
        <color theme="1"/>
      </bottom>
      <diagonal/>
    </border>
    <border>
      <left style="medium">
        <color indexed="64"/>
      </left>
      <right style="medium">
        <color indexed="64"/>
      </right>
      <top/>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thin">
        <color indexed="8"/>
      </right>
      <top style="thin">
        <color indexed="8"/>
      </top>
      <bottom style="medium">
        <color indexed="64"/>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indexed="64"/>
      </left>
      <right/>
      <top style="thin">
        <color indexed="8"/>
      </top>
      <bottom style="thin">
        <color indexed="8"/>
      </bottom>
      <diagonal/>
    </border>
    <border>
      <left style="medium">
        <color indexed="64"/>
      </left>
      <right/>
      <top style="thin">
        <color indexed="8"/>
      </top>
      <bottom style="double">
        <color indexed="64"/>
      </bottom>
      <diagonal/>
    </border>
    <border>
      <left/>
      <right/>
      <top style="medium">
        <color indexed="8"/>
      </top>
      <bottom style="thin">
        <color indexed="8"/>
      </bottom>
      <diagonal/>
    </border>
    <border>
      <left/>
      <right/>
      <top style="thin">
        <color indexed="8"/>
      </top>
      <bottom style="medium">
        <color indexed="8"/>
      </bottom>
      <diagonal/>
    </border>
    <border>
      <left style="medium">
        <color indexed="64"/>
      </left>
      <right style="thin">
        <color indexed="64"/>
      </right>
      <top style="thin">
        <color indexed="64"/>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indexed="8"/>
      </right>
      <top/>
      <bottom/>
      <diagonal/>
    </border>
    <border>
      <left/>
      <right style="thin">
        <color indexed="8"/>
      </right>
      <top style="thin">
        <color indexed="64"/>
      </top>
      <bottom/>
      <diagonal/>
    </border>
    <border>
      <left style="thin">
        <color indexed="8"/>
      </left>
      <right style="thin">
        <color indexed="8"/>
      </right>
      <top/>
      <bottom style="thin">
        <color indexed="64"/>
      </bottom>
      <diagonal/>
    </border>
    <border>
      <left/>
      <right style="thin">
        <color indexed="8"/>
      </right>
      <top style="medium">
        <color indexed="8"/>
      </top>
      <bottom/>
      <diagonal/>
    </border>
    <border>
      <left style="thin">
        <color indexed="8"/>
      </left>
      <right style="thin">
        <color indexed="64"/>
      </right>
      <top/>
      <bottom style="thin">
        <color indexed="64"/>
      </bottom>
      <diagonal/>
    </border>
    <border>
      <left style="thin">
        <color indexed="8"/>
      </left>
      <right style="thin">
        <color indexed="64"/>
      </right>
      <top style="thin">
        <color indexed="64"/>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bottom style="thin">
        <color indexed="8"/>
      </bottom>
      <diagonal/>
    </border>
  </borders>
  <cellStyleXfs count="7">
    <xf numFmtId="0" fontId="0" fillId="0" borderId="0"/>
    <xf numFmtId="43" fontId="67" fillId="0" borderId="0" applyFont="0" applyFill="0" applyBorder="0" applyAlignment="0" applyProtection="0"/>
    <xf numFmtId="0" fontId="117" fillId="0" borderId="0"/>
    <xf numFmtId="0" fontId="13" fillId="0" borderId="0"/>
    <xf numFmtId="0" fontId="67" fillId="0" borderId="0"/>
    <xf numFmtId="0" fontId="13" fillId="0" borderId="0"/>
    <xf numFmtId="9" fontId="67" fillId="0" borderId="0" applyFont="0" applyFill="0" applyBorder="0" applyAlignment="0" applyProtection="0"/>
  </cellStyleXfs>
  <cellXfs count="2982">
    <xf numFmtId="0" fontId="0" fillId="0" borderId="0" xfId="0"/>
    <xf numFmtId="0" fontId="2" fillId="0" borderId="0" xfId="0" applyNumberFormat="1" applyFont="1" applyAlignment="1"/>
    <xf numFmtId="0" fontId="4" fillId="0" borderId="0" xfId="0" applyNumberFormat="1" applyFont="1" applyAlignment="1"/>
    <xf numFmtId="0" fontId="8" fillId="0" borderId="1" xfId="0" applyNumberFormat="1" applyFont="1" applyBorder="1" applyAlignment="1">
      <alignment vertical="center"/>
    </xf>
    <xf numFmtId="0" fontId="2" fillId="0" borderId="2" xfId="0" applyNumberFormat="1" applyFont="1" applyBorder="1"/>
    <xf numFmtId="0" fontId="2" fillId="0" borderId="3" xfId="0" applyNumberFormat="1" applyFont="1" applyBorder="1"/>
    <xf numFmtId="0" fontId="3" fillId="0" borderId="0" xfId="0" applyNumberFormat="1" applyFont="1" applyAlignment="1"/>
    <xf numFmtId="0" fontId="3" fillId="2" borderId="0" xfId="0" applyNumberFormat="1" applyFont="1" applyFill="1" applyAlignment="1"/>
    <xf numFmtId="0" fontId="4" fillId="2" borderId="0" xfId="0" applyNumberFormat="1" applyFont="1" applyFill="1" applyAlignment="1"/>
    <xf numFmtId="0" fontId="3" fillId="3" borderId="0" xfId="0" applyNumberFormat="1" applyFont="1" applyFill="1" applyAlignment="1">
      <alignment horizontal="centerContinuous"/>
    </xf>
    <xf numFmtId="0" fontId="4" fillId="2" borderId="0" xfId="0" applyNumberFormat="1" applyFont="1" applyFill="1" applyAlignment="1">
      <alignment horizontal="centerContinuous"/>
    </xf>
    <xf numFmtId="0" fontId="4" fillId="2" borderId="3" xfId="0" applyNumberFormat="1" applyFont="1" applyFill="1" applyBorder="1" applyAlignment="1"/>
    <xf numFmtId="3" fontId="4" fillId="2" borderId="0" xfId="0" applyNumberFormat="1" applyFont="1" applyFill="1" applyAlignment="1"/>
    <xf numFmtId="17" fontId="4" fillId="2" borderId="0" xfId="0" applyNumberFormat="1" applyFont="1" applyFill="1" applyAlignment="1"/>
    <xf numFmtId="1" fontId="3" fillId="2" borderId="0" xfId="0" applyNumberFormat="1" applyFont="1" applyFill="1"/>
    <xf numFmtId="1" fontId="6" fillId="3" borderId="1" xfId="0" applyNumberFormat="1" applyFont="1" applyFill="1" applyBorder="1" applyAlignment="1">
      <alignment horizontal="centerContinuous"/>
    </xf>
    <xf numFmtId="0" fontId="3" fillId="2" borderId="3" xfId="0" applyNumberFormat="1" applyFont="1" applyFill="1" applyBorder="1"/>
    <xf numFmtId="0" fontId="7" fillId="2" borderId="0" xfId="0" applyNumberFormat="1" applyFont="1" applyFill="1" applyAlignment="1"/>
    <xf numFmtId="165" fontId="4" fillId="2" borderId="0" xfId="0" applyNumberFormat="1" applyFont="1" applyFill="1" applyAlignment="1"/>
    <xf numFmtId="9" fontId="4" fillId="2" borderId="0" xfId="0" applyNumberFormat="1" applyFont="1" applyFill="1" applyAlignment="1"/>
    <xf numFmtId="0" fontId="4" fillId="2" borderId="4" xfId="0" applyNumberFormat="1" applyFont="1" applyFill="1" applyBorder="1" applyAlignment="1"/>
    <xf numFmtId="0" fontId="13" fillId="0" borderId="0" xfId="0" applyNumberFormat="1" applyFont="1" applyAlignment="1"/>
    <xf numFmtId="0" fontId="13" fillId="0" borderId="5" xfId="0" applyNumberFormat="1" applyFont="1" applyBorder="1"/>
    <xf numFmtId="0" fontId="4" fillId="0" borderId="4" xfId="0" applyNumberFormat="1" applyFont="1" applyBorder="1" applyAlignment="1"/>
    <xf numFmtId="0" fontId="4" fillId="0" borderId="3" xfId="0" applyNumberFormat="1" applyFont="1" applyBorder="1" applyAlignment="1"/>
    <xf numFmtId="0" fontId="4" fillId="0" borderId="6" xfId="0" applyNumberFormat="1" applyFont="1" applyBorder="1" applyAlignment="1"/>
    <xf numFmtId="0" fontId="4" fillId="0" borderId="1" xfId="0" applyNumberFormat="1" applyFont="1" applyBorder="1" applyAlignment="1"/>
    <xf numFmtId="1" fontId="17" fillId="3" borderId="0" xfId="0" applyNumberFormat="1" applyFont="1" applyFill="1" applyAlignment="1"/>
    <xf numFmtId="0" fontId="4" fillId="3" borderId="0" xfId="0" applyNumberFormat="1" applyFont="1" applyFill="1" applyAlignment="1"/>
    <xf numFmtId="0" fontId="17" fillId="3" borderId="5" xfId="0" applyNumberFormat="1" applyFont="1" applyFill="1" applyBorder="1"/>
    <xf numFmtId="0" fontId="17" fillId="3" borderId="7" xfId="0" applyNumberFormat="1" applyFont="1" applyFill="1" applyBorder="1"/>
    <xf numFmtId="2" fontId="17" fillId="3" borderId="0" xfId="0" applyNumberFormat="1" applyFont="1" applyFill="1"/>
    <xf numFmtId="3" fontId="17" fillId="3" borderId="0" xfId="0" applyNumberFormat="1" applyFont="1" applyFill="1"/>
    <xf numFmtId="3" fontId="17" fillId="3" borderId="5" xfId="0" applyNumberFormat="1" applyFont="1" applyFill="1" applyBorder="1"/>
    <xf numFmtId="3" fontId="17" fillId="3" borderId="7" xfId="0" applyNumberFormat="1" applyFont="1" applyFill="1" applyBorder="1"/>
    <xf numFmtId="3" fontId="17" fillId="3" borderId="3" xfId="0" applyNumberFormat="1" applyFont="1" applyFill="1" applyBorder="1"/>
    <xf numFmtId="0" fontId="17" fillId="3" borderId="4" xfId="0" applyNumberFormat="1" applyFont="1" applyFill="1" applyBorder="1"/>
    <xf numFmtId="0" fontId="8" fillId="2" borderId="1" xfId="0" applyNumberFormat="1" applyFont="1" applyFill="1" applyBorder="1" applyAlignment="1"/>
    <xf numFmtId="0" fontId="6" fillId="2" borderId="0" xfId="0" applyNumberFormat="1" applyFont="1" applyFill="1" applyAlignment="1"/>
    <xf numFmtId="0" fontId="20" fillId="2" borderId="0" xfId="0" applyNumberFormat="1" applyFont="1" applyFill="1" applyAlignment="1"/>
    <xf numFmtId="0" fontId="20" fillId="2" borderId="0" xfId="0" applyNumberFormat="1" applyFont="1" applyFill="1" applyAlignment="1">
      <alignment horizontal="center"/>
    </xf>
    <xf numFmtId="0" fontId="18" fillId="2" borderId="0" xfId="0" applyNumberFormat="1" applyFont="1" applyFill="1" applyAlignment="1"/>
    <xf numFmtId="0" fontId="18" fillId="2" borderId="0" xfId="0" applyNumberFormat="1" applyFont="1" applyFill="1" applyAlignment="1">
      <alignment horizontal="center"/>
    </xf>
    <xf numFmtId="0" fontId="14" fillId="0" borderId="0" xfId="0" applyNumberFormat="1" applyFont="1" applyAlignment="1"/>
    <xf numFmtId="164" fontId="18" fillId="2" borderId="0" xfId="0" applyNumberFormat="1" applyFont="1" applyFill="1" applyAlignment="1"/>
    <xf numFmtId="0" fontId="13" fillId="0" borderId="7" xfId="0" applyNumberFormat="1" applyFont="1" applyBorder="1" applyAlignment="1">
      <alignment horizontal="centerContinuous"/>
    </xf>
    <xf numFmtId="0" fontId="13" fillId="0" borderId="3" xfId="0" applyNumberFormat="1" applyFont="1" applyBorder="1"/>
    <xf numFmtId="0" fontId="21" fillId="2" borderId="0" xfId="0" applyNumberFormat="1" applyFont="1" applyFill="1" applyAlignment="1"/>
    <xf numFmtId="1" fontId="21" fillId="2" borderId="8" xfId="0" applyNumberFormat="1" applyFont="1" applyFill="1" applyBorder="1" applyAlignment="1">
      <alignment horizontal="center"/>
    </xf>
    <xf numFmtId="1" fontId="21" fillId="2" borderId="1" xfId="0" applyNumberFormat="1" applyFont="1" applyFill="1" applyBorder="1" applyAlignment="1">
      <alignment horizontal="center"/>
    </xf>
    <xf numFmtId="1" fontId="21" fillId="2" borderId="5" xfId="0" applyNumberFormat="1" applyFont="1" applyFill="1" applyBorder="1" applyAlignment="1">
      <alignment horizontal="center"/>
    </xf>
    <xf numFmtId="0" fontId="22" fillId="0" borderId="0" xfId="0" applyNumberFormat="1" applyFont="1" applyAlignment="1"/>
    <xf numFmtId="0" fontId="6" fillId="2" borderId="0" xfId="0" applyNumberFormat="1" applyFont="1" applyFill="1" applyAlignment="1">
      <alignment horizontal="center"/>
    </xf>
    <xf numFmtId="0" fontId="5" fillId="0" borderId="0" xfId="0" applyNumberFormat="1" applyFont="1" applyAlignment="1"/>
    <xf numFmtId="0" fontId="19" fillId="0" borderId="0" xfId="0" applyNumberFormat="1" applyFont="1" applyAlignment="1"/>
    <xf numFmtId="0" fontId="19" fillId="0" borderId="9" xfId="0" applyNumberFormat="1" applyFont="1" applyBorder="1" applyAlignment="1"/>
    <xf numFmtId="0" fontId="17" fillId="2" borderId="0" xfId="0" applyNumberFormat="1" applyFont="1" applyFill="1" applyAlignment="1"/>
    <xf numFmtId="0" fontId="9" fillId="3" borderId="0" xfId="0" applyNumberFormat="1" applyFont="1" applyFill="1" applyAlignment="1">
      <alignment horizontal="centerContinuous"/>
    </xf>
    <xf numFmtId="0" fontId="17" fillId="2" borderId="7" xfId="0" applyNumberFormat="1" applyFont="1" applyFill="1" applyBorder="1"/>
    <xf numFmtId="1" fontId="40" fillId="2" borderId="1" xfId="0" applyNumberFormat="1" applyFont="1" applyFill="1" applyBorder="1" applyAlignment="1" applyProtection="1">
      <protection locked="0"/>
    </xf>
    <xf numFmtId="0" fontId="11" fillId="4" borderId="10" xfId="0" applyNumberFormat="1" applyFont="1" applyFill="1" applyBorder="1" applyAlignment="1">
      <alignment horizontal="center" vertical="center"/>
    </xf>
    <xf numFmtId="0" fontId="11" fillId="4" borderId="10" xfId="0" applyNumberFormat="1" applyFont="1" applyFill="1" applyBorder="1" applyAlignment="1"/>
    <xf numFmtId="0" fontId="11" fillId="4" borderId="11" xfId="0" applyNumberFormat="1" applyFont="1" applyFill="1" applyBorder="1" applyAlignment="1"/>
    <xf numFmtId="0" fontId="4" fillId="0" borderId="9" xfId="0" applyNumberFormat="1" applyFont="1" applyBorder="1" applyAlignment="1"/>
    <xf numFmtId="0" fontId="11" fillId="4" borderId="9" xfId="0" applyNumberFormat="1" applyFont="1" applyFill="1" applyBorder="1" applyAlignment="1">
      <alignment horizontal="center" vertical="center"/>
    </xf>
    <xf numFmtId="0" fontId="11" fillId="4" borderId="9" xfId="0" applyNumberFormat="1" applyFont="1" applyFill="1" applyBorder="1" applyAlignment="1"/>
    <xf numFmtId="0" fontId="11" fillId="4" borderId="0" xfId="0" applyNumberFormat="1" applyFont="1" applyFill="1" applyAlignment="1"/>
    <xf numFmtId="1" fontId="37" fillId="2" borderId="0" xfId="0" applyNumberFormat="1" applyFont="1" applyFill="1" applyAlignment="1">
      <alignment horizontal="center"/>
    </xf>
    <xf numFmtId="0" fontId="33" fillId="0" borderId="7" xfId="0" applyNumberFormat="1" applyFont="1" applyBorder="1"/>
    <xf numFmtId="1" fontId="31" fillId="2" borderId="0" xfId="0" applyNumberFormat="1" applyFont="1" applyFill="1" applyAlignment="1"/>
    <xf numFmtId="165" fontId="31" fillId="2" borderId="0" xfId="0" applyNumberFormat="1" applyFont="1" applyFill="1" applyAlignment="1"/>
    <xf numFmtId="2" fontId="31" fillId="2" borderId="0" xfId="0" applyNumberFormat="1" applyFont="1" applyFill="1" applyAlignment="1"/>
    <xf numFmtId="0" fontId="31" fillId="2" borderId="0" xfId="0" applyNumberFormat="1" applyFont="1" applyFill="1" applyAlignment="1">
      <alignment horizontal="center"/>
    </xf>
    <xf numFmtId="0" fontId="25" fillId="0" borderId="0" xfId="0" applyNumberFormat="1" applyFont="1" applyAlignment="1"/>
    <xf numFmtId="0" fontId="12" fillId="0" borderId="0" xfId="0" applyNumberFormat="1" applyFont="1" applyAlignment="1"/>
    <xf numFmtId="0" fontId="11" fillId="4" borderId="10" xfId="0" applyNumberFormat="1" applyFont="1" applyFill="1" applyBorder="1" applyAlignment="1" applyProtection="1">
      <protection locked="0"/>
    </xf>
    <xf numFmtId="0" fontId="11" fillId="4" borderId="11" xfId="0" applyNumberFormat="1" applyFont="1" applyFill="1" applyBorder="1" applyAlignment="1" applyProtection="1">
      <alignment horizontal="center"/>
      <protection locked="0"/>
    </xf>
    <xf numFmtId="0" fontId="11" fillId="4" borderId="6" xfId="0" applyNumberFormat="1" applyFont="1" applyFill="1" applyBorder="1" applyAlignment="1" applyProtection="1">
      <protection locked="0"/>
    </xf>
    <xf numFmtId="0" fontId="11" fillId="4" borderId="11" xfId="0" applyNumberFormat="1" applyFont="1" applyFill="1" applyBorder="1" applyAlignment="1" applyProtection="1">
      <protection locked="0"/>
    </xf>
    <xf numFmtId="0" fontId="11" fillId="4" borderId="6" xfId="0" applyNumberFormat="1" applyFont="1" applyFill="1" applyBorder="1" applyAlignment="1" applyProtection="1">
      <alignment horizontal="center"/>
      <protection locked="0"/>
    </xf>
    <xf numFmtId="0" fontId="11" fillId="4" borderId="6" xfId="0" applyNumberFormat="1" applyFont="1" applyFill="1" applyBorder="1" applyAlignment="1"/>
    <xf numFmtId="0" fontId="26" fillId="4" borderId="11" xfId="0" applyNumberFormat="1" applyFont="1" applyFill="1" applyBorder="1" applyAlignment="1">
      <alignment horizontal="center" vertical="center"/>
    </xf>
    <xf numFmtId="0" fontId="12" fillId="0" borderId="1" xfId="0" applyNumberFormat="1" applyFont="1" applyBorder="1" applyAlignment="1" applyProtection="1">
      <alignment horizontal="centerContinuous"/>
      <protection locked="0"/>
    </xf>
    <xf numFmtId="0" fontId="11" fillId="4" borderId="9" xfId="0" applyNumberFormat="1" applyFont="1" applyFill="1" applyBorder="1" applyAlignment="1">
      <alignment horizontal="center"/>
    </xf>
    <xf numFmtId="0" fontId="11" fillId="4" borderId="12" xfId="0" applyNumberFormat="1" applyFont="1" applyFill="1" applyBorder="1" applyAlignment="1" applyProtection="1">
      <alignment horizontal="center"/>
      <protection locked="0"/>
    </xf>
    <xf numFmtId="0" fontId="11" fillId="4" borderId="13" xfId="0" applyNumberFormat="1" applyFont="1" applyFill="1" applyBorder="1" applyAlignment="1" applyProtection="1">
      <alignment horizontal="center"/>
      <protection locked="0"/>
    </xf>
    <xf numFmtId="0" fontId="11" fillId="4" borderId="1" xfId="0" applyNumberFormat="1" applyFont="1" applyFill="1" applyBorder="1" applyAlignment="1" applyProtection="1">
      <alignment horizontal="center"/>
      <protection locked="0"/>
    </xf>
    <xf numFmtId="0" fontId="12" fillId="0" borderId="1" xfId="0" applyNumberFormat="1" applyFont="1" applyBorder="1" applyAlignment="1">
      <alignment horizontal="centerContinuous"/>
    </xf>
    <xf numFmtId="0" fontId="12" fillId="0" borderId="4" xfId="0" applyNumberFormat="1" applyFont="1" applyBorder="1" applyAlignment="1">
      <alignment horizontal="centerContinuous"/>
    </xf>
    <xf numFmtId="0" fontId="11" fillId="4" borderId="14" xfId="0" applyNumberFormat="1" applyFont="1" applyFill="1" applyBorder="1" applyAlignment="1"/>
    <xf numFmtId="0" fontId="11" fillId="4" borderId="3" xfId="0" applyNumberFormat="1" applyFont="1" applyFill="1" applyBorder="1" applyAlignment="1"/>
    <xf numFmtId="0" fontId="11" fillId="4" borderId="14" xfId="0" applyNumberFormat="1" applyFont="1" applyFill="1" applyBorder="1" applyAlignment="1" applyProtection="1">
      <alignment horizontal="center"/>
      <protection locked="0"/>
    </xf>
    <xf numFmtId="178" fontId="11" fillId="4" borderId="12" xfId="0" applyNumberFormat="1" applyFont="1" applyFill="1" applyBorder="1" applyAlignment="1">
      <alignment horizontal="left" vertical="center"/>
    </xf>
    <xf numFmtId="0" fontId="4" fillId="0" borderId="10" xfId="0" applyNumberFormat="1" applyFont="1" applyBorder="1" applyAlignment="1">
      <alignment vertical="center"/>
    </xf>
    <xf numFmtId="0" fontId="4" fillId="0" borderId="15" xfId="0" applyNumberFormat="1" applyFont="1" applyBorder="1" applyAlignment="1">
      <alignment vertical="center"/>
    </xf>
    <xf numFmtId="0" fontId="4" fillId="0" borderId="6" xfId="0" applyNumberFormat="1" applyFont="1" applyBorder="1" applyAlignment="1">
      <alignment vertical="center"/>
    </xf>
    <xf numFmtId="0" fontId="4" fillId="0" borderId="12" xfId="0" applyNumberFormat="1" applyFont="1" applyBorder="1" applyAlignment="1">
      <alignment vertical="center"/>
    </xf>
    <xf numFmtId="0" fontId="4" fillId="0" borderId="13" xfId="0" applyNumberFormat="1" applyFont="1" applyBorder="1" applyAlignment="1">
      <alignment vertical="center"/>
    </xf>
    <xf numFmtId="0" fontId="4" fillId="0" borderId="1" xfId="0" applyNumberFormat="1" applyFont="1" applyBorder="1" applyAlignment="1">
      <alignment vertical="center"/>
    </xf>
    <xf numFmtId="0" fontId="11" fillId="4" borderId="12" xfId="0" applyNumberFormat="1" applyFont="1" applyFill="1" applyBorder="1" applyAlignment="1"/>
    <xf numFmtId="0" fontId="4" fillId="0" borderId="10" xfId="0" applyNumberFormat="1" applyFont="1" applyBorder="1" applyAlignment="1"/>
    <xf numFmtId="0" fontId="4" fillId="0" borderId="15" xfId="0" applyNumberFormat="1" applyFont="1" applyBorder="1" applyAlignment="1"/>
    <xf numFmtId="0" fontId="33" fillId="0" borderId="5" xfId="0" applyNumberFormat="1" applyFont="1" applyBorder="1" applyAlignment="1"/>
    <xf numFmtId="0" fontId="31" fillId="2" borderId="0" xfId="0" applyNumberFormat="1" applyFont="1" applyFill="1" applyAlignment="1"/>
    <xf numFmtId="165" fontId="35" fillId="2" borderId="0" xfId="0" applyNumberFormat="1" applyFont="1" applyFill="1" applyAlignment="1"/>
    <xf numFmtId="165" fontId="37" fillId="2" borderId="0" xfId="0" applyNumberFormat="1" applyFont="1" applyFill="1" applyAlignment="1"/>
    <xf numFmtId="1" fontId="37" fillId="2" borderId="0" xfId="0" applyNumberFormat="1" applyFont="1" applyFill="1" applyAlignment="1"/>
    <xf numFmtId="1" fontId="38" fillId="2" borderId="0" xfId="0" applyNumberFormat="1" applyFont="1" applyFill="1" applyAlignment="1"/>
    <xf numFmtId="2" fontId="37" fillId="2" borderId="0" xfId="0" applyNumberFormat="1" applyFont="1" applyFill="1" applyAlignment="1"/>
    <xf numFmtId="170" fontId="37" fillId="2" borderId="0" xfId="0" applyNumberFormat="1" applyFont="1" applyFill="1" applyAlignment="1"/>
    <xf numFmtId="0" fontId="34" fillId="0" borderId="0" xfId="0" applyNumberFormat="1" applyFont="1" applyAlignment="1"/>
    <xf numFmtId="0" fontId="4" fillId="4" borderId="10" xfId="0" applyNumberFormat="1" applyFont="1" applyFill="1" applyBorder="1" applyAlignment="1"/>
    <xf numFmtId="0" fontId="4" fillId="4" borderId="15" xfId="0" applyNumberFormat="1" applyFont="1" applyFill="1" applyBorder="1" applyAlignment="1"/>
    <xf numFmtId="0" fontId="4" fillId="4" borderId="6" xfId="0" applyNumberFormat="1" applyFont="1" applyFill="1" applyBorder="1" applyAlignment="1"/>
    <xf numFmtId="0" fontId="4" fillId="0" borderId="1" xfId="0" applyNumberFormat="1" applyFont="1" applyBorder="1" applyAlignment="1">
      <alignment horizontal="center"/>
    </xf>
    <xf numFmtId="0" fontId="4" fillId="0" borderId="12" xfId="0" applyNumberFormat="1" applyFont="1" applyBorder="1" applyAlignment="1"/>
    <xf numFmtId="0" fontId="4" fillId="4" borderId="12" xfId="0" applyNumberFormat="1" applyFont="1" applyFill="1" applyBorder="1" applyAlignment="1"/>
    <xf numFmtId="0" fontId="4" fillId="4" borderId="4" xfId="0" applyNumberFormat="1" applyFont="1" applyFill="1" applyBorder="1" applyAlignment="1"/>
    <xf numFmtId="0" fontId="4" fillId="4" borderId="1" xfId="0" applyNumberFormat="1" applyFont="1" applyFill="1" applyBorder="1" applyAlignment="1"/>
    <xf numFmtId="2" fontId="4" fillId="0" borderId="1" xfId="0" applyNumberFormat="1" applyFont="1" applyBorder="1" applyAlignment="1"/>
    <xf numFmtId="0" fontId="19" fillId="0" borderId="4" xfId="0" applyNumberFormat="1" applyFont="1" applyBorder="1" applyAlignment="1"/>
    <xf numFmtId="0" fontId="11" fillId="4" borderId="10" xfId="0" applyNumberFormat="1" applyFont="1" applyFill="1" applyBorder="1" applyAlignment="1">
      <alignment horizontal="center"/>
    </xf>
    <xf numFmtId="0" fontId="11" fillId="4" borderId="12" xfId="0" applyNumberFormat="1" applyFont="1" applyFill="1" applyBorder="1" applyAlignment="1">
      <alignment horizontal="center"/>
    </xf>
    <xf numFmtId="0" fontId="4" fillId="4" borderId="9" xfId="0" applyNumberFormat="1" applyFont="1" applyFill="1" applyBorder="1" applyAlignment="1"/>
    <xf numFmtId="0" fontId="33" fillId="0" borderId="7" xfId="0" applyNumberFormat="1" applyFont="1" applyBorder="1" applyAlignment="1"/>
    <xf numFmtId="0" fontId="33" fillId="0" borderId="4" xfId="0" applyNumberFormat="1" applyFont="1" applyBorder="1" applyAlignment="1"/>
    <xf numFmtId="0" fontId="37" fillId="2" borderId="0" xfId="0" applyNumberFormat="1" applyFont="1" applyFill="1" applyAlignment="1"/>
    <xf numFmtId="0" fontId="4" fillId="4" borderId="0" xfId="0" applyNumberFormat="1" applyFont="1" applyFill="1" applyAlignment="1"/>
    <xf numFmtId="0" fontId="13" fillId="0" borderId="11" xfId="0" applyNumberFormat="1" applyFont="1" applyBorder="1"/>
    <xf numFmtId="0" fontId="30" fillId="2" borderId="1" xfId="0" applyNumberFormat="1" applyFont="1" applyFill="1" applyBorder="1" applyAlignment="1" applyProtection="1">
      <alignment horizontal="right"/>
      <protection locked="0"/>
    </xf>
    <xf numFmtId="0" fontId="36" fillId="2" borderId="1" xfId="0" applyNumberFormat="1" applyFont="1" applyFill="1" applyBorder="1" applyAlignment="1"/>
    <xf numFmtId="1" fontId="30" fillId="2" borderId="8" xfId="0" applyNumberFormat="1" applyFont="1" applyFill="1" applyBorder="1" applyAlignment="1" applyProtection="1">
      <protection locked="0"/>
    </xf>
    <xf numFmtId="165" fontId="30" fillId="2" borderId="1" xfId="0" applyNumberFormat="1" applyFont="1" applyFill="1" applyBorder="1" applyAlignment="1" applyProtection="1">
      <protection locked="0"/>
    </xf>
    <xf numFmtId="3" fontId="30" fillId="2" borderId="1" xfId="0" applyNumberFormat="1" applyFont="1" applyFill="1" applyBorder="1" applyAlignment="1" applyProtection="1">
      <protection locked="0"/>
    </xf>
    <xf numFmtId="1" fontId="30" fillId="2" borderId="1" xfId="0" applyNumberFormat="1" applyFont="1" applyFill="1" applyBorder="1" applyAlignment="1" applyProtection="1">
      <protection locked="0"/>
    </xf>
    <xf numFmtId="0" fontId="30" fillId="2" borderId="1" xfId="0" applyNumberFormat="1" applyFont="1" applyFill="1" applyBorder="1" applyAlignment="1" applyProtection="1">
      <protection locked="0"/>
    </xf>
    <xf numFmtId="0" fontId="30" fillId="2" borderId="8" xfId="0" applyNumberFormat="1" applyFont="1" applyFill="1" applyBorder="1" applyAlignment="1" applyProtection="1">
      <protection locked="0"/>
    </xf>
    <xf numFmtId="170" fontId="30" fillId="2" borderId="8" xfId="0" applyNumberFormat="1" applyFont="1" applyFill="1" applyBorder="1" applyAlignment="1" applyProtection="1">
      <protection locked="0"/>
    </xf>
    <xf numFmtId="170" fontId="30" fillId="2" borderId="1" xfId="0" applyNumberFormat="1" applyFont="1" applyFill="1" applyBorder="1" applyAlignment="1" applyProtection="1">
      <protection locked="0"/>
    </xf>
    <xf numFmtId="2" fontId="30" fillId="2" borderId="1" xfId="0" applyNumberFormat="1" applyFont="1" applyFill="1" applyBorder="1" applyAlignment="1" applyProtection="1">
      <protection locked="0"/>
    </xf>
    <xf numFmtId="165" fontId="30" fillId="2" borderId="8" xfId="0" applyNumberFormat="1" applyFont="1" applyFill="1" applyBorder="1" applyAlignment="1" applyProtection="1">
      <protection locked="0"/>
    </xf>
    <xf numFmtId="0" fontId="30" fillId="2" borderId="16" xfId="0" applyNumberFormat="1" applyFont="1" applyFill="1" applyBorder="1" applyAlignment="1" applyProtection="1">
      <protection locked="0"/>
    </xf>
    <xf numFmtId="170" fontId="30" fillId="2" borderId="17" xfId="0" applyNumberFormat="1" applyFont="1" applyFill="1" applyBorder="1" applyAlignment="1" applyProtection="1">
      <protection locked="0"/>
    </xf>
    <xf numFmtId="170" fontId="30" fillId="2" borderId="16" xfId="0" applyNumberFormat="1" applyFont="1" applyFill="1" applyBorder="1" applyAlignment="1" applyProtection="1">
      <protection locked="0"/>
    </xf>
    <xf numFmtId="2" fontId="30" fillId="2" borderId="16" xfId="0" applyNumberFormat="1" applyFont="1" applyFill="1" applyBorder="1" applyAlignment="1" applyProtection="1">
      <protection locked="0"/>
    </xf>
    <xf numFmtId="165" fontId="30" fillId="2" borderId="17" xfId="0" applyNumberFormat="1" applyFont="1" applyFill="1" applyBorder="1" applyAlignment="1" applyProtection="1">
      <protection locked="0"/>
    </xf>
    <xf numFmtId="0" fontId="33" fillId="0" borderId="0" xfId="0" applyNumberFormat="1" applyFont="1" applyAlignment="1"/>
    <xf numFmtId="165" fontId="30" fillId="2" borderId="16" xfId="0" applyNumberFormat="1" applyFont="1" applyFill="1" applyBorder="1" applyAlignment="1" applyProtection="1">
      <protection locked="0"/>
    </xf>
    <xf numFmtId="3" fontId="30" fillId="2" borderId="16" xfId="0" applyNumberFormat="1" applyFont="1" applyFill="1" applyBorder="1" applyAlignment="1" applyProtection="1">
      <protection locked="0"/>
    </xf>
    <xf numFmtId="1" fontId="30" fillId="2" borderId="16" xfId="0" applyNumberFormat="1" applyFont="1" applyFill="1" applyBorder="1" applyAlignment="1" applyProtection="1">
      <protection locked="0"/>
    </xf>
    <xf numFmtId="0" fontId="30" fillId="2" borderId="17" xfId="0" applyNumberFormat="1" applyFont="1" applyFill="1" applyBorder="1" applyAlignment="1" applyProtection="1">
      <protection locked="0"/>
    </xf>
    <xf numFmtId="0" fontId="6" fillId="2" borderId="0" xfId="0" applyNumberFormat="1" applyFont="1" applyFill="1" applyAlignment="1">
      <alignment horizontal="centerContinuous"/>
    </xf>
    <xf numFmtId="0" fontId="6" fillId="2" borderId="3" xfId="0" applyNumberFormat="1" applyFont="1" applyFill="1" applyBorder="1" applyAlignment="1">
      <alignment horizontal="centerContinuous"/>
    </xf>
    <xf numFmtId="1" fontId="6" fillId="2" borderId="3" xfId="0" applyNumberFormat="1" applyFont="1" applyFill="1" applyBorder="1" applyAlignment="1">
      <alignment horizontal="centerContinuous"/>
    </xf>
    <xf numFmtId="0" fontId="6" fillId="2" borderId="3" xfId="0" applyNumberFormat="1" applyFont="1" applyFill="1" applyBorder="1" applyAlignment="1">
      <alignment horizontal="center"/>
    </xf>
    <xf numFmtId="1" fontId="6" fillId="3" borderId="5" xfId="0" applyNumberFormat="1" applyFont="1" applyFill="1" applyBorder="1" applyAlignment="1">
      <alignment horizontal="centerContinuous"/>
    </xf>
    <xf numFmtId="0" fontId="6" fillId="3" borderId="0" xfId="0" applyNumberFormat="1" applyFont="1" applyFill="1" applyAlignment="1">
      <alignment horizontal="centerContinuous"/>
    </xf>
    <xf numFmtId="1" fontId="6" fillId="3" borderId="3" xfId="0" applyNumberFormat="1" applyFont="1" applyFill="1" applyBorder="1" applyAlignment="1">
      <alignment horizontal="centerContinuous"/>
    </xf>
    <xf numFmtId="1" fontId="6" fillId="3" borderId="0" xfId="0" applyNumberFormat="1" applyFont="1" applyFill="1" applyAlignment="1">
      <alignment horizontal="centerContinuous"/>
    </xf>
    <xf numFmtId="0" fontId="6" fillId="3" borderId="3" xfId="0" applyNumberFormat="1" applyFont="1" applyFill="1" applyBorder="1" applyAlignment="1">
      <alignment horizontal="centerContinuous"/>
    </xf>
    <xf numFmtId="0" fontId="6" fillId="2" borderId="3" xfId="0" applyNumberFormat="1" applyFont="1" applyFill="1" applyBorder="1" applyAlignment="1"/>
    <xf numFmtId="0" fontId="6" fillId="2" borderId="1" xfId="0" applyNumberFormat="1" applyFont="1" applyFill="1" applyBorder="1" applyAlignment="1">
      <alignment horizontal="center"/>
    </xf>
    <xf numFmtId="0" fontId="6" fillId="2" borderId="8" xfId="0" applyNumberFormat="1" applyFont="1" applyFill="1" applyBorder="1" applyAlignment="1">
      <alignment horizontal="center"/>
    </xf>
    <xf numFmtId="1" fontId="6" fillId="3" borderId="8" xfId="0" applyNumberFormat="1" applyFont="1" applyFill="1" applyBorder="1" applyAlignment="1">
      <alignment horizontal="centerContinuous"/>
    </xf>
    <xf numFmtId="1" fontId="6" fillId="2" borderId="1" xfId="0" applyNumberFormat="1" applyFont="1" applyFill="1" applyBorder="1" applyAlignment="1">
      <alignment horizontal="center"/>
    </xf>
    <xf numFmtId="1" fontId="6" fillId="2" borderId="8" xfId="0" applyNumberFormat="1" applyFont="1" applyFill="1" applyBorder="1" applyAlignment="1">
      <alignment horizontal="center"/>
    </xf>
    <xf numFmtId="1" fontId="6" fillId="2" borderId="3" xfId="0" applyNumberFormat="1" applyFont="1" applyFill="1" applyBorder="1" applyAlignment="1">
      <alignment horizontal="center"/>
    </xf>
    <xf numFmtId="0" fontId="2" fillId="0" borderId="5" xfId="0" applyNumberFormat="1" applyFont="1" applyBorder="1"/>
    <xf numFmtId="0" fontId="6" fillId="3" borderId="7" xfId="0" applyNumberFormat="1" applyFont="1" applyFill="1" applyBorder="1" applyAlignment="1">
      <alignment horizontal="centerContinuous"/>
    </xf>
    <xf numFmtId="0" fontId="6" fillId="2" borderId="16" xfId="0" applyNumberFormat="1" applyFont="1" applyFill="1" applyBorder="1" applyAlignment="1">
      <alignment horizontal="centerContinuous"/>
    </xf>
    <xf numFmtId="165" fontId="6" fillId="2" borderId="7" xfId="0" applyNumberFormat="1" applyFont="1" applyFill="1" applyBorder="1" applyAlignment="1">
      <alignment horizontal="centerContinuous"/>
    </xf>
    <xf numFmtId="0" fontId="6" fillId="2" borderId="5" xfId="0" applyNumberFormat="1" applyFont="1" applyFill="1" applyBorder="1" applyAlignment="1">
      <alignment horizontal="center"/>
    </xf>
    <xf numFmtId="0" fontId="6" fillId="2" borderId="8" xfId="0" applyNumberFormat="1" applyFont="1" applyFill="1" applyBorder="1" applyAlignment="1">
      <alignment horizontal="centerContinuous"/>
    </xf>
    <xf numFmtId="1" fontId="6" fillId="2" borderId="1" xfId="0" applyNumberFormat="1" applyFont="1" applyFill="1" applyBorder="1" applyAlignment="1">
      <alignment horizontal="centerContinuous"/>
    </xf>
    <xf numFmtId="0" fontId="6" fillId="2" borderId="1" xfId="0" applyNumberFormat="1" applyFont="1" applyFill="1" applyBorder="1" applyAlignment="1">
      <alignment horizontal="centerContinuous"/>
    </xf>
    <xf numFmtId="0" fontId="6" fillId="3" borderId="8" xfId="0" applyNumberFormat="1" applyFont="1" applyFill="1" applyBorder="1" applyAlignment="1">
      <alignment horizontal="centerContinuous"/>
    </xf>
    <xf numFmtId="1" fontId="6" fillId="3" borderId="4" xfId="0" applyNumberFormat="1" applyFont="1" applyFill="1" applyBorder="1" applyAlignment="1">
      <alignment horizontal="centerContinuous"/>
    </xf>
    <xf numFmtId="0" fontId="6" fillId="3" borderId="1" xfId="0" applyNumberFormat="1" applyFont="1" applyFill="1" applyBorder="1" applyAlignment="1">
      <alignment horizontal="centerContinuous"/>
    </xf>
    <xf numFmtId="0" fontId="6" fillId="3" borderId="4" xfId="0" applyNumberFormat="1" applyFont="1" applyFill="1" applyBorder="1" applyAlignment="1">
      <alignment horizontal="centerContinuous"/>
    </xf>
    <xf numFmtId="165" fontId="6" fillId="2" borderId="1" xfId="0" applyNumberFormat="1" applyFont="1" applyFill="1" applyBorder="1" applyAlignment="1">
      <alignment horizontal="centerContinuous"/>
    </xf>
    <xf numFmtId="0" fontId="6" fillId="2" borderId="5" xfId="0" applyNumberFormat="1" applyFont="1" applyFill="1" applyBorder="1" applyAlignment="1">
      <alignment horizontal="centerContinuous"/>
    </xf>
    <xf numFmtId="0" fontId="6" fillId="2" borderId="17" xfId="0" applyNumberFormat="1" applyFont="1" applyFill="1" applyBorder="1" applyAlignment="1">
      <alignment horizontal="centerContinuous"/>
    </xf>
    <xf numFmtId="0" fontId="6" fillId="2" borderId="7" xfId="0" applyNumberFormat="1" applyFont="1" applyFill="1" applyBorder="1" applyAlignment="1">
      <alignment horizontal="centerContinuous"/>
    </xf>
    <xf numFmtId="0" fontId="6" fillId="2" borderId="4" xfId="0" applyNumberFormat="1" applyFont="1" applyFill="1" applyBorder="1" applyAlignment="1">
      <alignment horizontal="centerContinuous"/>
    </xf>
    <xf numFmtId="1" fontId="6" fillId="2" borderId="4" xfId="0" applyNumberFormat="1" applyFont="1" applyFill="1" applyBorder="1" applyAlignment="1">
      <alignment horizontal="centerContinuous"/>
    </xf>
    <xf numFmtId="1" fontId="6" fillId="2" borderId="7" xfId="0" applyNumberFormat="1" applyFont="1" applyFill="1" applyBorder="1" applyAlignment="1">
      <alignment horizontal="centerContinuous"/>
    </xf>
    <xf numFmtId="1" fontId="6" fillId="3" borderId="17" xfId="0" applyNumberFormat="1" applyFont="1" applyFill="1" applyBorder="1" applyAlignment="1">
      <alignment horizontal="centerContinuous"/>
    </xf>
    <xf numFmtId="0" fontId="6" fillId="2" borderId="17" xfId="0" applyNumberFormat="1" applyFont="1" applyFill="1" applyBorder="1" applyAlignment="1">
      <alignment horizontal="center"/>
    </xf>
    <xf numFmtId="180" fontId="24" fillId="4" borderId="10" xfId="0" applyNumberFormat="1" applyFont="1" applyFill="1" applyBorder="1" applyAlignment="1">
      <alignment horizontal="center"/>
    </xf>
    <xf numFmtId="0" fontId="8" fillId="5" borderId="0" xfId="0" applyNumberFormat="1" applyFont="1" applyFill="1" applyAlignment="1">
      <alignment vertical="center"/>
    </xf>
    <xf numFmtId="0" fontId="8" fillId="6" borderId="0" xfId="0" applyNumberFormat="1" applyFont="1" applyFill="1" applyAlignment="1"/>
    <xf numFmtId="0" fontId="8" fillId="6" borderId="0" xfId="0" applyNumberFormat="1" applyFont="1" applyFill="1" applyAlignment="1">
      <alignment vertical="center"/>
    </xf>
    <xf numFmtId="165" fontId="8" fillId="6" borderId="0" xfId="0" applyNumberFormat="1" applyFont="1" applyFill="1" applyAlignment="1">
      <alignment vertical="center"/>
    </xf>
    <xf numFmtId="0" fontId="44" fillId="5" borderId="0" xfId="0" applyNumberFormat="1" applyFont="1" applyFill="1" applyAlignment="1">
      <alignment horizontal="centerContinuous" vertical="center"/>
    </xf>
    <xf numFmtId="0" fontId="8" fillId="5" borderId="18" xfId="0" applyNumberFormat="1" applyFont="1" applyFill="1" applyBorder="1" applyAlignment="1">
      <alignment horizontal="centerContinuous" vertical="center"/>
    </xf>
    <xf numFmtId="0" fontId="8" fillId="6" borderId="0" xfId="0" applyNumberFormat="1" applyFont="1" applyFill="1" applyAlignment="1">
      <alignment horizontal="centerContinuous" vertical="center"/>
    </xf>
    <xf numFmtId="0" fontId="8" fillId="5" borderId="19" xfId="0" applyNumberFormat="1" applyFont="1" applyFill="1" applyBorder="1" applyAlignment="1">
      <alignment horizontal="centerContinuous" vertical="center"/>
    </xf>
    <xf numFmtId="0" fontId="8" fillId="5" borderId="0" xfId="0" applyNumberFormat="1" applyFont="1" applyFill="1" applyAlignment="1">
      <alignment horizontal="centerContinuous"/>
    </xf>
    <xf numFmtId="1" fontId="8" fillId="5" borderId="17" xfId="0" applyNumberFormat="1" applyFont="1" applyFill="1" applyBorder="1" applyAlignment="1">
      <alignment horizontal="center" vertical="center"/>
    </xf>
    <xf numFmtId="1" fontId="8" fillId="5" borderId="16" xfId="0" applyNumberFormat="1" applyFont="1" applyFill="1" applyBorder="1" applyAlignment="1">
      <alignment horizontal="center" vertical="center"/>
    </xf>
    <xf numFmtId="0" fontId="8" fillId="5" borderId="0" xfId="0" applyNumberFormat="1" applyFont="1" applyFill="1" applyAlignment="1">
      <alignment horizontal="centerContinuous" vertical="center"/>
    </xf>
    <xf numFmtId="2" fontId="8" fillId="6" borderId="20" xfId="0" applyNumberFormat="1" applyFont="1" applyFill="1" applyBorder="1" applyAlignment="1">
      <alignment horizontal="center" vertical="center"/>
    </xf>
    <xf numFmtId="2" fontId="8" fillId="6" borderId="16" xfId="0" applyNumberFormat="1" applyFont="1" applyFill="1" applyBorder="1" applyAlignment="1">
      <alignment horizontal="center" vertical="center"/>
    </xf>
    <xf numFmtId="165" fontId="8" fillId="6" borderId="16" xfId="0" applyNumberFormat="1" applyFont="1" applyFill="1" applyBorder="1" applyAlignment="1">
      <alignment horizontal="center" vertical="center"/>
    </xf>
    <xf numFmtId="2" fontId="8" fillId="6" borderId="17" xfId="0" applyNumberFormat="1" applyFont="1" applyFill="1" applyBorder="1" applyAlignment="1">
      <alignment horizontal="center" vertical="center"/>
    </xf>
    <xf numFmtId="0" fontId="8" fillId="6" borderId="5" xfId="0" applyNumberFormat="1" applyFont="1" applyFill="1" applyBorder="1" applyAlignment="1"/>
    <xf numFmtId="0" fontId="8" fillId="5" borderId="21" xfId="0" applyNumberFormat="1" applyFont="1" applyFill="1" applyBorder="1" applyAlignment="1">
      <alignment vertical="center"/>
    </xf>
    <xf numFmtId="0" fontId="8" fillId="5" borderId="17" xfId="0" applyNumberFormat="1" applyFont="1" applyFill="1" applyBorder="1" applyAlignment="1">
      <alignment horizontal="center" vertical="center"/>
    </xf>
    <xf numFmtId="0" fontId="8" fillId="5" borderId="16" xfId="0" applyNumberFormat="1" applyFont="1" applyFill="1" applyBorder="1" applyAlignment="1">
      <alignment horizontal="center" vertical="center"/>
    </xf>
    <xf numFmtId="0" fontId="8" fillId="5" borderId="20" xfId="0" applyNumberFormat="1" applyFont="1" applyFill="1" applyBorder="1" applyAlignment="1">
      <alignment horizontal="center" vertical="center"/>
    </xf>
    <xf numFmtId="0" fontId="8" fillId="6" borderId="20" xfId="0" applyNumberFormat="1" applyFont="1" applyFill="1" applyBorder="1" applyAlignment="1">
      <alignment horizontal="centerContinuous" vertical="center"/>
    </xf>
    <xf numFmtId="0" fontId="8" fillId="6" borderId="7" xfId="0" applyNumberFormat="1" applyFont="1" applyFill="1" applyBorder="1" applyAlignment="1">
      <alignment horizontal="centerContinuous" vertical="center"/>
    </xf>
    <xf numFmtId="0" fontId="8" fillId="6" borderId="17" xfId="0" applyNumberFormat="1" applyFont="1" applyFill="1" applyBorder="1" applyAlignment="1">
      <alignment horizontal="centerContinuous" vertical="center"/>
    </xf>
    <xf numFmtId="0" fontId="45" fillId="6" borderId="17" xfId="0" applyNumberFormat="1" applyFont="1" applyFill="1" applyBorder="1" applyAlignment="1">
      <alignment horizontal="center" vertical="center"/>
    </xf>
    <xf numFmtId="0" fontId="8" fillId="6" borderId="5" xfId="0" applyNumberFormat="1" applyFont="1" applyFill="1" applyBorder="1" applyAlignment="1">
      <alignment vertical="center"/>
    </xf>
    <xf numFmtId="0" fontId="8" fillId="5" borderId="22" xfId="0" applyNumberFormat="1" applyFont="1" applyFill="1" applyBorder="1" applyAlignment="1">
      <alignment horizontal="center" vertical="center"/>
    </xf>
    <xf numFmtId="0" fontId="8" fillId="5" borderId="5" xfId="0" applyNumberFormat="1" applyFont="1" applyFill="1" applyBorder="1" applyAlignment="1">
      <alignment horizontal="centerContinuous" vertical="center"/>
    </xf>
    <xf numFmtId="0" fontId="8" fillId="5" borderId="3" xfId="0" applyNumberFormat="1" applyFont="1" applyFill="1" applyBorder="1" applyAlignment="1">
      <alignment horizontal="centerContinuous" vertical="center"/>
    </xf>
    <xf numFmtId="0" fontId="8" fillId="6" borderId="23" xfId="0" applyNumberFormat="1" applyFont="1" applyFill="1" applyBorder="1" applyAlignment="1">
      <alignment horizontal="centerContinuous" vertical="center"/>
    </xf>
    <xf numFmtId="0" fontId="8" fillId="6" borderId="1" xfId="0" applyNumberFormat="1" applyFont="1" applyFill="1" applyBorder="1" applyAlignment="1">
      <alignment horizontal="centerContinuous" vertical="center"/>
    </xf>
    <xf numFmtId="0" fontId="8" fillId="6" borderId="8" xfId="0" applyNumberFormat="1" applyFont="1" applyFill="1" applyBorder="1" applyAlignment="1">
      <alignment horizontal="centerContinuous" vertical="center"/>
    </xf>
    <xf numFmtId="0" fontId="45" fillId="6" borderId="5" xfId="0" applyNumberFormat="1" applyFont="1" applyFill="1" applyBorder="1" applyAlignment="1">
      <alignment horizontal="center" vertical="center"/>
    </xf>
    <xf numFmtId="166" fontId="8" fillId="5" borderId="21" xfId="0" applyNumberFormat="1" applyFont="1" applyFill="1" applyBorder="1" applyAlignment="1">
      <alignment horizontal="center" vertical="center"/>
    </xf>
    <xf numFmtId="4" fontId="8" fillId="5" borderId="24" xfId="0" applyNumberFormat="1" applyFont="1" applyFill="1" applyBorder="1" applyAlignment="1">
      <alignment vertical="center"/>
    </xf>
    <xf numFmtId="4" fontId="8" fillId="5" borderId="25" xfId="0" applyNumberFormat="1" applyFont="1" applyFill="1" applyBorder="1" applyAlignment="1">
      <alignment vertical="center"/>
    </xf>
    <xf numFmtId="4" fontId="8" fillId="5" borderId="26" xfId="0" applyNumberFormat="1" applyFont="1" applyFill="1" applyBorder="1" applyAlignment="1">
      <alignment vertical="center"/>
    </xf>
    <xf numFmtId="4" fontId="8" fillId="5" borderId="27" xfId="0" applyNumberFormat="1" applyFont="1" applyFill="1" applyBorder="1" applyAlignment="1">
      <alignment vertical="center"/>
    </xf>
    <xf numFmtId="4" fontId="8" fillId="5" borderId="28" xfId="0" applyNumberFormat="1" applyFont="1" applyFill="1" applyBorder="1" applyAlignment="1">
      <alignment vertical="center"/>
    </xf>
    <xf numFmtId="3" fontId="8" fillId="5" borderId="20" xfId="0" applyNumberFormat="1" applyFont="1" applyFill="1" applyBorder="1" applyAlignment="1">
      <alignment vertical="center"/>
    </xf>
    <xf numFmtId="3" fontId="8" fillId="5" borderId="16" xfId="0" applyNumberFormat="1" applyFont="1" applyFill="1" applyBorder="1" applyAlignment="1">
      <alignment vertical="center"/>
    </xf>
    <xf numFmtId="2" fontId="8" fillId="6" borderId="16" xfId="0" applyNumberFormat="1" applyFont="1" applyFill="1" applyBorder="1" applyAlignment="1">
      <alignment vertical="center"/>
    </xf>
    <xf numFmtId="165" fontId="8" fillId="6" borderId="16" xfId="0" applyNumberFormat="1" applyFont="1" applyFill="1" applyBorder="1" applyAlignment="1">
      <alignment vertical="center"/>
    </xf>
    <xf numFmtId="2" fontId="8" fillId="6" borderId="17" xfId="0" applyNumberFormat="1" applyFont="1" applyFill="1" applyBorder="1" applyAlignment="1">
      <alignment vertical="center"/>
    </xf>
    <xf numFmtId="168" fontId="8" fillId="6" borderId="17" xfId="0" applyNumberFormat="1" applyFont="1" applyFill="1" applyBorder="1" applyAlignment="1">
      <alignment vertical="center"/>
    </xf>
    <xf numFmtId="164" fontId="8" fillId="6" borderId="17" xfId="0" applyNumberFormat="1" applyFont="1" applyFill="1" applyBorder="1" applyAlignment="1">
      <alignment vertical="center"/>
    </xf>
    <xf numFmtId="166" fontId="8" fillId="5" borderId="29" xfId="0" applyNumberFormat="1" applyFont="1" applyFill="1" applyBorder="1" applyAlignment="1">
      <alignment horizontal="center" vertical="center"/>
    </xf>
    <xf numFmtId="4" fontId="8" fillId="5" borderId="8" xfId="0" applyNumberFormat="1" applyFont="1" applyFill="1" applyBorder="1" applyAlignment="1">
      <alignment vertical="center"/>
    </xf>
    <xf numFmtId="4" fontId="8" fillId="5" borderId="30" xfId="0" applyNumberFormat="1" applyFont="1" applyFill="1" applyBorder="1" applyAlignment="1">
      <alignment vertical="center"/>
    </xf>
    <xf numFmtId="4" fontId="8" fillId="5" borderId="1" xfId="0" applyNumberFormat="1" applyFont="1" applyFill="1" applyBorder="1" applyAlignment="1">
      <alignment vertical="center"/>
    </xf>
    <xf numFmtId="4" fontId="8" fillId="5" borderId="31" xfId="0" applyNumberFormat="1" applyFont="1" applyFill="1" applyBorder="1" applyAlignment="1">
      <alignment vertical="center"/>
    </xf>
    <xf numFmtId="4" fontId="8" fillId="5" borderId="32" xfId="0" applyNumberFormat="1" applyFont="1" applyFill="1" applyBorder="1" applyAlignment="1">
      <alignment vertical="center"/>
    </xf>
    <xf numFmtId="4" fontId="8" fillId="5" borderId="33" xfId="0" applyNumberFormat="1" applyFont="1" applyFill="1" applyBorder="1" applyAlignment="1">
      <alignment vertical="center"/>
    </xf>
    <xf numFmtId="4" fontId="8" fillId="5" borderId="34" xfId="0" applyNumberFormat="1" applyFont="1" applyFill="1" applyBorder="1" applyAlignment="1">
      <alignment vertical="center"/>
    </xf>
    <xf numFmtId="3" fontId="8" fillId="5" borderId="23" xfId="0" applyNumberFormat="1" applyFont="1" applyFill="1" applyBorder="1" applyAlignment="1">
      <alignment vertical="center"/>
    </xf>
    <xf numFmtId="3" fontId="8" fillId="5" borderId="1" xfId="0" applyNumberFormat="1" applyFont="1" applyFill="1" applyBorder="1" applyAlignment="1">
      <alignment vertical="center"/>
    </xf>
    <xf numFmtId="2" fontId="8" fillId="6" borderId="23" xfId="0" applyNumberFormat="1" applyFont="1" applyFill="1" applyBorder="1" applyAlignment="1">
      <alignment vertical="center"/>
    </xf>
    <xf numFmtId="2" fontId="8" fillId="6" borderId="1" xfId="0" applyNumberFormat="1" applyFont="1" applyFill="1" applyBorder="1" applyAlignment="1">
      <alignment vertical="center"/>
    </xf>
    <xf numFmtId="165" fontId="8" fillId="6" borderId="1" xfId="0" applyNumberFormat="1" applyFont="1" applyFill="1" applyBorder="1" applyAlignment="1">
      <alignment vertical="center"/>
    </xf>
    <xf numFmtId="2" fontId="8" fillId="6" borderId="8" xfId="0" applyNumberFormat="1" applyFont="1" applyFill="1" applyBorder="1" applyAlignment="1">
      <alignment vertical="center"/>
    </xf>
    <xf numFmtId="167" fontId="8" fillId="6" borderId="8" xfId="0" applyNumberFormat="1" applyFont="1" applyFill="1" applyBorder="1" applyAlignment="1">
      <alignment vertical="center"/>
    </xf>
    <xf numFmtId="168" fontId="8" fillId="6" borderId="8" xfId="0" applyNumberFormat="1" applyFont="1" applyFill="1" applyBorder="1" applyAlignment="1">
      <alignment vertical="center"/>
    </xf>
    <xf numFmtId="164" fontId="8" fillId="6" borderId="8" xfId="0" applyNumberFormat="1" applyFont="1" applyFill="1" applyBorder="1" applyAlignment="1">
      <alignment vertical="center"/>
    </xf>
    <xf numFmtId="0" fontId="8" fillId="5" borderId="0" xfId="0" applyNumberFormat="1" applyFont="1" applyFill="1" applyAlignment="1"/>
    <xf numFmtId="0" fontId="8" fillId="5" borderId="0" xfId="0" applyNumberFormat="1" applyFont="1" applyFill="1" applyAlignment="1" applyProtection="1">
      <alignment vertical="center"/>
      <protection locked="0"/>
    </xf>
    <xf numFmtId="166" fontId="8" fillId="5" borderId="35" xfId="0" applyNumberFormat="1" applyFont="1" applyFill="1" applyBorder="1" applyAlignment="1">
      <alignment horizontal="center" vertical="center"/>
    </xf>
    <xf numFmtId="4" fontId="8" fillId="5" borderId="17" xfId="0" applyNumberFormat="1" applyFont="1" applyFill="1" applyBorder="1" applyAlignment="1">
      <alignment vertical="center"/>
    </xf>
    <xf numFmtId="4" fontId="8" fillId="5" borderId="16" xfId="0" applyNumberFormat="1" applyFont="1" applyFill="1" applyBorder="1" applyAlignment="1">
      <alignment vertical="center"/>
    </xf>
    <xf numFmtId="0" fontId="8" fillId="6" borderId="20" xfId="0" applyNumberFormat="1" applyFont="1" applyFill="1" applyBorder="1" applyAlignment="1">
      <alignment vertical="center"/>
    </xf>
    <xf numFmtId="0" fontId="8" fillId="6" borderId="7" xfId="0" applyNumberFormat="1" applyFont="1" applyFill="1" applyBorder="1" applyAlignment="1">
      <alignment vertical="center"/>
    </xf>
    <xf numFmtId="165" fontId="8" fillId="6" borderId="17" xfId="0" applyNumberFormat="1" applyFont="1" applyFill="1" applyBorder="1" applyAlignment="1">
      <alignment horizontal="centerContinuous" vertical="center"/>
    </xf>
    <xf numFmtId="0" fontId="8" fillId="6" borderId="17" xfId="0" applyNumberFormat="1" applyFont="1" applyFill="1" applyBorder="1" applyAlignment="1">
      <alignment vertical="center"/>
    </xf>
    <xf numFmtId="0" fontId="8" fillId="5" borderId="7" xfId="0" applyNumberFormat="1" applyFont="1" applyFill="1" applyBorder="1" applyAlignment="1">
      <alignment vertical="center"/>
    </xf>
    <xf numFmtId="0" fontId="8" fillId="5" borderId="17" xfId="0" applyNumberFormat="1" applyFont="1" applyFill="1" applyBorder="1" applyAlignment="1">
      <alignment horizontal="centerContinuous" vertical="center"/>
    </xf>
    <xf numFmtId="0" fontId="8" fillId="5" borderId="7" xfId="0" applyNumberFormat="1" applyFont="1" applyFill="1" applyBorder="1" applyAlignment="1">
      <alignment horizontal="centerContinuous" vertical="center"/>
    </xf>
    <xf numFmtId="0" fontId="8" fillId="5" borderId="23" xfId="0" applyNumberFormat="1" applyFont="1" applyFill="1" applyBorder="1" applyAlignment="1">
      <alignment horizontal="centerContinuous" vertical="center"/>
    </xf>
    <xf numFmtId="0" fontId="8" fillId="5" borderId="4" xfId="0" applyNumberFormat="1" applyFont="1" applyFill="1" applyBorder="1" applyAlignment="1">
      <alignment horizontal="centerContinuous" vertical="center"/>
    </xf>
    <xf numFmtId="3" fontId="8" fillId="6" borderId="17" xfId="0" applyNumberFormat="1" applyFont="1" applyFill="1" applyBorder="1" applyAlignment="1">
      <alignment vertical="center"/>
    </xf>
    <xf numFmtId="0" fontId="8" fillId="5" borderId="5"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8" fillId="5" borderId="23" xfId="0" applyNumberFormat="1" applyFont="1" applyFill="1" applyBorder="1" applyAlignment="1"/>
    <xf numFmtId="0" fontId="42" fillId="6" borderId="19" xfId="0" applyNumberFormat="1" applyFont="1" applyFill="1" applyBorder="1" applyAlignment="1"/>
    <xf numFmtId="1" fontId="8" fillId="5" borderId="5" xfId="0" applyNumberFormat="1" applyFont="1" applyFill="1" applyBorder="1" applyAlignment="1">
      <alignment horizontal="center" vertical="center"/>
    </xf>
    <xf numFmtId="1" fontId="8" fillId="5" borderId="3" xfId="0" applyNumberFormat="1" applyFont="1" applyFill="1" applyBorder="1" applyAlignment="1">
      <alignment horizontal="center" vertical="center"/>
    </xf>
    <xf numFmtId="0" fontId="8" fillId="5" borderId="20" xfId="0" applyNumberFormat="1" applyFont="1" applyFill="1" applyBorder="1" applyAlignment="1">
      <alignment horizontal="center"/>
    </xf>
    <xf numFmtId="0" fontId="8" fillId="5" borderId="16" xfId="0" applyNumberFormat="1" applyFont="1" applyFill="1" applyBorder="1" applyAlignment="1">
      <alignment horizontal="center"/>
    </xf>
    <xf numFmtId="0" fontId="8" fillId="5" borderId="16" xfId="0" applyNumberFormat="1" applyFont="1" applyFill="1" applyBorder="1" applyAlignment="1">
      <alignment horizontal="centerContinuous" vertical="center"/>
    </xf>
    <xf numFmtId="0" fontId="8" fillId="5" borderId="17" xfId="0" applyNumberFormat="1" applyFont="1" applyFill="1" applyBorder="1" applyAlignment="1"/>
    <xf numFmtId="0" fontId="8" fillId="5" borderId="7" xfId="0" applyNumberFormat="1" applyFont="1" applyFill="1" applyBorder="1" applyAlignment="1"/>
    <xf numFmtId="0" fontId="46" fillId="5" borderId="23" xfId="0" applyNumberFormat="1" applyFont="1" applyFill="1" applyBorder="1" applyAlignment="1"/>
    <xf numFmtId="0" fontId="46" fillId="5" borderId="4" xfId="0" applyNumberFormat="1" applyFont="1" applyFill="1" applyBorder="1" applyAlignment="1"/>
    <xf numFmtId="0" fontId="42" fillId="6" borderId="0" xfId="0" applyNumberFormat="1" applyFont="1" applyFill="1" applyAlignment="1">
      <alignment vertical="center"/>
    </xf>
    <xf numFmtId="0" fontId="8" fillId="5" borderId="5" xfId="0" applyNumberFormat="1" applyFont="1" applyFill="1" applyBorder="1" applyAlignment="1">
      <alignment horizontal="centerContinuous"/>
    </xf>
    <xf numFmtId="9" fontId="46" fillId="5" borderId="4" xfId="0" applyNumberFormat="1" applyFont="1" applyFill="1" applyBorder="1" applyAlignment="1"/>
    <xf numFmtId="0" fontId="46" fillId="5" borderId="1" xfId="0" applyNumberFormat="1" applyFont="1" applyFill="1" applyBorder="1" applyAlignment="1"/>
    <xf numFmtId="0" fontId="8" fillId="5" borderId="5" xfId="0" applyNumberFormat="1" applyFont="1" applyFill="1" applyBorder="1" applyAlignment="1"/>
    <xf numFmtId="1" fontId="46" fillId="5" borderId="20" xfId="0" applyNumberFormat="1" applyFont="1" applyFill="1" applyBorder="1" applyAlignment="1"/>
    <xf numFmtId="1" fontId="46" fillId="5" borderId="17" xfId="0" applyNumberFormat="1" applyFont="1" applyFill="1" applyBorder="1" applyAlignment="1"/>
    <xf numFmtId="0" fontId="8" fillId="6" borderId="19" xfId="0" applyNumberFormat="1" applyFont="1" applyFill="1" applyBorder="1" applyAlignment="1"/>
    <xf numFmtId="0" fontId="8" fillId="5" borderId="18" xfId="0" applyNumberFormat="1" applyFont="1" applyFill="1" applyBorder="1" applyAlignment="1"/>
    <xf numFmtId="0" fontId="8" fillId="0" borderId="0" xfId="0" applyNumberFormat="1" applyFont="1" applyAlignment="1">
      <alignment vertical="center"/>
    </xf>
    <xf numFmtId="0" fontId="8" fillId="0" borderId="0" xfId="0" applyNumberFormat="1" applyFont="1" applyAlignment="1"/>
    <xf numFmtId="0" fontId="13" fillId="6" borderId="17" xfId="0" applyNumberFormat="1" applyFont="1" applyFill="1" applyBorder="1" applyAlignment="1"/>
    <xf numFmtId="0" fontId="13" fillId="6" borderId="16" xfId="0" applyNumberFormat="1" applyFont="1" applyFill="1" applyBorder="1" applyAlignment="1"/>
    <xf numFmtId="0" fontId="8" fillId="0" borderId="5" xfId="0" applyNumberFormat="1" applyFont="1" applyBorder="1" applyAlignment="1">
      <alignment vertical="center"/>
    </xf>
    <xf numFmtId="0" fontId="47" fillId="0" borderId="0" xfId="0" applyNumberFormat="1" applyFont="1" applyAlignment="1"/>
    <xf numFmtId="0" fontId="8" fillId="5" borderId="17" xfId="0" applyNumberFormat="1" applyFont="1" applyFill="1" applyBorder="1" applyAlignment="1">
      <alignment vertical="center"/>
    </xf>
    <xf numFmtId="0" fontId="8" fillId="5" borderId="8" xfId="0" applyNumberFormat="1" applyFont="1" applyFill="1" applyBorder="1" applyAlignment="1">
      <alignment horizontal="center" vertical="center"/>
    </xf>
    <xf numFmtId="166" fontId="8" fillId="5" borderId="17" xfId="0" applyNumberFormat="1" applyFont="1" applyFill="1" applyBorder="1" applyAlignment="1">
      <alignment horizontal="center" vertical="center"/>
    </xf>
    <xf numFmtId="2" fontId="13" fillId="6" borderId="17" xfId="0" applyNumberFormat="1" applyFont="1" applyFill="1" applyBorder="1" applyAlignment="1"/>
    <xf numFmtId="2" fontId="13" fillId="6" borderId="16" xfId="0" applyNumberFormat="1" applyFont="1" applyFill="1" applyBorder="1" applyAlignment="1"/>
    <xf numFmtId="2" fontId="13" fillId="6" borderId="8" xfId="0" applyNumberFormat="1" applyFont="1" applyFill="1" applyBorder="1" applyAlignment="1"/>
    <xf numFmtId="2" fontId="13" fillId="6" borderId="1" xfId="0" applyNumberFormat="1" applyFont="1" applyFill="1" applyBorder="1" applyAlignment="1"/>
    <xf numFmtId="166" fontId="8" fillId="5" borderId="5" xfId="0" applyNumberFormat="1" applyFont="1" applyFill="1" applyBorder="1" applyAlignment="1">
      <alignment horizontal="center" vertical="center"/>
    </xf>
    <xf numFmtId="0" fontId="8" fillId="0" borderId="7" xfId="0" applyFont="1" applyBorder="1" applyAlignment="1">
      <alignment vertical="center"/>
    </xf>
    <xf numFmtId="0" fontId="13" fillId="0" borderId="0" xfId="0" applyFont="1" applyFill="1" applyBorder="1" applyAlignment="1">
      <alignment horizontal="center"/>
    </xf>
    <xf numFmtId="0" fontId="36" fillId="3" borderId="0" xfId="0" applyNumberFormat="1" applyFont="1" applyFill="1" applyAlignment="1"/>
    <xf numFmtId="0" fontId="36" fillId="3" borderId="0" xfId="0" applyNumberFormat="1" applyFont="1" applyFill="1" applyAlignment="1">
      <alignment horizontal="right"/>
    </xf>
    <xf numFmtId="0" fontId="36" fillId="3" borderId="0" xfId="0" applyNumberFormat="1" applyFont="1" applyFill="1" applyAlignment="1">
      <alignment horizontal="centerContinuous"/>
    </xf>
    <xf numFmtId="0" fontId="33" fillId="2" borderId="0" xfId="0" applyNumberFormat="1" applyFont="1" applyFill="1" applyAlignment="1"/>
    <xf numFmtId="0" fontId="36" fillId="3" borderId="1" xfId="0" applyNumberFormat="1" applyFont="1" applyFill="1" applyBorder="1" applyAlignment="1">
      <alignment horizontal="centerContinuous"/>
    </xf>
    <xf numFmtId="0" fontId="36" fillId="3" borderId="4" xfId="0" applyNumberFormat="1" applyFont="1" applyFill="1" applyBorder="1" applyAlignment="1">
      <alignment horizontal="centerContinuous"/>
    </xf>
    <xf numFmtId="1" fontId="36" fillId="3" borderId="1" xfId="0" applyNumberFormat="1" applyFont="1" applyFill="1" applyBorder="1" applyAlignment="1"/>
    <xf numFmtId="1" fontId="36" fillId="3" borderId="1" xfId="0" applyNumberFormat="1" applyFont="1" applyFill="1" applyBorder="1" applyAlignment="1">
      <alignment horizontal="centerContinuous"/>
    </xf>
    <xf numFmtId="1" fontId="48" fillId="3" borderId="4" xfId="0" applyNumberFormat="1" applyFont="1" applyFill="1" applyBorder="1" applyAlignment="1"/>
    <xf numFmtId="0" fontId="36" fillId="7" borderId="1" xfId="0" applyNumberFormat="1" applyFont="1" applyFill="1" applyBorder="1" applyAlignment="1"/>
    <xf numFmtId="0" fontId="36" fillId="7" borderId="4" xfId="0" applyNumberFormat="1" applyFont="1" applyFill="1" applyBorder="1" applyAlignment="1"/>
    <xf numFmtId="165" fontId="48" fillId="3" borderId="4" xfId="0" applyNumberFormat="1" applyFont="1" applyFill="1" applyBorder="1" applyAlignment="1"/>
    <xf numFmtId="0" fontId="36" fillId="3" borderId="4" xfId="0" applyNumberFormat="1" applyFont="1" applyFill="1" applyBorder="1" applyAlignment="1"/>
    <xf numFmtId="0" fontId="48" fillId="3" borderId="4" xfId="0" applyNumberFormat="1" applyFont="1" applyFill="1" applyBorder="1" applyAlignment="1"/>
    <xf numFmtId="3" fontId="48" fillId="3" borderId="4" xfId="0" applyNumberFormat="1" applyFont="1" applyFill="1" applyBorder="1" applyAlignment="1"/>
    <xf numFmtId="1" fontId="36" fillId="3" borderId="4" xfId="0" applyNumberFormat="1" applyFont="1" applyFill="1" applyBorder="1" applyAlignment="1">
      <alignment horizontal="centerContinuous"/>
    </xf>
    <xf numFmtId="0" fontId="36" fillId="3" borderId="1" xfId="0" applyFont="1" applyFill="1" applyBorder="1" applyAlignment="1">
      <alignment horizontal="centerContinuous"/>
    </xf>
    <xf numFmtId="0" fontId="49" fillId="7" borderId="4" xfId="0" applyNumberFormat="1" applyFont="1" applyFill="1" applyBorder="1" applyAlignment="1"/>
    <xf numFmtId="1" fontId="31" fillId="3" borderId="1" xfId="0" applyNumberFormat="1" applyFont="1" applyFill="1" applyBorder="1" applyAlignment="1">
      <alignment horizontal="centerContinuous"/>
    </xf>
    <xf numFmtId="0" fontId="36" fillId="2" borderId="1" xfId="0" applyNumberFormat="1" applyFont="1" applyFill="1" applyBorder="1"/>
    <xf numFmtId="165" fontId="36" fillId="3" borderId="4" xfId="0" applyNumberFormat="1" applyFont="1" applyFill="1" applyBorder="1" applyAlignment="1"/>
    <xf numFmtId="1" fontId="36" fillId="3" borderId="4" xfId="0" applyNumberFormat="1" applyFont="1" applyFill="1" applyBorder="1" applyAlignment="1"/>
    <xf numFmtId="9" fontId="48" fillId="3" borderId="1" xfId="0" applyNumberFormat="1" applyFont="1" applyFill="1" applyBorder="1" applyAlignment="1"/>
    <xf numFmtId="3" fontId="48" fillId="3" borderId="1" xfId="0" applyNumberFormat="1" applyFont="1" applyFill="1" applyBorder="1" applyAlignment="1"/>
    <xf numFmtId="1" fontId="48" fillId="3" borderId="1" xfId="0" applyNumberFormat="1" applyFont="1" applyFill="1" applyBorder="1" applyAlignment="1"/>
    <xf numFmtId="0" fontId="33" fillId="2" borderId="1" xfId="0" applyNumberFormat="1" applyFont="1" applyFill="1" applyBorder="1" applyAlignment="1"/>
    <xf numFmtId="1" fontId="48" fillId="3" borderId="1" xfId="0" applyNumberFormat="1" applyFont="1" applyFill="1" applyBorder="1" applyAlignment="1">
      <alignment horizontal="centerContinuous"/>
    </xf>
    <xf numFmtId="0" fontId="36" fillId="3" borderId="1" xfId="0" applyNumberFormat="1" applyFont="1" applyFill="1" applyBorder="1" applyAlignment="1"/>
    <xf numFmtId="2" fontId="48" fillId="3" borderId="4" xfId="0" applyNumberFormat="1" applyFont="1" applyFill="1" applyBorder="1" applyAlignment="1"/>
    <xf numFmtId="165" fontId="36" fillId="3" borderId="1" xfId="0" applyNumberFormat="1" applyFont="1" applyFill="1" applyBorder="1" applyAlignment="1"/>
    <xf numFmtId="165" fontId="50" fillId="2" borderId="4" xfId="0" applyNumberFormat="1" applyFont="1" applyFill="1" applyBorder="1" applyAlignment="1"/>
    <xf numFmtId="3" fontId="50" fillId="2" borderId="4" xfId="0" applyNumberFormat="1" applyFont="1" applyFill="1" applyBorder="1" applyAlignment="1"/>
    <xf numFmtId="0" fontId="33" fillId="8" borderId="1" xfId="0" applyNumberFormat="1" applyFont="1" applyFill="1" applyBorder="1" applyAlignment="1"/>
    <xf numFmtId="0" fontId="33" fillId="8" borderId="4" xfId="0" applyNumberFormat="1" applyFont="1" applyFill="1" applyBorder="1" applyAlignment="1"/>
    <xf numFmtId="0" fontId="33" fillId="2" borderId="4" xfId="0" applyNumberFormat="1" applyFont="1" applyFill="1" applyBorder="1" applyAlignment="1"/>
    <xf numFmtId="0" fontId="51" fillId="0" borderId="17" xfId="0" applyNumberFormat="1" applyFont="1" applyBorder="1" applyAlignment="1">
      <alignment horizontal="centerContinuous"/>
    </xf>
    <xf numFmtId="0" fontId="33" fillId="0" borderId="7" xfId="0" applyNumberFormat="1" applyFont="1" applyBorder="1" applyAlignment="1">
      <alignment horizontal="centerContinuous"/>
    </xf>
    <xf numFmtId="0" fontId="32" fillId="0" borderId="16" xfId="0" applyNumberFormat="1" applyFont="1" applyBorder="1" applyAlignment="1">
      <alignment horizontal="centerContinuous" wrapText="1"/>
    </xf>
    <xf numFmtId="0" fontId="33" fillId="0" borderId="8" xfId="0" applyNumberFormat="1" applyFont="1" applyBorder="1" applyAlignment="1">
      <alignment horizontal="centerContinuous"/>
    </xf>
    <xf numFmtId="0" fontId="52" fillId="0" borderId="4" xfId="0" applyNumberFormat="1" applyFont="1" applyBorder="1" applyAlignment="1">
      <alignment horizontal="centerContinuous"/>
    </xf>
    <xf numFmtId="0" fontId="33" fillId="0" borderId="4" xfId="0" applyNumberFormat="1" applyFont="1" applyBorder="1" applyAlignment="1">
      <alignment horizontal="centerContinuous"/>
    </xf>
    <xf numFmtId="0" fontId="33" fillId="0" borderId="1" xfId="0" applyNumberFormat="1" applyFont="1" applyBorder="1" applyAlignment="1">
      <alignment horizontal="right"/>
    </xf>
    <xf numFmtId="0" fontId="50" fillId="0" borderId="4" xfId="0" applyNumberFormat="1" applyFont="1" applyBorder="1" applyAlignment="1"/>
    <xf numFmtId="0" fontId="32" fillId="0" borderId="3" xfId="0" applyNumberFormat="1" applyFont="1" applyBorder="1" applyAlignment="1">
      <alignment horizontal="left" wrapText="1"/>
    </xf>
    <xf numFmtId="0" fontId="33" fillId="0" borderId="5" xfId="0" applyNumberFormat="1" applyFont="1" applyBorder="1" applyAlignment="1">
      <alignment horizontal="center"/>
    </xf>
    <xf numFmtId="0" fontId="50" fillId="0" borderId="0" xfId="0" applyNumberFormat="1" applyFont="1" applyAlignment="1">
      <alignment horizontal="centerContinuous"/>
    </xf>
    <xf numFmtId="0" fontId="50" fillId="0" borderId="0" xfId="0" applyNumberFormat="1" applyFont="1" applyAlignment="1">
      <alignment horizontal="center"/>
    </xf>
    <xf numFmtId="0" fontId="33" fillId="0" borderId="3" xfId="0" applyNumberFormat="1" applyFont="1" applyBorder="1" applyAlignment="1"/>
    <xf numFmtId="0" fontId="50" fillId="0" borderId="4" xfId="0" applyNumberFormat="1" applyFont="1" applyBorder="1" applyAlignment="1">
      <alignment horizontal="centerContinuous"/>
    </xf>
    <xf numFmtId="0" fontId="50" fillId="0" borderId="4" xfId="0" applyNumberFormat="1" applyFont="1" applyBorder="1" applyAlignment="1">
      <alignment horizontal="center"/>
    </xf>
    <xf numFmtId="0" fontId="33" fillId="0" borderId="3" xfId="0" applyNumberFormat="1" applyFont="1" applyBorder="1" applyAlignment="1">
      <alignment horizontal="centerContinuous"/>
    </xf>
    <xf numFmtId="0" fontId="33" fillId="0" borderId="0" xfId="0" applyNumberFormat="1" applyFont="1" applyAlignment="1">
      <alignment horizontal="centerContinuous"/>
    </xf>
    <xf numFmtId="0" fontId="50" fillId="0" borderId="0" xfId="0" applyNumberFormat="1" applyFont="1" applyAlignment="1"/>
    <xf numFmtId="0" fontId="34" fillId="0" borderId="4" xfId="0" applyNumberFormat="1" applyFont="1" applyBorder="1" applyAlignment="1">
      <alignment horizontal="centerContinuous" vertical="top"/>
    </xf>
    <xf numFmtId="0" fontId="34" fillId="0" borderId="4" xfId="0" applyNumberFormat="1" applyFont="1" applyBorder="1" applyAlignment="1">
      <alignment horizontal="center" vertical="top"/>
    </xf>
    <xf numFmtId="0" fontId="53" fillId="0" borderId="1" xfId="0" applyNumberFormat="1" applyFont="1" applyBorder="1" applyAlignment="1">
      <alignment horizontal="right" wrapText="1"/>
    </xf>
    <xf numFmtId="0" fontId="33" fillId="0" borderId="17" xfId="0" applyNumberFormat="1" applyFont="1" applyBorder="1" applyAlignment="1">
      <alignment horizontal="centerContinuous"/>
    </xf>
    <xf numFmtId="0" fontId="33" fillId="0" borderId="16" xfId="0" applyNumberFormat="1" applyFont="1" applyBorder="1" applyAlignment="1">
      <alignment horizontal="centerContinuous"/>
    </xf>
    <xf numFmtId="0" fontId="33" fillId="0" borderId="36" xfId="0" applyNumberFormat="1" applyFont="1" applyBorder="1" applyAlignment="1">
      <alignment horizontal="centerContinuous"/>
    </xf>
    <xf numFmtId="0" fontId="54" fillId="3" borderId="0" xfId="0" applyNumberFormat="1" applyFont="1" applyFill="1" applyAlignment="1">
      <alignment vertical="center"/>
    </xf>
    <xf numFmtId="0" fontId="8" fillId="9" borderId="0" xfId="0" applyNumberFormat="1" applyFont="1" applyFill="1" applyAlignment="1"/>
    <xf numFmtId="0" fontId="8" fillId="9" borderId="0" xfId="0" applyNumberFormat="1" applyFont="1" applyFill="1" applyAlignment="1">
      <alignment vertical="center"/>
    </xf>
    <xf numFmtId="0" fontId="8" fillId="10" borderId="0" xfId="0" applyNumberFormat="1" applyFont="1" applyFill="1" applyAlignment="1">
      <alignment vertical="center"/>
    </xf>
    <xf numFmtId="0" fontId="8" fillId="11" borderId="0" xfId="0" applyNumberFormat="1" applyFont="1" applyFill="1" applyAlignment="1">
      <alignment vertical="center"/>
    </xf>
    <xf numFmtId="0" fontId="8" fillId="0" borderId="4" xfId="0" applyNumberFormat="1" applyFont="1" applyBorder="1" applyAlignment="1">
      <alignment vertical="center"/>
    </xf>
    <xf numFmtId="0" fontId="8" fillId="0" borderId="4" xfId="0" applyNumberFormat="1" applyFont="1" applyBorder="1" applyAlignment="1">
      <alignment horizontal="center" vertical="center"/>
    </xf>
    <xf numFmtId="0" fontId="54" fillId="3" borderId="3" xfId="0" applyNumberFormat="1" applyFont="1" applyFill="1" applyBorder="1" applyAlignment="1">
      <alignment vertical="center"/>
    </xf>
    <xf numFmtId="0" fontId="8" fillId="0" borderId="4" xfId="0" applyNumberFormat="1" applyFont="1" applyBorder="1" applyAlignment="1">
      <alignment horizontal="right" vertical="center"/>
    </xf>
    <xf numFmtId="0" fontId="8" fillId="0" borderId="3" xfId="0" applyNumberFormat="1" applyFont="1" applyBorder="1" applyAlignment="1">
      <alignment vertical="center"/>
    </xf>
    <xf numFmtId="0" fontId="8" fillId="0" borderId="4" xfId="0" applyNumberFormat="1" applyFont="1" applyBorder="1" applyAlignment="1">
      <alignment horizontal="left" vertical="center"/>
    </xf>
    <xf numFmtId="0" fontId="13" fillId="0" borderId="4" xfId="0" applyNumberFormat="1" applyFont="1" applyBorder="1" applyAlignment="1">
      <alignment vertical="center"/>
    </xf>
    <xf numFmtId="0" fontId="8" fillId="0" borderId="3" xfId="0" applyNumberFormat="1" applyFont="1" applyBorder="1" applyAlignment="1">
      <alignment horizontal="centerContinuous" vertical="center"/>
    </xf>
    <xf numFmtId="0" fontId="8" fillId="0" borderId="0" xfId="0" applyNumberFormat="1" applyFont="1" applyBorder="1" applyAlignment="1">
      <alignment vertical="center"/>
    </xf>
    <xf numFmtId="0" fontId="8" fillId="9" borderId="0" xfId="0" applyNumberFormat="1" applyFont="1" applyFill="1" applyAlignment="1" applyProtection="1">
      <protection locked="0"/>
    </xf>
    <xf numFmtId="0" fontId="8" fillId="11" borderId="0" xfId="0" applyNumberFormat="1" applyFont="1" applyFill="1" applyAlignment="1">
      <alignment horizontal="centerContinuous" vertical="center"/>
    </xf>
    <xf numFmtId="0" fontId="8" fillId="6" borderId="0" xfId="0" applyNumberFormat="1" applyFont="1" applyFill="1" applyAlignment="1">
      <alignment horizontal="left" vertical="center"/>
    </xf>
    <xf numFmtId="0" fontId="8" fillId="9" borderId="0" xfId="0" applyNumberFormat="1" applyFont="1" applyFill="1" applyAlignment="1">
      <alignment horizontal="center"/>
    </xf>
    <xf numFmtId="0" fontId="8" fillId="0" borderId="0" xfId="0" applyNumberFormat="1" applyFont="1" applyAlignment="1">
      <alignment horizontal="center" vertical="center"/>
    </xf>
    <xf numFmtId="0" fontId="8" fillId="0" borderId="4" xfId="0" applyNumberFormat="1" applyFont="1" applyBorder="1" applyAlignment="1">
      <alignment horizontal="centerContinuous" vertical="center"/>
    </xf>
    <xf numFmtId="0" fontId="8" fillId="0" borderId="1" xfId="0" applyNumberFormat="1" applyFont="1" applyBorder="1" applyAlignment="1">
      <alignment horizontal="centerContinuous" vertical="center"/>
    </xf>
    <xf numFmtId="0" fontId="8" fillId="0" borderId="1" xfId="0" applyNumberFormat="1" applyFont="1" applyBorder="1" applyAlignment="1">
      <alignment horizontal="center" vertical="center"/>
    </xf>
    <xf numFmtId="0" fontId="8" fillId="5" borderId="38" xfId="0" applyNumberFormat="1" applyFont="1" applyFill="1" applyBorder="1" applyAlignment="1">
      <alignment horizontal="left"/>
    </xf>
    <xf numFmtId="0" fontId="8" fillId="6" borderId="19" xfId="0" applyNumberFormat="1" applyFont="1" applyFill="1" applyBorder="1" applyAlignment="1">
      <alignment horizontal="centerContinuous" vertical="center"/>
    </xf>
    <xf numFmtId="0" fontId="8" fillId="9" borderId="1" xfId="0" applyNumberFormat="1" applyFont="1" applyFill="1" applyBorder="1" applyAlignment="1">
      <alignment horizontal="left"/>
    </xf>
    <xf numFmtId="0" fontId="8" fillId="9" borderId="4" xfId="0" applyNumberFormat="1" applyFont="1" applyFill="1" applyBorder="1" applyAlignment="1"/>
    <xf numFmtId="0" fontId="8" fillId="9" borderId="3" xfId="0" applyNumberFormat="1" applyFont="1" applyFill="1" applyBorder="1" applyAlignment="1"/>
    <xf numFmtId="0" fontId="13" fillId="5" borderId="0" xfId="0" applyNumberFormat="1" applyFont="1" applyFill="1" applyAlignment="1"/>
    <xf numFmtId="0" fontId="56" fillId="0" borderId="3" xfId="0" applyNumberFormat="1" applyFont="1" applyBorder="1" applyAlignment="1">
      <alignment horizontal="left"/>
    </xf>
    <xf numFmtId="0" fontId="13" fillId="0" borderId="0" xfId="0" applyNumberFormat="1" applyFont="1" applyAlignment="1">
      <alignment vertical="center"/>
    </xf>
    <xf numFmtId="1" fontId="8" fillId="5" borderId="7" xfId="0" applyNumberFormat="1" applyFont="1" applyFill="1" applyBorder="1" applyAlignment="1">
      <alignment horizontal="centerContinuous" vertical="center"/>
    </xf>
    <xf numFmtId="0" fontId="54" fillId="3" borderId="3" xfId="0" applyNumberFormat="1" applyFont="1" applyFill="1" applyBorder="1" applyAlignment="1">
      <alignment horizontal="center" vertical="center"/>
    </xf>
    <xf numFmtId="3" fontId="8" fillId="0" borderId="4" xfId="0" applyNumberFormat="1" applyFont="1" applyBorder="1" applyAlignment="1">
      <alignment horizontal="center" vertical="center"/>
    </xf>
    <xf numFmtId="0" fontId="45" fillId="9" borderId="0" xfId="0" applyNumberFormat="1" applyFont="1" applyFill="1" applyAlignment="1">
      <alignment horizontal="center"/>
    </xf>
    <xf numFmtId="0" fontId="8" fillId="10" borderId="0" xfId="0" applyNumberFormat="1" applyFont="1" applyFill="1" applyAlignment="1"/>
    <xf numFmtId="0" fontId="8" fillId="7" borderId="2" xfId="0" applyNumberFormat="1" applyFont="1" applyFill="1" applyBorder="1" applyAlignment="1">
      <alignment horizontal="center" vertical="center"/>
    </xf>
    <xf numFmtId="0" fontId="13" fillId="0" borderId="1" xfId="0" applyNumberFormat="1" applyFont="1" applyBorder="1" applyAlignment="1">
      <alignment horizontal="center" vertical="center"/>
    </xf>
    <xf numFmtId="0" fontId="8" fillId="9" borderId="1" xfId="0" applyNumberFormat="1" applyFont="1" applyFill="1" applyBorder="1" applyAlignment="1">
      <alignment horizontal="centerContinuous"/>
    </xf>
    <xf numFmtId="0" fontId="8" fillId="9" borderId="4" xfId="0" applyNumberFormat="1" applyFont="1" applyFill="1" applyBorder="1" applyAlignment="1">
      <alignment horizontal="centerContinuous"/>
    </xf>
    <xf numFmtId="0" fontId="8" fillId="9" borderId="1" xfId="0" applyNumberFormat="1" applyFont="1" applyFill="1" applyBorder="1" applyAlignment="1">
      <alignment horizontal="center"/>
    </xf>
    <xf numFmtId="0" fontId="8" fillId="9" borderId="3" xfId="0" applyNumberFormat="1" applyFont="1" applyFill="1" applyBorder="1" applyAlignment="1">
      <alignment vertical="center"/>
    </xf>
    <xf numFmtId="0" fontId="54" fillId="12" borderId="0" xfId="0" applyNumberFormat="1" applyFont="1" applyFill="1" applyAlignment="1"/>
    <xf numFmtId="0" fontId="54" fillId="12" borderId="0" xfId="0" applyNumberFormat="1" applyFont="1" applyFill="1" applyAlignment="1">
      <alignment vertical="center"/>
    </xf>
    <xf numFmtId="0" fontId="8" fillId="5" borderId="1" xfId="0" applyNumberFormat="1" applyFont="1" applyFill="1" applyBorder="1" applyAlignment="1">
      <alignment horizontal="centerContinuous" vertical="center"/>
    </xf>
    <xf numFmtId="0" fontId="8" fillId="11" borderId="3" xfId="0" applyNumberFormat="1" applyFont="1" applyFill="1" applyBorder="1" applyAlignment="1">
      <alignment vertical="center"/>
    </xf>
    <xf numFmtId="164" fontId="8" fillId="0" borderId="0" xfId="0" applyNumberFormat="1" applyFont="1" applyAlignment="1">
      <alignment vertical="center"/>
    </xf>
    <xf numFmtId="0" fontId="8" fillId="7" borderId="3" xfId="0" applyNumberFormat="1" applyFont="1" applyFill="1" applyBorder="1" applyAlignment="1">
      <alignment horizontal="center" vertical="center"/>
    </xf>
    <xf numFmtId="0" fontId="8" fillId="13" borderId="0" xfId="0" applyNumberFormat="1" applyFont="1" applyFill="1" applyAlignment="1">
      <alignment horizontal="centerContinuous" vertical="center"/>
    </xf>
    <xf numFmtId="0" fontId="8" fillId="9" borderId="39" xfId="0" applyNumberFormat="1" applyFont="1" applyFill="1" applyBorder="1" applyAlignment="1">
      <alignment horizontal="centerContinuous" vertical="center"/>
    </xf>
    <xf numFmtId="0" fontId="8" fillId="9" borderId="40" xfId="0" applyNumberFormat="1" applyFont="1" applyFill="1" applyBorder="1" applyAlignment="1">
      <alignment horizontal="centerContinuous" vertical="center"/>
    </xf>
    <xf numFmtId="0" fontId="8" fillId="9" borderId="39" xfId="0" applyNumberFormat="1" applyFont="1" applyFill="1" applyBorder="1" applyAlignment="1">
      <alignment horizontal="centerContinuous"/>
    </xf>
    <xf numFmtId="0" fontId="8" fillId="9" borderId="40" xfId="0" applyNumberFormat="1" applyFont="1" applyFill="1" applyBorder="1" applyAlignment="1">
      <alignment horizontal="centerContinuous"/>
    </xf>
    <xf numFmtId="0" fontId="8" fillId="9" borderId="39" xfId="0" applyNumberFormat="1" applyFont="1" applyFill="1" applyBorder="1" applyAlignment="1">
      <alignment horizontal="center"/>
    </xf>
    <xf numFmtId="0" fontId="8" fillId="9" borderId="41" xfId="0" applyNumberFormat="1" applyFont="1" applyFill="1" applyBorder="1" applyAlignment="1">
      <alignment vertical="center"/>
    </xf>
    <xf numFmtId="0" fontId="8" fillId="9" borderId="1" xfId="0" applyNumberFormat="1" applyFont="1" applyFill="1" applyBorder="1" applyAlignment="1">
      <alignment horizontal="centerContinuous" vertical="center"/>
    </xf>
    <xf numFmtId="0" fontId="8" fillId="12" borderId="0" xfId="0" applyNumberFormat="1" applyFont="1" applyFill="1" applyAlignment="1">
      <alignment horizontal="centerContinuous"/>
    </xf>
    <xf numFmtId="0" fontId="8" fillId="10" borderId="17" xfId="0" applyNumberFormat="1" applyFont="1" applyFill="1" applyBorder="1" applyAlignment="1">
      <alignment horizontal="center" vertical="center"/>
    </xf>
    <xf numFmtId="17" fontId="8" fillId="10" borderId="17" xfId="0" applyNumberFormat="1" applyFont="1" applyFill="1" applyBorder="1" applyAlignment="1">
      <alignment horizontal="center" vertical="center"/>
    </xf>
    <xf numFmtId="0" fontId="8" fillId="14" borderId="0" xfId="0" applyNumberFormat="1" applyFont="1" applyFill="1" applyAlignment="1">
      <alignment vertical="center"/>
    </xf>
    <xf numFmtId="164" fontId="8" fillId="0" borderId="1" xfId="0" applyNumberFormat="1" applyFont="1" applyBorder="1" applyAlignment="1" applyProtection="1">
      <alignment horizontal="center" vertical="center"/>
      <protection locked="0"/>
    </xf>
    <xf numFmtId="1" fontId="8" fillId="15" borderId="1" xfId="0" applyNumberFormat="1" applyFont="1" applyFill="1" applyBorder="1" applyAlignment="1"/>
    <xf numFmtId="165" fontId="8" fillId="15" borderId="1" xfId="0" applyNumberFormat="1" applyFont="1" applyFill="1" applyBorder="1" applyAlignment="1"/>
    <xf numFmtId="0" fontId="8" fillId="7" borderId="2" xfId="0" applyNumberFormat="1" applyFont="1" applyFill="1" applyBorder="1" applyAlignment="1">
      <alignment vertical="center"/>
    </xf>
    <xf numFmtId="181" fontId="8" fillId="0" borderId="1" xfId="0" applyNumberFormat="1" applyFont="1" applyBorder="1" applyAlignment="1" applyProtection="1">
      <alignment horizontal="center" vertical="center"/>
      <protection locked="0"/>
    </xf>
    <xf numFmtId="164" fontId="8" fillId="0" borderId="1" xfId="0" applyNumberFormat="1" applyFont="1" applyBorder="1" applyAlignment="1">
      <alignment horizontal="centerContinuous" vertical="center"/>
    </xf>
    <xf numFmtId="2" fontId="8" fillId="15" borderId="1" xfId="0" applyNumberFormat="1" applyFont="1" applyFill="1" applyBorder="1" applyAlignment="1"/>
    <xf numFmtId="0" fontId="8" fillId="0" borderId="1" xfId="0" applyNumberFormat="1" applyFont="1" applyBorder="1" applyAlignment="1">
      <alignment horizontal="right" vertical="center"/>
    </xf>
    <xf numFmtId="1" fontId="8" fillId="15" borderId="4" xfId="0" applyNumberFormat="1" applyFont="1" applyFill="1" applyBorder="1" applyAlignment="1"/>
    <xf numFmtId="1" fontId="8" fillId="0" borderId="1" xfId="0" applyNumberFormat="1" applyFont="1" applyBorder="1" applyAlignment="1" applyProtection="1">
      <alignment vertical="center"/>
      <protection locked="0"/>
    </xf>
    <xf numFmtId="1" fontId="8" fillId="0" borderId="1" xfId="0" applyNumberFormat="1" applyFont="1" applyBorder="1" applyAlignment="1">
      <alignment vertical="center"/>
    </xf>
    <xf numFmtId="0" fontId="8" fillId="9" borderId="42" xfId="0" applyNumberFormat="1" applyFont="1" applyFill="1" applyBorder="1" applyAlignment="1">
      <alignment horizontal="centerContinuous" vertical="center"/>
    </xf>
    <xf numFmtId="0" fontId="8" fillId="9" borderId="43" xfId="0" applyNumberFormat="1" applyFont="1" applyFill="1" applyBorder="1" applyAlignment="1">
      <alignment horizontal="centerContinuous" vertical="center"/>
    </xf>
    <xf numFmtId="0" fontId="8" fillId="9" borderId="40" xfId="0" applyNumberFormat="1" applyFont="1" applyFill="1" applyBorder="1" applyAlignment="1">
      <alignment horizontal="center" vertical="center"/>
    </xf>
    <xf numFmtId="0" fontId="8" fillId="9" borderId="39" xfId="0" applyNumberFormat="1" applyFont="1" applyFill="1" applyBorder="1" applyAlignment="1">
      <alignment horizontal="center" vertical="center"/>
    </xf>
    <xf numFmtId="0" fontId="8" fillId="9" borderId="44" xfId="0" applyNumberFormat="1" applyFont="1" applyFill="1" applyBorder="1" applyAlignment="1">
      <alignment horizontal="center" vertical="center"/>
    </xf>
    <xf numFmtId="183" fontId="8" fillId="9" borderId="1" xfId="0" applyNumberFormat="1" applyFont="1" applyFill="1" applyBorder="1" applyAlignment="1">
      <alignment horizontal="centerContinuous" vertical="center"/>
    </xf>
    <xf numFmtId="164" fontId="36" fillId="9" borderId="1" xfId="0" applyNumberFormat="1" applyFont="1" applyFill="1" applyBorder="1" applyAlignment="1">
      <alignment horizontal="centerContinuous" vertical="center"/>
    </xf>
    <xf numFmtId="0" fontId="8" fillId="10" borderId="8" xfId="0" applyNumberFormat="1" applyFont="1" applyFill="1" applyBorder="1" applyAlignment="1">
      <alignment horizontal="center" vertical="center"/>
    </xf>
    <xf numFmtId="0" fontId="8" fillId="5" borderId="1" xfId="0" applyNumberFormat="1" applyFont="1" applyFill="1" applyBorder="1" applyAlignment="1">
      <alignment vertical="center"/>
    </xf>
    <xf numFmtId="164" fontId="8" fillId="0" borderId="1" xfId="0" applyNumberFormat="1" applyFont="1" applyBorder="1" applyAlignment="1">
      <alignment horizontal="center" vertical="center"/>
    </xf>
    <xf numFmtId="0" fontId="8" fillId="7" borderId="3" xfId="0" applyNumberFormat="1" applyFont="1" applyFill="1" applyBorder="1" applyAlignment="1">
      <alignment vertical="center"/>
    </xf>
    <xf numFmtId="165" fontId="8" fillId="0" borderId="4" xfId="0" applyNumberFormat="1" applyFont="1" applyBorder="1" applyAlignment="1">
      <alignment horizontal="center" vertical="center"/>
    </xf>
    <xf numFmtId="0" fontId="8" fillId="0" borderId="0" xfId="0" applyNumberFormat="1" applyFont="1" applyAlignment="1">
      <alignment horizontal="right" vertical="center"/>
    </xf>
    <xf numFmtId="164" fontId="8" fillId="9" borderId="45" xfId="0" applyNumberFormat="1" applyFont="1" applyFill="1" applyBorder="1" applyAlignment="1">
      <alignment horizontal="center"/>
    </xf>
    <xf numFmtId="0" fontId="8" fillId="9" borderId="40" xfId="0" applyNumberFormat="1" applyFont="1" applyFill="1" applyBorder="1" applyAlignment="1">
      <alignment horizontal="center"/>
    </xf>
    <xf numFmtId="0" fontId="8" fillId="9" borderId="44" xfId="0" applyNumberFormat="1" applyFont="1" applyFill="1" applyBorder="1" applyAlignment="1">
      <alignment horizontal="center"/>
    </xf>
    <xf numFmtId="3" fontId="8" fillId="9" borderId="39" xfId="0" applyNumberFormat="1" applyFont="1" applyFill="1" applyBorder="1" applyAlignment="1">
      <alignment horizontal="center"/>
    </xf>
    <xf numFmtId="3" fontId="8" fillId="9" borderId="44" xfId="0" applyNumberFormat="1" applyFont="1" applyFill="1" applyBorder="1" applyAlignment="1">
      <alignment horizontal="center"/>
    </xf>
    <xf numFmtId="0" fontId="54" fillId="12" borderId="7" xfId="0" applyNumberFormat="1" applyFont="1" applyFill="1" applyBorder="1" applyAlignment="1">
      <alignment vertical="center"/>
    </xf>
    <xf numFmtId="165" fontId="8" fillId="0" borderId="4" xfId="0" applyNumberFormat="1" applyFont="1" applyBorder="1" applyAlignment="1">
      <alignment horizontal="right" vertical="center"/>
    </xf>
    <xf numFmtId="164" fontId="8" fillId="9" borderId="46" xfId="0" applyNumberFormat="1" applyFont="1" applyFill="1" applyBorder="1" applyAlignment="1">
      <alignment horizontal="center"/>
    </xf>
    <xf numFmtId="0" fontId="8" fillId="9" borderId="47" xfId="0" applyNumberFormat="1" applyFont="1" applyFill="1" applyBorder="1" applyAlignment="1">
      <alignment horizontal="center"/>
    </xf>
    <xf numFmtId="0" fontId="8" fillId="9" borderId="48" xfId="0" applyNumberFormat="1" applyFont="1" applyFill="1" applyBorder="1" applyAlignment="1">
      <alignment horizontal="center"/>
    </xf>
    <xf numFmtId="0" fontId="8" fillId="9" borderId="49" xfId="0" applyNumberFormat="1" applyFont="1" applyFill="1" applyBorder="1" applyAlignment="1">
      <alignment horizontal="center"/>
    </xf>
    <xf numFmtId="3" fontId="8" fillId="9" borderId="48" xfId="0" applyNumberFormat="1" applyFont="1" applyFill="1" applyBorder="1" applyAlignment="1">
      <alignment horizontal="center"/>
    </xf>
    <xf numFmtId="3" fontId="8" fillId="9" borderId="49" xfId="0" applyNumberFormat="1" applyFont="1" applyFill="1" applyBorder="1" applyAlignment="1">
      <alignment horizontal="center"/>
    </xf>
    <xf numFmtId="0" fontId="42" fillId="10" borderId="0" xfId="0" applyNumberFormat="1" applyFont="1" applyFill="1" applyAlignment="1">
      <alignment vertical="center"/>
    </xf>
    <xf numFmtId="0" fontId="45" fillId="14" borderId="0" xfId="0" applyNumberFormat="1" applyFont="1" applyFill="1" applyAlignment="1">
      <alignment vertical="center"/>
    </xf>
    <xf numFmtId="3" fontId="8" fillId="0" borderId="4" xfId="0" applyNumberFormat="1" applyFont="1" applyBorder="1" applyAlignment="1">
      <alignment horizontal="center"/>
    </xf>
    <xf numFmtId="0" fontId="8" fillId="10" borderId="17" xfId="0" applyNumberFormat="1" applyFont="1" applyFill="1" applyBorder="1" applyAlignment="1" applyProtection="1">
      <alignment horizontal="centerContinuous" vertical="center"/>
      <protection locked="0"/>
    </xf>
    <xf numFmtId="0" fontId="8" fillId="10" borderId="7" xfId="0" applyNumberFormat="1" applyFont="1" applyFill="1" applyBorder="1" applyAlignment="1">
      <alignment horizontal="centerContinuous" vertical="center"/>
    </xf>
    <xf numFmtId="0" fontId="8" fillId="10" borderId="5" xfId="0" applyNumberFormat="1" applyFont="1" applyFill="1" applyBorder="1" applyAlignment="1">
      <alignment vertical="center"/>
    </xf>
    <xf numFmtId="0" fontId="8" fillId="10" borderId="5" xfId="0" applyNumberFormat="1" applyFont="1" applyFill="1" applyBorder="1" applyAlignment="1"/>
    <xf numFmtId="0" fontId="8" fillId="10" borderId="0" xfId="0" applyNumberFormat="1" applyFont="1" applyFill="1" applyAlignment="1" applyProtection="1">
      <alignment vertical="center"/>
      <protection locked="0"/>
    </xf>
    <xf numFmtId="0" fontId="8" fillId="10" borderId="5" xfId="0" applyNumberFormat="1" applyFont="1" applyFill="1" applyBorder="1" applyAlignment="1">
      <alignment horizontal="centerContinuous" vertical="center"/>
    </xf>
    <xf numFmtId="0" fontId="8" fillId="10" borderId="0" xfId="0" applyNumberFormat="1" applyFont="1" applyFill="1" applyAlignment="1">
      <alignment horizontal="centerContinuous" vertical="center"/>
    </xf>
    <xf numFmtId="0" fontId="8" fillId="10" borderId="5" xfId="0" applyNumberFormat="1" applyFont="1" applyFill="1" applyBorder="1" applyAlignment="1">
      <alignment horizontal="center" vertical="center"/>
    </xf>
    <xf numFmtId="164" fontId="8" fillId="10" borderId="5" xfId="0" applyNumberFormat="1" applyFont="1" applyFill="1" applyBorder="1" applyAlignment="1">
      <alignment horizontal="centerContinuous" vertical="center"/>
    </xf>
    <xf numFmtId="0" fontId="8" fillId="9" borderId="50" xfId="0" applyNumberFormat="1" applyFont="1" applyFill="1" applyBorder="1" applyAlignment="1" applyProtection="1">
      <alignment horizontal="centerContinuous"/>
      <protection locked="0"/>
    </xf>
    <xf numFmtId="0" fontId="8" fillId="9" borderId="51" xfId="0" applyNumberFormat="1" applyFont="1" applyFill="1" applyBorder="1" applyAlignment="1" applyProtection="1">
      <alignment horizontal="centerContinuous"/>
      <protection locked="0"/>
    </xf>
    <xf numFmtId="0" fontId="8" fillId="9" borderId="40" xfId="0" applyNumberFormat="1" applyFont="1" applyFill="1" applyBorder="1" applyAlignment="1" applyProtection="1">
      <alignment horizontal="center"/>
      <protection locked="0"/>
    </xf>
    <xf numFmtId="0" fontId="8" fillId="9" borderId="39" xfId="0" applyNumberFormat="1" applyFont="1" applyFill="1" applyBorder="1" applyAlignment="1" applyProtection="1">
      <alignment horizontal="center"/>
      <protection locked="0"/>
    </xf>
    <xf numFmtId="0" fontId="8" fillId="9" borderId="44" xfId="0" applyNumberFormat="1" applyFont="1" applyFill="1" applyBorder="1" applyAlignment="1" applyProtection="1">
      <alignment horizontal="center"/>
      <protection locked="0"/>
    </xf>
    <xf numFmtId="3" fontId="8" fillId="9" borderId="39" xfId="0" applyNumberFormat="1" applyFont="1" applyFill="1" applyBorder="1" applyAlignment="1" applyProtection="1">
      <alignment horizontal="center"/>
      <protection locked="0"/>
    </xf>
    <xf numFmtId="3" fontId="8" fillId="9" borderId="44" xfId="0" applyNumberFormat="1" applyFont="1" applyFill="1" applyBorder="1" applyAlignment="1" applyProtection="1">
      <alignment horizontal="center"/>
      <protection locked="0"/>
    </xf>
    <xf numFmtId="1" fontId="8" fillId="10" borderId="1" xfId="0" applyNumberFormat="1" applyFont="1" applyFill="1" applyBorder="1" applyAlignment="1">
      <alignment horizontal="center" vertical="center"/>
    </xf>
    <xf numFmtId="0" fontId="8" fillId="10" borderId="5" xfId="0" applyNumberFormat="1" applyFont="1" applyFill="1" applyBorder="1" applyAlignment="1" applyProtection="1">
      <alignment vertical="center"/>
      <protection locked="0"/>
    </xf>
    <xf numFmtId="0" fontId="8" fillId="10" borderId="7" xfId="0" applyNumberFormat="1" applyFont="1" applyFill="1" applyBorder="1" applyAlignment="1" applyProtection="1">
      <alignment vertical="center"/>
      <protection locked="0"/>
    </xf>
    <xf numFmtId="0" fontId="8" fillId="9" borderId="0" xfId="0" applyNumberFormat="1" applyFont="1" applyFill="1" applyAlignment="1">
      <alignment horizontal="center" vertical="center"/>
    </xf>
    <xf numFmtId="3" fontId="13" fillId="0" borderId="4" xfId="0" applyNumberFormat="1" applyFont="1" applyBorder="1" applyAlignment="1">
      <alignment horizontal="center"/>
    </xf>
    <xf numFmtId="0" fontId="8" fillId="9" borderId="0" xfId="0" applyNumberFormat="1" applyFont="1" applyFill="1" applyAlignment="1" applyProtection="1">
      <alignment horizontal="center" vertical="center"/>
      <protection locked="0"/>
    </xf>
    <xf numFmtId="164" fontId="8" fillId="9" borderId="0" xfId="0" applyNumberFormat="1" applyFont="1" applyFill="1" applyAlignment="1">
      <alignment horizontal="center"/>
    </xf>
    <xf numFmtId="0" fontId="42" fillId="10" borderId="0" xfId="0" applyNumberFormat="1" applyFont="1" applyFill="1" applyAlignment="1">
      <alignment horizontal="left"/>
    </xf>
    <xf numFmtId="0" fontId="8" fillId="0" borderId="0" xfId="0" applyNumberFormat="1" applyFont="1" applyAlignment="1" applyProtection="1">
      <alignment vertical="center"/>
      <protection locked="0"/>
    </xf>
    <xf numFmtId="164" fontId="8" fillId="0" borderId="1" xfId="0" applyNumberFormat="1" applyFont="1" applyBorder="1" applyAlignment="1" applyProtection="1">
      <alignment horizontal="centerContinuous" vertical="center"/>
      <protection locked="0"/>
    </xf>
    <xf numFmtId="0" fontId="8" fillId="0" borderId="3" xfId="0" applyNumberFormat="1" applyFont="1" applyBorder="1" applyAlignment="1" applyProtection="1">
      <alignment vertical="center"/>
      <protection locked="0"/>
    </xf>
    <xf numFmtId="0" fontId="8" fillId="0" borderId="1" xfId="0" applyNumberFormat="1" applyFont="1" applyBorder="1" applyAlignment="1" applyProtection="1">
      <alignment vertical="center"/>
      <protection locked="0"/>
    </xf>
    <xf numFmtId="0" fontId="8" fillId="9" borderId="1" xfId="0" applyNumberFormat="1" applyFont="1" applyFill="1" applyBorder="1" applyAlignment="1">
      <alignment horizontal="center" vertical="center"/>
    </xf>
    <xf numFmtId="0" fontId="8" fillId="9" borderId="3" xfId="0" applyNumberFormat="1" applyFont="1" applyFill="1" applyBorder="1" applyAlignment="1" applyProtection="1">
      <alignment vertical="center"/>
      <protection locked="0"/>
    </xf>
    <xf numFmtId="0" fontId="8" fillId="11" borderId="3" xfId="0" applyNumberFormat="1" applyFont="1" applyFill="1" applyBorder="1" applyAlignment="1" applyProtection="1">
      <alignment vertical="center"/>
      <protection locked="0"/>
    </xf>
    <xf numFmtId="3" fontId="8" fillId="0" borderId="4" xfId="0" applyNumberFormat="1" applyFont="1" applyBorder="1" applyAlignment="1" applyProtection="1">
      <alignment horizontal="center" vertical="center"/>
      <protection locked="0"/>
    </xf>
    <xf numFmtId="164" fontId="8" fillId="9" borderId="1" xfId="0" applyNumberFormat="1" applyFont="1" applyFill="1" applyBorder="1" applyAlignment="1">
      <alignment horizontal="centerContinuous" vertical="center"/>
    </xf>
    <xf numFmtId="0" fontId="8" fillId="2" borderId="1" xfId="0" applyNumberFormat="1" applyFont="1" applyFill="1" applyBorder="1" applyAlignment="1">
      <alignment horizontal="center" vertical="center"/>
    </xf>
    <xf numFmtId="4" fontId="8" fillId="2" borderId="1" xfId="0" applyNumberFormat="1" applyFont="1" applyFill="1" applyBorder="1" applyAlignment="1">
      <alignment vertical="center"/>
    </xf>
    <xf numFmtId="0" fontId="8" fillId="0" borderId="4" xfId="0" applyNumberFormat="1" applyFont="1" applyBorder="1" applyAlignment="1" applyProtection="1">
      <alignment horizontal="center" vertical="center"/>
      <protection locked="0"/>
    </xf>
    <xf numFmtId="0" fontId="8" fillId="0" borderId="4" xfId="0" applyNumberFormat="1" applyFont="1" applyBorder="1" applyAlignment="1" applyProtection="1">
      <alignment vertical="center"/>
      <protection locked="0"/>
    </xf>
    <xf numFmtId="164" fontId="8" fillId="0" borderId="0" xfId="0" applyNumberFormat="1" applyFont="1" applyAlignment="1" applyProtection="1">
      <alignment vertical="center"/>
      <protection locked="0"/>
    </xf>
    <xf numFmtId="0" fontId="8" fillId="0" borderId="1" xfId="0" applyNumberFormat="1" applyFont="1" applyBorder="1" applyAlignment="1" applyProtection="1">
      <alignment horizontal="centerContinuous" vertical="center"/>
      <protection locked="0"/>
    </xf>
    <xf numFmtId="0" fontId="8" fillId="0" borderId="4" xfId="0" applyNumberFormat="1" applyFont="1" applyBorder="1" applyAlignment="1" applyProtection="1">
      <alignment horizontal="centerContinuous" vertical="center"/>
      <protection locked="0"/>
    </xf>
    <xf numFmtId="0" fontId="8" fillId="7" borderId="1" xfId="0" applyNumberFormat="1" applyFont="1" applyFill="1" applyBorder="1" applyAlignment="1" applyProtection="1">
      <alignment vertical="center"/>
      <protection locked="0"/>
    </xf>
    <xf numFmtId="0" fontId="8" fillId="7" borderId="4" xfId="0" applyNumberFormat="1" applyFont="1" applyFill="1" applyBorder="1" applyAlignment="1" applyProtection="1">
      <alignment vertical="center"/>
      <protection locked="0"/>
    </xf>
    <xf numFmtId="0" fontId="8" fillId="0" borderId="1" xfId="0" applyNumberFormat="1" applyFont="1" applyBorder="1" applyAlignment="1" applyProtection="1">
      <alignment horizontal="center" vertical="center"/>
      <protection locked="0"/>
    </xf>
    <xf numFmtId="0" fontId="8" fillId="0" borderId="3" xfId="0" applyNumberFormat="1" applyFont="1" applyBorder="1" applyAlignment="1" applyProtection="1">
      <alignment horizontal="centerContinuous" vertical="center"/>
      <protection locked="0"/>
    </xf>
    <xf numFmtId="0" fontId="8" fillId="0" borderId="3" xfId="0" applyNumberFormat="1" applyFont="1" applyBorder="1" applyAlignment="1" applyProtection="1">
      <alignment horizontal="center" vertical="center"/>
      <protection locked="0"/>
    </xf>
    <xf numFmtId="164" fontId="8" fillId="9" borderId="4" xfId="0" applyNumberFormat="1" applyFont="1" applyFill="1" applyBorder="1" applyAlignment="1">
      <alignment horizontal="centerContinuous" vertical="center"/>
    </xf>
    <xf numFmtId="1" fontId="8" fillId="2" borderId="1" xfId="0" applyNumberFormat="1" applyFont="1" applyFill="1" applyBorder="1" applyAlignment="1">
      <alignment horizontal="center" vertical="center"/>
    </xf>
    <xf numFmtId="1" fontId="8" fillId="16" borderId="1" xfId="0" applyNumberFormat="1" applyFont="1" applyFill="1" applyBorder="1" applyAlignment="1">
      <alignment horizontal="center" vertical="center"/>
    </xf>
    <xf numFmtId="0" fontId="8" fillId="0" borderId="1" xfId="0" applyNumberFormat="1" applyFont="1" applyBorder="1" applyAlignment="1" applyProtection="1">
      <alignment horizontal="right" vertical="center"/>
      <protection locked="0"/>
    </xf>
    <xf numFmtId="0" fontId="8" fillId="9" borderId="4" xfId="0" applyNumberFormat="1" applyFont="1" applyFill="1" applyBorder="1" applyAlignment="1">
      <alignment horizontal="center" vertical="center"/>
    </xf>
    <xf numFmtId="0" fontId="54" fillId="12" borderId="4" xfId="0" applyNumberFormat="1" applyFont="1" applyFill="1" applyBorder="1" applyAlignment="1"/>
    <xf numFmtId="0" fontId="8" fillId="0" borderId="5" xfId="0" applyNumberFormat="1" applyFont="1" applyBorder="1" applyAlignment="1" applyProtection="1">
      <alignment vertical="center"/>
      <protection locked="0"/>
    </xf>
    <xf numFmtId="0" fontId="8" fillId="0" borderId="1" xfId="0" applyNumberFormat="1" applyFont="1" applyBorder="1" applyAlignment="1">
      <alignment horizontal="left" vertical="center"/>
    </xf>
    <xf numFmtId="0" fontId="8" fillId="9" borderId="17" xfId="0" applyNumberFormat="1" applyFont="1" applyFill="1" applyBorder="1" applyAlignment="1">
      <alignment horizontal="centerContinuous" vertical="center"/>
    </xf>
    <xf numFmtId="0" fontId="8" fillId="9" borderId="16" xfId="0" applyNumberFormat="1" applyFont="1" applyFill="1" applyBorder="1" applyAlignment="1">
      <alignment horizontal="centerContinuous" vertical="center"/>
    </xf>
    <xf numFmtId="0" fontId="8" fillId="9" borderId="16" xfId="0" applyNumberFormat="1" applyFont="1" applyFill="1" applyBorder="1" applyAlignment="1">
      <alignment horizontal="center" vertical="center"/>
    </xf>
    <xf numFmtId="164" fontId="8" fillId="9" borderId="1" xfId="0" applyNumberFormat="1" applyFont="1" applyFill="1" applyBorder="1" applyAlignment="1">
      <alignment horizontal="center" vertical="center"/>
    </xf>
    <xf numFmtId="4" fontId="8" fillId="9" borderId="1" xfId="0" applyNumberFormat="1" applyFont="1" applyFill="1" applyBorder="1" applyAlignment="1">
      <alignment vertical="center"/>
    </xf>
    <xf numFmtId="0" fontId="8" fillId="10" borderId="7" xfId="0" applyNumberFormat="1" applyFont="1" applyFill="1" applyBorder="1" applyAlignment="1">
      <alignment vertical="center"/>
    </xf>
    <xf numFmtId="0" fontId="8" fillId="9" borderId="8" xfId="0" applyNumberFormat="1" applyFont="1" applyFill="1" applyBorder="1" applyAlignment="1">
      <alignment horizontal="centerContinuous" vertical="center"/>
    </xf>
    <xf numFmtId="1" fontId="8" fillId="9" borderId="1" xfId="0" applyNumberFormat="1" applyFont="1" applyFill="1" applyBorder="1" applyAlignment="1">
      <alignment horizontal="center" vertical="center"/>
    </xf>
    <xf numFmtId="1" fontId="8" fillId="17" borderId="1" xfId="0" applyNumberFormat="1" applyFont="1" applyFill="1" applyBorder="1" applyAlignment="1">
      <alignment horizontal="center" vertical="center"/>
    </xf>
    <xf numFmtId="1" fontId="8" fillId="0" borderId="0" xfId="0" applyNumberFormat="1" applyFont="1" applyAlignment="1">
      <alignment vertical="center"/>
    </xf>
    <xf numFmtId="0" fontId="8" fillId="9" borderId="7" xfId="0" applyNumberFormat="1" applyFont="1" applyFill="1" applyBorder="1" applyAlignment="1"/>
    <xf numFmtId="0" fontId="8" fillId="3" borderId="3" xfId="0" applyNumberFormat="1" applyFont="1" applyFill="1" applyBorder="1" applyAlignment="1">
      <alignment horizontal="center" vertical="center"/>
    </xf>
    <xf numFmtId="0" fontId="8" fillId="7" borderId="16" xfId="0" applyNumberFormat="1" applyFont="1" applyFill="1" applyBorder="1" applyAlignment="1">
      <alignment vertical="center"/>
    </xf>
    <xf numFmtId="0" fontId="8" fillId="7" borderId="7" xfId="0" applyNumberFormat="1" applyFont="1" applyFill="1" applyBorder="1" applyAlignment="1">
      <alignment vertical="center"/>
    </xf>
    <xf numFmtId="0" fontId="8" fillId="0" borderId="16" xfId="0" applyNumberFormat="1" applyFont="1" applyBorder="1" applyAlignment="1">
      <alignment vertical="center"/>
    </xf>
    <xf numFmtId="0" fontId="8" fillId="0" borderId="7" xfId="0" applyNumberFormat="1" applyFont="1" applyBorder="1" applyAlignment="1">
      <alignment horizontal="center" vertical="center"/>
    </xf>
    <xf numFmtId="2" fontId="8" fillId="0" borderId="16" xfId="0" applyNumberFormat="1" applyFont="1" applyBorder="1" applyAlignment="1">
      <alignment horizontal="center" vertical="center"/>
    </xf>
    <xf numFmtId="165" fontId="8" fillId="0" borderId="16" xfId="0" applyNumberFormat="1" applyFont="1" applyBorder="1" applyAlignment="1">
      <alignment horizontal="center" vertical="center"/>
    </xf>
    <xf numFmtId="0" fontId="8" fillId="9" borderId="5" xfId="0" applyNumberFormat="1" applyFont="1" applyFill="1" applyBorder="1" applyAlignment="1">
      <alignment horizontal="center" vertical="center"/>
    </xf>
    <xf numFmtId="0" fontId="42" fillId="9" borderId="0" xfId="0" applyNumberFormat="1" applyFont="1" applyFill="1" applyAlignment="1">
      <alignment horizontal="left" vertical="center"/>
    </xf>
    <xf numFmtId="0" fontId="42" fillId="9" borderId="0" xfId="0" applyNumberFormat="1" applyFont="1" applyFill="1" applyAlignment="1">
      <alignment horizontal="center" vertical="center"/>
    </xf>
    <xf numFmtId="0" fontId="8" fillId="5" borderId="0" xfId="0" applyNumberFormat="1" applyFont="1" applyFill="1" applyAlignment="1">
      <alignment horizontal="center" vertical="center"/>
    </xf>
    <xf numFmtId="0" fontId="8" fillId="5" borderId="16" xfId="0" applyNumberFormat="1" applyFont="1" applyFill="1" applyBorder="1" applyAlignment="1">
      <alignment vertical="center"/>
    </xf>
    <xf numFmtId="1" fontId="8" fillId="0" borderId="3" xfId="0" applyNumberFormat="1" applyFont="1" applyBorder="1" applyAlignment="1">
      <alignment horizontal="center" vertical="center"/>
    </xf>
    <xf numFmtId="2" fontId="8" fillId="0" borderId="3" xfId="0" applyNumberFormat="1" applyFont="1" applyBorder="1" applyAlignment="1">
      <alignment horizontal="center" vertical="center"/>
    </xf>
    <xf numFmtId="165" fontId="8" fillId="0" borderId="1" xfId="0" applyNumberFormat="1" applyFont="1" applyBorder="1" applyAlignment="1">
      <alignment horizontal="centerContinuous" vertical="center"/>
    </xf>
    <xf numFmtId="165" fontId="8" fillId="0" borderId="4" xfId="0" applyNumberFormat="1" applyFont="1" applyBorder="1" applyAlignment="1">
      <alignment horizontal="centerContinuous" vertical="center"/>
    </xf>
    <xf numFmtId="165" fontId="8" fillId="0" borderId="3" xfId="0" applyNumberFormat="1" applyFont="1" applyBorder="1" applyAlignment="1">
      <alignment horizontal="center" vertical="center"/>
    </xf>
    <xf numFmtId="0" fontId="42" fillId="6" borderId="19" xfId="0" applyNumberFormat="1" applyFont="1" applyFill="1" applyBorder="1" applyAlignment="1">
      <alignment horizontal="center" vertical="center"/>
    </xf>
    <xf numFmtId="0" fontId="42" fillId="9" borderId="0" xfId="0" applyNumberFormat="1" applyFont="1" applyFill="1" applyAlignment="1">
      <alignment horizontal="left"/>
    </xf>
    <xf numFmtId="0" fontId="8" fillId="5" borderId="4" xfId="0" applyNumberFormat="1" applyFont="1" applyFill="1" applyBorder="1" applyAlignment="1">
      <alignment vertical="center"/>
    </xf>
    <xf numFmtId="1" fontId="8" fillId="0" borderId="3" xfId="0" applyNumberFormat="1" applyFont="1" applyBorder="1" applyAlignment="1">
      <alignment horizontal="center"/>
    </xf>
    <xf numFmtId="2" fontId="8" fillId="8" borderId="1" xfId="0" applyNumberFormat="1" applyFont="1" applyFill="1" applyBorder="1" applyAlignment="1">
      <alignment horizontal="center" vertical="center"/>
    </xf>
    <xf numFmtId="2" fontId="8" fillId="8" borderId="4" xfId="0" applyNumberFormat="1" applyFont="1" applyFill="1" applyBorder="1" applyAlignment="1">
      <alignment horizontal="center" vertical="center"/>
    </xf>
    <xf numFmtId="165" fontId="8"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0" fontId="42" fillId="9" borderId="0" xfId="0" applyNumberFormat="1" applyFont="1" applyFill="1" applyAlignment="1"/>
    <xf numFmtId="1" fontId="8" fillId="9" borderId="0" xfId="0" applyNumberFormat="1" applyFont="1" applyFill="1" applyAlignment="1"/>
    <xf numFmtId="0" fontId="8" fillId="2" borderId="0" xfId="0" applyNumberFormat="1" applyFont="1" applyFill="1" applyAlignment="1">
      <alignment vertical="center"/>
    </xf>
    <xf numFmtId="0" fontId="8" fillId="7" borderId="1" xfId="0" applyNumberFormat="1" applyFont="1" applyFill="1" applyBorder="1" applyAlignment="1">
      <alignment vertical="center"/>
    </xf>
    <xf numFmtId="0" fontId="8" fillId="7" borderId="4" xfId="0" applyNumberFormat="1" applyFont="1" applyFill="1" applyBorder="1" applyAlignment="1">
      <alignment vertical="center"/>
    </xf>
    <xf numFmtId="0" fontId="8" fillId="8" borderId="4" xfId="0" applyNumberFormat="1" applyFont="1" applyFill="1" applyBorder="1" applyAlignment="1">
      <alignment vertical="center"/>
    </xf>
    <xf numFmtId="9" fontId="8" fillId="8" borderId="4" xfId="0" applyNumberFormat="1" applyFont="1" applyFill="1" applyBorder="1" applyAlignment="1">
      <alignment horizontal="center" vertical="center"/>
    </xf>
    <xf numFmtId="9" fontId="8" fillId="2" borderId="4" xfId="0" applyNumberFormat="1" applyFont="1" applyFill="1" applyBorder="1" applyAlignment="1">
      <alignment horizontal="center" vertical="center"/>
    </xf>
    <xf numFmtId="2" fontId="8" fillId="8" borderId="3" xfId="0" applyNumberFormat="1" applyFont="1" applyFill="1" applyBorder="1" applyAlignment="1">
      <alignment horizontal="center" vertical="center"/>
    </xf>
    <xf numFmtId="3" fontId="42" fillId="6" borderId="0" xfId="0" applyNumberFormat="1" applyFont="1" applyFill="1" applyAlignment="1">
      <alignment vertical="center"/>
    </xf>
    <xf numFmtId="0" fontId="8" fillId="9" borderId="0" xfId="0" applyNumberFormat="1" applyFont="1" applyFill="1" applyAlignment="1">
      <alignment horizontal="left" vertical="center"/>
    </xf>
    <xf numFmtId="0" fontId="8" fillId="8"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164" fontId="8" fillId="0" borderId="0" xfId="0" applyNumberFormat="1" applyFont="1" applyAlignment="1">
      <alignment horizontal="center" vertical="center"/>
    </xf>
    <xf numFmtId="183" fontId="36" fillId="9" borderId="16" xfId="0" applyNumberFormat="1" applyFont="1" applyFill="1" applyBorder="1" applyAlignment="1">
      <alignment horizontal="centerContinuous" vertical="center"/>
    </xf>
    <xf numFmtId="164" fontId="36" fillId="9" borderId="16" xfId="0" applyNumberFormat="1" applyFont="1" applyFill="1" applyBorder="1" applyAlignment="1">
      <alignment horizontal="centerContinuous" vertical="center"/>
    </xf>
    <xf numFmtId="1" fontId="8" fillId="9" borderId="16" xfId="0" applyNumberFormat="1" applyFont="1" applyFill="1" applyBorder="1" applyAlignment="1">
      <alignment horizontal="center"/>
    </xf>
    <xf numFmtId="169" fontId="8" fillId="0" borderId="0" xfId="0" applyNumberFormat="1" applyFont="1" applyAlignment="1">
      <alignment horizontal="center" vertical="center"/>
    </xf>
    <xf numFmtId="183" fontId="36" fillId="9" borderId="52" xfId="0" applyNumberFormat="1" applyFont="1" applyFill="1" applyBorder="1" applyAlignment="1">
      <alignment horizontal="centerContinuous" vertical="center"/>
    </xf>
    <xf numFmtId="1" fontId="8" fillId="9" borderId="1" xfId="0" applyNumberFormat="1" applyFont="1" applyFill="1" applyBorder="1" applyAlignment="1">
      <alignment horizontal="center"/>
    </xf>
    <xf numFmtId="181" fontId="36" fillId="9" borderId="16" xfId="0" applyNumberFormat="1" applyFont="1" applyFill="1" applyBorder="1" applyAlignment="1">
      <alignment horizontal="centerContinuous" vertical="center"/>
    </xf>
    <xf numFmtId="181" fontId="36" fillId="9" borderId="1" xfId="0" applyNumberFormat="1" applyFont="1" applyFill="1" applyBorder="1" applyAlignment="1">
      <alignment horizontal="centerContinuous" vertical="center"/>
    </xf>
    <xf numFmtId="0" fontId="8" fillId="9" borderId="4" xfId="0" applyNumberFormat="1" applyFont="1" applyFill="1" applyBorder="1" applyAlignment="1">
      <alignment vertical="center"/>
    </xf>
    <xf numFmtId="0" fontId="8" fillId="18" borderId="0" xfId="0" applyNumberFormat="1" applyFont="1" applyFill="1" applyAlignment="1">
      <alignment vertical="center"/>
    </xf>
    <xf numFmtId="0" fontId="54" fillId="3" borderId="0" xfId="0" applyNumberFormat="1" applyFont="1" applyFill="1" applyAlignment="1"/>
    <xf numFmtId="0" fontId="56" fillId="0" borderId="0" xfId="0" applyNumberFormat="1" applyFont="1" applyAlignment="1"/>
    <xf numFmtId="0" fontId="8" fillId="3" borderId="0" xfId="0" applyNumberFormat="1" applyFont="1" applyFill="1" applyAlignment="1"/>
    <xf numFmtId="0" fontId="8" fillId="3" borderId="0" xfId="0" applyNumberFormat="1" applyFont="1" applyFill="1" applyAlignment="1" applyProtection="1">
      <protection locked="0"/>
    </xf>
    <xf numFmtId="165" fontId="8" fillId="3" borderId="0" xfId="0" applyNumberFormat="1" applyFont="1" applyFill="1" applyAlignment="1"/>
    <xf numFmtId="2" fontId="8" fillId="3" borderId="0" xfId="0" applyNumberFormat="1" applyFont="1" applyFill="1" applyAlignment="1"/>
    <xf numFmtId="0" fontId="13" fillId="3" borderId="0" xfId="0" applyNumberFormat="1" applyFont="1" applyFill="1" applyAlignment="1"/>
    <xf numFmtId="3" fontId="13" fillId="3" borderId="0" xfId="0" applyNumberFormat="1" applyFont="1" applyFill="1" applyAlignment="1"/>
    <xf numFmtId="0" fontId="57" fillId="15" borderId="0" xfId="0" applyNumberFormat="1" applyFont="1" applyFill="1" applyAlignment="1"/>
    <xf numFmtId="0" fontId="56" fillId="3" borderId="0" xfId="0" applyNumberFormat="1" applyFont="1" applyFill="1" applyAlignment="1"/>
    <xf numFmtId="0" fontId="8" fillId="3" borderId="0" xfId="0" applyNumberFormat="1" applyFont="1" applyFill="1" applyAlignment="1">
      <alignment horizontal="left"/>
    </xf>
    <xf numFmtId="0" fontId="8" fillId="3" borderId="0" xfId="0" applyNumberFormat="1" applyFont="1" applyFill="1" applyAlignment="1" applyProtection="1">
      <alignment horizontal="center"/>
      <protection locked="0"/>
    </xf>
    <xf numFmtId="0" fontId="8" fillId="3" borderId="17" xfId="0" applyNumberFormat="1" applyFont="1" applyFill="1" applyBorder="1" applyAlignment="1">
      <alignment horizontal="centerContinuous"/>
    </xf>
    <xf numFmtId="1" fontId="8" fillId="3" borderId="17" xfId="0" applyNumberFormat="1" applyFont="1" applyFill="1" applyBorder="1" applyAlignment="1">
      <alignment horizontal="centerContinuous"/>
    </xf>
    <xf numFmtId="1" fontId="8" fillId="3" borderId="7" xfId="0" applyNumberFormat="1" applyFont="1" applyFill="1" applyBorder="1" applyAlignment="1">
      <alignment horizontal="centerContinuous"/>
    </xf>
    <xf numFmtId="0" fontId="8" fillId="3" borderId="7" xfId="0" applyNumberFormat="1" applyFont="1" applyFill="1" applyBorder="1" applyAlignment="1">
      <alignment horizontal="centerContinuous"/>
    </xf>
    <xf numFmtId="1" fontId="8" fillId="3" borderId="7" xfId="0" applyNumberFormat="1" applyFont="1" applyFill="1" applyBorder="1" applyAlignment="1" applyProtection="1">
      <alignment horizontal="centerContinuous"/>
      <protection locked="0"/>
    </xf>
    <xf numFmtId="0" fontId="8" fillId="3" borderId="16" xfId="0" applyNumberFormat="1" applyFont="1" applyFill="1" applyBorder="1" applyAlignment="1">
      <alignment horizontal="centerContinuous"/>
    </xf>
    <xf numFmtId="0" fontId="8" fillId="3" borderId="17" xfId="0" applyNumberFormat="1" applyFont="1" applyFill="1" applyBorder="1" applyAlignment="1">
      <alignment horizontal="center"/>
    </xf>
    <xf numFmtId="2" fontId="8" fillId="3" borderId="16" xfId="0" applyNumberFormat="1" applyFont="1" applyFill="1" applyBorder="1" applyAlignment="1">
      <alignment horizontal="centerContinuous"/>
    </xf>
    <xf numFmtId="165" fontId="8" fillId="3" borderId="7" xfId="0" applyNumberFormat="1" applyFont="1" applyFill="1" applyBorder="1" applyAlignment="1">
      <alignment horizontal="centerContinuous"/>
    </xf>
    <xf numFmtId="165" fontId="8" fillId="3" borderId="17" xfId="0" applyNumberFormat="1" applyFont="1" applyFill="1" applyBorder="1" applyAlignment="1">
      <alignment horizontal="centerContinuous"/>
    </xf>
    <xf numFmtId="1" fontId="8" fillId="3" borderId="16" xfId="0" applyNumberFormat="1" applyFont="1" applyFill="1" applyBorder="1" applyAlignment="1">
      <alignment horizontal="centerContinuous"/>
    </xf>
    <xf numFmtId="0" fontId="8" fillId="3" borderId="16" xfId="0" applyNumberFormat="1" applyFont="1" applyFill="1" applyBorder="1" applyAlignment="1">
      <alignment horizontal="center"/>
    </xf>
    <xf numFmtId="0" fontId="13" fillId="3" borderId="5" xfId="0" applyNumberFormat="1" applyFont="1" applyFill="1" applyBorder="1" applyAlignment="1">
      <alignment horizontal="center"/>
    </xf>
    <xf numFmtId="1" fontId="8" fillId="3" borderId="16" xfId="0" applyNumberFormat="1" applyFont="1" applyFill="1" applyBorder="1" applyAlignment="1">
      <alignment horizontal="center"/>
    </xf>
    <xf numFmtId="3" fontId="8" fillId="3" borderId="17" xfId="0" applyNumberFormat="1" applyFont="1" applyFill="1" applyBorder="1" applyAlignment="1">
      <alignment horizontal="center"/>
    </xf>
    <xf numFmtId="3" fontId="8" fillId="3" borderId="16" xfId="0" applyNumberFormat="1" applyFont="1" applyFill="1" applyBorder="1" applyAlignment="1">
      <alignment horizontal="centerContinuous"/>
    </xf>
    <xf numFmtId="3" fontId="8" fillId="3" borderId="7" xfId="0" applyNumberFormat="1" applyFont="1" applyFill="1" applyBorder="1" applyAlignment="1">
      <alignment horizontal="centerContinuous"/>
    </xf>
    <xf numFmtId="1" fontId="8" fillId="3" borderId="16" xfId="0" applyNumberFormat="1" applyFont="1" applyFill="1" applyBorder="1" applyAlignment="1">
      <alignment horizontal="left"/>
    </xf>
    <xf numFmtId="0" fontId="8" fillId="3" borderId="5" xfId="0" applyNumberFormat="1" applyFont="1" applyFill="1" applyBorder="1" applyAlignment="1">
      <alignment horizontal="center"/>
    </xf>
    <xf numFmtId="0" fontId="8" fillId="3" borderId="0" xfId="0" applyNumberFormat="1" applyFont="1" applyFill="1" applyAlignment="1">
      <alignment horizontal="center"/>
    </xf>
    <xf numFmtId="0" fontId="13" fillId="3" borderId="17" xfId="0" applyNumberFormat="1" applyFont="1" applyFill="1" applyBorder="1" applyAlignment="1"/>
    <xf numFmtId="0" fontId="8" fillId="3" borderId="5" xfId="0" applyNumberFormat="1" applyFont="1" applyFill="1" applyBorder="1" applyAlignment="1">
      <alignment horizontal="centerContinuous"/>
    </xf>
    <xf numFmtId="0" fontId="8" fillId="3" borderId="8" xfId="0" applyNumberFormat="1" applyFont="1" applyFill="1" applyBorder="1" applyAlignment="1">
      <alignment horizontal="centerContinuous"/>
    </xf>
    <xf numFmtId="0" fontId="8" fillId="3" borderId="4" xfId="0" applyNumberFormat="1" applyFont="1" applyFill="1" applyBorder="1" applyAlignment="1">
      <alignment horizontal="centerContinuous"/>
    </xf>
    <xf numFmtId="1" fontId="8" fillId="3" borderId="1" xfId="0" applyNumberFormat="1" applyFont="1" applyFill="1" applyBorder="1" applyAlignment="1">
      <alignment horizontal="centerContinuous"/>
    </xf>
    <xf numFmtId="1" fontId="8" fillId="3" borderId="4" xfId="0" applyNumberFormat="1" applyFont="1" applyFill="1" applyBorder="1" applyAlignment="1">
      <alignment horizontal="centerContinuous"/>
    </xf>
    <xf numFmtId="1" fontId="8" fillId="3" borderId="1" xfId="0" applyNumberFormat="1" applyFont="1" applyFill="1" applyBorder="1" applyAlignment="1">
      <alignment horizontal="center"/>
    </xf>
    <xf numFmtId="0" fontId="8" fillId="3" borderId="1" xfId="0" applyNumberFormat="1" applyFont="1" applyFill="1" applyBorder="1" applyAlignment="1">
      <alignment horizontal="center"/>
    </xf>
    <xf numFmtId="0" fontId="8" fillId="3" borderId="3" xfId="0" applyNumberFormat="1" applyFont="1" applyFill="1" applyBorder="1" applyAlignment="1">
      <alignment horizontal="centerContinuous"/>
    </xf>
    <xf numFmtId="0" fontId="8" fillId="3" borderId="0" xfId="0" applyNumberFormat="1" applyFont="1" applyFill="1" applyAlignment="1">
      <alignment horizontal="centerContinuous"/>
    </xf>
    <xf numFmtId="0" fontId="8" fillId="3" borderId="1" xfId="0" applyNumberFormat="1" applyFont="1" applyFill="1" applyBorder="1" applyAlignment="1">
      <alignment horizontal="centerContinuous"/>
    </xf>
    <xf numFmtId="2" fontId="8" fillId="3" borderId="3" xfId="0" applyNumberFormat="1" applyFont="1" applyFill="1" applyBorder="1" applyAlignment="1">
      <alignment horizontal="centerContinuous"/>
    </xf>
    <xf numFmtId="1" fontId="8" fillId="3" borderId="3" xfId="0" applyNumberFormat="1" applyFont="1" applyFill="1" applyBorder="1" applyAlignment="1">
      <alignment horizontal="centerContinuous"/>
    </xf>
    <xf numFmtId="1" fontId="8" fillId="3" borderId="0" xfId="0" applyNumberFormat="1" applyFont="1" applyFill="1" applyAlignment="1" applyProtection="1">
      <alignment horizontal="centerContinuous"/>
      <protection locked="0"/>
    </xf>
    <xf numFmtId="165" fontId="8" fillId="3" borderId="3" xfId="0" applyNumberFormat="1" applyFont="1" applyFill="1" applyBorder="1" applyAlignment="1">
      <alignment horizontal="centerContinuous"/>
    </xf>
    <xf numFmtId="165" fontId="8" fillId="3" borderId="1" xfId="0" applyNumberFormat="1" applyFont="1" applyFill="1" applyBorder="1" applyAlignment="1">
      <alignment horizontal="centerContinuous"/>
    </xf>
    <xf numFmtId="165" fontId="8" fillId="3" borderId="4" xfId="0" applyNumberFormat="1" applyFont="1" applyFill="1" applyBorder="1" applyAlignment="1">
      <alignment horizontal="centerContinuous"/>
    </xf>
    <xf numFmtId="0" fontId="8" fillId="3" borderId="3" xfId="0" applyNumberFormat="1" applyFont="1" applyFill="1" applyBorder="1" applyAlignment="1">
      <alignment horizontal="center"/>
    </xf>
    <xf numFmtId="1" fontId="8" fillId="3" borderId="5" xfId="0" applyNumberFormat="1" applyFont="1" applyFill="1" applyBorder="1" applyAlignment="1">
      <alignment horizontal="centerContinuous"/>
    </xf>
    <xf numFmtId="1" fontId="8" fillId="3" borderId="0" xfId="0" applyNumberFormat="1" applyFont="1" applyFill="1" applyAlignment="1">
      <alignment horizontal="centerContinuous"/>
    </xf>
    <xf numFmtId="1" fontId="8" fillId="3" borderId="3" xfId="0" applyNumberFormat="1" applyFont="1" applyFill="1" applyBorder="1" applyAlignment="1">
      <alignment horizontal="center"/>
    </xf>
    <xf numFmtId="3" fontId="8" fillId="3" borderId="8" xfId="0" applyNumberFormat="1" applyFont="1" applyFill="1" applyBorder="1" applyAlignment="1">
      <alignment horizontal="center"/>
    </xf>
    <xf numFmtId="3" fontId="8" fillId="3" borderId="1" xfId="0" applyNumberFormat="1" applyFont="1" applyFill="1" applyBorder="1" applyAlignment="1">
      <alignment horizontal="center"/>
    </xf>
    <xf numFmtId="1" fontId="8" fillId="3" borderId="0" xfId="0" applyNumberFormat="1" applyFont="1" applyFill="1" applyAlignment="1">
      <alignment horizontal="center"/>
    </xf>
    <xf numFmtId="0" fontId="13" fillId="3" borderId="8" xfId="0" applyNumberFormat="1" applyFont="1" applyFill="1" applyBorder="1" applyAlignment="1">
      <alignment horizontal="centerContinuous"/>
    </xf>
    <xf numFmtId="0" fontId="13" fillId="3" borderId="4" xfId="0" applyNumberFormat="1" applyFont="1" applyFill="1" applyBorder="1" applyAlignment="1">
      <alignment horizontal="centerContinuous"/>
    </xf>
    <xf numFmtId="0" fontId="8" fillId="3" borderId="7" xfId="0" applyNumberFormat="1" applyFont="1" applyFill="1" applyBorder="1" applyAlignment="1">
      <alignment horizontal="center"/>
    </xf>
    <xf numFmtId="0" fontId="13" fillId="3" borderId="5" xfId="0" applyNumberFormat="1" applyFont="1" applyFill="1" applyBorder="1" applyAlignment="1"/>
    <xf numFmtId="1" fontId="8" fillId="3" borderId="8" xfId="0" applyNumberFormat="1" applyFont="1" applyFill="1" applyBorder="1" applyAlignment="1">
      <alignment horizontal="centerContinuous"/>
    </xf>
    <xf numFmtId="1" fontId="8" fillId="3" borderId="0" xfId="0" applyNumberFormat="1" applyFont="1" applyFill="1" applyAlignment="1" applyProtection="1">
      <alignment horizontal="center"/>
      <protection locked="0"/>
    </xf>
    <xf numFmtId="0" fontId="8" fillId="3" borderId="3" xfId="0" applyNumberFormat="1" applyFont="1" applyFill="1" applyBorder="1" applyAlignment="1"/>
    <xf numFmtId="165" fontId="8" fillId="3" borderId="0" xfId="0" applyNumberFormat="1" applyFont="1" applyFill="1" applyAlignment="1">
      <alignment horizontal="centerContinuous"/>
    </xf>
    <xf numFmtId="165" fontId="8" fillId="3" borderId="3" xfId="0" applyNumberFormat="1" applyFont="1" applyFill="1" applyBorder="1" applyAlignment="1">
      <alignment horizontal="center"/>
    </xf>
    <xf numFmtId="3" fontId="8" fillId="3" borderId="5" xfId="0" applyNumberFormat="1" applyFont="1" applyFill="1" applyBorder="1" applyAlignment="1">
      <alignment horizontal="center"/>
    </xf>
    <xf numFmtId="3" fontId="8" fillId="3" borderId="3" xfId="0" applyNumberFormat="1" applyFont="1" applyFill="1" applyBorder="1" applyAlignment="1">
      <alignment horizontal="center"/>
    </xf>
    <xf numFmtId="165" fontId="8" fillId="3" borderId="1" xfId="0" applyNumberFormat="1" applyFont="1" applyFill="1" applyBorder="1" applyAlignment="1">
      <alignment horizontal="center"/>
    </xf>
    <xf numFmtId="1" fontId="8" fillId="3" borderId="8" xfId="0" applyNumberFormat="1" applyFont="1" applyFill="1" applyBorder="1" applyAlignment="1">
      <alignment horizontal="center"/>
    </xf>
    <xf numFmtId="170" fontId="8" fillId="3" borderId="5" xfId="0" applyNumberFormat="1" applyFont="1" applyFill="1" applyBorder="1" applyAlignment="1">
      <alignment horizontal="centerContinuous"/>
    </xf>
    <xf numFmtId="170" fontId="8" fillId="3" borderId="3" xfId="0" applyNumberFormat="1" applyFont="1" applyFill="1" applyBorder="1" applyAlignment="1">
      <alignment horizontal="centerContinuous"/>
    </xf>
    <xf numFmtId="170" fontId="8" fillId="3" borderId="3" xfId="0" applyNumberFormat="1" applyFont="1" applyFill="1" applyBorder="1" applyAlignment="1">
      <alignment horizontal="center"/>
    </xf>
    <xf numFmtId="0" fontId="8" fillId="3" borderId="8" xfId="0" applyNumberFormat="1" applyFont="1" applyFill="1" applyBorder="1" applyAlignment="1">
      <alignment horizontal="center"/>
    </xf>
    <xf numFmtId="2" fontId="8" fillId="3" borderId="1" xfId="0" applyNumberFormat="1" applyFont="1" applyFill="1" applyBorder="1" applyAlignment="1">
      <alignment horizontal="centerContinuous"/>
    </xf>
    <xf numFmtId="1" fontId="8" fillId="3" borderId="5" xfId="0" applyNumberFormat="1" applyFont="1" applyFill="1" applyBorder="1" applyAlignment="1">
      <alignment horizontal="center"/>
    </xf>
    <xf numFmtId="1" fontId="8" fillId="3" borderId="3" xfId="0" applyNumberFormat="1" applyFont="1" applyFill="1" applyBorder="1" applyAlignment="1">
      <alignment horizontal="left"/>
    </xf>
    <xf numFmtId="170" fontId="8" fillId="3" borderId="3" xfId="0" applyNumberFormat="1" applyFont="1" applyFill="1" applyBorder="1" applyAlignment="1"/>
    <xf numFmtId="0" fontId="8" fillId="3" borderId="5" xfId="0" applyNumberFormat="1" applyFont="1" applyFill="1" applyBorder="1" applyAlignment="1"/>
    <xf numFmtId="0" fontId="8" fillId="3" borderId="5" xfId="0" quotePrefix="1" applyNumberFormat="1" applyFont="1" applyFill="1" applyBorder="1" applyAlignment="1">
      <alignment horizontal="centerContinuous"/>
    </xf>
    <xf numFmtId="1" fontId="8" fillId="3" borderId="17" xfId="0" applyNumberFormat="1" applyFont="1" applyFill="1" applyBorder="1" applyAlignment="1" applyProtection="1">
      <protection locked="0"/>
    </xf>
    <xf numFmtId="165" fontId="8" fillId="3" borderId="16" xfId="0" applyNumberFormat="1" applyFont="1" applyFill="1" applyBorder="1" applyAlignment="1" applyProtection="1">
      <protection locked="0"/>
    </xf>
    <xf numFmtId="1" fontId="8" fillId="3" borderId="16" xfId="0" applyNumberFormat="1" applyFont="1" applyFill="1" applyBorder="1" applyAlignment="1" applyProtection="1">
      <protection locked="0"/>
    </xf>
    <xf numFmtId="1" fontId="8" fillId="3" borderId="16" xfId="0" applyNumberFormat="1" applyFont="1" applyFill="1" applyBorder="1" applyAlignment="1"/>
    <xf numFmtId="165" fontId="8" fillId="3" borderId="16" xfId="0" applyNumberFormat="1" applyFont="1" applyFill="1" applyBorder="1" applyAlignment="1"/>
    <xf numFmtId="3" fontId="8" fillId="3" borderId="17" xfId="0" applyNumberFormat="1" applyFont="1" applyFill="1" applyBorder="1" applyAlignment="1" applyProtection="1">
      <protection locked="0"/>
    </xf>
    <xf numFmtId="3" fontId="8" fillId="3" borderId="16" xfId="0" applyNumberFormat="1" applyFont="1" applyFill="1" applyBorder="1" applyAlignment="1" applyProtection="1">
      <protection locked="0"/>
    </xf>
    <xf numFmtId="165" fontId="8" fillId="3" borderId="17" xfId="0" applyNumberFormat="1" applyFont="1" applyFill="1" applyBorder="1" applyAlignment="1" applyProtection="1">
      <protection locked="0"/>
    </xf>
    <xf numFmtId="2" fontId="8" fillId="3" borderId="16" xfId="0" applyNumberFormat="1" applyFont="1" applyFill="1" applyBorder="1" applyAlignment="1" applyProtection="1">
      <protection locked="0"/>
    </xf>
    <xf numFmtId="2" fontId="8" fillId="3" borderId="16" xfId="0" applyNumberFormat="1" applyFont="1" applyFill="1" applyBorder="1" applyAlignment="1" applyProtection="1">
      <alignment horizontal="right"/>
      <protection locked="0"/>
    </xf>
    <xf numFmtId="1" fontId="8" fillId="3" borderId="7" xfId="0" applyNumberFormat="1" applyFont="1" applyFill="1" applyBorder="1" applyAlignment="1" applyProtection="1">
      <alignment horizontal="right"/>
      <protection locked="0"/>
    </xf>
    <xf numFmtId="1" fontId="8" fillId="3" borderId="17" xfId="0" applyNumberFormat="1" applyFont="1" applyFill="1" applyBorder="1" applyAlignment="1"/>
    <xf numFmtId="9" fontId="8" fillId="3" borderId="16" xfId="0" applyNumberFormat="1" applyFont="1" applyFill="1" applyBorder="1" applyAlignment="1"/>
    <xf numFmtId="2" fontId="8" fillId="3" borderId="16" xfId="0" applyNumberFormat="1" applyFont="1" applyFill="1" applyBorder="1" applyAlignment="1"/>
    <xf numFmtId="165" fontId="8" fillId="3" borderId="16" xfId="0" applyNumberFormat="1" applyFont="1" applyFill="1" applyBorder="1" applyAlignment="1">
      <alignment horizontal="center"/>
    </xf>
    <xf numFmtId="3" fontId="8" fillId="3" borderId="17" xfId="0" applyNumberFormat="1" applyFont="1" applyFill="1" applyBorder="1" applyAlignment="1"/>
    <xf numFmtId="3" fontId="8" fillId="3" borderId="16" xfId="0" applyNumberFormat="1" applyFont="1" applyFill="1" applyBorder="1" applyAlignment="1"/>
    <xf numFmtId="165" fontId="8" fillId="3" borderId="17" xfId="0" applyNumberFormat="1" applyFont="1" applyFill="1" applyBorder="1" applyAlignment="1"/>
    <xf numFmtId="2" fontId="8" fillId="3" borderId="17" xfId="0" applyNumberFormat="1" applyFont="1" applyFill="1" applyBorder="1" applyAlignment="1"/>
    <xf numFmtId="1" fontId="8" fillId="3" borderId="8" xfId="0" applyNumberFormat="1" applyFont="1" applyFill="1" applyBorder="1" applyAlignment="1" applyProtection="1">
      <protection locked="0"/>
    </xf>
    <xf numFmtId="165" fontId="8" fillId="3" borderId="1" xfId="0" applyNumberFormat="1" applyFont="1" applyFill="1" applyBorder="1" applyAlignment="1" applyProtection="1">
      <protection locked="0"/>
    </xf>
    <xf numFmtId="1" fontId="8" fillId="3" borderId="1" xfId="0" applyNumberFormat="1" applyFont="1" applyFill="1" applyBorder="1" applyAlignment="1" applyProtection="1">
      <protection locked="0"/>
    </xf>
    <xf numFmtId="1" fontId="8" fillId="3" borderId="1" xfId="0" applyNumberFormat="1" applyFont="1" applyFill="1" applyBorder="1" applyAlignment="1"/>
    <xf numFmtId="165" fontId="8" fillId="3" borderId="1" xfId="0" applyNumberFormat="1" applyFont="1" applyFill="1" applyBorder="1" applyAlignment="1"/>
    <xf numFmtId="3" fontId="8" fillId="3" borderId="8" xfId="0" applyNumberFormat="1" applyFont="1" applyFill="1" applyBorder="1" applyAlignment="1" applyProtection="1">
      <protection locked="0"/>
    </xf>
    <xf numFmtId="3" fontId="8" fillId="3" borderId="1" xfId="0" applyNumberFormat="1" applyFont="1" applyFill="1" applyBorder="1" applyAlignment="1" applyProtection="1">
      <protection locked="0"/>
    </xf>
    <xf numFmtId="165" fontId="8" fillId="3" borderId="8" xfId="0" applyNumberFormat="1" applyFont="1" applyFill="1" applyBorder="1" applyAlignment="1" applyProtection="1">
      <protection locked="0"/>
    </xf>
    <xf numFmtId="2" fontId="8" fillId="3" borderId="1" xfId="0" applyNumberFormat="1" applyFont="1" applyFill="1" applyBorder="1" applyAlignment="1" applyProtection="1">
      <protection locked="0"/>
    </xf>
    <xf numFmtId="2" fontId="8" fillId="3" borderId="1" xfId="0" applyNumberFormat="1" applyFont="1" applyFill="1" applyBorder="1" applyAlignment="1" applyProtection="1">
      <alignment horizontal="right"/>
      <protection locked="0"/>
    </xf>
    <xf numFmtId="1" fontId="8" fillId="3" borderId="4" xfId="0" applyNumberFormat="1" applyFont="1" applyFill="1" applyBorder="1" applyAlignment="1" applyProtection="1">
      <alignment horizontal="right"/>
      <protection locked="0"/>
    </xf>
    <xf numFmtId="1" fontId="8" fillId="3" borderId="8" xfId="0" applyNumberFormat="1" applyFont="1" applyFill="1" applyBorder="1" applyAlignment="1"/>
    <xf numFmtId="9" fontId="8" fillId="3" borderId="1" xfId="0" applyNumberFormat="1" applyFont="1" applyFill="1" applyBorder="1" applyAlignment="1"/>
    <xf numFmtId="2" fontId="8" fillId="3" borderId="1" xfId="0" applyNumberFormat="1" applyFont="1" applyFill="1" applyBorder="1" applyAlignment="1"/>
    <xf numFmtId="3" fontId="8" fillId="3" borderId="8" xfId="0" applyNumberFormat="1" applyFont="1" applyFill="1" applyBorder="1" applyAlignment="1"/>
    <xf numFmtId="3" fontId="8" fillId="3" borderId="1" xfId="0" applyNumberFormat="1" applyFont="1" applyFill="1" applyBorder="1" applyAlignment="1"/>
    <xf numFmtId="165" fontId="8" fillId="3" borderId="8" xfId="0" applyNumberFormat="1" applyFont="1" applyFill="1" applyBorder="1" applyAlignment="1"/>
    <xf numFmtId="2" fontId="8" fillId="3" borderId="8" xfId="0" applyNumberFormat="1" applyFont="1" applyFill="1" applyBorder="1" applyAlignment="1"/>
    <xf numFmtId="165" fontId="8" fillId="3" borderId="0" xfId="0" applyNumberFormat="1" applyFont="1" applyFill="1" applyAlignment="1">
      <alignment horizontal="left"/>
    </xf>
    <xf numFmtId="0" fontId="8" fillId="3" borderId="53" xfId="0" applyNumberFormat="1" applyFont="1" applyFill="1" applyBorder="1" applyAlignment="1">
      <alignment horizontal="center"/>
    </xf>
    <xf numFmtId="165" fontId="8" fillId="3" borderId="6" xfId="0" applyNumberFormat="1" applyFont="1" applyFill="1" applyBorder="1" applyAlignment="1">
      <alignment horizontal="center"/>
    </xf>
    <xf numFmtId="0" fontId="8" fillId="3" borderId="6" xfId="0" applyNumberFormat="1" applyFont="1" applyFill="1" applyBorder="1" applyAlignment="1">
      <alignment horizontal="center"/>
    </xf>
    <xf numFmtId="1" fontId="8" fillId="3" borderId="6" xfId="0" applyNumberFormat="1" applyFont="1" applyFill="1" applyBorder="1" applyAlignment="1">
      <alignment horizontal="center"/>
    </xf>
    <xf numFmtId="1" fontId="8" fillId="3" borderId="53" xfId="0" applyNumberFormat="1" applyFont="1" applyFill="1" applyBorder="1" applyAlignment="1">
      <alignment horizontal="center"/>
    </xf>
    <xf numFmtId="3" fontId="8" fillId="3" borderId="53" xfId="0" applyNumberFormat="1" applyFont="1" applyFill="1" applyBorder="1" applyAlignment="1">
      <alignment horizontal="center"/>
    </xf>
    <xf numFmtId="3" fontId="8" fillId="3" borderId="6" xfId="0" applyNumberFormat="1" applyFont="1" applyFill="1" applyBorder="1" applyAlignment="1">
      <alignment horizontal="center"/>
    </xf>
    <xf numFmtId="165" fontId="8" fillId="3" borderId="53" xfId="0" applyNumberFormat="1" applyFont="1" applyFill="1" applyBorder="1" applyAlignment="1">
      <alignment horizontal="center"/>
    </xf>
    <xf numFmtId="2" fontId="8" fillId="3" borderId="6" xfId="0" applyNumberFormat="1" applyFont="1" applyFill="1" applyBorder="1" applyAlignment="1">
      <alignment horizontal="center"/>
    </xf>
    <xf numFmtId="1" fontId="8" fillId="3" borderId="11" xfId="0" applyNumberFormat="1" applyFont="1" applyFill="1" applyBorder="1" applyAlignment="1">
      <alignment horizontal="center"/>
    </xf>
    <xf numFmtId="9" fontId="8" fillId="3" borderId="6" xfId="0" applyNumberFormat="1" applyFont="1" applyFill="1" applyBorder="1" applyAlignment="1">
      <alignment horizontal="center"/>
    </xf>
    <xf numFmtId="2" fontId="8" fillId="3" borderId="17" xfId="0" applyNumberFormat="1" applyFont="1" applyFill="1" applyBorder="1" applyAlignment="1">
      <alignment horizontal="centerContinuous"/>
    </xf>
    <xf numFmtId="165" fontId="8" fillId="3" borderId="16" xfId="0" applyNumberFormat="1" applyFont="1" applyFill="1" applyBorder="1" applyAlignment="1">
      <alignment horizontal="centerContinuous"/>
    </xf>
    <xf numFmtId="0" fontId="8" fillId="3" borderId="17" xfId="0" applyNumberFormat="1" applyFont="1" applyFill="1" applyBorder="1" applyAlignment="1"/>
    <xf numFmtId="165" fontId="8" fillId="3" borderId="7" xfId="0" applyNumberFormat="1" applyFont="1" applyFill="1" applyBorder="1" applyAlignment="1"/>
    <xf numFmtId="0" fontId="8" fillId="3" borderId="7" xfId="0" applyNumberFormat="1" applyFont="1" applyFill="1" applyBorder="1" applyAlignment="1"/>
    <xf numFmtId="1" fontId="8" fillId="3" borderId="7" xfId="0" applyNumberFormat="1" applyFont="1" applyFill="1" applyBorder="1" applyAlignment="1"/>
    <xf numFmtId="0" fontId="13" fillId="3" borderId="7" xfId="0" applyNumberFormat="1" applyFont="1" applyFill="1" applyBorder="1" applyAlignment="1"/>
    <xf numFmtId="0" fontId="56" fillId="3" borderId="7" xfId="0" applyNumberFormat="1" applyFont="1" applyFill="1" applyBorder="1" applyAlignment="1"/>
    <xf numFmtId="2" fontId="56" fillId="3" borderId="7" xfId="0" applyNumberFormat="1" applyFont="1" applyFill="1" applyBorder="1" applyAlignment="1"/>
    <xf numFmtId="2" fontId="8" fillId="3" borderId="7" xfId="0" applyNumberFormat="1" applyFont="1" applyFill="1" applyBorder="1" applyAlignment="1"/>
    <xf numFmtId="0" fontId="13" fillId="3" borderId="54" xfId="0" applyNumberFormat="1" applyFont="1" applyFill="1" applyBorder="1" applyAlignment="1"/>
    <xf numFmtId="9" fontId="8" fillId="3" borderId="1" xfId="0" applyNumberFormat="1" applyFont="1" applyFill="1" applyBorder="1" applyAlignment="1">
      <alignment horizontal="center"/>
    </xf>
    <xf numFmtId="2" fontId="8" fillId="3" borderId="1" xfId="0" applyNumberFormat="1" applyFont="1" applyFill="1" applyBorder="1" applyAlignment="1">
      <alignment horizontal="center"/>
    </xf>
    <xf numFmtId="0" fontId="13" fillId="3" borderId="8" xfId="0" applyNumberFormat="1" applyFont="1" applyFill="1" applyBorder="1" applyAlignment="1">
      <alignment horizontal="center"/>
    </xf>
    <xf numFmtId="2" fontId="8" fillId="3" borderId="8" xfId="0" applyNumberFormat="1" applyFont="1" applyFill="1" applyBorder="1" applyAlignment="1">
      <alignment horizontal="center"/>
    </xf>
    <xf numFmtId="1" fontId="8" fillId="3" borderId="0" xfId="0" applyNumberFormat="1" applyFont="1" applyFill="1" applyAlignment="1"/>
    <xf numFmtId="2" fontId="56" fillId="3" borderId="0" xfId="0" applyNumberFormat="1" applyFont="1" applyFill="1" applyAlignment="1"/>
    <xf numFmtId="3" fontId="8" fillId="3" borderId="7" xfId="0" applyNumberFormat="1" applyFont="1" applyFill="1" applyBorder="1" applyAlignment="1"/>
    <xf numFmtId="2" fontId="8" fillId="3" borderId="42" xfId="0" applyNumberFormat="1" applyFont="1" applyFill="1" applyBorder="1" applyAlignment="1">
      <alignment horizontal="left"/>
    </xf>
    <xf numFmtId="2" fontId="8" fillId="3" borderId="55" xfId="0" applyNumberFormat="1" applyFont="1" applyFill="1" applyBorder="1" applyAlignment="1"/>
    <xf numFmtId="0" fontId="8" fillId="3" borderId="56" xfId="0" applyNumberFormat="1" applyFont="1" applyFill="1" applyBorder="1" applyAlignment="1">
      <alignment horizontal="center"/>
    </xf>
    <xf numFmtId="0" fontId="8" fillId="3" borderId="56" xfId="0" applyNumberFormat="1" applyFont="1" applyFill="1" applyBorder="1" applyAlignment="1"/>
    <xf numFmtId="0" fontId="8" fillId="3" borderId="55" xfId="0" applyNumberFormat="1" applyFont="1" applyFill="1" applyBorder="1" applyAlignment="1"/>
    <xf numFmtId="170" fontId="8" fillId="3" borderId="55" xfId="0" applyNumberFormat="1" applyFont="1" applyFill="1" applyBorder="1" applyAlignment="1"/>
    <xf numFmtId="0" fontId="8" fillId="3" borderId="43" xfId="0" applyNumberFormat="1" applyFont="1" applyFill="1" applyBorder="1" applyAlignment="1"/>
    <xf numFmtId="0" fontId="8" fillId="3" borderId="0" xfId="0" quotePrefix="1" applyNumberFormat="1" applyFont="1" applyFill="1" applyAlignment="1"/>
    <xf numFmtId="0" fontId="8" fillId="3" borderId="0" xfId="0" applyNumberFormat="1" applyFont="1" applyFill="1" applyBorder="1" applyAlignment="1"/>
    <xf numFmtId="170" fontId="8" fillId="3" borderId="0" xfId="0" applyNumberFormat="1" applyFont="1" applyFill="1" applyBorder="1" applyAlignment="1"/>
    <xf numFmtId="170" fontId="8" fillId="3" borderId="0" xfId="0" applyNumberFormat="1" applyFont="1" applyFill="1" applyAlignment="1"/>
    <xf numFmtId="170" fontId="8" fillId="3" borderId="5" xfId="0" applyNumberFormat="1" applyFont="1" applyFill="1" applyBorder="1" applyAlignment="1"/>
    <xf numFmtId="0" fontId="8" fillId="3" borderId="16" xfId="0" applyNumberFormat="1" applyFont="1" applyFill="1" applyBorder="1" applyAlignment="1"/>
    <xf numFmtId="0" fontId="56" fillId="3" borderId="5" xfId="0" applyNumberFormat="1" applyFont="1" applyFill="1" applyBorder="1" applyAlignment="1"/>
    <xf numFmtId="2" fontId="8" fillId="3" borderId="57" xfId="0" applyNumberFormat="1" applyFont="1" applyFill="1" applyBorder="1" applyAlignment="1">
      <alignment horizontal="left"/>
    </xf>
    <xf numFmtId="2" fontId="8" fillId="3" borderId="0" xfId="0" applyNumberFormat="1" applyFont="1" applyFill="1" applyBorder="1" applyAlignment="1"/>
    <xf numFmtId="165" fontId="8" fillId="3" borderId="0" xfId="0" applyNumberFormat="1" applyFont="1" applyFill="1" applyBorder="1" applyAlignment="1"/>
    <xf numFmtId="170" fontId="8" fillId="3" borderId="1" xfId="0" applyNumberFormat="1" applyFont="1" applyFill="1" applyBorder="1" applyAlignment="1"/>
    <xf numFmtId="0" fontId="8" fillId="3" borderId="4" xfId="0" applyNumberFormat="1" applyFont="1" applyFill="1" applyBorder="1" applyAlignment="1"/>
    <xf numFmtId="165" fontId="8" fillId="3" borderId="4" xfId="0" applyNumberFormat="1" applyFont="1" applyFill="1" applyBorder="1" applyAlignment="1"/>
    <xf numFmtId="170" fontId="8" fillId="3" borderId="4" xfId="0" applyNumberFormat="1" applyFont="1" applyFill="1" applyBorder="1" applyAlignment="1"/>
    <xf numFmtId="170" fontId="8" fillId="3" borderId="37" xfId="0" applyNumberFormat="1" applyFont="1" applyFill="1" applyBorder="1" applyAlignment="1"/>
    <xf numFmtId="0" fontId="8" fillId="3" borderId="37" xfId="0" applyNumberFormat="1" applyFont="1" applyFill="1" applyBorder="1" applyAlignment="1"/>
    <xf numFmtId="0" fontId="8" fillId="3" borderId="58" xfId="0" applyNumberFormat="1" applyFont="1" applyFill="1" applyBorder="1" applyAlignment="1"/>
    <xf numFmtId="0" fontId="8" fillId="3" borderId="8" xfId="0" applyNumberFormat="1" applyFont="1" applyFill="1" applyBorder="1" applyAlignment="1"/>
    <xf numFmtId="0" fontId="8" fillId="3" borderId="1" xfId="0" applyNumberFormat="1" applyFont="1" applyFill="1" applyBorder="1" applyAlignment="1"/>
    <xf numFmtId="9" fontId="8" fillId="3" borderId="5" xfId="0" applyNumberFormat="1" applyFont="1" applyFill="1" applyBorder="1" applyAlignment="1"/>
    <xf numFmtId="1" fontId="8" fillId="3" borderId="0" xfId="0" applyNumberFormat="1" applyFont="1" applyFill="1" applyAlignment="1" applyProtection="1">
      <protection locked="0"/>
    </xf>
    <xf numFmtId="1" fontId="8" fillId="3" borderId="0" xfId="0" applyNumberFormat="1" applyFont="1" applyFill="1" applyBorder="1" applyAlignment="1"/>
    <xf numFmtId="0" fontId="8" fillId="3" borderId="59" xfId="0" applyNumberFormat="1" applyFont="1" applyFill="1" applyBorder="1" applyAlignment="1"/>
    <xf numFmtId="0" fontId="8" fillId="3" borderId="60" xfId="0" applyNumberFormat="1" applyFont="1" applyFill="1" applyBorder="1" applyAlignment="1"/>
    <xf numFmtId="2" fontId="8" fillId="3" borderId="61" xfId="0" applyNumberFormat="1" applyFont="1" applyFill="1" applyBorder="1" applyAlignment="1">
      <alignment horizontal="left"/>
    </xf>
    <xf numFmtId="2" fontId="8" fillId="3" borderId="4" xfId="0" applyNumberFormat="1" applyFont="1" applyFill="1" applyBorder="1" applyAlignment="1"/>
    <xf numFmtId="0" fontId="8" fillId="3" borderId="1" xfId="0" applyNumberFormat="1" applyFont="1" applyFill="1" applyBorder="1" applyAlignment="1">
      <alignment horizontal="left"/>
    </xf>
    <xf numFmtId="1" fontId="8" fillId="3" borderId="8" xfId="0" applyNumberFormat="1" applyFont="1" applyFill="1" applyBorder="1" applyAlignment="1" applyProtection="1">
      <alignment horizontal="center"/>
      <protection locked="0"/>
    </xf>
    <xf numFmtId="165" fontId="8" fillId="3" borderId="8" xfId="0" applyNumberFormat="1" applyFont="1" applyFill="1" applyBorder="1" applyAlignment="1" applyProtection="1">
      <alignment horizontal="center"/>
      <protection locked="0"/>
    </xf>
    <xf numFmtId="165" fontId="8" fillId="3" borderId="1" xfId="0" applyNumberFormat="1" applyFont="1" applyFill="1" applyBorder="1" applyAlignment="1" applyProtection="1">
      <alignment horizontal="center"/>
      <protection locked="0"/>
    </xf>
    <xf numFmtId="3" fontId="8" fillId="3" borderId="4" xfId="0" applyNumberFormat="1" applyFont="1" applyFill="1" applyBorder="1" applyAlignment="1"/>
    <xf numFmtId="9" fontId="8" fillId="3" borderId="4" xfId="0" applyNumberFormat="1" applyFont="1" applyFill="1" applyBorder="1" applyAlignment="1">
      <alignment horizontal="centerContinuous"/>
    </xf>
    <xf numFmtId="0" fontId="8" fillId="3" borderId="62" xfId="0" applyNumberFormat="1" applyFont="1" applyFill="1" applyBorder="1" applyAlignment="1"/>
    <xf numFmtId="0" fontId="8" fillId="3" borderId="63" xfId="0" applyNumberFormat="1" applyFont="1" applyFill="1" applyBorder="1" applyAlignment="1"/>
    <xf numFmtId="0" fontId="13" fillId="3" borderId="0" xfId="0" applyNumberFormat="1" applyFont="1" applyFill="1" applyBorder="1" applyAlignment="1"/>
    <xf numFmtId="9" fontId="8" fillId="3" borderId="16" xfId="0" applyNumberFormat="1" applyFont="1" applyFill="1" applyBorder="1" applyAlignment="1">
      <alignment horizontal="center"/>
    </xf>
    <xf numFmtId="9" fontId="8" fillId="3" borderId="5" xfId="0" applyNumberFormat="1" applyFont="1" applyFill="1" applyBorder="1" applyAlignment="1">
      <alignment horizontal="center"/>
    </xf>
    <xf numFmtId="2" fontId="8" fillId="3" borderId="64" xfId="0" applyNumberFormat="1" applyFont="1" applyFill="1" applyBorder="1" applyAlignment="1">
      <alignment horizontal="left"/>
    </xf>
    <xf numFmtId="2" fontId="8" fillId="3" borderId="65" xfId="0" applyNumberFormat="1" applyFont="1" applyFill="1" applyBorder="1" applyAlignment="1"/>
    <xf numFmtId="3" fontId="8" fillId="3" borderId="66" xfId="0" applyNumberFormat="1" applyFont="1" applyFill="1" applyBorder="1" applyAlignment="1"/>
    <xf numFmtId="0" fontId="8" fillId="3" borderId="66" xfId="0" applyNumberFormat="1" applyFont="1" applyFill="1" applyBorder="1" applyAlignment="1">
      <alignment horizontal="left"/>
    </xf>
    <xf numFmtId="0" fontId="8" fillId="3" borderId="65" xfId="0" applyNumberFormat="1" applyFont="1" applyFill="1" applyBorder="1" applyAlignment="1"/>
    <xf numFmtId="2" fontId="8" fillId="3" borderId="66" xfId="0" applyNumberFormat="1" applyFont="1" applyFill="1" applyBorder="1" applyAlignment="1"/>
    <xf numFmtId="1" fontId="8" fillId="3" borderId="66" xfId="0" applyNumberFormat="1" applyFont="1" applyFill="1" applyBorder="1" applyAlignment="1"/>
    <xf numFmtId="0" fontId="8" fillId="3" borderId="66" xfId="0" applyNumberFormat="1" applyFont="1" applyFill="1" applyBorder="1" applyAlignment="1"/>
    <xf numFmtId="170" fontId="8" fillId="3" borderId="65" xfId="0" applyNumberFormat="1" applyFont="1" applyFill="1" applyBorder="1" applyAlignment="1"/>
    <xf numFmtId="0" fontId="8" fillId="3" borderId="67" xfId="0" applyNumberFormat="1" applyFont="1" applyFill="1" applyBorder="1" applyAlignment="1"/>
    <xf numFmtId="0" fontId="8" fillId="3" borderId="68" xfId="0" applyNumberFormat="1" applyFont="1" applyFill="1" applyBorder="1" applyAlignment="1"/>
    <xf numFmtId="0" fontId="8" fillId="3" borderId="8" xfId="0" applyNumberFormat="1" applyFont="1" applyFill="1" applyBorder="1" applyAlignment="1">
      <alignment horizontal="left"/>
    </xf>
    <xf numFmtId="0" fontId="13" fillId="3" borderId="1" xfId="0" applyNumberFormat="1" applyFont="1" applyFill="1" applyBorder="1" applyAlignment="1">
      <alignment horizontal="centerContinuous" vertical="center"/>
    </xf>
    <xf numFmtId="0" fontId="13" fillId="3" borderId="4" xfId="0" applyNumberFormat="1" applyFont="1" applyFill="1" applyBorder="1" applyAlignment="1">
      <alignment horizontal="centerContinuous" vertical="center"/>
    </xf>
    <xf numFmtId="1" fontId="8" fillId="3" borderId="8" xfId="0" applyNumberFormat="1" applyFont="1" applyFill="1" applyBorder="1" applyAlignment="1" applyProtection="1">
      <alignment horizontal="centerContinuous"/>
      <protection locked="0"/>
    </xf>
    <xf numFmtId="1" fontId="8" fillId="3" borderId="4" xfId="0" applyNumberFormat="1" applyFont="1" applyFill="1" applyBorder="1" applyAlignment="1" applyProtection="1">
      <alignment horizontal="centerContinuous"/>
      <protection locked="0"/>
    </xf>
    <xf numFmtId="0" fontId="8" fillId="3" borderId="5" xfId="0" applyNumberFormat="1" applyFont="1" applyFill="1" applyBorder="1" applyAlignment="1" applyProtection="1">
      <protection locked="0"/>
    </xf>
    <xf numFmtId="1" fontId="8" fillId="3" borderId="53" xfId="0" applyNumberFormat="1" applyFont="1" applyFill="1" applyBorder="1" applyAlignment="1">
      <alignment horizontal="centerContinuous"/>
    </xf>
    <xf numFmtId="165" fontId="8" fillId="3" borderId="53" xfId="0" applyNumberFormat="1" applyFont="1" applyFill="1" applyBorder="1" applyAlignment="1">
      <alignment horizontal="centerContinuous"/>
    </xf>
    <xf numFmtId="165" fontId="8" fillId="3" borderId="6" xfId="0" applyNumberFormat="1" applyFont="1" applyFill="1" applyBorder="1" applyAlignment="1">
      <alignment horizontal="centerContinuous"/>
    </xf>
    <xf numFmtId="0" fontId="8" fillId="3" borderId="7" xfId="0" applyNumberFormat="1" applyFont="1" applyFill="1" applyBorder="1" applyAlignment="1" applyProtection="1">
      <protection locked="0"/>
    </xf>
    <xf numFmtId="166" fontId="13" fillId="3" borderId="0" xfId="0" applyNumberFormat="1" applyFont="1" applyFill="1" applyAlignment="1">
      <alignment horizontal="centerContinuous"/>
    </xf>
    <xf numFmtId="0" fontId="8" fillId="3" borderId="0" xfId="0" applyNumberFormat="1" applyFont="1" applyFill="1" applyAlignment="1" applyProtection="1">
      <alignment horizontal="left"/>
      <protection locked="0"/>
    </xf>
    <xf numFmtId="0" fontId="13" fillId="3" borderId="1" xfId="0" applyNumberFormat="1" applyFont="1" applyFill="1" applyBorder="1" applyAlignment="1">
      <alignment horizontal="center" vertical="center"/>
    </xf>
    <xf numFmtId="3" fontId="8" fillId="3" borderId="1" xfId="0" applyNumberFormat="1" applyFont="1" applyFill="1" applyBorder="1" applyAlignment="1" applyProtection="1">
      <alignment vertical="center"/>
      <protection locked="0"/>
    </xf>
    <xf numFmtId="165" fontId="13" fillId="3" borderId="1" xfId="0" applyNumberFormat="1" applyFont="1" applyFill="1" applyBorder="1" applyAlignment="1">
      <alignment horizontal="center" vertical="center"/>
    </xf>
    <xf numFmtId="3" fontId="13" fillId="3" borderId="1" xfId="0" applyNumberFormat="1" applyFont="1" applyFill="1" applyBorder="1" applyAlignment="1">
      <alignment vertical="center"/>
    </xf>
    <xf numFmtId="166" fontId="8" fillId="3" borderId="0" xfId="0" applyNumberFormat="1" applyFont="1" applyFill="1" applyAlignment="1"/>
    <xf numFmtId="173" fontId="8" fillId="3" borderId="0" xfId="0" applyNumberFormat="1" applyFont="1" applyFill="1" applyAlignment="1"/>
    <xf numFmtId="3" fontId="8" fillId="3" borderId="17" xfId="0" applyNumberFormat="1" applyFont="1" applyFill="1" applyBorder="1" applyAlignment="1">
      <alignment horizontal="centerContinuous"/>
    </xf>
    <xf numFmtId="3" fontId="8" fillId="3" borderId="16" xfId="0" applyNumberFormat="1" applyFont="1" applyFill="1" applyBorder="1" applyAlignment="1">
      <alignment horizontal="center"/>
    </xf>
    <xf numFmtId="3" fontId="8" fillId="3" borderId="5" xfId="0" applyNumberFormat="1" applyFont="1" applyFill="1" applyBorder="1" applyAlignment="1"/>
    <xf numFmtId="3" fontId="8" fillId="3" borderId="0" xfId="0" applyNumberFormat="1" applyFont="1" applyFill="1" applyAlignment="1"/>
    <xf numFmtId="0" fontId="13" fillId="3" borderId="1" xfId="0" applyNumberFormat="1" applyFont="1" applyFill="1" applyBorder="1" applyAlignment="1"/>
    <xf numFmtId="0" fontId="13" fillId="3" borderId="4" xfId="0" applyNumberFormat="1" applyFont="1" applyFill="1" applyBorder="1" applyAlignment="1"/>
    <xf numFmtId="3" fontId="42" fillId="3" borderId="1" xfId="0" applyNumberFormat="1" applyFont="1" applyFill="1" applyBorder="1" applyAlignment="1">
      <alignment vertical="center"/>
    </xf>
    <xf numFmtId="0" fontId="56" fillId="3" borderId="1" xfId="0" applyNumberFormat="1" applyFont="1" applyFill="1" applyBorder="1" applyAlignment="1">
      <alignment horizontal="centerContinuous" vertical="center"/>
    </xf>
    <xf numFmtId="3" fontId="56" fillId="3" borderId="1" xfId="0" applyNumberFormat="1" applyFont="1" applyFill="1" applyBorder="1" applyAlignment="1" applyProtection="1">
      <alignment vertical="center"/>
      <protection locked="0"/>
    </xf>
    <xf numFmtId="3" fontId="8" fillId="3" borderId="0" xfId="0" applyNumberFormat="1" applyFont="1" applyFill="1" applyAlignment="1" applyProtection="1">
      <protection locked="0"/>
    </xf>
    <xf numFmtId="1" fontId="8" fillId="3" borderId="0" xfId="0" applyNumberFormat="1" applyFont="1" applyFill="1" applyAlignment="1" applyProtection="1">
      <alignment horizontal="left"/>
      <protection locked="0"/>
    </xf>
    <xf numFmtId="165" fontId="8" fillId="3" borderId="5" xfId="0" applyNumberFormat="1" applyFont="1" applyFill="1" applyBorder="1" applyAlignment="1"/>
    <xf numFmtId="1" fontId="8" fillId="3" borderId="0" xfId="0" applyNumberFormat="1" applyFont="1" applyFill="1" applyAlignment="1">
      <alignment horizontal="left"/>
    </xf>
    <xf numFmtId="3" fontId="13" fillId="3" borderId="7" xfId="0" applyNumberFormat="1" applyFont="1" applyFill="1" applyBorder="1" applyAlignment="1"/>
    <xf numFmtId="0" fontId="56" fillId="3" borderId="0" xfId="0" applyNumberFormat="1" applyFont="1" applyFill="1" applyAlignment="1" applyProtection="1">
      <protection locked="0"/>
    </xf>
    <xf numFmtId="2" fontId="56" fillId="3" borderId="0" xfId="0" applyNumberFormat="1" applyFont="1" applyFill="1" applyAlignment="1" applyProtection="1">
      <protection locked="0"/>
    </xf>
    <xf numFmtId="0" fontId="36" fillId="2" borderId="0" xfId="0" applyNumberFormat="1" applyFont="1" applyFill="1" applyAlignment="1"/>
    <xf numFmtId="0" fontId="36" fillId="2" borderId="0" xfId="0" applyNumberFormat="1" applyFont="1" applyFill="1" applyAlignment="1">
      <alignment horizontal="center"/>
    </xf>
    <xf numFmtId="0" fontId="59" fillId="2" borderId="0" xfId="0" applyNumberFormat="1" applyFont="1" applyFill="1" applyAlignment="1"/>
    <xf numFmtId="1" fontId="36" fillId="2" borderId="0" xfId="0" applyNumberFormat="1" applyFont="1" applyFill="1" applyAlignment="1">
      <alignment horizontal="center"/>
    </xf>
    <xf numFmtId="3" fontId="36" fillId="2" borderId="0" xfId="0" applyNumberFormat="1" applyFont="1" applyFill="1" applyAlignment="1"/>
    <xf numFmtId="167" fontId="36" fillId="2" borderId="0" xfId="0" applyNumberFormat="1" applyFont="1" applyFill="1" applyAlignment="1"/>
    <xf numFmtId="0" fontId="36" fillId="2" borderId="17" xfId="0" applyNumberFormat="1" applyFont="1" applyFill="1" applyBorder="1" applyAlignment="1">
      <alignment horizontal="center"/>
    </xf>
    <xf numFmtId="0" fontId="36" fillId="2" borderId="17" xfId="0" applyNumberFormat="1" applyFont="1" applyFill="1" applyBorder="1" applyAlignment="1">
      <alignment horizontal="centerContinuous"/>
    </xf>
    <xf numFmtId="0" fontId="36" fillId="2" borderId="7" xfId="0" applyNumberFormat="1" applyFont="1" applyFill="1" applyBorder="1" applyAlignment="1">
      <alignment horizontal="centerContinuous"/>
    </xf>
    <xf numFmtId="1" fontId="36" fillId="2" borderId="7" xfId="0" applyNumberFormat="1" applyFont="1" applyFill="1" applyBorder="1" applyAlignment="1">
      <alignment horizontal="centerContinuous"/>
    </xf>
    <xf numFmtId="1" fontId="36" fillId="3" borderId="17" xfId="0" applyNumberFormat="1" applyFont="1" applyFill="1" applyBorder="1" applyAlignment="1">
      <alignment horizontal="centerContinuous"/>
    </xf>
    <xf numFmtId="0" fontId="36" fillId="3" borderId="7" xfId="0" applyNumberFormat="1" applyFont="1" applyFill="1" applyBorder="1" applyAlignment="1">
      <alignment horizontal="centerContinuous"/>
    </xf>
    <xf numFmtId="0" fontId="36" fillId="2" borderId="16" xfId="0" applyNumberFormat="1" applyFont="1" applyFill="1" applyBorder="1" applyAlignment="1">
      <alignment horizontal="centerContinuous"/>
    </xf>
    <xf numFmtId="165" fontId="36" fillId="2" borderId="7" xfId="0" applyNumberFormat="1" applyFont="1" applyFill="1" applyBorder="1" applyAlignment="1">
      <alignment horizontal="centerContinuous"/>
    </xf>
    <xf numFmtId="0" fontId="33" fillId="2" borderId="7" xfId="0" applyNumberFormat="1" applyFont="1" applyFill="1" applyBorder="1" applyAlignment="1">
      <alignment horizontal="centerContinuous"/>
    </xf>
    <xf numFmtId="0" fontId="33" fillId="2" borderId="17" xfId="0" applyNumberFormat="1" applyFont="1" applyFill="1" applyBorder="1" applyAlignment="1"/>
    <xf numFmtId="0" fontId="33" fillId="2" borderId="7" xfId="0" applyNumberFormat="1" applyFont="1" applyFill="1" applyBorder="1" applyAlignment="1"/>
    <xf numFmtId="0" fontId="33" fillId="2" borderId="5" xfId="0" applyNumberFormat="1" applyFont="1" applyFill="1" applyBorder="1" applyAlignment="1"/>
    <xf numFmtId="0" fontId="36" fillId="2" borderId="5" xfId="0" applyNumberFormat="1" applyFont="1" applyFill="1" applyBorder="1" applyAlignment="1">
      <alignment horizontal="center"/>
    </xf>
    <xf numFmtId="0" fontId="36" fillId="2" borderId="8" xfId="0" applyNumberFormat="1" applyFont="1" applyFill="1" applyBorder="1" applyAlignment="1">
      <alignment horizontal="centerContinuous"/>
    </xf>
    <xf numFmtId="0" fontId="36" fillId="2" borderId="4" xfId="0" applyNumberFormat="1" applyFont="1" applyFill="1" applyBorder="1" applyAlignment="1">
      <alignment horizontal="centerContinuous"/>
    </xf>
    <xf numFmtId="1" fontId="36" fillId="2" borderId="1" xfId="0" applyNumberFormat="1" applyFont="1" applyFill="1" applyBorder="1" applyAlignment="1">
      <alignment horizontal="centerContinuous"/>
    </xf>
    <xf numFmtId="0" fontId="36" fillId="2" borderId="1" xfId="0" applyNumberFormat="1" applyFont="1" applyFill="1" applyBorder="1" applyAlignment="1">
      <alignment horizontal="centerContinuous"/>
    </xf>
    <xf numFmtId="1" fontId="36" fillId="2" borderId="4" xfId="0" applyNumberFormat="1" applyFont="1" applyFill="1" applyBorder="1" applyAlignment="1">
      <alignment horizontal="centerContinuous"/>
    </xf>
    <xf numFmtId="0" fontId="36" fillId="3" borderId="8" xfId="0" applyNumberFormat="1" applyFont="1" applyFill="1" applyBorder="1" applyAlignment="1">
      <alignment horizontal="centerContinuous"/>
    </xf>
    <xf numFmtId="165" fontId="36" fillId="2" borderId="1" xfId="0" applyNumberFormat="1" applyFont="1" applyFill="1" applyBorder="1" applyAlignment="1">
      <alignment horizontal="centerContinuous"/>
    </xf>
    <xf numFmtId="0" fontId="36" fillId="2" borderId="5" xfId="0" applyNumberFormat="1" applyFont="1" applyFill="1" applyBorder="1" applyAlignment="1">
      <alignment horizontal="centerContinuous"/>
    </xf>
    <xf numFmtId="0" fontId="36" fillId="2" borderId="0" xfId="0" applyNumberFormat="1" applyFont="1" applyFill="1" applyAlignment="1">
      <alignment horizontal="centerContinuous"/>
    </xf>
    <xf numFmtId="0" fontId="36" fillId="2" borderId="3" xfId="0" applyNumberFormat="1" applyFont="1" applyFill="1" applyBorder="1" applyAlignment="1">
      <alignment horizontal="centerContinuous"/>
    </xf>
    <xf numFmtId="0" fontId="33" fillId="2" borderId="0" xfId="0" applyNumberFormat="1" applyFont="1" applyFill="1" applyAlignment="1">
      <alignment horizontal="centerContinuous"/>
    </xf>
    <xf numFmtId="0" fontId="33" fillId="19" borderId="17" xfId="0" applyNumberFormat="1" applyFont="1" applyFill="1" applyBorder="1" applyAlignment="1">
      <alignment horizontal="centerContinuous"/>
    </xf>
    <xf numFmtId="0" fontId="36" fillId="2" borderId="5" xfId="0" applyNumberFormat="1" applyFont="1" applyFill="1" applyBorder="1" applyAlignment="1"/>
    <xf numFmtId="1" fontId="36" fillId="2" borderId="3" xfId="0" applyNumberFormat="1" applyFont="1" applyFill="1" applyBorder="1" applyAlignment="1">
      <alignment horizontal="centerContinuous"/>
    </xf>
    <xf numFmtId="0" fontId="36" fillId="2" borderId="3" xfId="0" applyNumberFormat="1" applyFont="1" applyFill="1" applyBorder="1" applyAlignment="1">
      <alignment horizontal="center"/>
    </xf>
    <xf numFmtId="1" fontId="36" fillId="3" borderId="5" xfId="0" applyNumberFormat="1" applyFont="1" applyFill="1" applyBorder="1" applyAlignment="1">
      <alignment horizontal="centerContinuous"/>
    </xf>
    <xf numFmtId="1" fontId="36" fillId="3" borderId="3" xfId="0" applyNumberFormat="1" applyFont="1" applyFill="1" applyBorder="1" applyAlignment="1">
      <alignment horizontal="centerContinuous"/>
    </xf>
    <xf numFmtId="1" fontId="36" fillId="3" borderId="0" xfId="0" applyNumberFormat="1" applyFont="1" applyFill="1" applyAlignment="1">
      <alignment horizontal="centerContinuous"/>
    </xf>
    <xf numFmtId="0" fontId="36" fillId="3" borderId="3" xfId="0" applyNumberFormat="1" applyFont="1" applyFill="1" applyBorder="1" applyAlignment="1">
      <alignment horizontal="centerContinuous"/>
    </xf>
    <xf numFmtId="0" fontId="36" fillId="2" borderId="3" xfId="0" applyNumberFormat="1" applyFont="1" applyFill="1" applyBorder="1" applyAlignment="1"/>
    <xf numFmtId="0" fontId="36" fillId="2" borderId="1" xfId="0" applyNumberFormat="1" applyFont="1" applyFill="1" applyBorder="1" applyAlignment="1">
      <alignment horizontal="center"/>
    </xf>
    <xf numFmtId="2" fontId="36" fillId="6" borderId="1" xfId="0" applyNumberFormat="1" applyFont="1" applyFill="1" applyBorder="1" applyAlignment="1">
      <alignment horizontal="center"/>
    </xf>
    <xf numFmtId="0" fontId="36" fillId="2" borderId="8" xfId="0" applyNumberFormat="1" applyFont="1" applyFill="1" applyBorder="1" applyAlignment="1">
      <alignment horizontal="center"/>
    </xf>
    <xf numFmtId="1" fontId="36" fillId="3" borderId="8" xfId="0" applyNumberFormat="1" applyFont="1" applyFill="1" applyBorder="1" applyAlignment="1">
      <alignment horizontal="centerContinuous"/>
    </xf>
    <xf numFmtId="1" fontId="36" fillId="2" borderId="1" xfId="0" applyNumberFormat="1" applyFont="1" applyFill="1" applyBorder="1" applyAlignment="1">
      <alignment horizontal="center"/>
    </xf>
    <xf numFmtId="1" fontId="36" fillId="2" borderId="8" xfId="0" applyNumberFormat="1" applyFont="1" applyFill="1" applyBorder="1" applyAlignment="1">
      <alignment horizontal="center"/>
    </xf>
    <xf numFmtId="1" fontId="36" fillId="2" borderId="3" xfId="0" applyNumberFormat="1" applyFont="1" applyFill="1" applyBorder="1" applyAlignment="1">
      <alignment horizontal="center"/>
    </xf>
    <xf numFmtId="0" fontId="36" fillId="14" borderId="1" xfId="0" applyNumberFormat="1" applyFont="1" applyFill="1" applyBorder="1" applyAlignment="1">
      <alignment horizontal="center"/>
    </xf>
    <xf numFmtId="1" fontId="36" fillId="2" borderId="5" xfId="0" applyNumberFormat="1" applyFont="1" applyFill="1" applyBorder="1" applyAlignment="1">
      <alignment horizontal="center"/>
    </xf>
    <xf numFmtId="1" fontId="36" fillId="10" borderId="8" xfId="0" applyNumberFormat="1" applyFont="1" applyFill="1" applyBorder="1" applyAlignment="1" applyProtection="1">
      <alignment horizontal="centerContinuous" vertical="center"/>
      <protection locked="0"/>
    </xf>
    <xf numFmtId="165" fontId="36" fillId="2" borderId="16" xfId="0" applyNumberFormat="1" applyFont="1" applyFill="1" applyBorder="1" applyAlignment="1" applyProtection="1">
      <protection locked="0"/>
    </xf>
    <xf numFmtId="3" fontId="36" fillId="2" borderId="16" xfId="0" applyNumberFormat="1" applyFont="1" applyFill="1" applyBorder="1" applyAlignment="1" applyProtection="1">
      <protection locked="0"/>
    </xf>
    <xf numFmtId="1" fontId="36" fillId="2" borderId="16" xfId="0" applyNumberFormat="1" applyFont="1" applyFill="1" applyBorder="1" applyAlignment="1" applyProtection="1">
      <protection locked="0"/>
    </xf>
    <xf numFmtId="0" fontId="36" fillId="2" borderId="16" xfId="0" applyNumberFormat="1" applyFont="1" applyFill="1" applyBorder="1" applyAlignment="1" applyProtection="1">
      <protection locked="0"/>
    </xf>
    <xf numFmtId="0" fontId="36" fillId="2" borderId="17" xfId="0" applyNumberFormat="1" applyFont="1" applyFill="1" applyBorder="1" applyAlignment="1" applyProtection="1">
      <protection locked="0"/>
    </xf>
    <xf numFmtId="2" fontId="36" fillId="2" borderId="69" xfId="0" applyNumberFormat="1" applyFont="1" applyFill="1" applyBorder="1" applyAlignment="1" applyProtection="1">
      <protection locked="0"/>
    </xf>
    <xf numFmtId="2" fontId="36" fillId="2" borderId="7" xfId="0" applyNumberFormat="1" applyFont="1" applyFill="1" applyBorder="1" applyAlignment="1" applyProtection="1">
      <protection locked="0"/>
    </xf>
    <xf numFmtId="2" fontId="36" fillId="2" borderId="16" xfId="0" applyNumberFormat="1" applyFont="1" applyFill="1" applyBorder="1" applyAlignment="1" applyProtection="1">
      <protection locked="0"/>
    </xf>
    <xf numFmtId="165" fontId="36" fillId="2" borderId="17" xfId="0" applyNumberFormat="1" applyFont="1" applyFill="1" applyBorder="1" applyAlignment="1" applyProtection="1">
      <protection locked="0"/>
    </xf>
    <xf numFmtId="0" fontId="40" fillId="2" borderId="17" xfId="0" applyNumberFormat="1" applyFont="1" applyFill="1" applyBorder="1" applyAlignment="1"/>
    <xf numFmtId="0" fontId="33" fillId="2" borderId="16" xfId="0" applyNumberFormat="1" applyFont="1" applyFill="1" applyBorder="1" applyAlignment="1"/>
    <xf numFmtId="164" fontId="33" fillId="2" borderId="16" xfId="0" applyNumberFormat="1" applyFont="1" applyFill="1" applyBorder="1" applyAlignment="1" applyProtection="1">
      <protection locked="0"/>
    </xf>
    <xf numFmtId="165" fontId="36" fillId="2" borderId="1" xfId="0" applyNumberFormat="1" applyFont="1" applyFill="1" applyBorder="1" applyAlignment="1" applyProtection="1">
      <protection locked="0"/>
    </xf>
    <xf numFmtId="3" fontId="36" fillId="2" borderId="1" xfId="0" applyNumberFormat="1" applyFont="1" applyFill="1" applyBorder="1" applyAlignment="1" applyProtection="1">
      <protection locked="0"/>
    </xf>
    <xf numFmtId="1" fontId="36" fillId="2" borderId="1" xfId="0" applyNumberFormat="1" applyFont="1" applyFill="1" applyBorder="1" applyAlignment="1" applyProtection="1">
      <protection locked="0"/>
    </xf>
    <xf numFmtId="0" fontId="36" fillId="2" borderId="1" xfId="0" applyNumberFormat="1" applyFont="1" applyFill="1" applyBorder="1" applyAlignment="1" applyProtection="1">
      <protection locked="0"/>
    </xf>
    <xf numFmtId="0" fontId="36" fillId="2" borderId="8" xfId="0" applyNumberFormat="1" applyFont="1" applyFill="1" applyBorder="1" applyAlignment="1" applyProtection="1">
      <protection locked="0"/>
    </xf>
    <xf numFmtId="2" fontId="36" fillId="2" borderId="8" xfId="0" applyNumberFormat="1" applyFont="1" applyFill="1" applyBorder="1" applyAlignment="1" applyProtection="1">
      <protection locked="0"/>
    </xf>
    <xf numFmtId="2" fontId="36" fillId="2" borderId="1" xfId="0" applyNumberFormat="1" applyFont="1" applyFill="1" applyBorder="1" applyAlignment="1" applyProtection="1">
      <protection locked="0"/>
    </xf>
    <xf numFmtId="165" fontId="36" fillId="2" borderId="8" xfId="0" applyNumberFormat="1" applyFont="1" applyFill="1" applyBorder="1" applyAlignment="1" applyProtection="1">
      <protection locked="0"/>
    </xf>
    <xf numFmtId="0" fontId="40" fillId="2" borderId="8" xfId="0" applyNumberFormat="1" applyFont="1" applyFill="1" applyBorder="1" applyAlignment="1"/>
    <xf numFmtId="164" fontId="33" fillId="2" borderId="3" xfId="0" applyNumberFormat="1" applyFont="1" applyFill="1" applyBorder="1" applyAlignment="1" applyProtection="1">
      <protection locked="0"/>
    </xf>
    <xf numFmtId="164" fontId="33" fillId="2" borderId="70" xfId="0" applyNumberFormat="1" applyFont="1" applyFill="1" applyBorder="1" applyAlignment="1" applyProtection="1">
      <protection locked="0"/>
    </xf>
    <xf numFmtId="0" fontId="36" fillId="2" borderId="7" xfId="0" applyNumberFormat="1" applyFont="1" applyFill="1" applyBorder="1" applyAlignment="1"/>
    <xf numFmtId="1" fontId="36" fillId="2" borderId="17" xfId="0" applyNumberFormat="1" applyFont="1" applyFill="1" applyBorder="1" applyAlignment="1">
      <alignment horizontal="centerContinuous"/>
    </xf>
    <xf numFmtId="165" fontId="36" fillId="2" borderId="0" xfId="0" applyNumberFormat="1" applyFont="1" applyFill="1" applyAlignment="1"/>
    <xf numFmtId="1" fontId="36" fillId="2" borderId="0" xfId="0" applyNumberFormat="1" applyFont="1" applyFill="1" applyAlignment="1"/>
    <xf numFmtId="1" fontId="60" fillId="2" borderId="0" xfId="0" applyNumberFormat="1" applyFont="1" applyFill="1" applyAlignment="1"/>
    <xf numFmtId="2" fontId="36" fillId="2" borderId="0" xfId="0" applyNumberFormat="1" applyFont="1" applyFill="1" applyAlignment="1"/>
    <xf numFmtId="170" fontId="36" fillId="2" borderId="0" xfId="0" applyNumberFormat="1" applyFont="1" applyFill="1" applyAlignment="1"/>
    <xf numFmtId="0" fontId="40" fillId="2" borderId="1" xfId="0" applyNumberFormat="1" applyFont="1" applyFill="1" applyBorder="1" applyAlignment="1" applyProtection="1">
      <protection locked="0"/>
    </xf>
    <xf numFmtId="165" fontId="40" fillId="2" borderId="1" xfId="0" applyNumberFormat="1" applyFont="1" applyFill="1" applyBorder="1" applyAlignment="1" applyProtection="1">
      <protection locked="0"/>
    </xf>
    <xf numFmtId="164" fontId="40" fillId="2" borderId="8" xfId="0" applyNumberFormat="1" applyFont="1" applyFill="1" applyBorder="1" applyAlignment="1" applyProtection="1">
      <protection locked="0"/>
    </xf>
    <xf numFmtId="165" fontId="40" fillId="2" borderId="8" xfId="0" applyNumberFormat="1" applyFont="1" applyFill="1" applyBorder="1" applyAlignment="1" applyProtection="1">
      <protection locked="0"/>
    </xf>
    <xf numFmtId="0" fontId="40" fillId="2" borderId="8" xfId="0" applyNumberFormat="1" applyFont="1" applyFill="1" applyBorder="1" applyAlignment="1" applyProtection="1">
      <protection locked="0"/>
    </xf>
    <xf numFmtId="0" fontId="40" fillId="2" borderId="0" xfId="0" applyNumberFormat="1" applyFont="1" applyFill="1" applyAlignment="1" applyProtection="1">
      <protection locked="0"/>
    </xf>
    <xf numFmtId="0" fontId="40" fillId="2" borderId="0" xfId="0" applyNumberFormat="1" applyFont="1" applyFill="1" applyAlignment="1"/>
    <xf numFmtId="0" fontId="62" fillId="0" borderId="0" xfId="0" applyNumberFormat="1" applyFont="1" applyAlignment="1">
      <alignment horizontal="center"/>
    </xf>
    <xf numFmtId="0" fontId="33" fillId="0" borderId="0" xfId="0" applyNumberFormat="1" applyFont="1" applyAlignment="1">
      <alignment horizontal="center"/>
    </xf>
    <xf numFmtId="3" fontId="33" fillId="0" borderId="0" xfId="0" applyNumberFormat="1" applyFont="1" applyAlignment="1"/>
    <xf numFmtId="164" fontId="33" fillId="0" borderId="0" xfId="0" applyNumberFormat="1" applyFont="1" applyAlignment="1"/>
    <xf numFmtId="0" fontId="33" fillId="2" borderId="17" xfId="0" applyNumberFormat="1" applyFont="1" applyFill="1" applyBorder="1" applyAlignment="1">
      <alignment horizontal="centerContinuous" vertical="center"/>
    </xf>
    <xf numFmtId="0" fontId="33" fillId="2" borderId="7" xfId="0" applyNumberFormat="1" applyFont="1" applyFill="1" applyBorder="1" applyAlignment="1">
      <alignment horizontal="centerContinuous" vertical="center"/>
    </xf>
    <xf numFmtId="0" fontId="36" fillId="18" borderId="7" xfId="0" applyNumberFormat="1" applyFont="1" applyFill="1" applyBorder="1" applyAlignment="1">
      <alignment horizontal="centerContinuous" vertical="center"/>
    </xf>
    <xf numFmtId="0" fontId="33" fillId="0" borderId="5" xfId="0" applyNumberFormat="1" applyFont="1" applyBorder="1"/>
    <xf numFmtId="1" fontId="33" fillId="2" borderId="8" xfId="0" applyNumberFormat="1" applyFont="1" applyFill="1" applyBorder="1" applyAlignment="1">
      <alignment horizontal="centerContinuous" vertical="center"/>
    </xf>
    <xf numFmtId="165" fontId="33" fillId="2" borderId="1" xfId="0" applyNumberFormat="1" applyFont="1" applyFill="1" applyBorder="1" applyAlignment="1">
      <alignment horizontal="centerContinuous" vertical="center"/>
    </xf>
    <xf numFmtId="0" fontId="33" fillId="2" borderId="1" xfId="0" applyNumberFormat="1" applyFont="1" applyFill="1" applyBorder="1" applyAlignment="1">
      <alignment horizontal="centerContinuous" vertical="center"/>
    </xf>
    <xf numFmtId="0" fontId="36" fillId="18" borderId="1" xfId="0" applyNumberFormat="1" applyFont="1" applyFill="1" applyBorder="1" applyAlignment="1">
      <alignment horizontal="centerContinuous" vertical="center"/>
    </xf>
    <xf numFmtId="0" fontId="34" fillId="10" borderId="17" xfId="0" applyNumberFormat="1" applyFont="1" applyFill="1" applyBorder="1" applyAlignment="1">
      <alignment horizontal="centerContinuous" vertical="center"/>
    </xf>
    <xf numFmtId="0" fontId="34" fillId="10" borderId="71" xfId="0" applyNumberFormat="1" applyFont="1" applyFill="1" applyBorder="1" applyAlignment="1">
      <alignment horizontal="centerContinuous"/>
    </xf>
    <xf numFmtId="0" fontId="34" fillId="10" borderId="16" xfId="0" applyNumberFormat="1" applyFont="1" applyFill="1" applyBorder="1" applyAlignment="1">
      <alignment horizontal="centerContinuous"/>
    </xf>
    <xf numFmtId="0" fontId="34" fillId="10" borderId="7" xfId="0" applyNumberFormat="1" applyFont="1" applyFill="1" applyBorder="1" applyAlignment="1">
      <alignment horizontal="centerContinuous"/>
    </xf>
    <xf numFmtId="0" fontId="33" fillId="0" borderId="9" xfId="0" applyNumberFormat="1" applyFont="1" applyBorder="1"/>
    <xf numFmtId="0" fontId="34" fillId="10" borderId="17" xfId="0" applyNumberFormat="1" applyFont="1" applyFill="1" applyBorder="1" applyAlignment="1">
      <alignment horizontal="centerContinuous"/>
    </xf>
    <xf numFmtId="0" fontId="34" fillId="0" borderId="5" xfId="0" applyNumberFormat="1" applyFont="1" applyBorder="1" applyAlignment="1">
      <alignment horizontal="center"/>
    </xf>
    <xf numFmtId="1" fontId="33" fillId="2" borderId="5" xfId="0" applyNumberFormat="1" applyFont="1" applyFill="1" applyBorder="1" applyAlignment="1">
      <alignment horizontal="centerContinuous" vertical="center"/>
    </xf>
    <xf numFmtId="1" fontId="33" fillId="2" borderId="3" xfId="0" applyNumberFormat="1" applyFont="1" applyFill="1" applyBorder="1" applyAlignment="1">
      <alignment horizontal="centerContinuous" vertical="center"/>
    </xf>
    <xf numFmtId="0" fontId="33" fillId="2" borderId="3" xfId="0" applyNumberFormat="1" applyFont="1" applyFill="1" applyBorder="1" applyAlignment="1">
      <alignment horizontal="centerContinuous" vertical="center"/>
    </xf>
    <xf numFmtId="0" fontId="36" fillId="18" borderId="3" xfId="0" applyNumberFormat="1" applyFont="1" applyFill="1" applyBorder="1" applyAlignment="1">
      <alignment horizontal="centerContinuous" vertical="center"/>
    </xf>
    <xf numFmtId="0" fontId="34" fillId="10" borderId="5" xfId="0" applyNumberFormat="1" applyFont="1" applyFill="1" applyBorder="1" applyAlignment="1">
      <alignment horizontal="centerContinuous" vertical="center"/>
    </xf>
    <xf numFmtId="0" fontId="34" fillId="10" borderId="9" xfId="0" applyNumberFormat="1" applyFont="1" applyFill="1" applyBorder="1" applyAlignment="1">
      <alignment horizontal="centerContinuous"/>
    </xf>
    <xf numFmtId="0" fontId="34" fillId="10" borderId="1" xfId="0" applyNumberFormat="1" applyFont="1" applyFill="1" applyBorder="1" applyAlignment="1">
      <alignment horizontal="centerContinuous"/>
    </xf>
    <xf numFmtId="0" fontId="34" fillId="10" borderId="4" xfId="0" applyNumberFormat="1" applyFont="1" applyFill="1" applyBorder="1" applyAlignment="1">
      <alignment horizontal="centerContinuous"/>
    </xf>
    <xf numFmtId="0" fontId="34" fillId="10" borderId="12" xfId="0" applyNumberFormat="1" applyFont="1" applyFill="1" applyBorder="1" applyAlignment="1">
      <alignment horizontal="centerContinuous"/>
    </xf>
    <xf numFmtId="0" fontId="34" fillId="10" borderId="3" xfId="0" applyNumberFormat="1" applyFont="1" applyFill="1" applyBorder="1" applyAlignment="1">
      <alignment horizontal="centerContinuous"/>
    </xf>
    <xf numFmtId="0" fontId="34" fillId="10" borderId="0" xfId="0" applyNumberFormat="1" applyFont="1" applyFill="1" applyAlignment="1">
      <alignment horizontal="centerContinuous"/>
    </xf>
    <xf numFmtId="0" fontId="34" fillId="10" borderId="8" xfId="0" applyNumberFormat="1" applyFont="1" applyFill="1" applyBorder="1" applyAlignment="1">
      <alignment horizontal="centerContinuous"/>
    </xf>
    <xf numFmtId="0" fontId="34" fillId="0" borderId="5" xfId="0" applyNumberFormat="1" applyFont="1" applyBorder="1" applyAlignment="1" applyProtection="1">
      <alignment horizontal="center"/>
      <protection locked="0"/>
    </xf>
    <xf numFmtId="170" fontId="33" fillId="2" borderId="5" xfId="0" applyNumberFormat="1" applyFont="1" applyFill="1" applyBorder="1" applyAlignment="1">
      <alignment horizontal="centerContinuous" vertical="center"/>
    </xf>
    <xf numFmtId="2" fontId="33" fillId="2" borderId="3" xfId="0" applyNumberFormat="1" applyFont="1" applyFill="1" applyBorder="1" applyAlignment="1">
      <alignment horizontal="centerContinuous" vertical="center"/>
    </xf>
    <xf numFmtId="170" fontId="33" fillId="2" borderId="3" xfId="0" applyNumberFormat="1" applyFont="1" applyFill="1" applyBorder="1" applyAlignment="1">
      <alignment horizontal="centerContinuous" vertical="center"/>
    </xf>
    <xf numFmtId="170" fontId="36" fillId="18" borderId="3" xfId="0" applyNumberFormat="1" applyFont="1" applyFill="1" applyBorder="1" applyAlignment="1">
      <alignment horizontal="centerContinuous" vertical="center"/>
    </xf>
    <xf numFmtId="0" fontId="34" fillId="10" borderId="5" xfId="0" applyNumberFormat="1" applyFont="1" applyFill="1" applyBorder="1" applyAlignment="1">
      <alignment horizontal="centerContinuous"/>
    </xf>
    <xf numFmtId="0" fontId="33" fillId="2" borderId="5" xfId="0" applyNumberFormat="1" applyFont="1" applyFill="1" applyBorder="1" applyAlignment="1">
      <alignment horizontal="centerContinuous" vertical="center"/>
    </xf>
    <xf numFmtId="164" fontId="63" fillId="0" borderId="0" xfId="0" applyNumberFormat="1" applyFont="1" applyAlignment="1">
      <alignment horizontal="center"/>
    </xf>
    <xf numFmtId="0" fontId="63" fillId="10" borderId="5" xfId="0" applyNumberFormat="1" applyFont="1" applyFill="1" applyBorder="1" applyAlignment="1">
      <alignment horizontal="centerContinuous" vertical="center"/>
    </xf>
    <xf numFmtId="0" fontId="63" fillId="10" borderId="12" xfId="0" applyNumberFormat="1" applyFont="1" applyFill="1" applyBorder="1" applyAlignment="1" applyProtection="1">
      <alignment horizontal="centerContinuous" vertical="center"/>
      <protection locked="0"/>
    </xf>
    <xf numFmtId="0" fontId="63" fillId="10" borderId="1" xfId="0" applyNumberFormat="1" applyFont="1" applyFill="1" applyBorder="1" applyAlignment="1" applyProtection="1">
      <alignment horizontal="centerContinuous" vertical="center"/>
      <protection locked="0"/>
    </xf>
    <xf numFmtId="0" fontId="63" fillId="10" borderId="8" xfId="0" applyNumberFormat="1" applyFont="1" applyFill="1" applyBorder="1" applyAlignment="1" applyProtection="1">
      <alignment horizontal="centerContinuous" vertical="center"/>
      <protection locked="0"/>
    </xf>
    <xf numFmtId="1" fontId="33" fillId="2" borderId="1" xfId="0" applyNumberFormat="1" applyFont="1" applyFill="1" applyBorder="1" applyAlignment="1">
      <alignment horizontal="centerContinuous" vertical="center"/>
    </xf>
    <xf numFmtId="0" fontId="33" fillId="0" borderId="53" xfId="0" applyNumberFormat="1" applyFont="1" applyBorder="1" applyAlignment="1">
      <alignment horizontal="center" vertical="center"/>
    </xf>
    <xf numFmtId="1" fontId="33" fillId="0" borderId="10" xfId="0" applyNumberFormat="1" applyFont="1" applyBorder="1" applyAlignment="1" applyProtection="1">
      <protection locked="0"/>
    </xf>
    <xf numFmtId="165" fontId="33" fillId="0" borderId="6" xfId="0" applyNumberFormat="1" applyFont="1" applyBorder="1" applyAlignment="1" applyProtection="1">
      <protection locked="0"/>
    </xf>
    <xf numFmtId="165" fontId="33" fillId="0" borderId="10" xfId="0" applyNumberFormat="1" applyFont="1" applyBorder="1" applyAlignment="1" applyProtection="1">
      <protection locked="0"/>
    </xf>
    <xf numFmtId="0" fontId="33" fillId="0" borderId="10" xfId="0" applyNumberFormat="1" applyFont="1" applyBorder="1" applyAlignment="1">
      <alignment horizontal="center"/>
    </xf>
    <xf numFmtId="0" fontId="33" fillId="0" borderId="6" xfId="0" applyNumberFormat="1" applyFont="1" applyBorder="1" applyAlignment="1" applyProtection="1">
      <protection locked="0"/>
    </xf>
    <xf numFmtId="2" fontId="33" fillId="0" borderId="6" xfId="0" applyNumberFormat="1" applyFont="1" applyBorder="1" applyAlignment="1" applyProtection="1">
      <protection locked="0"/>
    </xf>
    <xf numFmtId="2" fontId="33" fillId="4" borderId="6" xfId="0" applyNumberFormat="1" applyFont="1" applyFill="1" applyBorder="1" applyAlignment="1" applyProtection="1">
      <protection locked="0"/>
    </xf>
    <xf numFmtId="1" fontId="33" fillId="0" borderId="6" xfId="0" applyNumberFormat="1" applyFont="1" applyBorder="1" applyAlignment="1" applyProtection="1">
      <protection locked="0"/>
    </xf>
    <xf numFmtId="3" fontId="33" fillId="0" borderId="10" xfId="0" applyNumberFormat="1" applyFont="1" applyBorder="1" applyAlignment="1" applyProtection="1">
      <protection locked="0"/>
    </xf>
    <xf numFmtId="3" fontId="33" fillId="0" borderId="6" xfId="0" applyNumberFormat="1" applyFont="1" applyBorder="1" applyAlignment="1" applyProtection="1">
      <protection locked="0"/>
    </xf>
    <xf numFmtId="0" fontId="33" fillId="0" borderId="9" xfId="0" applyNumberFormat="1" applyFont="1" applyBorder="1" applyAlignment="1"/>
    <xf numFmtId="0" fontId="33" fillId="0" borderId="10" xfId="0" applyNumberFormat="1" applyFont="1" applyBorder="1" applyAlignment="1" applyProtection="1">
      <protection locked="0"/>
    </xf>
    <xf numFmtId="3" fontId="33" fillId="4" borderId="6" xfId="0" applyNumberFormat="1" applyFont="1" applyFill="1" applyBorder="1" applyAlignment="1" applyProtection="1">
      <protection locked="0"/>
    </xf>
    <xf numFmtId="165" fontId="33" fillId="0" borderId="53" xfId="0" applyNumberFormat="1" applyFont="1" applyBorder="1" applyAlignment="1" applyProtection="1">
      <protection locked="0"/>
    </xf>
    <xf numFmtId="3" fontId="33" fillId="0" borderId="5" xfId="0" applyNumberFormat="1" applyFont="1" applyBorder="1" applyAlignment="1"/>
    <xf numFmtId="1" fontId="33" fillId="2" borderId="16" xfId="0" applyNumberFormat="1" applyFont="1" applyFill="1" applyBorder="1" applyAlignment="1">
      <alignment vertical="center"/>
    </xf>
    <xf numFmtId="0" fontId="33" fillId="0" borderId="8" xfId="0" applyNumberFormat="1" applyFont="1" applyBorder="1" applyAlignment="1">
      <alignment horizontal="center" vertical="center"/>
    </xf>
    <xf numFmtId="1" fontId="33" fillId="0" borderId="12" xfId="0" applyNumberFormat="1" applyFont="1" applyBorder="1" applyAlignment="1" applyProtection="1">
      <protection locked="0"/>
    </xf>
    <xf numFmtId="165" fontId="33" fillId="0" borderId="1" xfId="0" applyNumberFormat="1" applyFont="1" applyBorder="1" applyAlignment="1" applyProtection="1">
      <protection locked="0"/>
    </xf>
    <xf numFmtId="165" fontId="33" fillId="0" borderId="12" xfId="0" applyNumberFormat="1" applyFont="1" applyBorder="1" applyAlignment="1" applyProtection="1">
      <protection locked="0"/>
    </xf>
    <xf numFmtId="0" fontId="33" fillId="0" borderId="12" xfId="0" applyNumberFormat="1" applyFont="1" applyBorder="1" applyAlignment="1">
      <alignment horizontal="center"/>
    </xf>
    <xf numFmtId="0" fontId="33" fillId="0" borderId="1" xfId="0" applyNumberFormat="1" applyFont="1" applyBorder="1" applyAlignment="1" applyProtection="1">
      <protection locked="0"/>
    </xf>
    <xf numFmtId="2" fontId="33" fillId="0" borderId="1" xfId="0" applyNumberFormat="1" applyFont="1" applyBorder="1" applyAlignment="1" applyProtection="1">
      <protection locked="0"/>
    </xf>
    <xf numFmtId="2" fontId="33" fillId="4" borderId="1" xfId="0" applyNumberFormat="1" applyFont="1" applyFill="1" applyBorder="1" applyAlignment="1" applyProtection="1">
      <protection locked="0"/>
    </xf>
    <xf numFmtId="1" fontId="33" fillId="0" borderId="1" xfId="0" applyNumberFormat="1" applyFont="1" applyBorder="1" applyAlignment="1" applyProtection="1">
      <protection locked="0"/>
    </xf>
    <xf numFmtId="3" fontId="33" fillId="0" borderId="12" xfId="0" applyNumberFormat="1" applyFont="1" applyBorder="1" applyAlignment="1" applyProtection="1">
      <protection locked="0"/>
    </xf>
    <xf numFmtId="3" fontId="33" fillId="0" borderId="1" xfId="0" applyNumberFormat="1" applyFont="1" applyBorder="1" applyAlignment="1" applyProtection="1">
      <protection locked="0"/>
    </xf>
    <xf numFmtId="0" fontId="33" fillId="0" borderId="12" xfId="0" applyNumberFormat="1" applyFont="1" applyBorder="1" applyAlignment="1" applyProtection="1">
      <protection locked="0"/>
    </xf>
    <xf numFmtId="3" fontId="33" fillId="4" borderId="1" xfId="0" applyNumberFormat="1" applyFont="1" applyFill="1" applyBorder="1" applyAlignment="1" applyProtection="1">
      <protection locked="0"/>
    </xf>
    <xf numFmtId="165" fontId="33" fillId="0" borderId="8" xfId="0" applyNumberFormat="1" applyFont="1" applyBorder="1" applyAlignment="1" applyProtection="1">
      <protection locked="0"/>
    </xf>
    <xf numFmtId="1" fontId="33" fillId="2" borderId="8" xfId="0" applyNumberFormat="1" applyFont="1" applyFill="1" applyBorder="1" applyAlignment="1">
      <alignment vertical="center"/>
    </xf>
    <xf numFmtId="1" fontId="33" fillId="2" borderId="1" xfId="0" applyNumberFormat="1" applyFont="1" applyFill="1" applyBorder="1" applyAlignment="1">
      <alignment vertical="center"/>
    </xf>
    <xf numFmtId="0" fontId="33" fillId="0" borderId="7" xfId="0" applyNumberFormat="1" applyFont="1" applyBorder="1" applyAlignment="1">
      <alignment horizontal="center"/>
    </xf>
    <xf numFmtId="165" fontId="33" fillId="0" borderId="7" xfId="0" applyNumberFormat="1" applyFont="1" applyBorder="1" applyAlignment="1"/>
    <xf numFmtId="165" fontId="33" fillId="0" borderId="7" xfId="0" applyNumberFormat="1" applyFont="1" applyBorder="1" applyAlignment="1" applyProtection="1">
      <protection locked="0"/>
    </xf>
    <xf numFmtId="1" fontId="33" fillId="2" borderId="53" xfId="0" applyNumberFormat="1" applyFont="1" applyFill="1" applyBorder="1" applyAlignment="1">
      <alignment vertical="center"/>
    </xf>
    <xf numFmtId="1" fontId="33" fillId="2" borderId="6" xfId="0" applyNumberFormat="1" applyFont="1" applyFill="1" applyBorder="1" applyAlignment="1">
      <alignment vertical="center"/>
    </xf>
    <xf numFmtId="1" fontId="33" fillId="0" borderId="0" xfId="0" applyNumberFormat="1" applyFont="1" applyAlignment="1"/>
    <xf numFmtId="0" fontId="13" fillId="0" borderId="67" xfId="0" applyNumberFormat="1" applyFont="1" applyBorder="1" applyAlignment="1"/>
    <xf numFmtId="174" fontId="8" fillId="20" borderId="7" xfId="0" applyNumberFormat="1" applyFont="1" applyFill="1" applyBorder="1" applyAlignment="1">
      <alignment horizontal="center"/>
    </xf>
    <xf numFmtId="9" fontId="13" fillId="19" borderId="7" xfId="0" applyNumberFormat="1" applyFont="1" applyFill="1" applyBorder="1" applyAlignment="1">
      <alignment horizontal="left"/>
    </xf>
    <xf numFmtId="0" fontId="8" fillId="20" borderId="7" xfId="0" applyNumberFormat="1" applyFont="1" applyFill="1" applyBorder="1" applyAlignment="1">
      <alignment horizontal="left"/>
    </xf>
    <xf numFmtId="0" fontId="8" fillId="20" borderId="7" xfId="0" applyNumberFormat="1" applyFont="1" applyFill="1" applyBorder="1" applyAlignment="1">
      <alignment horizontal="center"/>
    </xf>
    <xf numFmtId="175" fontId="8" fillId="20" borderId="7" xfId="0" applyNumberFormat="1" applyFont="1" applyFill="1" applyBorder="1" applyAlignment="1">
      <alignment horizontal="center"/>
    </xf>
    <xf numFmtId="0" fontId="8" fillId="2" borderId="17" xfId="0" applyNumberFormat="1" applyFont="1" applyFill="1" applyBorder="1" applyAlignment="1">
      <alignment horizontal="center"/>
    </xf>
    <xf numFmtId="0" fontId="8" fillId="2" borderId="7" xfId="0" applyNumberFormat="1" applyFont="1" applyFill="1" applyBorder="1" applyAlignment="1"/>
    <xf numFmtId="0" fontId="8" fillId="0" borderId="5" xfId="0" applyNumberFormat="1" applyFont="1" applyBorder="1" applyAlignment="1"/>
    <xf numFmtId="2" fontId="8" fillId="20" borderId="0" xfId="0" applyNumberFormat="1" applyFont="1" applyFill="1" applyAlignment="1">
      <alignment horizontal="center"/>
    </xf>
    <xf numFmtId="2" fontId="13" fillId="19" borderId="0" xfId="0" applyNumberFormat="1" applyFont="1" applyFill="1" applyAlignment="1">
      <alignment horizontal="left"/>
    </xf>
    <xf numFmtId="0" fontId="8" fillId="20" borderId="0" xfId="0" applyNumberFormat="1" applyFont="1" applyFill="1" applyAlignment="1">
      <alignment horizontal="left"/>
    </xf>
    <xf numFmtId="0" fontId="8" fillId="20" borderId="0" xfId="0" applyNumberFormat="1" applyFont="1" applyFill="1" applyAlignment="1">
      <alignment horizontal="center"/>
    </xf>
    <xf numFmtId="175" fontId="8" fillId="20" borderId="0" xfId="0" applyNumberFormat="1" applyFont="1" applyFill="1" applyAlignment="1">
      <alignment horizontal="center"/>
    </xf>
    <xf numFmtId="0" fontId="8" fillId="2" borderId="5" xfId="0" applyNumberFormat="1" applyFont="1" applyFill="1" applyBorder="1" applyAlignment="1">
      <alignment horizontal="centerContinuous"/>
    </xf>
    <xf numFmtId="0" fontId="8" fillId="2" borderId="0" xfId="0" applyNumberFormat="1" applyFont="1" applyFill="1" applyAlignment="1"/>
    <xf numFmtId="0" fontId="8" fillId="3" borderId="5" xfId="0" applyNumberFormat="1" applyFont="1" applyFill="1" applyBorder="1" applyAlignment="1">
      <alignment horizontal="left"/>
    </xf>
    <xf numFmtId="0" fontId="8" fillId="3" borderId="3" xfId="0" applyNumberFormat="1" applyFont="1" applyFill="1" applyBorder="1" applyAlignment="1">
      <alignment horizontal="left"/>
    </xf>
    <xf numFmtId="3" fontId="13" fillId="2" borderId="16" xfId="0" applyNumberFormat="1" applyFont="1" applyFill="1" applyBorder="1" applyAlignment="1"/>
    <xf numFmtId="1" fontId="13" fillId="2" borderId="16" xfId="0" applyNumberFormat="1" applyFont="1" applyFill="1" applyBorder="1" applyAlignment="1"/>
    <xf numFmtId="165" fontId="13" fillId="2" borderId="16" xfId="0" applyNumberFormat="1" applyFont="1" applyFill="1" applyBorder="1" applyAlignment="1"/>
    <xf numFmtId="1" fontId="8" fillId="3" borderId="17" xfId="0" applyNumberFormat="1" applyFont="1" applyFill="1" applyBorder="1" applyAlignment="1">
      <alignment horizontal="right"/>
    </xf>
    <xf numFmtId="3" fontId="13" fillId="2" borderId="1" xfId="0" applyNumberFormat="1" applyFont="1" applyFill="1" applyBorder="1" applyAlignment="1"/>
    <xf numFmtId="167" fontId="13" fillId="2" borderId="1" xfId="0" applyNumberFormat="1" applyFont="1" applyFill="1" applyBorder="1" applyAlignment="1" applyProtection="1">
      <protection locked="0"/>
    </xf>
    <xf numFmtId="1" fontId="13" fillId="2" borderId="1" xfId="0" applyNumberFormat="1" applyFont="1" applyFill="1" applyBorder="1" applyAlignment="1"/>
    <xf numFmtId="165" fontId="13" fillId="2" borderId="1" xfId="0" applyNumberFormat="1" applyFont="1" applyFill="1" applyBorder="1" applyAlignment="1"/>
    <xf numFmtId="2" fontId="13" fillId="2" borderId="1" xfId="0" applyNumberFormat="1" applyFont="1" applyFill="1" applyBorder="1" applyAlignment="1"/>
    <xf numFmtId="1" fontId="8" fillId="3" borderId="8" xfId="0" applyNumberFormat="1" applyFont="1" applyFill="1" applyBorder="1" applyAlignment="1">
      <alignment horizontal="right"/>
    </xf>
    <xf numFmtId="1" fontId="13" fillId="0" borderId="0" xfId="0" applyNumberFormat="1" applyFont="1" applyAlignment="1" applyProtection="1">
      <protection locked="0"/>
    </xf>
    <xf numFmtId="165" fontId="13" fillId="0" borderId="0" xfId="0" applyNumberFormat="1" applyFont="1" applyAlignment="1"/>
    <xf numFmtId="9" fontId="8" fillId="3" borderId="4" xfId="0" applyNumberFormat="1" applyFont="1" applyFill="1" applyBorder="1" applyAlignment="1"/>
    <xf numFmtId="1" fontId="8" fillId="21" borderId="1" xfId="0" applyNumberFormat="1" applyFont="1" applyFill="1" applyBorder="1" applyAlignment="1"/>
    <xf numFmtId="165" fontId="13" fillId="0" borderId="0" xfId="0" applyNumberFormat="1" applyFont="1" applyAlignment="1" applyProtection="1">
      <protection locked="0"/>
    </xf>
    <xf numFmtId="0" fontId="8" fillId="3" borderId="53" xfId="0" applyNumberFormat="1" applyFont="1" applyFill="1" applyBorder="1" applyAlignment="1">
      <alignment horizontal="centerContinuous"/>
    </xf>
    <xf numFmtId="1" fontId="8" fillId="3" borderId="6" xfId="0" applyNumberFormat="1" applyFont="1" applyFill="1" applyBorder="1" applyAlignment="1">
      <alignment horizontal="centerContinuous"/>
    </xf>
    <xf numFmtId="3" fontId="8" fillId="3" borderId="6" xfId="0" applyNumberFormat="1" applyFont="1" applyFill="1" applyBorder="1" applyAlignment="1">
      <alignment horizontal="centerContinuous"/>
    </xf>
    <xf numFmtId="167" fontId="8" fillId="3" borderId="6" xfId="0" applyNumberFormat="1" applyFont="1" applyFill="1" applyBorder="1" applyAlignment="1">
      <alignment horizontal="centerContinuous"/>
    </xf>
    <xf numFmtId="3" fontId="8" fillId="3" borderId="53" xfId="0" applyNumberFormat="1" applyFont="1" applyFill="1" applyBorder="1" applyAlignment="1">
      <alignment horizontal="centerContinuous"/>
    </xf>
    <xf numFmtId="0" fontId="8" fillId="0" borderId="17" xfId="0" applyNumberFormat="1" applyFont="1" applyBorder="1" applyAlignment="1">
      <alignment horizontal="centerContinuous"/>
    </xf>
    <xf numFmtId="165" fontId="8" fillId="0" borderId="7" xfId="0" applyNumberFormat="1" applyFont="1" applyFill="1" applyBorder="1" applyAlignment="1"/>
    <xf numFmtId="2" fontId="8" fillId="0" borderId="7" xfId="0" applyNumberFormat="1" applyFont="1" applyFill="1" applyBorder="1" applyAlignment="1"/>
    <xf numFmtId="1" fontId="8" fillId="0" borderId="7" xfId="0" applyNumberFormat="1" applyFont="1" applyFill="1" applyBorder="1" applyAlignment="1"/>
    <xf numFmtId="0" fontId="8" fillId="0" borderId="7" xfId="0" applyNumberFormat="1" applyFont="1" applyBorder="1" applyAlignment="1"/>
    <xf numFmtId="0" fontId="8" fillId="0" borderId="7" xfId="0" applyNumberFormat="1" applyFont="1" applyFill="1" applyBorder="1" applyAlignment="1"/>
    <xf numFmtId="3" fontId="8" fillId="3" borderId="1" xfId="0" applyNumberFormat="1" applyFont="1" applyFill="1" applyBorder="1" applyAlignment="1">
      <alignment horizontal="centerContinuous"/>
    </xf>
    <xf numFmtId="167" fontId="8" fillId="3" borderId="1" xfId="0" applyNumberFormat="1" applyFont="1" applyFill="1" applyBorder="1" applyAlignment="1">
      <alignment horizontal="centerContinuous"/>
    </xf>
    <xf numFmtId="3" fontId="8" fillId="3" borderId="8" xfId="0" applyNumberFormat="1" applyFont="1" applyFill="1" applyBorder="1" applyAlignment="1">
      <alignment horizontal="centerContinuous"/>
    </xf>
    <xf numFmtId="0" fontId="8" fillId="0" borderId="5" xfId="0" applyNumberFormat="1" applyFont="1" applyBorder="1" applyAlignment="1">
      <alignment horizontal="centerContinuous"/>
    </xf>
    <xf numFmtId="165" fontId="8" fillId="0" borderId="0" xfId="0" applyNumberFormat="1" applyFont="1" applyAlignment="1">
      <alignment horizontal="centerContinuous"/>
    </xf>
    <xf numFmtId="2" fontId="8" fillId="0" borderId="0" xfId="0" applyNumberFormat="1" applyFont="1" applyAlignment="1">
      <alignment horizontal="centerContinuous"/>
    </xf>
    <xf numFmtId="1" fontId="8" fillId="0" borderId="0" xfId="0" applyNumberFormat="1" applyFont="1" applyAlignment="1">
      <alignment horizontal="centerContinuous"/>
    </xf>
    <xf numFmtId="0" fontId="8" fillId="0" borderId="0" xfId="0" applyNumberFormat="1" applyFont="1" applyAlignment="1">
      <alignment horizontal="centerContinuous"/>
    </xf>
    <xf numFmtId="1" fontId="8" fillId="0" borderId="7" xfId="0" applyNumberFormat="1" applyFont="1" applyBorder="1" applyAlignment="1">
      <alignment horizontal="centerContinuous"/>
    </xf>
    <xf numFmtId="165" fontId="8" fillId="0" borderId="7" xfId="0" applyNumberFormat="1" applyFont="1" applyBorder="1" applyAlignment="1">
      <alignment horizontal="centerContinuous"/>
    </xf>
    <xf numFmtId="0" fontId="8" fillId="0" borderId="7" xfId="0" applyNumberFormat="1" applyFont="1" applyBorder="1" applyAlignment="1">
      <alignment horizontal="centerContinuous"/>
    </xf>
    <xf numFmtId="170" fontId="8" fillId="0" borderId="7" xfId="0" applyNumberFormat="1" applyFont="1" applyBorder="1" applyAlignment="1">
      <alignment horizontal="centerContinuous"/>
    </xf>
    <xf numFmtId="0" fontId="13" fillId="5" borderId="17" xfId="0" applyNumberFormat="1" applyFont="1" applyFill="1" applyBorder="1" applyAlignment="1">
      <alignment horizontal="centerContinuous"/>
    </xf>
    <xf numFmtId="0" fontId="13" fillId="5" borderId="7" xfId="0" applyNumberFormat="1" applyFont="1" applyFill="1" applyBorder="1" applyAlignment="1">
      <alignment horizontal="centerContinuous"/>
    </xf>
    <xf numFmtId="170" fontId="8" fillId="0" borderId="0" xfId="0" applyNumberFormat="1" applyFont="1" applyAlignment="1">
      <alignment horizontal="centerContinuous"/>
    </xf>
    <xf numFmtId="165" fontId="8" fillId="0" borderId="0" xfId="0" applyNumberFormat="1" applyFont="1" applyAlignment="1"/>
    <xf numFmtId="2" fontId="8" fillId="0" borderId="0" xfId="0" applyNumberFormat="1" applyFont="1" applyAlignment="1"/>
    <xf numFmtId="1" fontId="8" fillId="0" borderId="0" xfId="0" applyNumberFormat="1" applyFont="1" applyAlignment="1"/>
    <xf numFmtId="176" fontId="13" fillId="5" borderId="8" xfId="0" applyNumberFormat="1" applyFont="1" applyFill="1" applyBorder="1" applyAlignment="1"/>
    <xf numFmtId="0" fontId="13" fillId="5" borderId="4" xfId="0" applyNumberFormat="1" applyFont="1" applyFill="1" applyBorder="1" applyAlignment="1">
      <alignment horizontal="center"/>
    </xf>
    <xf numFmtId="0" fontId="13" fillId="5" borderId="1" xfId="0" applyNumberFormat="1" applyFont="1" applyFill="1" applyBorder="1" applyAlignment="1">
      <alignment horizontal="center"/>
    </xf>
    <xf numFmtId="170" fontId="8" fillId="0" borderId="0" xfId="0" applyNumberFormat="1" applyFont="1" applyAlignment="1"/>
    <xf numFmtId="0" fontId="13" fillId="5" borderId="8" xfId="0" applyNumberFormat="1" applyFont="1" applyFill="1" applyBorder="1" applyAlignment="1">
      <alignment horizontal="centerContinuous"/>
    </xf>
    <xf numFmtId="0" fontId="13" fillId="5" borderId="4" xfId="0" applyNumberFormat="1" applyFont="1" applyFill="1" applyBorder="1" applyAlignment="1">
      <alignment horizontal="centerContinuous"/>
    </xf>
    <xf numFmtId="165" fontId="13" fillId="5" borderId="1" xfId="0" applyNumberFormat="1" applyFont="1" applyFill="1" applyBorder="1" applyAlignment="1">
      <alignment horizontal="center"/>
    </xf>
    <xf numFmtId="1" fontId="13" fillId="5" borderId="1" xfId="0" applyNumberFormat="1" applyFont="1" applyFill="1" applyBorder="1" applyAlignment="1">
      <alignment horizontal="center"/>
    </xf>
    <xf numFmtId="174" fontId="13" fillId="5" borderId="1" xfId="0" applyNumberFormat="1" applyFont="1" applyFill="1" applyBorder="1" applyAlignment="1">
      <alignment horizontal="center"/>
    </xf>
    <xf numFmtId="1" fontId="8" fillId="0" borderId="5" xfId="0" applyNumberFormat="1" applyFont="1" applyBorder="1" applyAlignment="1"/>
    <xf numFmtId="165" fontId="8" fillId="0" borderId="7" xfId="0" applyNumberFormat="1" applyFont="1" applyBorder="1" applyAlignment="1"/>
    <xf numFmtId="2" fontId="8" fillId="0" borderId="7" xfId="0" applyNumberFormat="1" applyFont="1" applyBorder="1" applyAlignment="1"/>
    <xf numFmtId="1" fontId="8" fillId="0" borderId="7" xfId="0" applyNumberFormat="1" applyFont="1" applyBorder="1" applyAlignment="1"/>
    <xf numFmtId="1" fontId="13" fillId="0" borderId="0" xfId="0" applyNumberFormat="1" applyFont="1" applyAlignment="1"/>
    <xf numFmtId="0" fontId="64" fillId="2" borderId="0" xfId="0" applyNumberFormat="1" applyFont="1" applyFill="1" applyAlignment="1"/>
    <xf numFmtId="0" fontId="65" fillId="2" borderId="0" xfId="0" applyNumberFormat="1" applyFont="1" applyFill="1" applyAlignment="1"/>
    <xf numFmtId="1" fontId="8" fillId="2" borderId="0" xfId="0" applyNumberFormat="1" applyFont="1" applyFill="1" applyAlignment="1"/>
    <xf numFmtId="0" fontId="58" fillId="2" borderId="0" xfId="0" applyNumberFormat="1" applyFont="1" applyFill="1" applyAlignment="1"/>
    <xf numFmtId="0" fontId="66" fillId="2" borderId="0" xfId="0" applyNumberFormat="1" applyFont="1" applyFill="1" applyAlignment="1"/>
    <xf numFmtId="0" fontId="66" fillId="2" borderId="0" xfId="0" applyNumberFormat="1" applyFont="1" applyFill="1" applyAlignment="1">
      <alignment horizontal="left"/>
    </xf>
    <xf numFmtId="0" fontId="8" fillId="2" borderId="16" xfId="0" applyNumberFormat="1" applyFont="1" applyFill="1" applyBorder="1" applyAlignment="1">
      <alignment horizontal="center"/>
    </xf>
    <xf numFmtId="0" fontId="8" fillId="2" borderId="5" xfId="0" applyNumberFormat="1" applyFont="1" applyFill="1" applyBorder="1" applyAlignment="1">
      <alignment horizontal="center"/>
    </xf>
    <xf numFmtId="0" fontId="8" fillId="2" borderId="3" xfId="0" applyNumberFormat="1" applyFont="1" applyFill="1" applyBorder="1" applyAlignment="1">
      <alignment horizontal="center"/>
    </xf>
    <xf numFmtId="0" fontId="8" fillId="2" borderId="3" xfId="0" applyNumberFormat="1" applyFont="1" applyFill="1" applyBorder="1" applyAlignment="1"/>
    <xf numFmtId="0" fontId="8" fillId="3" borderId="16" xfId="0" applyNumberFormat="1" applyFont="1" applyFill="1" applyBorder="1" applyAlignment="1" applyProtection="1">
      <protection locked="0"/>
    </xf>
    <xf numFmtId="0" fontId="13" fillId="2" borderId="17" xfId="0" applyNumberFormat="1" applyFont="1" applyFill="1" applyBorder="1" applyAlignment="1">
      <alignment horizontal="center"/>
    </xf>
    <xf numFmtId="0" fontId="13" fillId="2" borderId="16" xfId="0" applyNumberFormat="1" applyFont="1" applyFill="1" applyBorder="1" applyAlignment="1">
      <alignment horizontal="center"/>
    </xf>
    <xf numFmtId="0" fontId="8" fillId="2" borderId="5" xfId="0" applyNumberFormat="1" applyFont="1" applyFill="1" applyBorder="1" applyAlignment="1"/>
    <xf numFmtId="0" fontId="8" fillId="2" borderId="17" xfId="0" applyNumberFormat="1" applyFont="1" applyFill="1" applyBorder="1" applyAlignment="1" applyProtection="1">
      <protection locked="0"/>
    </xf>
    <xf numFmtId="0" fontId="8" fillId="2" borderId="16" xfId="0" applyNumberFormat="1" applyFont="1" applyFill="1" applyBorder="1" applyAlignment="1" applyProtection="1">
      <protection locked="0"/>
    </xf>
    <xf numFmtId="0" fontId="8" fillId="22" borderId="8" xfId="0" applyNumberFormat="1" applyFont="1" applyFill="1" applyBorder="1" applyAlignment="1">
      <alignment horizontal="center"/>
    </xf>
    <xf numFmtId="1" fontId="8" fillId="2" borderId="1" xfId="0" applyNumberFormat="1" applyFont="1" applyFill="1" applyBorder="1" applyAlignment="1"/>
    <xf numFmtId="1" fontId="8" fillId="2" borderId="16" xfId="0" applyNumberFormat="1" applyFont="1" applyFill="1" applyBorder="1" applyAlignment="1">
      <alignment horizontal="center"/>
    </xf>
    <xf numFmtId="2" fontId="8" fillId="2" borderId="16" xfId="0" applyNumberFormat="1" applyFont="1" applyFill="1" applyBorder="1" applyAlignment="1">
      <alignment horizontal="center"/>
    </xf>
    <xf numFmtId="0" fontId="8" fillId="3" borderId="1" xfId="0" applyNumberFormat="1" applyFont="1" applyFill="1" applyBorder="1" applyAlignment="1" applyProtection="1">
      <protection locked="0"/>
    </xf>
    <xf numFmtId="0" fontId="13" fillId="2" borderId="8" xfId="0" applyNumberFormat="1" applyFont="1" applyFill="1" applyBorder="1" applyAlignment="1">
      <alignment horizontal="center"/>
    </xf>
    <xf numFmtId="0" fontId="13" fillId="2" borderId="1" xfId="0" applyNumberFormat="1" applyFont="1" applyFill="1" applyBorder="1" applyAlignment="1">
      <alignment horizontal="center"/>
    </xf>
    <xf numFmtId="0" fontId="8" fillId="2" borderId="8" xfId="0" applyNumberFormat="1" applyFont="1" applyFill="1" applyBorder="1" applyAlignment="1" applyProtection="1">
      <protection locked="0"/>
    </xf>
    <xf numFmtId="0" fontId="8" fillId="2" borderId="1" xfId="0" applyNumberFormat="1" applyFont="1" applyFill="1" applyBorder="1" applyAlignment="1" applyProtection="1">
      <protection locked="0"/>
    </xf>
    <xf numFmtId="0" fontId="8" fillId="2" borderId="8" xfId="0" applyNumberFormat="1" applyFont="1" applyFill="1" applyBorder="1" applyAlignment="1">
      <alignment horizontal="center"/>
    </xf>
    <xf numFmtId="1" fontId="8" fillId="2" borderId="1" xfId="0" applyNumberFormat="1" applyFont="1" applyFill="1" applyBorder="1" applyAlignment="1">
      <alignment horizontal="center"/>
    </xf>
    <xf numFmtId="2" fontId="8" fillId="2" borderId="1" xfId="0" applyNumberFormat="1" applyFont="1" applyFill="1" applyBorder="1" applyAlignment="1">
      <alignment horizontal="center"/>
    </xf>
    <xf numFmtId="0" fontId="8" fillId="3" borderId="17" xfId="0" applyNumberFormat="1" applyFont="1" applyFill="1" applyBorder="1" applyAlignment="1">
      <alignment horizontal="left"/>
    </xf>
    <xf numFmtId="1" fontId="8" fillId="3" borderId="5" xfId="0" applyNumberFormat="1" applyFont="1" applyFill="1" applyBorder="1" applyAlignment="1"/>
    <xf numFmtId="1" fontId="8" fillId="3" borderId="3" xfId="0" applyNumberFormat="1" applyFont="1" applyFill="1" applyBorder="1" applyAlignment="1"/>
    <xf numFmtId="0" fontId="8" fillId="2" borderId="1" xfId="0" applyNumberFormat="1" applyFont="1" applyFill="1" applyBorder="1" applyAlignment="1">
      <alignment horizontal="center"/>
    </xf>
    <xf numFmtId="9" fontId="8" fillId="2" borderId="1" xfId="0" applyNumberFormat="1" applyFont="1" applyFill="1" applyBorder="1" applyAlignment="1">
      <alignment horizontal="center"/>
    </xf>
    <xf numFmtId="165" fontId="8" fillId="3" borderId="5" xfId="0" applyNumberFormat="1" applyFont="1" applyFill="1" applyBorder="1" applyAlignment="1">
      <alignment horizontal="center"/>
    </xf>
    <xf numFmtId="165" fontId="8" fillId="3" borderId="3" xfId="0" applyNumberFormat="1" applyFont="1" applyFill="1" applyBorder="1" applyAlignment="1"/>
    <xf numFmtId="0" fontId="13" fillId="2" borderId="7" xfId="0" applyNumberFormat="1" applyFont="1" applyFill="1" applyBorder="1" applyAlignment="1"/>
    <xf numFmtId="0" fontId="13" fillId="2" borderId="0" xfId="0" applyNumberFormat="1" applyFont="1" applyFill="1" applyAlignment="1"/>
    <xf numFmtId="1" fontId="58" fillId="2" borderId="0" xfId="0" applyNumberFormat="1" applyFont="1" applyFill="1" applyAlignment="1"/>
    <xf numFmtId="0" fontId="44" fillId="2" borderId="0" xfId="0" applyNumberFormat="1" applyFont="1" applyFill="1" applyAlignment="1"/>
    <xf numFmtId="0" fontId="8" fillId="2" borderId="0" xfId="0" applyNumberFormat="1" applyFont="1" applyFill="1" applyAlignment="1">
      <alignment horizontal="left"/>
    </xf>
    <xf numFmtId="0" fontId="8" fillId="2" borderId="0" xfId="0" applyNumberFormat="1" applyFont="1" applyFill="1" applyAlignment="1">
      <alignment horizontal="center"/>
    </xf>
    <xf numFmtId="0" fontId="13" fillId="2" borderId="0" xfId="0" applyNumberFormat="1" applyFont="1" applyFill="1" applyAlignment="1">
      <alignment horizontal="left"/>
    </xf>
    <xf numFmtId="0" fontId="13" fillId="2" borderId="0" xfId="0" applyNumberFormat="1" applyFont="1" applyFill="1" applyAlignment="1">
      <alignment horizontal="center"/>
    </xf>
    <xf numFmtId="0" fontId="13" fillId="2" borderId="5" xfId="0" applyNumberFormat="1" applyFont="1" applyFill="1" applyBorder="1" applyAlignment="1">
      <alignment horizontal="center"/>
    </xf>
    <xf numFmtId="177" fontId="13" fillId="2" borderId="17" xfId="0" applyNumberFormat="1" applyFont="1" applyFill="1" applyBorder="1" applyAlignment="1">
      <alignment horizontal="center"/>
    </xf>
    <xf numFmtId="1" fontId="8" fillId="2" borderId="17" xfId="0" applyNumberFormat="1" applyFont="1" applyFill="1" applyBorder="1" applyAlignment="1"/>
    <xf numFmtId="1" fontId="8" fillId="2" borderId="16" xfId="0" applyNumberFormat="1" applyFont="1" applyFill="1" applyBorder="1" applyAlignment="1"/>
    <xf numFmtId="0" fontId="13" fillId="2" borderId="5" xfId="0" applyNumberFormat="1" applyFont="1" applyFill="1" applyBorder="1" applyAlignment="1"/>
    <xf numFmtId="1" fontId="8" fillId="2" borderId="8" xfId="0" applyNumberFormat="1" applyFont="1" applyFill="1" applyBorder="1" applyAlignment="1"/>
    <xf numFmtId="0" fontId="8" fillId="2" borderId="0" xfId="0" applyNumberFormat="1" applyFont="1" applyFill="1" applyAlignment="1" applyProtection="1">
      <protection locked="0"/>
    </xf>
    <xf numFmtId="0" fontId="8" fillId="2" borderId="5" xfId="0" applyNumberFormat="1" applyFont="1" applyFill="1" applyBorder="1" applyAlignment="1" applyProtection="1">
      <protection locked="0"/>
    </xf>
    <xf numFmtId="0" fontId="8" fillId="2" borderId="17" xfId="0" applyNumberFormat="1" applyFont="1" applyFill="1" applyBorder="1" applyAlignment="1"/>
    <xf numFmtId="0" fontId="8" fillId="2" borderId="8" xfId="0" applyNumberFormat="1" applyFont="1" applyFill="1" applyBorder="1" applyAlignment="1"/>
    <xf numFmtId="1" fontId="8" fillId="2" borderId="7" xfId="0" applyNumberFormat="1" applyFont="1" applyFill="1" applyBorder="1" applyAlignment="1"/>
    <xf numFmtId="0" fontId="8" fillId="2" borderId="7" xfId="0" applyNumberFormat="1" applyFont="1" applyFill="1" applyBorder="1" applyAlignment="1">
      <alignment horizontal="center"/>
    </xf>
    <xf numFmtId="0" fontId="8" fillId="2" borderId="8" xfId="0" applyNumberFormat="1" applyFont="1" applyFill="1" applyBorder="1" applyAlignment="1">
      <alignment horizontal="centerContinuous"/>
    </xf>
    <xf numFmtId="1" fontId="8" fillId="2" borderId="6" xfId="0" applyNumberFormat="1" applyFont="1" applyFill="1" applyBorder="1" applyAlignment="1" applyProtection="1">
      <protection locked="0"/>
    </xf>
    <xf numFmtId="0" fontId="13" fillId="2" borderId="0" xfId="0" applyNumberFormat="1" applyFont="1" applyFill="1" applyAlignment="1" applyProtection="1">
      <protection locked="0"/>
    </xf>
    <xf numFmtId="0" fontId="13" fillId="2" borderId="7" xfId="0" applyNumberFormat="1" applyFont="1" applyFill="1" applyBorder="1" applyAlignment="1" applyProtection="1">
      <protection locked="0"/>
    </xf>
    <xf numFmtId="184" fontId="61" fillId="0" borderId="0" xfId="0" applyNumberFormat="1" applyFont="1" applyAlignment="1">
      <alignment horizontal="center"/>
    </xf>
    <xf numFmtId="0" fontId="61" fillId="0" borderId="72" xfId="0" applyFont="1" applyBorder="1" applyAlignment="1">
      <alignment horizontal="center" vertical="center" wrapText="1"/>
    </xf>
    <xf numFmtId="0" fontId="61" fillId="0" borderId="72" xfId="0" quotePrefix="1" applyFont="1" applyBorder="1" applyAlignment="1">
      <alignment horizontal="center"/>
    </xf>
    <xf numFmtId="0" fontId="61" fillId="0" borderId="72" xfId="0" applyFont="1" applyBorder="1" applyAlignment="1">
      <alignment horizontal="center"/>
    </xf>
    <xf numFmtId="182" fontId="61" fillId="0" borderId="72" xfId="0" applyNumberFormat="1" applyFont="1" applyBorder="1"/>
    <xf numFmtId="0" fontId="0" fillId="0" borderId="72" xfId="0" applyBorder="1"/>
    <xf numFmtId="0" fontId="61" fillId="0" borderId="0" xfId="0" applyFont="1"/>
    <xf numFmtId="183" fontId="41" fillId="0" borderId="0" xfId="0" applyNumberFormat="1" applyFont="1"/>
    <xf numFmtId="0" fontId="69" fillId="0" borderId="0" xfId="0" applyFont="1" applyAlignment="1">
      <alignment horizontal="center"/>
    </xf>
    <xf numFmtId="9" fontId="0" fillId="0" borderId="72" xfId="0" applyNumberFormat="1" applyBorder="1"/>
    <xf numFmtId="165" fontId="0" fillId="0" borderId="72" xfId="0" applyNumberFormat="1" applyBorder="1"/>
    <xf numFmtId="1" fontId="0" fillId="0" borderId="72" xfId="0" applyNumberFormat="1" applyBorder="1"/>
    <xf numFmtId="185" fontId="67" fillId="3" borderId="72" xfId="0" applyNumberFormat="1" applyFont="1" applyFill="1" applyBorder="1" applyAlignment="1"/>
    <xf numFmtId="0" fontId="70" fillId="3" borderId="0" xfId="0" applyNumberFormat="1" applyFont="1" applyFill="1" applyAlignment="1" applyProtection="1">
      <protection locked="0"/>
    </xf>
    <xf numFmtId="0" fontId="71" fillId="3" borderId="0" xfId="0" applyNumberFormat="1" applyFont="1" applyFill="1" applyAlignment="1"/>
    <xf numFmtId="0" fontId="70" fillId="3" borderId="0" xfId="0" applyNumberFormat="1" applyFont="1" applyFill="1" applyAlignment="1"/>
    <xf numFmtId="165" fontId="70" fillId="3" borderId="0" xfId="0" applyNumberFormat="1" applyFont="1" applyFill="1" applyAlignment="1"/>
    <xf numFmtId="2" fontId="70" fillId="3" borderId="0" xfId="0" applyNumberFormat="1" applyFont="1" applyFill="1" applyAlignment="1"/>
    <xf numFmtId="3" fontId="71" fillId="3" borderId="0" xfId="0" applyNumberFormat="1" applyFont="1" applyFill="1" applyAlignment="1"/>
    <xf numFmtId="0" fontId="72" fillId="3" borderId="0" xfId="0" applyNumberFormat="1" applyFont="1" applyFill="1"/>
    <xf numFmtId="1" fontId="72" fillId="3" borderId="0" xfId="0" applyNumberFormat="1" applyFont="1" applyFill="1" applyAlignment="1"/>
    <xf numFmtId="185" fontId="67" fillId="3" borderId="73" xfId="0" applyNumberFormat="1" applyFont="1" applyFill="1" applyBorder="1" applyAlignment="1"/>
    <xf numFmtId="185" fontId="67" fillId="3" borderId="74" xfId="0" applyNumberFormat="1" applyFont="1" applyFill="1" applyBorder="1" applyAlignment="1"/>
    <xf numFmtId="181" fontId="31" fillId="0" borderId="3" xfId="0" applyNumberFormat="1" applyFont="1" applyBorder="1" applyAlignment="1">
      <alignment horizontal="center" vertical="center"/>
    </xf>
    <xf numFmtId="0" fontId="67" fillId="3" borderId="72" xfId="0" applyNumberFormat="1" applyFont="1" applyFill="1" applyBorder="1" applyAlignment="1">
      <alignment horizontal="center"/>
    </xf>
    <xf numFmtId="0" fontId="67" fillId="3" borderId="72" xfId="0" applyNumberFormat="1" applyFont="1" applyFill="1" applyBorder="1" applyAlignment="1" applyProtection="1">
      <alignment horizontal="center"/>
      <protection locked="0"/>
    </xf>
    <xf numFmtId="0" fontId="67" fillId="3" borderId="72" xfId="0" applyNumberFormat="1" applyFont="1" applyFill="1" applyBorder="1" applyAlignment="1"/>
    <xf numFmtId="0" fontId="67" fillId="3" borderId="74" xfId="0" applyNumberFormat="1" applyFont="1" applyFill="1" applyBorder="1" applyAlignment="1"/>
    <xf numFmtId="0" fontId="67" fillId="3" borderId="74" xfId="0" applyNumberFormat="1" applyFont="1" applyFill="1" applyBorder="1" applyAlignment="1" applyProtection="1">
      <protection locked="0"/>
    </xf>
    <xf numFmtId="165" fontId="67" fillId="3" borderId="72" xfId="0" applyNumberFormat="1" applyFont="1" applyFill="1" applyBorder="1" applyAlignment="1"/>
    <xf numFmtId="1" fontId="67" fillId="3" borderId="72" xfId="0" applyNumberFormat="1" applyFont="1" applyFill="1" applyBorder="1" applyAlignment="1"/>
    <xf numFmtId="1" fontId="67" fillId="3" borderId="72" xfId="0" applyNumberFormat="1" applyFont="1" applyFill="1" applyBorder="1" applyAlignment="1" applyProtection="1">
      <protection locked="0"/>
    </xf>
    <xf numFmtId="3" fontId="67" fillId="3" borderId="72" xfId="0" applyNumberFormat="1" applyFont="1" applyFill="1" applyBorder="1" applyAlignment="1"/>
    <xf numFmtId="165" fontId="67" fillId="3" borderId="72" xfId="0" applyNumberFormat="1" applyFont="1" applyFill="1" applyBorder="1" applyAlignment="1" applyProtection="1">
      <protection locked="0"/>
    </xf>
    <xf numFmtId="165" fontId="67" fillId="3" borderId="74" xfId="0" applyNumberFormat="1" applyFont="1" applyFill="1" applyBorder="1" applyAlignment="1"/>
    <xf numFmtId="3" fontId="67" fillId="3" borderId="74" xfId="0" applyNumberFormat="1" applyFont="1" applyFill="1" applyBorder="1" applyAlignment="1"/>
    <xf numFmtId="165" fontId="67" fillId="3" borderId="75" xfId="0" applyNumberFormat="1" applyFont="1" applyFill="1" applyBorder="1" applyAlignment="1"/>
    <xf numFmtId="1" fontId="67" fillId="3" borderId="75" xfId="0" applyNumberFormat="1" applyFont="1" applyFill="1" applyBorder="1" applyAlignment="1"/>
    <xf numFmtId="0" fontId="74" fillId="3" borderId="0" xfId="0" applyNumberFormat="1" applyFont="1" applyFill="1" applyAlignment="1">
      <alignment horizontal="center"/>
    </xf>
    <xf numFmtId="3" fontId="0" fillId="0" borderId="72" xfId="0" applyNumberFormat="1" applyBorder="1"/>
    <xf numFmtId="167" fontId="0" fillId="0" borderId="72" xfId="0" applyNumberFormat="1" applyBorder="1"/>
    <xf numFmtId="1" fontId="73" fillId="3" borderId="0" xfId="0" applyNumberFormat="1" applyFont="1" applyFill="1" applyAlignment="1">
      <alignment horizontal="center"/>
    </xf>
    <xf numFmtId="185" fontId="67" fillId="3" borderId="76" xfId="0" applyNumberFormat="1" applyFont="1" applyFill="1" applyBorder="1" applyAlignment="1"/>
    <xf numFmtId="185" fontId="67" fillId="3" borderId="77" xfId="0" applyNumberFormat="1" applyFont="1" applyFill="1" applyBorder="1" applyAlignment="1"/>
    <xf numFmtId="185" fontId="67" fillId="3" borderId="78" xfId="0" applyNumberFormat="1" applyFont="1" applyFill="1" applyBorder="1" applyAlignment="1"/>
    <xf numFmtId="165" fontId="67" fillId="3" borderId="73" xfId="0" applyNumberFormat="1" applyFont="1" applyFill="1" applyBorder="1" applyAlignment="1"/>
    <xf numFmtId="1" fontId="67" fillId="3" borderId="73" xfId="0" applyNumberFormat="1" applyFont="1" applyFill="1" applyBorder="1" applyAlignment="1"/>
    <xf numFmtId="3" fontId="67" fillId="3" borderId="73" xfId="0" applyNumberFormat="1" applyFont="1" applyFill="1" applyBorder="1" applyAlignment="1"/>
    <xf numFmtId="0" fontId="67" fillId="3" borderId="0" xfId="0" applyNumberFormat="1" applyFont="1" applyFill="1" applyAlignment="1">
      <alignment horizontal="center"/>
    </xf>
    <xf numFmtId="0" fontId="45" fillId="3" borderId="0" xfId="0" applyNumberFormat="1" applyFont="1" applyFill="1" applyAlignment="1">
      <alignment horizontal="center"/>
    </xf>
    <xf numFmtId="3" fontId="67" fillId="3" borderId="0" xfId="0" applyNumberFormat="1" applyFont="1" applyFill="1" applyAlignment="1">
      <alignment horizontal="center"/>
    </xf>
    <xf numFmtId="165" fontId="4" fillId="3" borderId="72" xfId="0" applyNumberFormat="1" applyFont="1" applyFill="1" applyBorder="1" applyAlignment="1"/>
    <xf numFmtId="1" fontId="4" fillId="3" borderId="72" xfId="0" applyNumberFormat="1" applyFont="1" applyFill="1" applyBorder="1" applyAlignment="1"/>
    <xf numFmtId="0" fontId="29" fillId="3" borderId="0" xfId="0" applyNumberFormat="1" applyFont="1" applyFill="1" applyAlignment="1"/>
    <xf numFmtId="2" fontId="4" fillId="3" borderId="0" xfId="0" applyNumberFormat="1" applyFont="1" applyFill="1" applyAlignment="1"/>
    <xf numFmtId="0" fontId="4" fillId="3" borderId="0" xfId="0" applyNumberFormat="1" applyFont="1" applyFill="1" applyAlignment="1" applyProtection="1">
      <protection locked="0"/>
    </xf>
    <xf numFmtId="3" fontId="4" fillId="3" borderId="0" xfId="0" applyNumberFormat="1" applyFont="1" applyFill="1" applyAlignment="1"/>
    <xf numFmtId="1" fontId="75" fillId="3" borderId="0" xfId="0" applyNumberFormat="1" applyFont="1" applyFill="1" applyAlignment="1"/>
    <xf numFmtId="0" fontId="0" fillId="0" borderId="0" xfId="0" applyBorder="1"/>
    <xf numFmtId="2" fontId="0" fillId="0" borderId="72" xfId="0" applyNumberFormat="1" applyBorder="1"/>
    <xf numFmtId="0" fontId="56" fillId="3" borderId="0" xfId="0" applyNumberFormat="1" applyFont="1" applyFill="1" applyBorder="1" applyAlignment="1"/>
    <xf numFmtId="1" fontId="8" fillId="3" borderId="1" xfId="0" quotePrefix="1" applyNumberFormat="1" applyFont="1" applyFill="1" applyBorder="1" applyAlignment="1">
      <alignment horizontal="centerContinuous"/>
    </xf>
    <xf numFmtId="0" fontId="76" fillId="0" borderId="0" xfId="0" applyFont="1"/>
    <xf numFmtId="180" fontId="77" fillId="0" borderId="0" xfId="0" applyNumberFormat="1" applyFont="1" applyAlignment="1"/>
    <xf numFmtId="0" fontId="78" fillId="0" borderId="0" xfId="0" applyNumberFormat="1" applyFont="1" applyAlignment="1"/>
    <xf numFmtId="1" fontId="78" fillId="0" borderId="0" xfId="0" applyNumberFormat="1" applyFont="1" applyAlignment="1"/>
    <xf numFmtId="0" fontId="79" fillId="0" borderId="0" xfId="0" applyNumberFormat="1" applyFont="1" applyAlignment="1"/>
    <xf numFmtId="1" fontId="8" fillId="2" borderId="5" xfId="0" applyNumberFormat="1" applyFont="1" applyFill="1" applyBorder="1" applyAlignment="1"/>
    <xf numFmtId="1" fontId="36" fillId="2" borderId="4" xfId="0" applyNumberFormat="1" applyFont="1" applyFill="1" applyBorder="1" applyAlignment="1" applyProtection="1">
      <protection locked="0"/>
    </xf>
    <xf numFmtId="0" fontId="36" fillId="2" borderId="0" xfId="0" applyNumberFormat="1" applyFont="1" applyFill="1" applyBorder="1" applyAlignment="1">
      <alignment horizontal="centerContinuous"/>
    </xf>
    <xf numFmtId="0" fontId="36" fillId="2" borderId="4" xfId="0" applyNumberFormat="1" applyFont="1" applyFill="1" applyBorder="1" applyAlignment="1">
      <alignment horizontal="center"/>
    </xf>
    <xf numFmtId="1" fontId="36" fillId="2" borderId="0" xfId="0" applyNumberFormat="1" applyFont="1" applyFill="1" applyBorder="1" applyAlignment="1">
      <alignment horizontal="centerContinuous"/>
    </xf>
    <xf numFmtId="0" fontId="36" fillId="2" borderId="0" xfId="0" applyNumberFormat="1" applyFont="1" applyFill="1" applyBorder="1" applyAlignment="1"/>
    <xf numFmtId="0" fontId="36" fillId="2" borderId="57" xfId="0" applyNumberFormat="1" applyFont="1" applyFill="1" applyBorder="1" applyAlignment="1">
      <alignment horizontal="centerContinuous"/>
    </xf>
    <xf numFmtId="0" fontId="36" fillId="2" borderId="79" xfId="0" applyNumberFormat="1" applyFont="1" applyFill="1" applyBorder="1" applyAlignment="1">
      <alignment horizontal="centerContinuous"/>
    </xf>
    <xf numFmtId="0" fontId="36" fillId="2" borderId="61" xfId="0" applyNumberFormat="1" applyFont="1" applyFill="1" applyBorder="1" applyAlignment="1">
      <alignment horizontal="center"/>
    </xf>
    <xf numFmtId="0" fontId="36" fillId="2" borderId="80" xfId="0" applyNumberFormat="1" applyFont="1" applyFill="1" applyBorder="1" applyAlignment="1">
      <alignment horizontal="center"/>
    </xf>
    <xf numFmtId="1" fontId="36" fillId="2" borderId="61" xfId="0" applyNumberFormat="1" applyFont="1" applyFill="1" applyBorder="1" applyAlignment="1">
      <alignment horizontal="center"/>
    </xf>
    <xf numFmtId="1" fontId="36" fillId="2" borderId="80" xfId="0" applyNumberFormat="1" applyFont="1" applyFill="1" applyBorder="1" applyAlignment="1">
      <alignment horizontal="center"/>
    </xf>
    <xf numFmtId="1" fontId="36" fillId="2" borderId="81" xfId="0" applyNumberFormat="1" applyFont="1" applyFill="1" applyBorder="1" applyAlignment="1" applyProtection="1">
      <protection locked="0"/>
    </xf>
    <xf numFmtId="1" fontId="36" fillId="2" borderId="82" xfId="0" applyNumberFormat="1" applyFont="1" applyFill="1" applyBorder="1" applyAlignment="1" applyProtection="1">
      <protection locked="0"/>
    </xf>
    <xf numFmtId="1" fontId="36" fillId="2" borderId="61" xfId="0" applyNumberFormat="1" applyFont="1" applyFill="1" applyBorder="1" applyAlignment="1" applyProtection="1">
      <protection locked="0"/>
    </xf>
    <xf numFmtId="1" fontId="36" fillId="2" borderId="80" xfId="0" applyNumberFormat="1" applyFont="1" applyFill="1" applyBorder="1" applyAlignment="1" applyProtection="1">
      <protection locked="0"/>
    </xf>
    <xf numFmtId="1" fontId="36" fillId="2" borderId="83" xfId="0" applyNumberFormat="1" applyFont="1" applyFill="1" applyBorder="1" applyAlignment="1"/>
    <xf numFmtId="1" fontId="36" fillId="2" borderId="84" xfId="0" applyNumberFormat="1" applyFont="1" applyFill="1" applyBorder="1" applyAlignment="1"/>
    <xf numFmtId="1" fontId="36" fillId="2" borderId="85" xfId="0" applyNumberFormat="1" applyFont="1" applyFill="1" applyBorder="1" applyAlignment="1"/>
    <xf numFmtId="1" fontId="36" fillId="2" borderId="79" xfId="0" applyNumberFormat="1" applyFont="1" applyFill="1" applyBorder="1" applyAlignment="1">
      <alignment horizontal="centerContinuous"/>
    </xf>
    <xf numFmtId="0" fontId="36" fillId="2" borderId="86" xfId="0" applyNumberFormat="1" applyFont="1" applyFill="1" applyBorder="1" applyAlignment="1">
      <alignment horizontal="centerContinuous"/>
    </xf>
    <xf numFmtId="1" fontId="36" fillId="2" borderId="86" xfId="0" applyNumberFormat="1" applyFont="1" applyFill="1" applyBorder="1" applyAlignment="1">
      <alignment horizontal="centerContinuous"/>
    </xf>
    <xf numFmtId="0" fontId="33" fillId="2" borderId="0" xfId="0" applyNumberFormat="1" applyFont="1" applyFill="1" applyBorder="1" applyAlignment="1"/>
    <xf numFmtId="1" fontId="36" fillId="2" borderId="57" xfId="0" applyNumberFormat="1" applyFont="1" applyFill="1" applyBorder="1" applyAlignment="1">
      <alignment horizontal="centerContinuous"/>
    </xf>
    <xf numFmtId="0" fontId="13" fillId="23" borderId="87" xfId="0" applyFont="1" applyFill="1" applyBorder="1"/>
    <xf numFmtId="14" fontId="8" fillId="9" borderId="88" xfId="0" applyNumberFormat="1" applyFont="1" applyFill="1" applyBorder="1" applyAlignment="1">
      <alignment horizontal="center"/>
    </xf>
    <xf numFmtId="14" fontId="8" fillId="9" borderId="89" xfId="0" applyNumberFormat="1" applyFont="1" applyFill="1" applyBorder="1" applyAlignment="1">
      <alignment horizontal="center"/>
    </xf>
    <xf numFmtId="14" fontId="8" fillId="9" borderId="0" xfId="0" applyNumberFormat="1" applyFont="1" applyFill="1" applyAlignment="1"/>
    <xf numFmtId="0" fontId="6" fillId="2" borderId="0" xfId="0" applyNumberFormat="1" applyFont="1" applyFill="1" applyBorder="1" applyAlignment="1">
      <alignment horizontal="centerContinuous"/>
    </xf>
    <xf numFmtId="1" fontId="6" fillId="2" borderId="0" xfId="0" applyNumberFormat="1" applyFont="1" applyFill="1" applyBorder="1" applyAlignment="1">
      <alignment horizontal="centerContinuous"/>
    </xf>
    <xf numFmtId="164" fontId="18" fillId="2" borderId="67" xfId="0" applyNumberFormat="1" applyFont="1" applyFill="1" applyBorder="1" applyAlignment="1"/>
    <xf numFmtId="0" fontId="18" fillId="2" borderId="67" xfId="0" applyNumberFormat="1" applyFont="1" applyFill="1" applyBorder="1" applyAlignment="1"/>
    <xf numFmtId="2" fontId="36" fillId="2" borderId="90" xfId="0" applyNumberFormat="1" applyFont="1" applyFill="1" applyBorder="1" applyAlignment="1" applyProtection="1">
      <protection locked="0"/>
    </xf>
    <xf numFmtId="0" fontId="13" fillId="0" borderId="0" xfId="0" applyNumberFormat="1" applyFont="1" applyBorder="1" applyAlignment="1"/>
    <xf numFmtId="0" fontId="2" fillId="0" borderId="0" xfId="0" applyNumberFormat="1" applyFont="1" applyBorder="1" applyAlignment="1"/>
    <xf numFmtId="0" fontId="8" fillId="0" borderId="0" xfId="0" applyNumberFormat="1" applyFont="1" applyBorder="1" applyAlignment="1">
      <alignment horizontal="center" vertical="center"/>
    </xf>
    <xf numFmtId="0" fontId="2" fillId="0" borderId="0" xfId="0" applyNumberFormat="1" applyFont="1" applyBorder="1"/>
    <xf numFmtId="0" fontId="8" fillId="0" borderId="0" xfId="0" applyNumberFormat="1" applyFont="1" applyBorder="1" applyAlignment="1">
      <alignment horizontal="right" vertical="center"/>
    </xf>
    <xf numFmtId="0" fontId="8" fillId="0" borderId="0" xfId="0" applyNumberFormat="1" applyFont="1" applyBorder="1" applyAlignment="1">
      <alignment horizontal="left" vertical="center"/>
    </xf>
    <xf numFmtId="0" fontId="8" fillId="0" borderId="0" xfId="0" applyNumberFormat="1" applyFont="1" applyBorder="1" applyAlignment="1">
      <alignment horizontal="centerContinuous" vertical="center"/>
    </xf>
    <xf numFmtId="164" fontId="8" fillId="0" borderId="0" xfId="0" applyNumberFormat="1" applyFont="1" applyBorder="1" applyAlignment="1">
      <alignment horizontal="centerContinuous" vertical="center"/>
    </xf>
    <xf numFmtId="0" fontId="55" fillId="0" borderId="0" xfId="0" applyNumberFormat="1" applyFont="1" applyBorder="1" applyAlignment="1">
      <alignment vertical="center"/>
    </xf>
    <xf numFmtId="164" fontId="8" fillId="0" borderId="0" xfId="0" applyNumberFormat="1" applyFont="1" applyBorder="1" applyAlignment="1">
      <alignment horizontal="center" vertical="center"/>
    </xf>
    <xf numFmtId="0" fontId="13" fillId="0" borderId="0" xfId="0" applyNumberFormat="1" applyFont="1" applyBorder="1" applyAlignment="1">
      <alignment vertical="center"/>
    </xf>
    <xf numFmtId="0" fontId="13" fillId="0" borderId="0" xfId="0" applyNumberFormat="1" applyFont="1" applyBorder="1" applyAlignment="1">
      <alignment horizontal="centerContinuous" vertical="center"/>
    </xf>
    <xf numFmtId="0" fontId="13" fillId="0" borderId="0" xfId="0" applyNumberFormat="1" applyFont="1" applyBorder="1" applyAlignment="1">
      <alignment horizontal="center" vertical="center"/>
    </xf>
    <xf numFmtId="164" fontId="8" fillId="0" borderId="0" xfId="0" applyNumberFormat="1" applyFont="1" applyBorder="1" applyAlignment="1" applyProtection="1">
      <alignment horizontal="center" vertical="center"/>
      <protection locked="0"/>
    </xf>
    <xf numFmtId="1" fontId="8" fillId="15" borderId="0" xfId="0" applyNumberFormat="1" applyFont="1" applyFill="1" applyBorder="1" applyAlignment="1">
      <alignment horizontal="center"/>
    </xf>
    <xf numFmtId="165" fontId="8" fillId="15" borderId="0" xfId="0" applyNumberFormat="1" applyFont="1" applyFill="1" applyBorder="1" applyAlignment="1">
      <alignment horizontal="center"/>
    </xf>
    <xf numFmtId="2" fontId="8" fillId="15" borderId="0" xfId="0" applyNumberFormat="1" applyFont="1" applyFill="1" applyBorder="1" applyAlignment="1">
      <alignment horizontal="center"/>
    </xf>
    <xf numFmtId="1" fontId="8" fillId="0" borderId="0" xfId="0" applyNumberFormat="1" applyFont="1" applyBorder="1" applyAlignment="1" applyProtection="1">
      <alignment horizontal="center" vertical="center"/>
      <protection locked="0"/>
    </xf>
    <xf numFmtId="0" fontId="8" fillId="15" borderId="0" xfId="0" applyNumberFormat="1" applyFont="1" applyFill="1" applyBorder="1" applyAlignment="1">
      <alignment horizontal="center"/>
    </xf>
    <xf numFmtId="1" fontId="8" fillId="0" borderId="0" xfId="0" applyNumberFormat="1" applyFont="1" applyBorder="1" applyAlignment="1">
      <alignment horizontal="center" vertical="center"/>
    </xf>
    <xf numFmtId="3" fontId="8" fillId="0" borderId="0" xfId="0" applyNumberFormat="1" applyFont="1" applyBorder="1" applyAlignment="1">
      <alignment horizontal="center" vertical="center"/>
    </xf>
    <xf numFmtId="0" fontId="8" fillId="18" borderId="0" xfId="0" applyNumberFormat="1" applyFont="1" applyFill="1" applyBorder="1" applyAlignment="1">
      <alignment horizontal="center" vertical="center"/>
    </xf>
    <xf numFmtId="0" fontId="8" fillId="0" borderId="0" xfId="0" applyNumberFormat="1" applyFont="1" applyBorder="1" applyAlignment="1" applyProtection="1">
      <alignment horizontal="centerContinuous" vertical="center"/>
      <protection locked="0"/>
    </xf>
    <xf numFmtId="164" fontId="8" fillId="0" borderId="0" xfId="0" applyNumberFormat="1" applyFont="1" applyBorder="1" applyAlignment="1" applyProtection="1">
      <alignment horizontal="centerContinuous" vertical="center"/>
      <protection locked="0"/>
    </xf>
    <xf numFmtId="0" fontId="8" fillId="0" borderId="0" xfId="0" applyNumberFormat="1" applyFont="1" applyBorder="1" applyAlignment="1" applyProtection="1">
      <alignment vertical="center"/>
      <protection locked="0"/>
    </xf>
    <xf numFmtId="0" fontId="8" fillId="0" borderId="0" xfId="0" applyNumberFormat="1" applyFont="1" applyBorder="1" applyAlignment="1" applyProtection="1">
      <alignment horizontal="center" vertical="center"/>
      <protection locked="0"/>
    </xf>
    <xf numFmtId="0" fontId="8" fillId="18" borderId="0" xfId="0" applyNumberFormat="1" applyFont="1" applyFill="1" applyBorder="1" applyAlignment="1">
      <alignment vertical="center"/>
    </xf>
    <xf numFmtId="2" fontId="8" fillId="0" borderId="0" xfId="0" applyNumberFormat="1" applyFont="1" applyBorder="1" applyAlignment="1">
      <alignment horizontal="center" vertical="center"/>
    </xf>
    <xf numFmtId="170" fontId="8" fillId="15" borderId="0" xfId="0" applyNumberFormat="1" applyFont="1" applyFill="1" applyBorder="1" applyAlignment="1">
      <alignment horizontal="center"/>
    </xf>
    <xf numFmtId="169" fontId="8" fillId="15" borderId="0" xfId="0" applyNumberFormat="1" applyFont="1" applyFill="1" applyBorder="1" applyAlignment="1">
      <alignment horizontal="center"/>
    </xf>
    <xf numFmtId="171" fontId="8" fillId="0" borderId="0" xfId="0" applyNumberFormat="1" applyFont="1" applyBorder="1" applyAlignment="1">
      <alignment horizontal="center" vertical="center"/>
    </xf>
    <xf numFmtId="169" fontId="8" fillId="0" borderId="0" xfId="0" applyNumberFormat="1" applyFont="1" applyBorder="1" applyAlignment="1">
      <alignment horizontal="center" vertical="center"/>
    </xf>
    <xf numFmtId="170" fontId="8" fillId="0" borderId="0" xfId="0" applyNumberFormat="1" applyFont="1" applyBorder="1" applyAlignment="1">
      <alignment horizontal="center" vertical="center"/>
    </xf>
    <xf numFmtId="172" fontId="8" fillId="0" borderId="0" xfId="0" applyNumberFormat="1" applyFont="1" applyBorder="1" applyAlignment="1">
      <alignment horizontal="center" vertical="center"/>
    </xf>
    <xf numFmtId="0" fontId="8" fillId="18" borderId="0" xfId="0" applyNumberFormat="1" applyFont="1" applyFill="1" applyBorder="1" applyAlignment="1"/>
    <xf numFmtId="0" fontId="13" fillId="0" borderId="0" xfId="0" applyFont="1" applyBorder="1" applyAlignment="1">
      <alignment horizontal="center"/>
    </xf>
    <xf numFmtId="181" fontId="36" fillId="0" borderId="1" xfId="0" applyNumberFormat="1" applyFont="1" applyBorder="1" applyAlignment="1">
      <alignment horizontal="center" vertical="center"/>
    </xf>
    <xf numFmtId="181" fontId="36" fillId="0" borderId="91" xfId="0" applyNumberFormat="1" applyFont="1" applyBorder="1" applyAlignment="1">
      <alignment horizontal="center" vertical="center"/>
    </xf>
    <xf numFmtId="0" fontId="8" fillId="0" borderId="5" xfId="0" quotePrefix="1" applyNumberFormat="1" applyFont="1" applyBorder="1" applyAlignment="1">
      <alignment horizontal="centerContinuous"/>
    </xf>
    <xf numFmtId="1" fontId="45" fillId="3" borderId="72" xfId="0" applyNumberFormat="1" applyFont="1" applyFill="1" applyBorder="1" applyAlignment="1"/>
    <xf numFmtId="1" fontId="67" fillId="3" borderId="74" xfId="0" applyNumberFormat="1" applyFont="1" applyFill="1" applyBorder="1" applyAlignment="1"/>
    <xf numFmtId="1" fontId="67" fillId="3" borderId="74" xfId="0" applyNumberFormat="1" applyFont="1" applyFill="1" applyBorder="1" applyAlignment="1" applyProtection="1">
      <protection locked="0"/>
    </xf>
    <xf numFmtId="165" fontId="67" fillId="3" borderId="74" xfId="0" applyNumberFormat="1" applyFont="1" applyFill="1" applyBorder="1" applyAlignment="1" applyProtection="1">
      <protection locked="0"/>
    </xf>
    <xf numFmtId="165" fontId="67" fillId="3" borderId="73" xfId="0" applyNumberFormat="1" applyFont="1" applyFill="1" applyBorder="1" applyAlignment="1" applyProtection="1">
      <protection locked="0"/>
    </xf>
    <xf numFmtId="14" fontId="56" fillId="3" borderId="0" xfId="0" applyNumberFormat="1" applyFont="1" applyFill="1" applyAlignment="1"/>
    <xf numFmtId="0" fontId="67" fillId="3" borderId="73" xfId="0" applyNumberFormat="1" applyFont="1" applyFill="1" applyBorder="1" applyAlignment="1"/>
    <xf numFmtId="1" fontId="45" fillId="3" borderId="73" xfId="0" applyNumberFormat="1" applyFont="1" applyFill="1" applyBorder="1" applyAlignment="1"/>
    <xf numFmtId="1" fontId="67" fillId="3" borderId="73" xfId="0" applyNumberFormat="1" applyFont="1" applyFill="1" applyBorder="1" applyAlignment="1" applyProtection="1">
      <protection locked="0"/>
    </xf>
    <xf numFmtId="0" fontId="67" fillId="3" borderId="92" xfId="0" applyNumberFormat="1" applyFont="1" applyFill="1" applyBorder="1" applyAlignment="1">
      <alignment horizontal="center"/>
    </xf>
    <xf numFmtId="1" fontId="73" fillId="3" borderId="92" xfId="0" applyNumberFormat="1" applyFont="1" applyFill="1" applyBorder="1" applyAlignment="1">
      <alignment horizontal="center"/>
    </xf>
    <xf numFmtId="0" fontId="67" fillId="3" borderId="92" xfId="0" applyNumberFormat="1" applyFont="1" applyFill="1" applyBorder="1" applyAlignment="1" applyProtection="1">
      <alignment horizontal="center"/>
      <protection locked="0"/>
    </xf>
    <xf numFmtId="0" fontId="67" fillId="24" borderId="73" xfId="0" applyNumberFormat="1" applyFont="1" applyFill="1" applyBorder="1" applyAlignment="1"/>
    <xf numFmtId="165" fontId="73" fillId="24" borderId="73" xfId="0" applyNumberFormat="1" applyFont="1" applyFill="1" applyBorder="1" applyAlignment="1"/>
    <xf numFmtId="165" fontId="67" fillId="24" borderId="73" xfId="0" applyNumberFormat="1" applyFont="1" applyFill="1" applyBorder="1" applyAlignment="1"/>
    <xf numFmtId="1" fontId="73" fillId="24" borderId="73" xfId="0" applyNumberFormat="1" applyFont="1" applyFill="1" applyBorder="1" applyAlignment="1"/>
    <xf numFmtId="0" fontId="67" fillId="24" borderId="72" xfId="0" applyNumberFormat="1" applyFont="1" applyFill="1" applyBorder="1" applyAlignment="1"/>
    <xf numFmtId="165" fontId="73" fillId="24" borderId="72" xfId="0" applyNumberFormat="1" applyFont="1" applyFill="1" applyBorder="1" applyAlignment="1"/>
    <xf numFmtId="165" fontId="67" fillId="24" borderId="72" xfId="0" applyNumberFormat="1" applyFont="1" applyFill="1" applyBorder="1" applyAlignment="1"/>
    <xf numFmtId="1" fontId="73" fillId="24" borderId="72" xfId="0" applyNumberFormat="1" applyFont="1" applyFill="1" applyBorder="1" applyAlignment="1"/>
    <xf numFmtId="1" fontId="67" fillId="24" borderId="72" xfId="0" applyNumberFormat="1" applyFont="1" applyFill="1" applyBorder="1" applyAlignment="1"/>
    <xf numFmtId="1" fontId="45" fillId="24" borderId="72" xfId="0" applyNumberFormat="1" applyFont="1" applyFill="1" applyBorder="1" applyAlignment="1"/>
    <xf numFmtId="1" fontId="67" fillId="24" borderId="72" xfId="0" applyNumberFormat="1" applyFont="1" applyFill="1" applyBorder="1" applyAlignment="1" applyProtection="1">
      <protection locked="0"/>
    </xf>
    <xf numFmtId="165" fontId="67" fillId="24" borderId="74" xfId="0" applyNumberFormat="1" applyFont="1" applyFill="1" applyBorder="1" applyAlignment="1"/>
    <xf numFmtId="1" fontId="67" fillId="24" borderId="74" xfId="0" applyNumberFormat="1" applyFont="1" applyFill="1" applyBorder="1" applyAlignment="1"/>
    <xf numFmtId="1" fontId="45" fillId="24" borderId="74" xfId="0" applyNumberFormat="1" applyFont="1" applyFill="1" applyBorder="1" applyAlignment="1"/>
    <xf numFmtId="1" fontId="67" fillId="24" borderId="74" xfId="0" applyNumberFormat="1" applyFont="1" applyFill="1" applyBorder="1" applyAlignment="1" applyProtection="1">
      <protection locked="0"/>
    </xf>
    <xf numFmtId="3" fontId="67" fillId="24" borderId="74" xfId="0" applyNumberFormat="1" applyFont="1" applyFill="1" applyBorder="1" applyAlignment="1"/>
    <xf numFmtId="0" fontId="81" fillId="0" borderId="0" xfId="0" applyNumberFormat="1" applyFont="1" applyAlignment="1"/>
    <xf numFmtId="3" fontId="45" fillId="3" borderId="4" xfId="0" applyNumberFormat="1" applyFont="1" applyFill="1" applyBorder="1" applyAlignment="1"/>
    <xf numFmtId="3" fontId="45" fillId="3" borderId="1" xfId="0" applyNumberFormat="1" applyFont="1" applyFill="1" applyBorder="1" applyAlignment="1"/>
    <xf numFmtId="3" fontId="45" fillId="3" borderId="1" xfId="0" applyNumberFormat="1" applyFont="1" applyFill="1" applyBorder="1" applyAlignment="1" applyProtection="1">
      <protection locked="0"/>
    </xf>
    <xf numFmtId="3" fontId="8" fillId="3" borderId="93" xfId="0" applyNumberFormat="1" applyFont="1" applyFill="1" applyBorder="1" applyAlignment="1">
      <alignment horizontal="center"/>
    </xf>
    <xf numFmtId="3" fontId="8" fillId="3" borderId="3" xfId="0" applyNumberFormat="1" applyFont="1" applyFill="1" applyBorder="1" applyAlignment="1"/>
    <xf numFmtId="0" fontId="8" fillId="3" borderId="57" xfId="0" applyNumberFormat="1" applyFont="1" applyFill="1" applyBorder="1" applyAlignment="1"/>
    <xf numFmtId="0" fontId="13" fillId="3" borderId="57" xfId="0" applyNumberFormat="1" applyFont="1" applyFill="1" applyBorder="1" applyAlignment="1"/>
    <xf numFmtId="0" fontId="56" fillId="3" borderId="57" xfId="0" applyNumberFormat="1" applyFont="1" applyFill="1" applyBorder="1" applyAlignment="1"/>
    <xf numFmtId="0" fontId="8" fillId="3" borderId="94" xfId="0" applyNumberFormat="1" applyFont="1" applyFill="1" applyBorder="1" applyAlignment="1"/>
    <xf numFmtId="1" fontId="36" fillId="2" borderId="61" xfId="0" quotePrefix="1" applyNumberFormat="1" applyFont="1" applyFill="1" applyBorder="1" applyAlignment="1" applyProtection="1">
      <protection locked="0"/>
    </xf>
    <xf numFmtId="1" fontId="8" fillId="15" borderId="1" xfId="0" applyNumberFormat="1" applyFont="1" applyFill="1" applyBorder="1" applyAlignment="1">
      <alignment vertical="center"/>
    </xf>
    <xf numFmtId="165" fontId="8" fillId="15" borderId="1" xfId="0" applyNumberFormat="1" applyFont="1" applyFill="1" applyBorder="1" applyAlignment="1">
      <alignment vertical="center"/>
    </xf>
    <xf numFmtId="2" fontId="8" fillId="15" borderId="1" xfId="0" applyNumberFormat="1" applyFont="1" applyFill="1" applyBorder="1" applyAlignment="1">
      <alignment vertical="center"/>
    </xf>
    <xf numFmtId="0" fontId="67" fillId="3" borderId="0" xfId="0" applyNumberFormat="1" applyFont="1" applyFill="1" applyAlignment="1"/>
    <xf numFmtId="0" fontId="45" fillId="3" borderId="0" xfId="0" applyNumberFormat="1" applyFont="1" applyFill="1" applyAlignment="1"/>
    <xf numFmtId="1" fontId="67" fillId="24" borderId="73" xfId="0" applyNumberFormat="1" applyFont="1" applyFill="1" applyBorder="1" applyAlignment="1" applyProtection="1">
      <alignment horizontal="right"/>
      <protection locked="0"/>
    </xf>
    <xf numFmtId="4" fontId="0" fillId="0" borderId="72" xfId="0" applyNumberFormat="1" applyBorder="1"/>
    <xf numFmtId="2" fontId="67" fillId="3" borderId="75" xfId="0" applyNumberFormat="1" applyFont="1" applyFill="1" applyBorder="1" applyAlignment="1"/>
    <xf numFmtId="0" fontId="17" fillId="3" borderId="0" xfId="0" applyNumberFormat="1" applyFont="1" applyFill="1" applyBorder="1"/>
    <xf numFmtId="0" fontId="13" fillId="3" borderId="95" xfId="0" applyNumberFormat="1" applyFont="1" applyFill="1" applyBorder="1" applyAlignment="1"/>
    <xf numFmtId="0" fontId="17" fillId="3" borderId="96" xfId="0" applyNumberFormat="1" applyFont="1" applyFill="1" applyBorder="1"/>
    <xf numFmtId="0" fontId="13" fillId="3" borderId="97" xfId="0" applyNumberFormat="1" applyFont="1" applyFill="1" applyBorder="1" applyAlignment="1"/>
    <xf numFmtId="0" fontId="8" fillId="3" borderId="79" xfId="0" applyNumberFormat="1" applyFont="1" applyFill="1" applyBorder="1" applyAlignment="1"/>
    <xf numFmtId="165" fontId="8" fillId="3" borderId="0" xfId="0" applyNumberFormat="1" applyFont="1" applyFill="1" applyBorder="1" applyAlignment="1" applyProtection="1">
      <protection locked="0"/>
    </xf>
    <xf numFmtId="0" fontId="8" fillId="3" borderId="0" xfId="0" applyNumberFormat="1" applyFont="1" applyFill="1" applyBorder="1" applyAlignment="1" applyProtection="1">
      <protection locked="0"/>
    </xf>
    <xf numFmtId="1" fontId="8" fillId="3" borderId="0" xfId="0" applyNumberFormat="1" applyFont="1" applyFill="1" applyBorder="1" applyAlignment="1">
      <alignment horizontal="centerContinuous"/>
    </xf>
    <xf numFmtId="1" fontId="8" fillId="3" borderId="42" xfId="0" applyNumberFormat="1" applyFont="1" applyFill="1" applyBorder="1" applyAlignment="1">
      <alignment horizontal="centerContinuous"/>
    </xf>
    <xf numFmtId="1" fontId="8" fillId="3" borderId="98" xfId="0" applyNumberFormat="1" applyFont="1" applyFill="1" applyBorder="1" applyAlignment="1">
      <alignment horizontal="centerContinuous"/>
    </xf>
    <xf numFmtId="1" fontId="8" fillId="3" borderId="55" xfId="0" applyNumberFormat="1" applyFont="1" applyFill="1" applyBorder="1" applyAlignment="1">
      <alignment horizontal="centerContinuous"/>
    </xf>
    <xf numFmtId="1" fontId="8" fillId="3" borderId="43" xfId="0" applyNumberFormat="1" applyFont="1" applyFill="1" applyBorder="1" applyAlignment="1">
      <alignment horizontal="centerContinuous"/>
    </xf>
    <xf numFmtId="1" fontId="8" fillId="3" borderId="61" xfId="0" applyNumberFormat="1" applyFont="1" applyFill="1" applyBorder="1" applyAlignment="1">
      <alignment horizontal="center"/>
    </xf>
    <xf numFmtId="1" fontId="8" fillId="3" borderId="80" xfId="0" applyNumberFormat="1" applyFont="1" applyFill="1" applyBorder="1" applyAlignment="1">
      <alignment horizontal="center"/>
    </xf>
    <xf numFmtId="1" fontId="8" fillId="3" borderId="61" xfId="0" applyNumberFormat="1" applyFont="1" applyFill="1" applyBorder="1" applyAlignment="1" applyProtection="1">
      <alignment horizontal="center"/>
      <protection locked="0"/>
    </xf>
    <xf numFmtId="1" fontId="8" fillId="3" borderId="1" xfId="0" applyNumberFormat="1" applyFont="1" applyFill="1" applyBorder="1" applyAlignment="1" applyProtection="1">
      <alignment horizontal="center"/>
      <protection locked="0"/>
    </xf>
    <xf numFmtId="1" fontId="8" fillId="3" borderId="80" xfId="0" applyNumberFormat="1" applyFont="1" applyFill="1" applyBorder="1" applyAlignment="1" applyProtection="1">
      <alignment horizontal="center"/>
      <protection locked="0"/>
    </xf>
    <xf numFmtId="1" fontId="8" fillId="3" borderId="64" xfId="0" applyNumberFormat="1" applyFont="1" applyFill="1" applyBorder="1" applyAlignment="1" applyProtection="1">
      <alignment horizontal="center"/>
      <protection locked="0"/>
    </xf>
    <xf numFmtId="1" fontId="8" fillId="3" borderId="66" xfId="0" applyNumberFormat="1" applyFont="1" applyFill="1" applyBorder="1" applyAlignment="1" applyProtection="1">
      <alignment horizontal="center"/>
      <protection locked="0"/>
    </xf>
    <xf numFmtId="1" fontId="8" fillId="3" borderId="99" xfId="0" applyNumberFormat="1" applyFont="1" applyFill="1" applyBorder="1" applyAlignment="1" applyProtection="1">
      <alignment horizontal="center"/>
      <protection locked="0"/>
    </xf>
    <xf numFmtId="0" fontId="13" fillId="0" borderId="0" xfId="0" applyNumberFormat="1" applyFont="1" applyBorder="1"/>
    <xf numFmtId="0" fontId="33" fillId="0" borderId="0" xfId="0" applyNumberFormat="1" applyFont="1" applyBorder="1" applyAlignment="1"/>
    <xf numFmtId="0" fontId="13" fillId="0" borderId="0" xfId="0" applyNumberFormat="1" applyFont="1" applyFill="1" applyBorder="1"/>
    <xf numFmtId="0" fontId="33" fillId="0" borderId="0" xfId="0" applyNumberFormat="1" applyFont="1" applyFill="1" applyBorder="1" applyAlignment="1"/>
    <xf numFmtId="0" fontId="6" fillId="2" borderId="61" xfId="0" applyNumberFormat="1" applyFont="1" applyFill="1" applyBorder="1" applyAlignment="1">
      <alignment horizontal="centerContinuous"/>
    </xf>
    <xf numFmtId="0" fontId="1" fillId="0" borderId="1" xfId="0" applyNumberFormat="1" applyFont="1" applyBorder="1" applyAlignment="1">
      <alignment horizontal="centerContinuous"/>
    </xf>
    <xf numFmtId="0" fontId="1" fillId="0" borderId="1" xfId="0" applyNumberFormat="1" applyFont="1" applyBorder="1" applyAlignment="1"/>
    <xf numFmtId="1" fontId="20" fillId="2" borderId="64" xfId="0" applyNumberFormat="1" applyFont="1" applyFill="1" applyBorder="1" applyAlignment="1">
      <alignment horizontal="center"/>
    </xf>
    <xf numFmtId="0" fontId="1" fillId="0" borderId="66" xfId="0" applyNumberFormat="1" applyFont="1" applyBorder="1" applyAlignment="1">
      <alignment horizontal="center"/>
    </xf>
    <xf numFmtId="0" fontId="31" fillId="0" borderId="101" xfId="0" applyNumberFormat="1" applyFont="1" applyBorder="1" applyAlignment="1" applyProtection="1">
      <alignment horizontal="center"/>
      <protection locked="0"/>
    </xf>
    <xf numFmtId="0" fontId="31" fillId="0" borderId="5" xfId="0" applyNumberFormat="1" applyFont="1" applyBorder="1" applyAlignment="1" applyProtection="1">
      <alignment horizontal="center"/>
      <protection locked="0"/>
    </xf>
    <xf numFmtId="0" fontId="31" fillId="0" borderId="8" xfId="0" applyNumberFormat="1" applyFont="1" applyBorder="1" applyAlignment="1" applyProtection="1">
      <alignment horizontal="center"/>
      <protection locked="0"/>
    </xf>
    <xf numFmtId="0" fontId="82" fillId="0" borderId="57" xfId="0" applyNumberFormat="1" applyFont="1" applyBorder="1" applyAlignment="1">
      <alignment horizontal="center"/>
    </xf>
    <xf numFmtId="0" fontId="82" fillId="0" borderId="3" xfId="0" applyNumberFormat="1" applyFont="1" applyBorder="1" applyAlignment="1">
      <alignment horizontal="center"/>
    </xf>
    <xf numFmtId="0" fontId="82" fillId="0" borderId="61" xfId="0" applyNumberFormat="1" applyFont="1" applyBorder="1" applyAlignment="1">
      <alignment horizontal="center"/>
    </xf>
    <xf numFmtId="0" fontId="82" fillId="0" borderId="1" xfId="0" applyNumberFormat="1" applyFont="1" applyBorder="1" applyAlignment="1">
      <alignment horizontal="center"/>
    </xf>
    <xf numFmtId="0" fontId="37" fillId="2" borderId="61" xfId="0" applyNumberFormat="1" applyFont="1" applyFill="1" applyBorder="1" applyAlignment="1">
      <alignment horizontal="center"/>
    </xf>
    <xf numFmtId="0" fontId="8" fillId="9" borderId="0" xfId="0" applyNumberFormat="1" applyFont="1" applyFill="1" applyBorder="1" applyAlignment="1">
      <alignment vertical="center"/>
    </xf>
    <xf numFmtId="0" fontId="8" fillId="9" borderId="40" xfId="0" applyNumberFormat="1" applyFont="1" applyFill="1" applyBorder="1" applyAlignment="1">
      <alignment vertical="center"/>
    </xf>
    <xf numFmtId="3" fontId="33" fillId="0" borderId="102" xfId="0" applyNumberFormat="1" applyFont="1" applyBorder="1" applyAlignment="1" applyProtection="1">
      <protection locked="0"/>
    </xf>
    <xf numFmtId="2" fontId="8" fillId="0" borderId="3" xfId="0" applyNumberFormat="1" applyFont="1" applyBorder="1" applyAlignment="1">
      <alignment horizontal="centerContinuous" vertical="center"/>
    </xf>
    <xf numFmtId="1" fontId="67" fillId="24" borderId="73" xfId="0" applyNumberFormat="1" applyFont="1" applyFill="1" applyBorder="1" applyAlignment="1"/>
    <xf numFmtId="3" fontId="67" fillId="24" borderId="73" xfId="0" applyNumberFormat="1" applyFont="1" applyFill="1" applyBorder="1" applyAlignment="1"/>
    <xf numFmtId="4" fontId="8" fillId="5" borderId="4" xfId="0" applyNumberFormat="1" applyFont="1" applyFill="1" applyBorder="1" applyAlignment="1">
      <alignment vertical="center"/>
    </xf>
    <xf numFmtId="4" fontId="8" fillId="5" borderId="103" xfId="0" applyNumberFormat="1" applyFont="1" applyFill="1" applyBorder="1" applyAlignment="1">
      <alignment vertical="center"/>
    </xf>
    <xf numFmtId="4" fontId="8" fillId="5" borderId="104" xfId="0" applyNumberFormat="1" applyFont="1" applyFill="1" applyBorder="1" applyAlignment="1">
      <alignment vertical="center"/>
    </xf>
    <xf numFmtId="4" fontId="8" fillId="5" borderId="3" xfId="0" applyNumberFormat="1" applyFont="1" applyFill="1" applyBorder="1" applyAlignment="1">
      <alignment vertical="center"/>
    </xf>
    <xf numFmtId="4" fontId="8" fillId="5" borderId="75" xfId="0" applyNumberFormat="1" applyFont="1" applyFill="1" applyBorder="1" applyAlignment="1">
      <alignment vertical="center"/>
    </xf>
    <xf numFmtId="4" fontId="8" fillId="5" borderId="105" xfId="0" applyNumberFormat="1" applyFont="1" applyFill="1" applyBorder="1" applyAlignment="1">
      <alignment vertical="center"/>
    </xf>
    <xf numFmtId="4" fontId="8" fillId="5" borderId="106" xfId="0" applyNumberFormat="1" applyFont="1" applyFill="1" applyBorder="1" applyAlignment="1">
      <alignment vertical="center"/>
    </xf>
    <xf numFmtId="4" fontId="8" fillId="5" borderId="107" xfId="0" applyNumberFormat="1" applyFont="1" applyFill="1" applyBorder="1" applyAlignment="1">
      <alignment vertical="center"/>
    </xf>
    <xf numFmtId="4" fontId="8" fillId="5" borderId="108" xfId="0" applyNumberFormat="1" applyFont="1" applyFill="1" applyBorder="1" applyAlignment="1">
      <alignment vertical="center"/>
    </xf>
    <xf numFmtId="4" fontId="8" fillId="5" borderId="109" xfId="0" applyNumberFormat="1" applyFont="1" applyFill="1" applyBorder="1" applyAlignment="1">
      <alignment vertical="center"/>
    </xf>
    <xf numFmtId="4" fontId="8" fillId="5" borderId="110" xfId="0" applyNumberFormat="1" applyFont="1" applyFill="1" applyBorder="1" applyAlignment="1">
      <alignment vertical="center"/>
    </xf>
    <xf numFmtId="4" fontId="8" fillId="5" borderId="111" xfId="0" applyNumberFormat="1" applyFont="1" applyFill="1" applyBorder="1" applyAlignment="1">
      <alignment vertical="center"/>
    </xf>
    <xf numFmtId="4" fontId="8" fillId="5" borderId="5" xfId="0" applyNumberFormat="1" applyFont="1" applyFill="1" applyBorder="1" applyAlignment="1">
      <alignment vertical="center"/>
    </xf>
    <xf numFmtId="4" fontId="8" fillId="5" borderId="112" xfId="0" applyNumberFormat="1" applyFont="1" applyFill="1" applyBorder="1" applyAlignment="1">
      <alignment vertical="center"/>
    </xf>
    <xf numFmtId="4" fontId="8" fillId="5" borderId="113" xfId="0" applyNumberFormat="1" applyFont="1" applyFill="1" applyBorder="1" applyAlignment="1">
      <alignment vertical="center"/>
    </xf>
    <xf numFmtId="4" fontId="8" fillId="5" borderId="92" xfId="0" applyNumberFormat="1" applyFont="1" applyFill="1" applyBorder="1" applyAlignment="1">
      <alignment vertical="center"/>
    </xf>
    <xf numFmtId="4" fontId="8" fillId="5" borderId="114" xfId="0" applyNumberFormat="1" applyFont="1" applyFill="1" applyBorder="1" applyAlignment="1">
      <alignment vertical="center"/>
    </xf>
    <xf numFmtId="4" fontId="8" fillId="5" borderId="115" xfId="0" applyNumberFormat="1" applyFont="1" applyFill="1" applyBorder="1" applyAlignment="1">
      <alignment vertical="center"/>
    </xf>
    <xf numFmtId="4" fontId="8" fillId="5" borderId="116" xfId="0" applyNumberFormat="1" applyFont="1" applyFill="1" applyBorder="1" applyAlignment="1">
      <alignment vertical="center"/>
    </xf>
    <xf numFmtId="4" fontId="8" fillId="5" borderId="117" xfId="0" applyNumberFormat="1" applyFont="1" applyFill="1" applyBorder="1" applyAlignment="1">
      <alignment vertical="center"/>
    </xf>
    <xf numFmtId="0" fontId="33" fillId="0" borderId="11" xfId="0" applyNumberFormat="1" applyFont="1" applyBorder="1" applyAlignment="1">
      <alignment vertical="center"/>
    </xf>
    <xf numFmtId="0" fontId="33" fillId="0" borderId="6" xfId="0" applyNumberFormat="1" applyFont="1" applyBorder="1" applyAlignment="1">
      <alignment vertical="center"/>
    </xf>
    <xf numFmtId="1" fontId="34" fillId="0" borderId="118" xfId="0" applyNumberFormat="1" applyFont="1" applyBorder="1" applyAlignment="1">
      <alignment horizontal="centerContinuous" vertical="center"/>
    </xf>
    <xf numFmtId="0" fontId="33" fillId="0" borderId="4" xfId="0" applyNumberFormat="1" applyFont="1" applyBorder="1" applyAlignment="1">
      <alignment vertical="center"/>
    </xf>
    <xf numFmtId="0" fontId="33" fillId="0" borderId="1" xfId="0" applyNumberFormat="1" applyFont="1" applyBorder="1" applyAlignment="1">
      <alignment vertical="center"/>
    </xf>
    <xf numFmtId="1" fontId="34" fillId="0" borderId="119" xfId="0" applyNumberFormat="1" applyFont="1" applyBorder="1" applyAlignment="1">
      <alignment horizontal="centerContinuous" vertical="center"/>
    </xf>
    <xf numFmtId="0" fontId="33" fillId="0" borderId="4" xfId="0" quotePrefix="1" applyNumberFormat="1" applyFont="1" applyBorder="1" applyAlignment="1">
      <alignment horizontal="centerContinuous" vertical="center" wrapText="1"/>
    </xf>
    <xf numFmtId="0" fontId="33" fillId="0" borderId="4" xfId="0" applyNumberFormat="1" applyFont="1" applyBorder="1" applyAlignment="1">
      <alignment horizontal="centerContinuous" vertical="center" wrapText="1"/>
    </xf>
    <xf numFmtId="0" fontId="33" fillId="0" borderId="1" xfId="0" applyNumberFormat="1" applyFont="1" applyBorder="1" applyAlignment="1">
      <alignment horizontal="left" vertical="center"/>
    </xf>
    <xf numFmtId="0" fontId="33" fillId="0" borderId="120" xfId="0" applyNumberFormat="1" applyFont="1" applyBorder="1" applyAlignment="1">
      <alignment vertical="center"/>
    </xf>
    <xf numFmtId="1" fontId="34" fillId="0" borderId="72" xfId="0" applyNumberFormat="1" applyFont="1" applyBorder="1" applyAlignment="1">
      <alignment horizontal="centerContinuous" vertical="center"/>
    </xf>
    <xf numFmtId="165" fontId="13" fillId="3" borderId="1" xfId="0" applyNumberFormat="1" applyFont="1" applyFill="1" applyBorder="1" applyAlignment="1" applyProtection="1">
      <protection locked="0"/>
    </xf>
    <xf numFmtId="1" fontId="13" fillId="3" borderId="1" xfId="0" applyNumberFormat="1" applyFont="1" applyFill="1" applyBorder="1" applyAlignment="1" applyProtection="1">
      <protection locked="0"/>
    </xf>
    <xf numFmtId="1" fontId="13" fillId="3" borderId="1" xfId="0" applyNumberFormat="1" applyFont="1" applyFill="1" applyBorder="1" applyAlignment="1"/>
    <xf numFmtId="165" fontId="13" fillId="3" borderId="1" xfId="0" applyNumberFormat="1" applyFont="1" applyFill="1" applyBorder="1" applyAlignment="1"/>
    <xf numFmtId="3" fontId="13" fillId="3" borderId="8" xfId="0" applyNumberFormat="1" applyFont="1" applyFill="1" applyBorder="1" applyAlignment="1" applyProtection="1">
      <protection locked="0"/>
    </xf>
    <xf numFmtId="3" fontId="13" fillId="3" borderId="1" xfId="0" applyNumberFormat="1" applyFont="1" applyFill="1" applyBorder="1" applyAlignment="1" applyProtection="1">
      <protection locked="0"/>
    </xf>
    <xf numFmtId="165" fontId="13" fillId="3" borderId="8" xfId="0" applyNumberFormat="1" applyFont="1" applyFill="1" applyBorder="1" applyAlignment="1" applyProtection="1">
      <protection locked="0"/>
    </xf>
    <xf numFmtId="2" fontId="13" fillId="3" borderId="1" xfId="0" applyNumberFormat="1" applyFont="1" applyFill="1" applyBorder="1" applyAlignment="1" applyProtection="1">
      <protection locked="0"/>
    </xf>
    <xf numFmtId="1" fontId="13" fillId="3" borderId="8" xfId="0" applyNumberFormat="1" applyFont="1" applyFill="1" applyBorder="1" applyAlignment="1"/>
    <xf numFmtId="9" fontId="13" fillId="3" borderId="1" xfId="0" applyNumberFormat="1" applyFont="1" applyFill="1" applyBorder="1" applyAlignment="1"/>
    <xf numFmtId="2" fontId="13" fillId="3" borderId="1" xfId="0" applyNumberFormat="1" applyFont="1" applyFill="1" applyBorder="1" applyAlignment="1"/>
    <xf numFmtId="165" fontId="13" fillId="3" borderId="1" xfId="0" applyNumberFormat="1" applyFont="1" applyFill="1" applyBorder="1" applyAlignment="1">
      <alignment horizontal="center"/>
    </xf>
    <xf numFmtId="3" fontId="13" fillId="3" borderId="8" xfId="0" applyNumberFormat="1" applyFont="1" applyFill="1" applyBorder="1" applyAlignment="1"/>
    <xf numFmtId="3" fontId="13" fillId="3" borderId="1" xfId="0" applyNumberFormat="1" applyFont="1" applyFill="1" applyBorder="1" applyAlignment="1"/>
    <xf numFmtId="165" fontId="13" fillId="3" borderId="8" xfId="0" applyNumberFormat="1" applyFont="1" applyFill="1" applyBorder="1" applyAlignment="1"/>
    <xf numFmtId="1" fontId="13" fillId="3" borderId="1" xfId="0" applyNumberFormat="1" applyFont="1" applyFill="1" applyBorder="1" applyAlignment="1">
      <alignment horizontal="center"/>
    </xf>
    <xf numFmtId="0" fontId="13" fillId="3" borderId="1" xfId="0" applyNumberFormat="1" applyFont="1" applyFill="1" applyBorder="1" applyAlignment="1">
      <alignment horizontal="center"/>
    </xf>
    <xf numFmtId="2" fontId="13" fillId="3" borderId="8" xfId="0" applyNumberFormat="1" applyFont="1" applyFill="1" applyBorder="1" applyAlignment="1"/>
    <xf numFmtId="1" fontId="2" fillId="3" borderId="0" xfId="0" applyNumberFormat="1" applyFont="1" applyFill="1" applyAlignment="1"/>
    <xf numFmtId="0" fontId="33" fillId="0" borderId="11" xfId="0" quotePrefix="1" applyNumberFormat="1" applyFont="1" applyBorder="1" applyAlignment="1">
      <alignment horizontal="centerContinuous" vertical="center" wrapText="1"/>
    </xf>
    <xf numFmtId="0" fontId="33" fillId="0" borderId="11" xfId="0" applyNumberFormat="1" applyFont="1" applyBorder="1" applyAlignment="1">
      <alignment horizontal="centerContinuous" vertical="center" wrapText="1"/>
    </xf>
    <xf numFmtId="0" fontId="43" fillId="0" borderId="4" xfId="0" applyNumberFormat="1" applyFont="1" applyBorder="1" applyAlignment="1">
      <alignment horizontal="centerContinuous" vertical="center" wrapText="1"/>
    </xf>
    <xf numFmtId="0" fontId="33" fillId="0" borderId="77" xfId="0" quotePrefix="1" applyNumberFormat="1" applyFont="1" applyBorder="1" applyAlignment="1">
      <alignment horizontal="centerContinuous" vertical="center" wrapText="1"/>
    </xf>
    <xf numFmtId="0" fontId="33" fillId="0" borderId="59" xfId="0" applyNumberFormat="1" applyFont="1" applyBorder="1" applyAlignment="1">
      <alignment horizontal="centerContinuous" vertical="center" wrapText="1"/>
    </xf>
    <xf numFmtId="0" fontId="33" fillId="0" borderId="109" xfId="0" applyNumberFormat="1" applyFont="1" applyBorder="1" applyAlignment="1">
      <alignment horizontal="centerContinuous" vertical="center" wrapText="1"/>
    </xf>
    <xf numFmtId="0" fontId="33" fillId="0" borderId="62" xfId="0" applyNumberFormat="1" applyFont="1" applyBorder="1" applyAlignment="1">
      <alignment horizontal="centerContinuous" vertical="center" wrapText="1"/>
    </xf>
    <xf numFmtId="0" fontId="33" fillId="0" borderId="121" xfId="0" applyNumberFormat="1" applyFont="1" applyBorder="1" applyAlignment="1">
      <alignment horizontal="centerContinuous" vertical="center" wrapText="1"/>
    </xf>
    <xf numFmtId="1" fontId="37" fillId="2" borderId="0" xfId="0" applyNumberFormat="1" applyFont="1" applyFill="1" applyBorder="1" applyAlignment="1"/>
    <xf numFmtId="0" fontId="37" fillId="2" borderId="0" xfId="0" applyNumberFormat="1" applyFont="1" applyFill="1" applyBorder="1" applyAlignment="1"/>
    <xf numFmtId="0" fontId="31" fillId="2" borderId="0" xfId="0" applyNumberFormat="1" applyFont="1" applyFill="1" applyBorder="1" applyAlignment="1"/>
    <xf numFmtId="1" fontId="39" fillId="2" borderId="0" xfId="0" applyNumberFormat="1" applyFont="1" applyFill="1" applyBorder="1" applyAlignment="1" applyProtection="1">
      <protection locked="0"/>
    </xf>
    <xf numFmtId="1" fontId="40" fillId="2" borderId="0" xfId="0" applyNumberFormat="1" applyFont="1" applyFill="1" applyBorder="1" applyAlignment="1" applyProtection="1">
      <protection locked="0"/>
    </xf>
    <xf numFmtId="0" fontId="8" fillId="3" borderId="72" xfId="0" applyNumberFormat="1" applyFont="1" applyFill="1" applyBorder="1" applyAlignment="1">
      <alignment horizontal="centerContinuous"/>
    </xf>
    <xf numFmtId="0" fontId="8" fillId="3" borderId="122" xfId="0" applyNumberFormat="1" applyFont="1" applyFill="1" applyBorder="1" applyAlignment="1">
      <alignment horizontal="centerContinuous"/>
    </xf>
    <xf numFmtId="0" fontId="33" fillId="0" borderId="123" xfId="0" applyNumberFormat="1" applyFont="1" applyBorder="1" applyAlignment="1">
      <alignment vertical="center"/>
    </xf>
    <xf numFmtId="2" fontId="8" fillId="6" borderId="5" xfId="0" applyNumberFormat="1" applyFont="1" applyFill="1" applyBorder="1" applyAlignment="1"/>
    <xf numFmtId="0" fontId="8" fillId="0" borderId="8" xfId="0" applyNumberFormat="1" applyFont="1" applyFill="1" applyBorder="1" applyAlignment="1"/>
    <xf numFmtId="0" fontId="8" fillId="0" borderId="4" xfId="0" applyNumberFormat="1" applyFont="1" applyFill="1" applyBorder="1" applyAlignment="1"/>
    <xf numFmtId="3" fontId="8" fillId="0" borderId="4" xfId="0" applyNumberFormat="1" applyFont="1" applyFill="1" applyBorder="1" applyAlignment="1"/>
    <xf numFmtId="3" fontId="8" fillId="0" borderId="1" xfId="0" applyNumberFormat="1" applyFont="1" applyFill="1" applyBorder="1" applyAlignment="1"/>
    <xf numFmtId="3" fontId="8" fillId="0" borderId="8" xfId="0" applyNumberFormat="1" applyFont="1" applyFill="1" applyBorder="1" applyAlignment="1"/>
    <xf numFmtId="2" fontId="8" fillId="6" borderId="5" xfId="0" applyNumberFormat="1" applyFont="1" applyFill="1" applyBorder="1" applyAlignment="1">
      <alignment vertical="center"/>
    </xf>
    <xf numFmtId="0" fontId="84" fillId="0" borderId="0" xfId="0" applyNumberFormat="1" applyFont="1" applyAlignment="1"/>
    <xf numFmtId="186" fontId="33" fillId="0" borderId="0" xfId="0" applyNumberFormat="1" applyFont="1" applyAlignment="1"/>
    <xf numFmtId="1" fontId="36" fillId="0" borderId="16" xfId="0" applyNumberFormat="1" applyFont="1" applyFill="1" applyBorder="1" applyAlignment="1" applyProtection="1">
      <protection locked="0"/>
    </xf>
    <xf numFmtId="14" fontId="85" fillId="0" borderId="0" xfId="0" applyNumberFormat="1" applyFont="1" applyAlignment="1"/>
    <xf numFmtId="0" fontId="8" fillId="3" borderId="91" xfId="0" applyNumberFormat="1" applyFont="1" applyFill="1" applyBorder="1" applyAlignment="1">
      <alignment horizontal="centerContinuous"/>
    </xf>
    <xf numFmtId="0" fontId="62" fillId="0" borderId="0" xfId="0" applyFont="1" applyAlignment="1">
      <alignment horizontal="center" vertical="center"/>
    </xf>
    <xf numFmtId="1" fontId="33" fillId="0" borderId="124" xfId="0" applyNumberFormat="1" applyFont="1" applyBorder="1" applyAlignment="1" applyProtection="1">
      <protection locked="0"/>
    </xf>
    <xf numFmtId="1" fontId="33" fillId="0" borderId="30" xfId="0" applyNumberFormat="1" applyFont="1" applyBorder="1" applyAlignment="1" applyProtection="1">
      <protection locked="0"/>
    </xf>
    <xf numFmtId="1" fontId="33" fillId="0" borderId="125" xfId="0" applyNumberFormat="1" applyFont="1" applyBorder="1" applyAlignment="1" applyProtection="1">
      <protection locked="0"/>
    </xf>
    <xf numFmtId="0" fontId="6" fillId="2" borderId="7" xfId="0" applyNumberFormat="1" applyFont="1" applyFill="1" applyBorder="1" applyAlignment="1">
      <alignment horizontal="center"/>
    </xf>
    <xf numFmtId="0" fontId="6" fillId="2" borderId="0" xfId="0" applyNumberFormat="1" applyFont="1" applyFill="1" applyBorder="1" applyAlignment="1">
      <alignment horizontal="center"/>
    </xf>
    <xf numFmtId="0" fontId="21" fillId="2" borderId="0" xfId="0" applyNumberFormat="1" applyFont="1" applyFill="1" applyBorder="1" applyAlignment="1">
      <alignment horizontal="center"/>
    </xf>
    <xf numFmtId="0" fontId="6" fillId="2" borderId="4" xfId="0" applyNumberFormat="1" applyFont="1" applyFill="1" applyBorder="1" applyAlignment="1">
      <alignment horizontal="center"/>
    </xf>
    <xf numFmtId="0" fontId="87" fillId="0" borderId="7" xfId="0" applyNumberFormat="1" applyFont="1" applyBorder="1" applyAlignment="1"/>
    <xf numFmtId="0" fontId="87" fillId="0" borderId="0" xfId="0" applyNumberFormat="1" applyFont="1" applyAlignment="1"/>
    <xf numFmtId="0" fontId="31" fillId="2" borderId="0" xfId="0" applyNumberFormat="1" applyFont="1" applyFill="1" applyBorder="1" applyAlignment="1">
      <alignment horizontal="centerContinuous"/>
    </xf>
    <xf numFmtId="1" fontId="31" fillId="2" borderId="0" xfId="0" applyNumberFormat="1" applyFont="1" applyFill="1" applyBorder="1" applyAlignment="1">
      <alignment horizontal="centerContinuous"/>
    </xf>
    <xf numFmtId="0" fontId="88" fillId="0" borderId="126" xfId="0" applyNumberFormat="1" applyFont="1" applyFill="1" applyBorder="1" applyAlignment="1"/>
    <xf numFmtId="0" fontId="77" fillId="0" borderId="72" xfId="0" applyNumberFormat="1" applyFont="1" applyFill="1" applyBorder="1" applyAlignment="1" applyProtection="1">
      <protection locked="0"/>
    </xf>
    <xf numFmtId="0" fontId="77" fillId="0" borderId="126" xfId="0" applyNumberFormat="1" applyFont="1" applyFill="1" applyBorder="1" applyAlignment="1" applyProtection="1">
      <protection locked="0"/>
    </xf>
    <xf numFmtId="0" fontId="88" fillId="0" borderId="126" xfId="0" applyNumberFormat="1" applyFont="1" applyFill="1" applyBorder="1" applyAlignment="1">
      <alignment horizontal="left"/>
    </xf>
    <xf numFmtId="1" fontId="77" fillId="0" borderId="77" xfId="0" applyNumberFormat="1" applyFont="1" applyFill="1" applyBorder="1" applyAlignment="1" applyProtection="1">
      <protection locked="0"/>
    </xf>
    <xf numFmtId="1" fontId="77" fillId="0" borderId="126" xfId="0" applyNumberFormat="1" applyFont="1" applyFill="1" applyBorder="1" applyAlignment="1" applyProtection="1">
      <protection locked="0"/>
    </xf>
    <xf numFmtId="1" fontId="77" fillId="0" borderId="72" xfId="0" applyNumberFormat="1" applyFont="1" applyFill="1" applyBorder="1" applyAlignment="1" applyProtection="1">
      <protection locked="0"/>
    </xf>
    <xf numFmtId="0" fontId="89" fillId="0" borderId="127" xfId="0" applyNumberFormat="1" applyFont="1" applyFill="1" applyBorder="1"/>
    <xf numFmtId="0" fontId="77" fillId="0" borderId="128" xfId="0" applyNumberFormat="1" applyFont="1" applyFill="1" applyBorder="1" applyAlignment="1" applyProtection="1">
      <protection locked="0"/>
    </xf>
    <xf numFmtId="0" fontId="89" fillId="0" borderId="0" xfId="0" applyNumberFormat="1" applyFont="1" applyFill="1" applyBorder="1"/>
    <xf numFmtId="0" fontId="77" fillId="0" borderId="0" xfId="0" applyNumberFormat="1" applyFont="1" applyFill="1" applyBorder="1" applyAlignment="1" applyProtection="1">
      <protection locked="0"/>
    </xf>
    <xf numFmtId="0" fontId="88" fillId="0" borderId="0" xfId="0" applyNumberFormat="1" applyFont="1" applyFill="1" applyBorder="1" applyAlignment="1"/>
    <xf numFmtId="0" fontId="89" fillId="0" borderId="0" xfId="0" applyNumberFormat="1" applyFont="1" applyFill="1" applyBorder="1" applyAlignment="1"/>
    <xf numFmtId="0" fontId="89" fillId="0" borderId="93" xfId="0" applyNumberFormat="1" applyFont="1" applyFill="1" applyBorder="1" applyAlignment="1"/>
    <xf numFmtId="0" fontId="21" fillId="2" borderId="0" xfId="0" applyNumberFormat="1" applyFont="1" applyFill="1" applyAlignment="1">
      <alignment wrapText="1"/>
    </xf>
    <xf numFmtId="0" fontId="21" fillId="2" borderId="129" xfId="0" applyNumberFormat="1" applyFont="1" applyFill="1" applyBorder="1" applyAlignment="1">
      <alignment horizontal="center" wrapText="1"/>
    </xf>
    <xf numFmtId="0" fontId="23" fillId="2" borderId="130" xfId="0" applyNumberFormat="1" applyFont="1" applyFill="1" applyBorder="1" applyAlignment="1">
      <alignment wrapText="1"/>
    </xf>
    <xf numFmtId="0" fontId="90" fillId="0" borderId="130" xfId="0" applyNumberFormat="1" applyFont="1" applyBorder="1" applyAlignment="1">
      <alignment wrapText="1"/>
    </xf>
    <xf numFmtId="165" fontId="23" fillId="2" borderId="130" xfId="0" applyNumberFormat="1" applyFont="1" applyFill="1" applyBorder="1" applyAlignment="1">
      <alignment wrapText="1"/>
    </xf>
    <xf numFmtId="1" fontId="23" fillId="2" borderId="130" xfId="0" applyNumberFormat="1" applyFont="1" applyFill="1" applyBorder="1" applyAlignment="1">
      <alignment wrapText="1"/>
    </xf>
    <xf numFmtId="2" fontId="23" fillId="2" borderId="130" xfId="0" applyNumberFormat="1" applyFont="1" applyFill="1" applyBorder="1" applyAlignment="1">
      <alignment wrapText="1"/>
    </xf>
    <xf numFmtId="170" fontId="23" fillId="2" borderId="130" xfId="0" applyNumberFormat="1" applyFont="1" applyFill="1" applyBorder="1" applyAlignment="1">
      <alignment wrapText="1"/>
    </xf>
    <xf numFmtId="0" fontId="90" fillId="0" borderId="131" xfId="0" applyNumberFormat="1" applyFont="1" applyBorder="1" applyAlignment="1">
      <alignment wrapText="1"/>
    </xf>
    <xf numFmtId="0" fontId="90" fillId="0" borderId="0" xfId="0" applyNumberFormat="1" applyFont="1" applyFill="1" applyBorder="1" applyAlignment="1">
      <alignment wrapText="1"/>
    </xf>
    <xf numFmtId="0" fontId="90" fillId="0" borderId="0" xfId="0" applyNumberFormat="1" applyFont="1" applyAlignment="1">
      <alignment wrapText="1"/>
    </xf>
    <xf numFmtId="164" fontId="31" fillId="2" borderId="0" xfId="0" applyNumberFormat="1" applyFont="1" applyFill="1" applyBorder="1" applyAlignment="1">
      <alignment horizontal="center"/>
    </xf>
    <xf numFmtId="0" fontId="30" fillId="2" borderId="0" xfId="0" applyNumberFormat="1" applyFont="1" applyFill="1" applyBorder="1" applyAlignment="1" applyProtection="1">
      <protection locked="0"/>
    </xf>
    <xf numFmtId="1" fontId="30" fillId="2" borderId="0" xfId="0" applyNumberFormat="1" applyFont="1" applyFill="1" applyBorder="1" applyAlignment="1" applyProtection="1">
      <protection locked="0"/>
    </xf>
    <xf numFmtId="164" fontId="39" fillId="2" borderId="61" xfId="0" applyNumberFormat="1" applyFont="1" applyFill="1" applyBorder="1" applyAlignment="1" applyProtection="1">
      <protection locked="0"/>
    </xf>
    <xf numFmtId="165" fontId="39" fillId="2" borderId="8" xfId="0" applyNumberFormat="1" applyFont="1" applyFill="1" applyBorder="1" applyAlignment="1" applyProtection="1">
      <protection locked="0"/>
    </xf>
    <xf numFmtId="165" fontId="39" fillId="2" borderId="1" xfId="0" applyNumberFormat="1" applyFont="1" applyFill="1" applyBorder="1" applyAlignment="1" applyProtection="1">
      <protection locked="0"/>
    </xf>
    <xf numFmtId="165" fontId="39" fillId="2" borderId="80" xfId="0" applyNumberFormat="1" applyFont="1" applyFill="1" applyBorder="1" applyAlignment="1" applyProtection="1">
      <protection locked="0"/>
    </xf>
    <xf numFmtId="0" fontId="39" fillId="2" borderId="61" xfId="0" applyNumberFormat="1" applyFont="1" applyFill="1" applyBorder="1" applyAlignment="1" applyProtection="1">
      <protection locked="0"/>
    </xf>
    <xf numFmtId="0" fontId="30" fillId="2" borderId="61" xfId="0" applyNumberFormat="1" applyFont="1" applyFill="1" applyBorder="1" applyAlignment="1" applyProtection="1">
      <protection locked="0"/>
    </xf>
    <xf numFmtId="165" fontId="30" fillId="2" borderId="80" xfId="0" applyNumberFormat="1" applyFont="1" applyFill="1" applyBorder="1" applyAlignment="1" applyProtection="1">
      <protection locked="0"/>
    </xf>
    <xf numFmtId="0" fontId="30" fillId="2" borderId="80" xfId="0" applyNumberFormat="1" applyFont="1" applyFill="1" applyBorder="1" applyAlignment="1" applyProtection="1">
      <protection locked="0"/>
    </xf>
    <xf numFmtId="164" fontId="34" fillId="2" borderId="42" xfId="0" applyNumberFormat="1" applyFont="1" applyFill="1" applyBorder="1" applyAlignment="1" applyProtection="1">
      <alignment horizontal="center"/>
      <protection locked="0"/>
    </xf>
    <xf numFmtId="164" fontId="34" fillId="2" borderId="61" xfId="0" applyNumberFormat="1" applyFont="1" applyFill="1" applyBorder="1" applyAlignment="1" applyProtection="1">
      <alignment horizontal="center"/>
      <protection locked="0"/>
    </xf>
    <xf numFmtId="165" fontId="34" fillId="2" borderId="8" xfId="0" applyNumberFormat="1" applyFont="1" applyFill="1" applyBorder="1" applyAlignment="1" applyProtection="1">
      <alignment horizontal="center"/>
      <protection locked="0"/>
    </xf>
    <xf numFmtId="165" fontId="34" fillId="2" borderId="1" xfId="0" applyNumberFormat="1" applyFont="1" applyFill="1" applyBorder="1" applyAlignment="1" applyProtection="1">
      <alignment horizontal="center"/>
      <protection locked="0"/>
    </xf>
    <xf numFmtId="165" fontId="34" fillId="2" borderId="80" xfId="0" applyNumberFormat="1" applyFont="1" applyFill="1" applyBorder="1" applyAlignment="1" applyProtection="1">
      <alignment horizontal="center"/>
      <protection locked="0"/>
    </xf>
    <xf numFmtId="0" fontId="89" fillId="0" borderId="126" xfId="0" applyNumberFormat="1" applyFont="1" applyFill="1" applyBorder="1" applyAlignment="1"/>
    <xf numFmtId="0" fontId="89" fillId="0" borderId="72" xfId="0" applyNumberFormat="1" applyFont="1" applyFill="1" applyBorder="1" applyAlignment="1" applyProtection="1">
      <protection locked="0"/>
    </xf>
    <xf numFmtId="165" fontId="89" fillId="0" borderId="77" xfId="0" applyNumberFormat="1" applyFont="1" applyFill="1" applyBorder="1" applyAlignment="1" applyProtection="1">
      <protection locked="0"/>
    </xf>
    <xf numFmtId="0" fontId="89" fillId="0" borderId="126" xfId="0" applyNumberFormat="1" applyFont="1" applyFill="1" applyBorder="1" applyAlignment="1" applyProtection="1">
      <protection locked="0"/>
    </xf>
    <xf numFmtId="1" fontId="89" fillId="0" borderId="132" xfId="0" applyNumberFormat="1" applyFont="1" applyFill="1" applyBorder="1" applyAlignment="1" applyProtection="1">
      <protection locked="0"/>
    </xf>
    <xf numFmtId="0" fontId="36" fillId="2" borderId="133" xfId="0" applyNumberFormat="1" applyFont="1" applyFill="1" applyBorder="1" applyAlignment="1">
      <alignment horizontal="center"/>
    </xf>
    <xf numFmtId="1" fontId="36" fillId="2" borderId="133" xfId="0" applyNumberFormat="1" applyFont="1" applyFill="1" applyBorder="1" applyAlignment="1"/>
    <xf numFmtId="165" fontId="36" fillId="2" borderId="84" xfId="0" applyNumberFormat="1" applyFont="1" applyFill="1" applyBorder="1" applyAlignment="1"/>
    <xf numFmtId="3" fontId="36" fillId="2" borderId="84" xfId="0" applyNumberFormat="1" applyFont="1" applyFill="1" applyBorder="1" applyAlignment="1"/>
    <xf numFmtId="1" fontId="36" fillId="2" borderId="134" xfId="0" applyNumberFormat="1" applyFont="1" applyFill="1" applyBorder="1" applyAlignment="1"/>
    <xf numFmtId="165" fontId="36" fillId="2" borderId="84" xfId="0" applyNumberFormat="1" applyFont="1" applyFill="1" applyBorder="1" applyAlignment="1" applyProtection="1">
      <protection locked="0"/>
    </xf>
    <xf numFmtId="2" fontId="36" fillId="2" borderId="133" xfId="0" applyNumberFormat="1" applyFont="1" applyFill="1" applyBorder="1" applyAlignment="1"/>
    <xf numFmtId="2" fontId="36" fillId="2" borderId="84" xfId="0" applyNumberFormat="1" applyFont="1" applyFill="1" applyBorder="1" applyAlignment="1"/>
    <xf numFmtId="165" fontId="36" fillId="2" borderId="133" xfId="0" applyNumberFormat="1" applyFont="1" applyFill="1" applyBorder="1" applyAlignment="1"/>
    <xf numFmtId="0" fontId="36" fillId="2" borderId="133" xfId="0" applyNumberFormat="1" applyFont="1" applyFill="1" applyBorder="1" applyAlignment="1"/>
    <xf numFmtId="0" fontId="33" fillId="2" borderId="133" xfId="0" applyNumberFormat="1" applyFont="1" applyFill="1" applyBorder="1" applyAlignment="1"/>
    <xf numFmtId="0" fontId="33" fillId="2" borderId="84" xfId="0" applyNumberFormat="1" applyFont="1" applyFill="1" applyBorder="1" applyAlignment="1"/>
    <xf numFmtId="165" fontId="33" fillId="2" borderId="135" xfId="0" applyNumberFormat="1" applyFont="1" applyFill="1" applyBorder="1" applyAlignment="1"/>
    <xf numFmtId="0" fontId="60" fillId="2" borderId="0" xfId="0" applyNumberFormat="1" applyFont="1" applyFill="1" applyBorder="1" applyAlignment="1"/>
    <xf numFmtId="165" fontId="36" fillId="2" borderId="0" xfId="0" applyNumberFormat="1" applyFont="1" applyFill="1" applyBorder="1" applyAlignment="1"/>
    <xf numFmtId="1" fontId="36" fillId="2" borderId="0" xfId="0" applyNumberFormat="1" applyFont="1" applyFill="1" applyBorder="1" applyAlignment="1"/>
    <xf numFmtId="2" fontId="36" fillId="2" borderId="0" xfId="0" applyNumberFormat="1" applyFont="1" applyFill="1" applyBorder="1" applyAlignment="1"/>
    <xf numFmtId="170" fontId="36" fillId="2" borderId="0" xfId="0" applyNumberFormat="1" applyFont="1" applyFill="1" applyBorder="1" applyAlignment="1"/>
    <xf numFmtId="0" fontId="67" fillId="3" borderId="77" xfId="0" applyNumberFormat="1" applyFont="1" applyFill="1" applyBorder="1" applyAlignment="1" applyProtection="1">
      <alignment horizontal="center"/>
      <protection locked="0"/>
    </xf>
    <xf numFmtId="0" fontId="67" fillId="3" borderId="128" xfId="0" applyNumberFormat="1" applyFont="1" applyFill="1" applyBorder="1" applyAlignment="1" applyProtection="1">
      <alignment horizontal="center"/>
      <protection locked="0"/>
    </xf>
    <xf numFmtId="1" fontId="67" fillId="3" borderId="76" xfId="0" applyNumberFormat="1" applyFont="1" applyFill="1" applyBorder="1" applyAlignment="1" applyProtection="1">
      <protection locked="0"/>
    </xf>
    <xf numFmtId="1" fontId="67" fillId="3" borderId="77" xfId="0" applyNumberFormat="1" applyFont="1" applyFill="1" applyBorder="1" applyAlignment="1" applyProtection="1">
      <protection locked="0"/>
    </xf>
    <xf numFmtId="1" fontId="67" fillId="3" borderId="78" xfId="0" applyNumberFormat="1" applyFont="1" applyFill="1" applyBorder="1" applyAlignment="1" applyProtection="1">
      <protection locked="0"/>
    </xf>
    <xf numFmtId="0" fontId="67" fillId="3" borderId="136" xfId="0" applyNumberFormat="1" applyFont="1" applyFill="1" applyBorder="1" applyAlignment="1">
      <alignment horizontal="center"/>
    </xf>
    <xf numFmtId="0" fontId="67" fillId="3" borderId="136" xfId="0" applyNumberFormat="1" applyFont="1" applyFill="1" applyBorder="1" applyAlignment="1" applyProtection="1">
      <alignment horizontal="center"/>
      <protection locked="0"/>
    </xf>
    <xf numFmtId="0" fontId="31" fillId="0" borderId="57" xfId="0" applyNumberFormat="1" applyFont="1" applyBorder="1" applyAlignment="1">
      <alignment horizontal="center" vertical="center"/>
    </xf>
    <xf numFmtId="0" fontId="31" fillId="0" borderId="137" xfId="0" applyNumberFormat="1" applyFont="1" applyBorder="1" applyAlignment="1">
      <alignment horizontal="center" vertical="center"/>
    </xf>
    <xf numFmtId="0" fontId="31" fillId="0" borderId="94" xfId="0" applyNumberFormat="1" applyFont="1" applyBorder="1" applyAlignment="1">
      <alignment horizontal="center" vertical="center"/>
    </xf>
    <xf numFmtId="185" fontId="67" fillId="3" borderId="138" xfId="0" applyNumberFormat="1" applyFont="1" applyFill="1" applyBorder="1" applyAlignment="1"/>
    <xf numFmtId="165" fontId="67" fillId="3" borderId="92" xfId="0" applyNumberFormat="1" applyFont="1" applyFill="1" applyBorder="1" applyAlignment="1"/>
    <xf numFmtId="1" fontId="67" fillId="3" borderId="92" xfId="0" applyNumberFormat="1" applyFont="1" applyFill="1" applyBorder="1" applyAlignment="1"/>
    <xf numFmtId="2" fontId="67" fillId="3" borderId="92" xfId="0" applyNumberFormat="1" applyFont="1" applyFill="1" applyBorder="1" applyAlignment="1"/>
    <xf numFmtId="2" fontId="56" fillId="3" borderId="0" xfId="0" applyNumberFormat="1" applyFont="1" applyFill="1" applyBorder="1" applyAlignment="1"/>
    <xf numFmtId="0" fontId="45" fillId="0" borderId="0" xfId="0" applyNumberFormat="1" applyFont="1" applyAlignment="1">
      <alignment vertical="top"/>
    </xf>
    <xf numFmtId="0" fontId="56" fillId="0" borderId="0" xfId="0" applyNumberFormat="1" applyFont="1" applyAlignment="1">
      <alignment vertical="top"/>
    </xf>
    <xf numFmtId="0" fontId="67" fillId="0" borderId="0" xfId="0" applyNumberFormat="1" applyFont="1" applyAlignment="1">
      <alignment vertical="top"/>
    </xf>
    <xf numFmtId="0" fontId="68" fillId="0" borderId="0" xfId="0" applyNumberFormat="1" applyFont="1" applyAlignment="1"/>
    <xf numFmtId="3" fontId="68" fillId="0" borderId="0" xfId="0" applyNumberFormat="1" applyFont="1" applyAlignment="1"/>
    <xf numFmtId="0" fontId="68" fillId="0" borderId="0" xfId="0" applyNumberFormat="1" applyFont="1" applyAlignment="1">
      <alignment vertical="top"/>
    </xf>
    <xf numFmtId="0" fontId="91" fillId="2" borderId="17" xfId="0" applyNumberFormat="1" applyFont="1" applyFill="1" applyBorder="1" applyAlignment="1">
      <alignment horizontal="left"/>
    </xf>
    <xf numFmtId="0" fontId="91" fillId="2" borderId="7" xfId="0" applyNumberFormat="1" applyFont="1" applyFill="1" applyBorder="1" applyAlignment="1">
      <alignment horizontal="right"/>
    </xf>
    <xf numFmtId="0" fontId="91" fillId="2" borderId="7" xfId="0" applyNumberFormat="1" applyFont="1" applyFill="1" applyBorder="1" applyAlignment="1">
      <alignment horizontal="left"/>
    </xf>
    <xf numFmtId="0" fontId="92" fillId="0" borderId="5" xfId="0" applyNumberFormat="1" applyFont="1" applyBorder="1" applyAlignment="1"/>
    <xf numFmtId="3" fontId="91" fillId="2" borderId="7" xfId="0" applyNumberFormat="1" applyFont="1" applyFill="1" applyBorder="1" applyAlignment="1">
      <alignment horizontal="left"/>
    </xf>
    <xf numFmtId="3" fontId="91" fillId="2" borderId="17" xfId="0" applyNumberFormat="1" applyFont="1" applyFill="1" applyBorder="1" applyAlignment="1">
      <alignment horizontal="left"/>
    </xf>
    <xf numFmtId="0" fontId="92" fillId="0" borderId="0" xfId="0" applyNumberFormat="1" applyFont="1" applyAlignment="1"/>
    <xf numFmtId="0" fontId="91" fillId="2" borderId="5" xfId="0" applyNumberFormat="1" applyFont="1" applyFill="1" applyBorder="1" applyAlignment="1">
      <alignment horizontal="center"/>
    </xf>
    <xf numFmtId="180" fontId="23" fillId="2" borderId="0" xfId="0" applyNumberFormat="1" applyFont="1" applyFill="1" applyAlignment="1">
      <alignment horizontal="left"/>
    </xf>
    <xf numFmtId="0" fontId="91" fillId="2" borderId="0" xfId="0" applyNumberFormat="1" applyFont="1" applyFill="1" applyAlignment="1">
      <alignment horizontal="center"/>
    </xf>
    <xf numFmtId="180" fontId="45" fillId="2" borderId="0" xfId="0" applyNumberFormat="1" applyFont="1" applyFill="1" applyAlignment="1">
      <alignment horizontal="center"/>
    </xf>
    <xf numFmtId="0" fontId="92" fillId="3" borderId="0" xfId="0" applyNumberFormat="1" applyFont="1" applyFill="1" applyAlignment="1"/>
    <xf numFmtId="0" fontId="91" fillId="2" borderId="0" xfId="0" applyNumberFormat="1" applyFont="1" applyFill="1" applyAlignment="1">
      <alignment horizontal="left"/>
    </xf>
    <xf numFmtId="3" fontId="91" fillId="2" borderId="0" xfId="0" applyNumberFormat="1" applyFont="1" applyFill="1" applyAlignment="1">
      <alignment horizontal="center"/>
    </xf>
    <xf numFmtId="3" fontId="91" fillId="2" borderId="0" xfId="0" applyNumberFormat="1" applyFont="1" applyFill="1" applyAlignment="1">
      <alignment horizontal="left"/>
    </xf>
    <xf numFmtId="3" fontId="91" fillId="2" borderId="5" xfId="0" applyNumberFormat="1" applyFont="1" applyFill="1" applyBorder="1" applyAlignment="1">
      <alignment horizontal="center"/>
    </xf>
    <xf numFmtId="180" fontId="45" fillId="2" borderId="0" xfId="0" applyNumberFormat="1" applyFont="1" applyFill="1" applyAlignment="1">
      <alignment horizontal="left"/>
    </xf>
    <xf numFmtId="0" fontId="8" fillId="2" borderId="1" xfId="0" applyNumberFormat="1" applyFont="1" applyFill="1" applyBorder="1" applyAlignment="1">
      <alignment horizontal="centerContinuous"/>
    </xf>
    <xf numFmtId="0" fontId="8" fillId="2" borderId="4" xfId="0" applyNumberFormat="1" applyFont="1" applyFill="1" applyBorder="1" applyAlignment="1">
      <alignment horizontal="centerContinuous"/>
    </xf>
    <xf numFmtId="0" fontId="13" fillId="0" borderId="5" xfId="0" applyNumberFormat="1" applyFont="1" applyBorder="1" applyAlignment="1">
      <alignment horizontal="center"/>
    </xf>
    <xf numFmtId="3" fontId="8" fillId="3" borderId="4" xfId="0" applyNumberFormat="1" applyFont="1" applyFill="1" applyBorder="1" applyAlignment="1">
      <alignment horizontal="centerContinuous"/>
    </xf>
    <xf numFmtId="3" fontId="8" fillId="25" borderId="1" xfId="0" applyNumberFormat="1" applyFont="1" applyFill="1" applyBorder="1" applyAlignment="1"/>
    <xf numFmtId="0" fontId="13" fillId="0" borderId="5" xfId="0" applyNumberFormat="1" applyFont="1" applyBorder="1" applyAlignment="1"/>
    <xf numFmtId="3" fontId="8" fillId="2" borderId="8" xfId="0" applyNumberFormat="1" applyFont="1" applyFill="1" applyBorder="1" applyAlignment="1">
      <alignment horizontal="center"/>
    </xf>
    <xf numFmtId="3" fontId="8" fillId="25" borderId="1" xfId="0" applyNumberFormat="1" applyFont="1" applyFill="1" applyBorder="1" applyAlignment="1">
      <alignment horizontal="center"/>
    </xf>
    <xf numFmtId="0" fontId="8" fillId="25" borderId="3" xfId="0" applyNumberFormat="1" applyFont="1" applyFill="1" applyBorder="1" applyAlignment="1">
      <alignment horizontal="center"/>
    </xf>
    <xf numFmtId="0" fontId="13" fillId="0" borderId="3" xfId="0" applyNumberFormat="1" applyFont="1" applyBorder="1" applyAlignment="1">
      <alignment horizontal="center"/>
    </xf>
    <xf numFmtId="0" fontId="8" fillId="25" borderId="1" xfId="0" applyNumberFormat="1" applyFont="1" applyFill="1" applyBorder="1" applyAlignment="1">
      <alignment horizontal="centerContinuous"/>
    </xf>
    <xf numFmtId="0" fontId="8" fillId="25" borderId="4" xfId="0" applyNumberFormat="1" applyFont="1" applyFill="1" applyBorder="1" applyAlignment="1">
      <alignment horizontal="centerContinuous"/>
    </xf>
    <xf numFmtId="3" fontId="8" fillId="2" borderId="1" xfId="0" applyNumberFormat="1" applyFont="1" applyFill="1" applyBorder="1" applyAlignment="1">
      <alignment horizontal="center"/>
    </xf>
    <xf numFmtId="3" fontId="8" fillId="25" borderId="3" xfId="0" applyNumberFormat="1" applyFont="1" applyFill="1" applyBorder="1" applyAlignment="1">
      <alignment horizontal="center"/>
    </xf>
    <xf numFmtId="3" fontId="8" fillId="2" borderId="5" xfId="0" applyNumberFormat="1" applyFont="1" applyFill="1" applyBorder="1" applyAlignment="1">
      <alignment horizontal="center"/>
    </xf>
    <xf numFmtId="3" fontId="8" fillId="25" borderId="1" xfId="0" applyNumberFormat="1" applyFont="1" applyFill="1" applyBorder="1" applyAlignment="1">
      <alignment horizontal="centerContinuous"/>
    </xf>
    <xf numFmtId="0" fontId="8" fillId="25" borderId="1" xfId="0" applyNumberFormat="1" applyFont="1" applyFill="1" applyBorder="1" applyAlignment="1">
      <alignment horizontal="center"/>
    </xf>
    <xf numFmtId="2" fontId="8" fillId="25" borderId="1" xfId="0" applyNumberFormat="1" applyFont="1" applyFill="1" applyBorder="1" applyAlignment="1">
      <alignment horizontal="center"/>
    </xf>
    <xf numFmtId="3" fontId="8" fillId="2" borderId="3" xfId="0" applyNumberFormat="1" applyFont="1" applyFill="1" applyBorder="1" applyAlignment="1">
      <alignment horizontal="center"/>
    </xf>
    <xf numFmtId="2" fontId="8" fillId="25" borderId="3" xfId="0" applyNumberFormat="1" applyFont="1" applyFill="1" applyBorder="1" applyAlignment="1">
      <alignment horizontal="center"/>
    </xf>
    <xf numFmtId="3" fontId="8" fillId="25" borderId="139" xfId="0" applyNumberFormat="1" applyFont="1" applyFill="1" applyBorder="1" applyAlignment="1">
      <alignment horizontal="center"/>
    </xf>
    <xf numFmtId="0" fontId="91" fillId="2" borderId="17" xfId="0" applyNumberFormat="1" applyFont="1" applyFill="1" applyBorder="1" applyAlignment="1">
      <alignment horizontal="center"/>
    </xf>
    <xf numFmtId="3" fontId="8" fillId="0" borderId="17" xfId="0" applyNumberFormat="1" applyFont="1" applyBorder="1" applyAlignment="1"/>
    <xf numFmtId="3" fontId="8" fillId="0" borderId="16" xfId="0" applyNumberFormat="1" applyFont="1" applyBorder="1" applyAlignment="1"/>
    <xf numFmtId="3" fontId="8" fillId="0" borderId="16" xfId="0" applyNumberFormat="1" applyFont="1" applyBorder="1" applyAlignment="1" applyProtection="1">
      <protection locked="0"/>
    </xf>
    <xf numFmtId="3" fontId="8" fillId="2" borderId="27" xfId="0" applyNumberFormat="1" applyFont="1" applyFill="1" applyBorder="1" applyAlignment="1"/>
    <xf numFmtId="3" fontId="8" fillId="0" borderId="5" xfId="0" applyNumberFormat="1" applyFont="1" applyBorder="1" applyAlignment="1"/>
    <xf numFmtId="3" fontId="91" fillId="2" borderId="17" xfId="0" applyNumberFormat="1" applyFont="1" applyFill="1" applyBorder="1" applyAlignment="1">
      <alignment horizontal="center"/>
    </xf>
    <xf numFmtId="3" fontId="8" fillId="2" borderId="17" xfId="0" applyNumberFormat="1" applyFont="1" applyFill="1" applyBorder="1" applyAlignment="1">
      <alignment horizontal="right"/>
    </xf>
    <xf numFmtId="3" fontId="8" fillId="2" borderId="16" xfId="0" applyNumberFormat="1" applyFont="1" applyFill="1" applyBorder="1" applyAlignment="1">
      <alignment horizontal="right"/>
    </xf>
    <xf numFmtId="165" fontId="8" fillId="2" borderId="16" xfId="0" applyNumberFormat="1" applyFont="1" applyFill="1" applyBorder="1" applyAlignment="1">
      <alignment horizontal="right"/>
    </xf>
    <xf numFmtId="3" fontId="8" fillId="2" borderId="3" xfId="0" applyNumberFormat="1" applyFont="1" applyFill="1" applyBorder="1" applyAlignment="1">
      <alignment horizontal="right"/>
    </xf>
    <xf numFmtId="167" fontId="8" fillId="2" borderId="16" xfId="0" applyNumberFormat="1" applyFont="1" applyFill="1" applyBorder="1" applyAlignment="1">
      <alignment horizontal="right"/>
    </xf>
    <xf numFmtId="0" fontId="13" fillId="0" borderId="5" xfId="0" applyNumberFormat="1" applyFont="1" applyBorder="1" applyAlignment="1">
      <alignment horizontal="right"/>
    </xf>
    <xf numFmtId="0" fontId="91" fillId="2" borderId="8" xfId="0" applyNumberFormat="1" applyFont="1" applyFill="1" applyBorder="1" applyAlignment="1">
      <alignment horizontal="center"/>
    </xf>
    <xf numFmtId="3" fontId="8" fillId="0" borderId="8" xfId="0" applyNumberFormat="1" applyFont="1" applyBorder="1" applyAlignment="1"/>
    <xf numFmtId="3" fontId="8" fillId="0" borderId="1" xfId="0" applyNumberFormat="1" applyFont="1" applyBorder="1" applyAlignment="1"/>
    <xf numFmtId="3" fontId="8" fillId="2" borderId="140" xfId="0" applyNumberFormat="1" applyFont="1" applyFill="1" applyBorder="1" applyAlignment="1"/>
    <xf numFmtId="3" fontId="91" fillId="2" borderId="8" xfId="0" applyNumberFormat="1" applyFont="1" applyFill="1" applyBorder="1" applyAlignment="1">
      <alignment horizontal="center"/>
    </xf>
    <xf numFmtId="3" fontId="8" fillId="2" borderId="8" xfId="0" applyNumberFormat="1" applyFont="1" applyFill="1" applyBorder="1" applyAlignment="1">
      <alignment horizontal="right"/>
    </xf>
    <xf numFmtId="3" fontId="8" fillId="2" borderId="1" xfId="0" applyNumberFormat="1" applyFont="1" applyFill="1" applyBorder="1" applyAlignment="1">
      <alignment horizontal="right"/>
    </xf>
    <xf numFmtId="165" fontId="8" fillId="2" borderId="1" xfId="0" applyNumberFormat="1" applyFont="1" applyFill="1" applyBorder="1" applyAlignment="1">
      <alignment horizontal="right"/>
    </xf>
    <xf numFmtId="2" fontId="8" fillId="2" borderId="1" xfId="0" applyNumberFormat="1" applyFont="1" applyFill="1" applyBorder="1" applyAlignment="1">
      <alignment horizontal="right"/>
    </xf>
    <xf numFmtId="1" fontId="8" fillId="2" borderId="1" xfId="0" applyNumberFormat="1" applyFont="1" applyFill="1" applyBorder="1" applyAlignment="1">
      <alignment horizontal="right"/>
    </xf>
    <xf numFmtId="167" fontId="8" fillId="2" borderId="1" xfId="0" applyNumberFormat="1" applyFont="1" applyFill="1" applyBorder="1" applyAlignment="1">
      <alignment horizontal="right"/>
    </xf>
    <xf numFmtId="3" fontId="8" fillId="0" borderId="1" xfId="0" applyNumberFormat="1" applyFont="1" applyBorder="1" applyAlignment="1" applyProtection="1">
      <protection locked="0"/>
    </xf>
    <xf numFmtId="3" fontId="8" fillId="2" borderId="1" xfId="0" applyNumberFormat="1" applyFont="1" applyFill="1" applyBorder="1" applyAlignment="1">
      <alignment horizontal="left"/>
    </xf>
    <xf numFmtId="3" fontId="8" fillId="2" borderId="141" xfId="0" applyNumberFormat="1" applyFont="1" applyFill="1" applyBorder="1" applyAlignment="1"/>
    <xf numFmtId="0" fontId="91" fillId="2" borderId="53" xfId="0" applyNumberFormat="1" applyFont="1" applyFill="1" applyBorder="1" applyAlignment="1">
      <alignment horizontal="center"/>
    </xf>
    <xf numFmtId="3" fontId="8" fillId="0" borderId="53" xfId="0" applyNumberFormat="1" applyFont="1" applyBorder="1" applyAlignment="1"/>
    <xf numFmtId="3" fontId="8" fillId="0" borderId="6" xfId="0" applyNumberFormat="1" applyFont="1" applyBorder="1" applyAlignment="1"/>
    <xf numFmtId="3" fontId="8" fillId="2" borderId="6" xfId="0" applyNumberFormat="1" applyFont="1" applyFill="1" applyBorder="1" applyAlignment="1"/>
    <xf numFmtId="3" fontId="8" fillId="2" borderId="6" xfId="0" applyNumberFormat="1" applyFont="1" applyFill="1" applyBorder="1" applyAlignment="1">
      <alignment horizontal="right"/>
    </xf>
    <xf numFmtId="165" fontId="8" fillId="2" borderId="6" xfId="0" applyNumberFormat="1" applyFont="1" applyFill="1" applyBorder="1" applyAlignment="1">
      <alignment horizontal="right"/>
    </xf>
    <xf numFmtId="167" fontId="8" fillId="2" borderId="6" xfId="0" applyNumberFormat="1" applyFont="1" applyFill="1" applyBorder="1" applyAlignment="1">
      <alignment horizontal="right"/>
    </xf>
    <xf numFmtId="0" fontId="45" fillId="2" borderId="7" xfId="0" applyNumberFormat="1" applyFont="1" applyFill="1" applyBorder="1" applyAlignment="1"/>
    <xf numFmtId="3" fontId="8" fillId="2" borderId="7" xfId="0" applyNumberFormat="1" applyFont="1" applyFill="1" applyBorder="1" applyAlignment="1"/>
    <xf numFmtId="3" fontId="8" fillId="2" borderId="7" xfId="0" applyNumberFormat="1" applyFont="1" applyFill="1" applyBorder="1" applyAlignment="1" applyProtection="1">
      <protection locked="0"/>
    </xf>
    <xf numFmtId="3" fontId="8" fillId="2" borderId="17" xfId="0" applyNumberFormat="1" applyFont="1" applyFill="1" applyBorder="1" applyAlignment="1">
      <alignment horizontal="center"/>
    </xf>
    <xf numFmtId="3" fontId="8" fillId="2" borderId="16" xfId="0" applyNumberFormat="1" applyFont="1" applyFill="1" applyBorder="1" applyAlignment="1">
      <alignment horizontal="center"/>
    </xf>
    <xf numFmtId="3" fontId="8" fillId="2" borderId="7" xfId="0" applyNumberFormat="1" applyFont="1" applyFill="1" applyBorder="1" applyAlignment="1">
      <alignment horizontal="right"/>
    </xf>
    <xf numFmtId="165" fontId="8" fillId="2" borderId="7" xfId="0" applyNumberFormat="1" applyFont="1" applyFill="1" applyBorder="1" applyAlignment="1">
      <alignment horizontal="right"/>
    </xf>
    <xf numFmtId="2" fontId="8" fillId="2" borderId="7" xfId="0" applyNumberFormat="1" applyFont="1" applyFill="1" applyBorder="1" applyAlignment="1">
      <alignment horizontal="right"/>
    </xf>
    <xf numFmtId="0" fontId="8" fillId="2" borderId="7" xfId="0" applyNumberFormat="1" applyFont="1" applyFill="1" applyBorder="1" applyAlignment="1">
      <alignment horizontal="right"/>
    </xf>
    <xf numFmtId="3" fontId="8" fillId="2" borderId="7" xfId="0" applyNumberFormat="1" applyFont="1" applyFill="1" applyBorder="1" applyAlignment="1" applyProtection="1">
      <alignment horizontal="right"/>
      <protection locked="0"/>
    </xf>
    <xf numFmtId="3" fontId="8" fillId="2" borderId="0" xfId="0" applyNumberFormat="1" applyFont="1" applyFill="1" applyAlignment="1"/>
    <xf numFmtId="3" fontId="8" fillId="2" borderId="142" xfId="0" applyNumberFormat="1" applyFont="1" applyFill="1" applyBorder="1" applyAlignment="1">
      <alignment horizontal="center"/>
    </xf>
    <xf numFmtId="3" fontId="13" fillId="0" borderId="5" xfId="0" applyNumberFormat="1" applyFont="1" applyBorder="1" applyAlignment="1"/>
    <xf numFmtId="3" fontId="8" fillId="2" borderId="0" xfId="0" applyNumberFormat="1" applyFont="1" applyFill="1" applyAlignment="1">
      <alignment horizontal="right"/>
    </xf>
    <xf numFmtId="1" fontId="8" fillId="2" borderId="0" xfId="0" applyNumberFormat="1" applyFont="1" applyFill="1" applyAlignment="1">
      <alignment horizontal="right"/>
    </xf>
    <xf numFmtId="165" fontId="8" fillId="2" borderId="0" xfId="0" applyNumberFormat="1" applyFont="1" applyFill="1" applyAlignment="1">
      <alignment horizontal="right"/>
    </xf>
    <xf numFmtId="2" fontId="8" fillId="2" borderId="0" xfId="0" applyNumberFormat="1" applyFont="1" applyFill="1" applyAlignment="1">
      <alignment horizontal="right"/>
    </xf>
    <xf numFmtId="0" fontId="8" fillId="2" borderId="0" xfId="0" applyNumberFormat="1" applyFont="1" applyFill="1" applyAlignment="1">
      <alignment horizontal="right"/>
    </xf>
    <xf numFmtId="3" fontId="8" fillId="2" borderId="4" xfId="0" applyNumberFormat="1" applyFont="1" applyFill="1" applyBorder="1" applyAlignment="1">
      <alignment horizontal="right"/>
    </xf>
    <xf numFmtId="3" fontId="8" fillId="2" borderId="0" xfId="0" applyNumberFormat="1" applyFont="1" applyFill="1" applyAlignment="1">
      <alignment horizontal="left"/>
    </xf>
    <xf numFmtId="3" fontId="13" fillId="0" borderId="0" xfId="0" applyNumberFormat="1" applyFont="1" applyAlignment="1"/>
    <xf numFmtId="3" fontId="13" fillId="0" borderId="7" xfId="0" applyNumberFormat="1" applyFont="1" applyBorder="1" applyAlignment="1"/>
    <xf numFmtId="3" fontId="13" fillId="0" borderId="0" xfId="0" applyNumberFormat="1" applyFont="1" applyAlignment="1">
      <alignment horizontal="right"/>
    </xf>
    <xf numFmtId="0" fontId="13" fillId="0" borderId="0" xfId="0" applyNumberFormat="1" applyFont="1" applyAlignment="1">
      <alignment horizontal="right"/>
    </xf>
    <xf numFmtId="1" fontId="33" fillId="0" borderId="6" xfId="0" applyNumberFormat="1" applyFont="1" applyFill="1" applyBorder="1" applyAlignment="1" applyProtection="1">
      <protection locked="0"/>
    </xf>
    <xf numFmtId="1" fontId="33" fillId="0" borderId="1" xfId="0" applyNumberFormat="1" applyFont="1" applyFill="1" applyBorder="1" applyAlignment="1" applyProtection="1">
      <protection locked="0"/>
    </xf>
    <xf numFmtId="0" fontId="36" fillId="2" borderId="79" xfId="0" applyNumberFormat="1" applyFont="1" applyFill="1" applyBorder="1" applyAlignment="1">
      <alignment horizontal="center"/>
    </xf>
    <xf numFmtId="0" fontId="36" fillId="2" borderId="143" xfId="0" applyNumberFormat="1" applyFont="1" applyFill="1" applyBorder="1" applyAlignment="1">
      <alignment horizontal="center"/>
    </xf>
    <xf numFmtId="0" fontId="80" fillId="2" borderId="0" xfId="0" applyNumberFormat="1" applyFont="1" applyFill="1" applyAlignment="1"/>
    <xf numFmtId="0" fontId="67" fillId="3" borderId="0" xfId="0" applyNumberFormat="1" applyFont="1" applyFill="1" applyBorder="1" applyAlignment="1"/>
    <xf numFmtId="180" fontId="33" fillId="0" borderId="0" xfId="0" applyNumberFormat="1" applyFont="1" applyAlignment="1"/>
    <xf numFmtId="165" fontId="30" fillId="0" borderId="1" xfId="0" applyNumberFormat="1" applyFont="1" applyFill="1" applyBorder="1" applyAlignment="1" applyProtection="1">
      <protection locked="0"/>
    </xf>
    <xf numFmtId="165" fontId="33" fillId="0" borderId="0" xfId="0" applyNumberFormat="1" applyFont="1" applyAlignment="1"/>
    <xf numFmtId="2" fontId="36" fillId="6" borderId="20" xfId="0" applyNumberFormat="1" applyFont="1" applyFill="1" applyBorder="1" applyAlignment="1">
      <alignment vertical="center"/>
    </xf>
    <xf numFmtId="2" fontId="36" fillId="6" borderId="16" xfId="0" applyNumberFormat="1" applyFont="1" applyFill="1" applyBorder="1" applyAlignment="1">
      <alignment vertical="center"/>
    </xf>
    <xf numFmtId="165" fontId="36" fillId="6" borderId="16" xfId="0" applyNumberFormat="1" applyFont="1" applyFill="1" applyBorder="1" applyAlignment="1">
      <alignment vertical="center"/>
    </xf>
    <xf numFmtId="2" fontId="36" fillId="6" borderId="23" xfId="0" applyNumberFormat="1" applyFont="1" applyFill="1" applyBorder="1" applyAlignment="1">
      <alignment vertical="center"/>
    </xf>
    <xf numFmtId="2" fontId="36" fillId="6" borderId="1" xfId="0" applyNumberFormat="1" applyFont="1" applyFill="1" applyBorder="1" applyAlignment="1">
      <alignment vertical="center"/>
    </xf>
    <xf numFmtId="165" fontId="36" fillId="6" borderId="1" xfId="0" applyNumberFormat="1" applyFont="1" applyFill="1" applyBorder="1" applyAlignment="1">
      <alignment vertical="center"/>
    </xf>
    <xf numFmtId="0" fontId="36" fillId="2" borderId="0" xfId="0" quotePrefix="1" applyNumberFormat="1" applyFont="1" applyFill="1" applyAlignment="1"/>
    <xf numFmtId="0" fontId="8" fillId="3" borderId="0" xfId="0" applyNumberFormat="1" applyFont="1" applyFill="1" applyBorder="1" applyAlignment="1">
      <alignment horizontal="center"/>
    </xf>
    <xf numFmtId="0" fontId="8" fillId="3" borderId="0" xfId="0" applyNumberFormat="1" applyFont="1" applyFill="1" applyBorder="1" applyAlignment="1" applyProtection="1">
      <alignment horizontal="center"/>
      <protection locked="0"/>
    </xf>
    <xf numFmtId="1" fontId="8" fillId="3" borderId="57" xfId="0" applyNumberFormat="1" applyFont="1" applyFill="1" applyBorder="1" applyAlignment="1" applyProtection="1">
      <alignment horizontal="center"/>
      <protection locked="0"/>
    </xf>
    <xf numFmtId="1" fontId="8" fillId="3" borderId="3" xfId="0" applyNumberFormat="1" applyFont="1" applyFill="1" applyBorder="1" applyAlignment="1" applyProtection="1">
      <alignment horizontal="center"/>
      <protection locked="0"/>
    </xf>
    <xf numFmtId="1" fontId="8" fillId="3" borderId="100" xfId="0" applyNumberFormat="1" applyFont="1" applyFill="1" applyBorder="1" applyAlignment="1" applyProtection="1">
      <alignment horizontal="center"/>
      <protection locked="0"/>
    </xf>
    <xf numFmtId="0" fontId="8" fillId="3" borderId="94" xfId="0" applyNumberFormat="1" applyFont="1" applyFill="1" applyBorder="1" applyAlignment="1">
      <alignment horizontal="center"/>
    </xf>
    <xf numFmtId="1" fontId="8" fillId="3" borderId="144" xfId="0" applyNumberFormat="1" applyFont="1" applyFill="1" applyBorder="1" applyAlignment="1">
      <alignment horizontal="center"/>
    </xf>
    <xf numFmtId="1" fontId="8" fillId="3" borderId="94" xfId="0" applyNumberFormat="1" applyFont="1" applyFill="1" applyBorder="1" applyAlignment="1">
      <alignment horizontal="center"/>
    </xf>
    <xf numFmtId="1" fontId="8" fillId="3" borderId="145" xfId="0" applyNumberFormat="1" applyFont="1" applyFill="1" applyBorder="1" applyAlignment="1">
      <alignment horizontal="center"/>
    </xf>
    <xf numFmtId="1" fontId="0" fillId="0" borderId="72" xfId="0" applyNumberFormat="1" applyBorder="1" applyAlignment="1">
      <alignment horizontal="center"/>
    </xf>
    <xf numFmtId="1" fontId="0" fillId="26" borderId="72" xfId="0" applyNumberFormat="1" applyFill="1" applyBorder="1"/>
    <xf numFmtId="1" fontId="67" fillId="3" borderId="146" xfId="0" applyNumberFormat="1" applyFont="1" applyFill="1" applyBorder="1" applyAlignment="1"/>
    <xf numFmtId="165" fontId="77" fillId="0" borderId="132" xfId="0" applyNumberFormat="1" applyFont="1" applyFill="1" applyBorder="1" applyAlignment="1" applyProtection="1">
      <protection locked="0"/>
    </xf>
    <xf numFmtId="2" fontId="8" fillId="0" borderId="1" xfId="0" applyNumberFormat="1" applyFont="1" applyFill="1" applyBorder="1" applyAlignment="1" applyProtection="1">
      <alignment horizontal="right"/>
      <protection locked="0"/>
    </xf>
    <xf numFmtId="1" fontId="8" fillId="0" borderId="4" xfId="0" applyNumberFormat="1" applyFont="1" applyFill="1" applyBorder="1" applyAlignment="1" applyProtection="1">
      <alignment horizontal="right"/>
      <protection locked="0"/>
    </xf>
    <xf numFmtId="2" fontId="13" fillId="0" borderId="1" xfId="0" applyNumberFormat="1" applyFont="1" applyFill="1" applyBorder="1" applyAlignment="1" applyProtection="1">
      <alignment horizontal="right"/>
      <protection locked="0"/>
    </xf>
    <xf numFmtId="1" fontId="13" fillId="0" borderId="4" xfId="0" applyNumberFormat="1" applyFont="1" applyFill="1" applyBorder="1" applyAlignment="1" applyProtection="1">
      <alignment horizontal="right"/>
      <protection locked="0"/>
    </xf>
    <xf numFmtId="2" fontId="33" fillId="0" borderId="0" xfId="0" applyNumberFormat="1" applyFont="1" applyAlignment="1"/>
    <xf numFmtId="0" fontId="93" fillId="0" borderId="147" xfId="4" applyFont="1" applyBorder="1"/>
    <xf numFmtId="0" fontId="93" fillId="0" borderId="148" xfId="4" applyFont="1" applyBorder="1"/>
    <xf numFmtId="0" fontId="94" fillId="0" borderId="148" xfId="4" applyFont="1" applyBorder="1"/>
    <xf numFmtId="0" fontId="93" fillId="0" borderId="149" xfId="4" applyFont="1" applyBorder="1"/>
    <xf numFmtId="0" fontId="93" fillId="0" borderId="0" xfId="4" applyFont="1"/>
    <xf numFmtId="0" fontId="93" fillId="0" borderId="150" xfId="4" applyFont="1" applyBorder="1"/>
    <xf numFmtId="0" fontId="93" fillId="0" borderId="0" xfId="4" applyFont="1" applyBorder="1"/>
    <xf numFmtId="0" fontId="93" fillId="0" borderId="151" xfId="4" applyFont="1" applyBorder="1"/>
    <xf numFmtId="0" fontId="93" fillId="0" borderId="77" xfId="4" applyFont="1" applyBorder="1"/>
    <xf numFmtId="0" fontId="93" fillId="0" borderId="87" xfId="4" applyFont="1" applyBorder="1"/>
    <xf numFmtId="0" fontId="93" fillId="8" borderId="150" xfId="4" applyFont="1" applyFill="1" applyBorder="1"/>
    <xf numFmtId="0" fontId="93" fillId="8" borderId="0" xfId="4" applyFont="1" applyFill="1" applyBorder="1"/>
    <xf numFmtId="0" fontId="93" fillId="8" borderId="151" xfId="4" applyFont="1" applyFill="1" applyBorder="1"/>
    <xf numFmtId="0" fontId="93" fillId="0" borderId="150" xfId="4" applyFont="1" applyFill="1" applyBorder="1"/>
    <xf numFmtId="0" fontId="93" fillId="0" borderId="0" xfId="4" applyFont="1" applyFill="1" applyBorder="1"/>
    <xf numFmtId="0" fontId="93" fillId="0" borderId="151" xfId="4" applyFont="1" applyFill="1" applyBorder="1"/>
    <xf numFmtId="0" fontId="93" fillId="0" borderId="0" xfId="4" applyFont="1" applyFill="1"/>
    <xf numFmtId="0" fontId="93" fillId="27" borderId="150" xfId="4" applyFont="1" applyFill="1" applyBorder="1"/>
    <xf numFmtId="0" fontId="93" fillId="2" borderId="0" xfId="4" applyFont="1" applyFill="1" applyBorder="1"/>
    <xf numFmtId="0" fontId="93" fillId="0" borderId="0" xfId="4" applyFont="1" applyBorder="1" applyAlignment="1">
      <alignment horizontal="left"/>
    </xf>
    <xf numFmtId="0" fontId="96" fillId="2" borderId="0" xfId="4" applyFont="1" applyFill="1" applyBorder="1"/>
    <xf numFmtId="0" fontId="93" fillId="0" borderId="59" xfId="4" applyFont="1" applyBorder="1"/>
    <xf numFmtId="0" fontId="97" fillId="0" borderId="150" xfId="4" applyFont="1" applyBorder="1"/>
    <xf numFmtId="0" fontId="93" fillId="0" borderId="152" xfId="4" applyFont="1" applyBorder="1"/>
    <xf numFmtId="0" fontId="93" fillId="0" borderId="153" xfId="4" applyFont="1" applyBorder="1"/>
    <xf numFmtId="0" fontId="93" fillId="0" borderId="154" xfId="4" applyFont="1" applyBorder="1"/>
    <xf numFmtId="180" fontId="93" fillId="0" borderId="0" xfId="4" applyNumberFormat="1" applyFont="1" applyBorder="1"/>
    <xf numFmtId="3" fontId="93" fillId="0" borderId="77" xfId="4" applyNumberFormat="1" applyFont="1" applyBorder="1"/>
    <xf numFmtId="1" fontId="8" fillId="3" borderId="155" xfId="0" applyNumberFormat="1" applyFont="1" applyFill="1" applyBorder="1" applyAlignment="1">
      <alignment horizontal="center"/>
    </xf>
    <xf numFmtId="0" fontId="8" fillId="3" borderId="73" xfId="0" applyNumberFormat="1" applyFont="1" applyFill="1" applyBorder="1" applyAlignment="1">
      <alignment horizontal="center"/>
    </xf>
    <xf numFmtId="0" fontId="8" fillId="3" borderId="0" xfId="0" applyNumberFormat="1" applyFont="1" applyFill="1" applyBorder="1" applyAlignment="1">
      <alignment horizontal="centerContinuous"/>
    </xf>
    <xf numFmtId="1" fontId="8" fillId="3" borderId="0" xfId="0" applyNumberFormat="1" applyFont="1" applyFill="1" applyBorder="1" applyAlignment="1">
      <alignment horizontal="center"/>
    </xf>
    <xf numFmtId="165" fontId="8" fillId="3" borderId="0" xfId="0" applyNumberFormat="1" applyFont="1" applyFill="1" applyBorder="1" applyAlignment="1">
      <alignment horizontal="center"/>
    </xf>
    <xf numFmtId="1" fontId="8" fillId="3" borderId="0" xfId="0" applyNumberFormat="1" applyFont="1" applyFill="1" applyBorder="1" applyAlignment="1" applyProtection="1">
      <alignment horizontal="center"/>
      <protection locked="0"/>
    </xf>
    <xf numFmtId="165" fontId="8" fillId="3" borderId="0" xfId="0" applyNumberFormat="1" applyFont="1" applyFill="1" applyBorder="1" applyAlignment="1" applyProtection="1">
      <alignment horizontal="center"/>
      <protection locked="0"/>
    </xf>
    <xf numFmtId="187" fontId="93" fillId="0" borderId="77" xfId="1" applyNumberFormat="1" applyFont="1" applyBorder="1"/>
    <xf numFmtId="187" fontId="93" fillId="0" borderId="87" xfId="1" applyNumberFormat="1" applyFont="1" applyBorder="1"/>
    <xf numFmtId="187" fontId="93" fillId="0" borderId="0" xfId="1" applyNumberFormat="1" applyFont="1"/>
    <xf numFmtId="187" fontId="93" fillId="0" borderId="59" xfId="1" applyNumberFormat="1" applyFont="1" applyBorder="1"/>
    <xf numFmtId="187" fontId="93" fillId="0" borderId="0" xfId="1" applyNumberFormat="1" applyFont="1" applyBorder="1"/>
    <xf numFmtId="187" fontId="93" fillId="8" borderId="0" xfId="1" applyNumberFormat="1" applyFont="1" applyFill="1" applyBorder="1"/>
    <xf numFmtId="14" fontId="77" fillId="0" borderId="72" xfId="0" applyNumberFormat="1" applyFont="1" applyFill="1" applyBorder="1" applyAlignment="1" applyProtection="1">
      <protection locked="0"/>
    </xf>
    <xf numFmtId="14" fontId="77" fillId="0" borderId="92" xfId="0" applyNumberFormat="1" applyFont="1" applyFill="1" applyBorder="1" applyAlignment="1" applyProtection="1">
      <protection locked="0"/>
    </xf>
    <xf numFmtId="0" fontId="82" fillId="0" borderId="126" xfId="0" applyNumberFormat="1" applyFont="1" applyFill="1" applyBorder="1" applyAlignment="1"/>
    <xf numFmtId="0" fontId="82" fillId="0" borderId="127" xfId="0" applyNumberFormat="1" applyFont="1" applyFill="1" applyBorder="1"/>
    <xf numFmtId="14" fontId="39" fillId="0" borderId="92" xfId="0" applyNumberFormat="1" applyFont="1" applyFill="1" applyBorder="1" applyAlignment="1" applyProtection="1">
      <protection locked="0"/>
    </xf>
    <xf numFmtId="0" fontId="39" fillId="0" borderId="128" xfId="0" applyNumberFormat="1" applyFont="1" applyFill="1" applyBorder="1" applyAlignment="1" applyProtection="1">
      <protection locked="0"/>
    </xf>
    <xf numFmtId="14" fontId="82" fillId="0" borderId="72" xfId="0" applyNumberFormat="1" applyFont="1" applyFill="1" applyBorder="1" applyAlignment="1"/>
    <xf numFmtId="0" fontId="82" fillId="0" borderId="156" xfId="0" applyNumberFormat="1" applyFont="1" applyFill="1" applyBorder="1" applyAlignment="1"/>
    <xf numFmtId="14" fontId="82" fillId="0" borderId="73" xfId="0" applyNumberFormat="1" applyFont="1" applyFill="1" applyBorder="1" applyAlignment="1"/>
    <xf numFmtId="0" fontId="33" fillId="2" borderId="3" xfId="0" applyNumberFormat="1" applyFont="1" applyFill="1" applyBorder="1" applyAlignment="1" applyProtection="1">
      <protection locked="0"/>
    </xf>
    <xf numFmtId="0" fontId="82" fillId="0" borderId="129" xfId="0" applyNumberFormat="1" applyFont="1" applyFill="1" applyBorder="1" applyAlignment="1"/>
    <xf numFmtId="0" fontId="82" fillId="0" borderId="130" xfId="0" applyNumberFormat="1" applyFont="1" applyFill="1" applyBorder="1" applyAlignment="1">
      <alignment horizontal="center"/>
    </xf>
    <xf numFmtId="0" fontId="82" fillId="0" borderId="131" xfId="0" applyNumberFormat="1" applyFont="1" applyFill="1" applyBorder="1" applyAlignment="1">
      <alignment horizontal="center"/>
    </xf>
    <xf numFmtId="0" fontId="82" fillId="0" borderId="157" xfId="0" applyNumberFormat="1" applyFont="1" applyFill="1" applyBorder="1" applyAlignment="1">
      <alignment horizontal="center"/>
    </xf>
    <xf numFmtId="0" fontId="82" fillId="0" borderId="129" xfId="0" applyNumberFormat="1" applyFont="1" applyFill="1" applyBorder="1" applyAlignment="1">
      <alignment horizontal="center"/>
    </xf>
    <xf numFmtId="0" fontId="82" fillId="0" borderId="76" xfId="0" applyNumberFormat="1" applyFont="1" applyFill="1" applyBorder="1" applyAlignment="1"/>
    <xf numFmtId="0" fontId="82" fillId="0" borderId="77" xfId="0" applyNumberFormat="1" applyFont="1" applyFill="1" applyBorder="1" applyAlignment="1"/>
    <xf numFmtId="0" fontId="33" fillId="2" borderId="57" xfId="0" applyNumberFormat="1" applyFont="1" applyFill="1" applyBorder="1" applyAlignment="1" applyProtection="1">
      <protection locked="0"/>
    </xf>
    <xf numFmtId="165" fontId="40" fillId="2" borderId="100" xfId="0" applyNumberFormat="1" applyFont="1" applyFill="1" applyBorder="1" applyAlignment="1" applyProtection="1">
      <protection locked="0"/>
    </xf>
    <xf numFmtId="1" fontId="40" fillId="2" borderId="61" xfId="0" applyNumberFormat="1" applyFont="1" applyFill="1" applyBorder="1" applyAlignment="1" applyProtection="1">
      <protection locked="0"/>
    </xf>
    <xf numFmtId="165" fontId="40" fillId="2" borderId="80" xfId="0" applyNumberFormat="1" applyFont="1" applyFill="1" applyBorder="1" applyAlignment="1" applyProtection="1">
      <protection locked="0"/>
    </xf>
    <xf numFmtId="1" fontId="40" fillId="2" borderId="64" xfId="0" applyNumberFormat="1" applyFont="1" applyFill="1" applyBorder="1" applyAlignment="1" applyProtection="1">
      <protection locked="0"/>
    </xf>
    <xf numFmtId="1" fontId="40" fillId="2" borderId="66" xfId="0" applyNumberFormat="1" applyFont="1" applyFill="1" applyBorder="1" applyAlignment="1" applyProtection="1">
      <protection locked="0"/>
    </xf>
    <xf numFmtId="165" fontId="40" fillId="2" borderId="99" xfId="0" applyNumberFormat="1" applyFont="1" applyFill="1" applyBorder="1" applyAlignment="1" applyProtection="1">
      <protection locked="0"/>
    </xf>
    <xf numFmtId="0" fontId="93" fillId="28" borderId="77" xfId="4" applyFont="1" applyFill="1" applyBorder="1"/>
    <xf numFmtId="0" fontId="93" fillId="28" borderId="87" xfId="4" applyFont="1" applyFill="1" applyBorder="1"/>
    <xf numFmtId="0" fontId="98" fillId="0" borderId="0" xfId="4" applyFont="1" applyBorder="1"/>
    <xf numFmtId="0" fontId="99" fillId="0" borderId="0" xfId="4" applyFont="1" applyBorder="1" applyAlignment="1">
      <alignment horizontal="center"/>
    </xf>
    <xf numFmtId="189" fontId="99" fillId="0" borderId="0" xfId="4" applyNumberFormat="1" applyFont="1" applyBorder="1" applyAlignment="1">
      <alignment horizontal="center"/>
    </xf>
    <xf numFmtId="0" fontId="100" fillId="0" borderId="0" xfId="4" applyFont="1" applyBorder="1"/>
    <xf numFmtId="0" fontId="101" fillId="0" borderId="0" xfId="4" applyFont="1" applyBorder="1"/>
    <xf numFmtId="1" fontId="8" fillId="7" borderId="4" xfId="0" applyNumberFormat="1" applyFont="1" applyFill="1" applyBorder="1" applyAlignment="1">
      <alignment horizontal="center" vertical="center"/>
    </xf>
    <xf numFmtId="3" fontId="33" fillId="0" borderId="0" xfId="0" applyNumberFormat="1" applyFont="1" applyBorder="1" applyAlignment="1"/>
    <xf numFmtId="0" fontId="102" fillId="10" borderId="158" xfId="0" applyNumberFormat="1" applyFont="1" applyFill="1" applyBorder="1" applyAlignment="1">
      <alignment horizontal="centerContinuous"/>
    </xf>
    <xf numFmtId="0" fontId="102" fillId="10" borderId="159" xfId="0" applyNumberFormat="1" applyFont="1" applyFill="1" applyBorder="1" applyAlignment="1">
      <alignment horizontal="centerContinuous"/>
    </xf>
    <xf numFmtId="0" fontId="102" fillId="10" borderId="160" xfId="0" applyNumberFormat="1" applyFont="1" applyFill="1" applyBorder="1" applyAlignment="1">
      <alignment horizontal="centerContinuous"/>
    </xf>
    <xf numFmtId="0" fontId="103" fillId="10" borderId="1" xfId="0" applyNumberFormat="1" applyFont="1" applyFill="1" applyBorder="1" applyAlignment="1" applyProtection="1">
      <alignment horizontal="centerContinuous" vertical="center"/>
      <protection locked="0"/>
    </xf>
    <xf numFmtId="0" fontId="102" fillId="10" borderId="7" xfId="0" applyNumberFormat="1" applyFont="1" applyFill="1" applyBorder="1" applyAlignment="1">
      <alignment horizontal="centerContinuous"/>
    </xf>
    <xf numFmtId="0" fontId="102" fillId="10" borderId="4" xfId="0" applyNumberFormat="1" applyFont="1" applyFill="1" applyBorder="1" applyAlignment="1">
      <alignment horizontal="centerContinuous"/>
    </xf>
    <xf numFmtId="0" fontId="102" fillId="10" borderId="0" xfId="0" applyNumberFormat="1" applyFont="1" applyFill="1" applyBorder="1" applyAlignment="1">
      <alignment horizontal="centerContinuous"/>
    </xf>
    <xf numFmtId="0" fontId="8" fillId="20" borderId="0" xfId="0" applyNumberFormat="1" applyFont="1" applyFill="1" applyBorder="1" applyAlignment="1">
      <alignment horizontal="center"/>
    </xf>
    <xf numFmtId="0" fontId="8" fillId="3" borderId="4" xfId="0" applyNumberFormat="1" applyFont="1" applyFill="1" applyBorder="1" applyAlignment="1">
      <alignment horizontal="center"/>
    </xf>
    <xf numFmtId="3" fontId="8" fillId="3" borderId="11" xfId="0" applyNumberFormat="1" applyFont="1" applyFill="1" applyBorder="1" applyAlignment="1">
      <alignment horizontal="centerContinuous"/>
    </xf>
    <xf numFmtId="165" fontId="8" fillId="0" borderId="0" xfId="0" applyNumberFormat="1" applyFont="1" applyBorder="1" applyAlignment="1">
      <alignment horizontal="centerContinuous"/>
    </xf>
    <xf numFmtId="0" fontId="8" fillId="3" borderId="161" xfId="0" applyNumberFormat="1" applyFont="1" applyFill="1" applyBorder="1" applyAlignment="1">
      <alignment horizontal="centerContinuous"/>
    </xf>
    <xf numFmtId="0" fontId="8" fillId="3" borderId="43" xfId="0" applyNumberFormat="1" applyFont="1" applyFill="1" applyBorder="1" applyAlignment="1">
      <alignment horizontal="centerContinuous"/>
    </xf>
    <xf numFmtId="0" fontId="8" fillId="3" borderId="61" xfId="0" applyNumberFormat="1" applyFont="1" applyFill="1" applyBorder="1" applyAlignment="1">
      <alignment horizontal="centerContinuous"/>
    </xf>
    <xf numFmtId="187" fontId="8" fillId="3" borderId="81" xfId="1" applyNumberFormat="1" applyFont="1" applyFill="1" applyBorder="1" applyAlignment="1"/>
    <xf numFmtId="187" fontId="8" fillId="3" borderId="64" xfId="1" applyNumberFormat="1" applyFont="1" applyFill="1" applyBorder="1" applyAlignment="1">
      <alignment horizontal="centerContinuous"/>
    </xf>
    <xf numFmtId="165" fontId="8" fillId="0" borderId="0" xfId="0" quotePrefix="1" applyNumberFormat="1" applyFont="1" applyBorder="1" applyAlignment="1">
      <alignment horizontal="centerContinuous"/>
    </xf>
    <xf numFmtId="187" fontId="8" fillId="3" borderId="61" xfId="0" applyNumberFormat="1" applyFont="1" applyFill="1" applyBorder="1" applyAlignment="1"/>
    <xf numFmtId="3" fontId="13" fillId="3" borderId="17" xfId="0" applyNumberFormat="1" applyFont="1" applyFill="1" applyBorder="1" applyAlignment="1">
      <alignment horizontal="centerContinuous"/>
    </xf>
    <xf numFmtId="3" fontId="13" fillId="3" borderId="8" xfId="0" applyNumberFormat="1" applyFont="1" applyFill="1" applyBorder="1" applyAlignment="1">
      <alignment horizontal="centerContinuous"/>
    </xf>
    <xf numFmtId="0" fontId="84" fillId="0" borderId="0" xfId="0" applyFont="1" applyBorder="1" applyAlignment="1"/>
    <xf numFmtId="0" fontId="33" fillId="0" borderId="0" xfId="0" applyFont="1" applyBorder="1" applyAlignment="1"/>
    <xf numFmtId="187" fontId="8" fillId="3" borderId="80" xfId="1" applyNumberFormat="1" applyFont="1" applyFill="1" applyBorder="1" applyAlignment="1"/>
    <xf numFmtId="187" fontId="8" fillId="3" borderId="99" xfId="1" applyNumberFormat="1" applyFont="1" applyFill="1" applyBorder="1" applyAlignment="1">
      <alignment horizontal="centerContinuous"/>
    </xf>
    <xf numFmtId="1" fontId="36" fillId="2" borderId="162" xfId="0" applyNumberFormat="1" applyFont="1" applyFill="1" applyBorder="1" applyAlignment="1">
      <alignment horizontal="center"/>
    </xf>
    <xf numFmtId="3" fontId="13" fillId="0" borderId="0" xfId="0" quotePrefix="1" applyNumberFormat="1" applyFont="1" applyAlignment="1"/>
    <xf numFmtId="2" fontId="8" fillId="2" borderId="3" xfId="0" applyNumberFormat="1" applyFont="1" applyFill="1" applyBorder="1" applyAlignment="1">
      <alignment horizontal="center"/>
    </xf>
    <xf numFmtId="3" fontId="99" fillId="0" borderId="0" xfId="4" applyNumberFormat="1" applyFont="1" applyBorder="1" applyAlignment="1">
      <alignment horizontal="center"/>
    </xf>
    <xf numFmtId="3" fontId="104" fillId="0" borderId="0" xfId="4" applyNumberFormat="1" applyFont="1"/>
    <xf numFmtId="3" fontId="93" fillId="28" borderId="77" xfId="4" applyNumberFormat="1" applyFont="1" applyFill="1" applyBorder="1"/>
    <xf numFmtId="0" fontId="4" fillId="0" borderId="75" xfId="0" applyNumberFormat="1" applyFont="1" applyBorder="1" applyAlignment="1"/>
    <xf numFmtId="0" fontId="4" fillId="0" borderId="155" xfId="0" applyNumberFormat="1" applyFont="1" applyBorder="1" applyAlignment="1"/>
    <xf numFmtId="0" fontId="4" fillId="0" borderId="73" xfId="0" applyNumberFormat="1" applyFont="1" applyBorder="1" applyAlignment="1"/>
    <xf numFmtId="3" fontId="8" fillId="2" borderId="5" xfId="0" applyNumberFormat="1" applyFont="1" applyFill="1" applyBorder="1" applyAlignment="1">
      <alignment horizontal="right"/>
    </xf>
    <xf numFmtId="3" fontId="8" fillId="2" borderId="163" xfId="0" applyNumberFormat="1" applyFont="1" applyFill="1" applyBorder="1" applyAlignment="1">
      <alignment horizontal="right"/>
    </xf>
    <xf numFmtId="170" fontId="36" fillId="2" borderId="0" xfId="0" applyNumberFormat="1" applyFont="1" applyFill="1" applyBorder="1" applyAlignment="1">
      <alignment horizontal="center"/>
    </xf>
    <xf numFmtId="170" fontId="36" fillId="2" borderId="0" xfId="0" applyNumberFormat="1" applyFont="1" applyFill="1" applyAlignment="1">
      <alignment horizontal="center"/>
    </xf>
    <xf numFmtId="0" fontId="8" fillId="0" borderId="17" xfId="0" quotePrefix="1" applyNumberFormat="1" applyFont="1" applyBorder="1" applyAlignment="1">
      <alignment horizontal="centerContinuous"/>
    </xf>
    <xf numFmtId="3" fontId="8" fillId="2" borderId="164" xfId="0" applyNumberFormat="1" applyFont="1" applyFill="1" applyBorder="1" applyAlignment="1">
      <alignment horizontal="right"/>
    </xf>
    <xf numFmtId="17" fontId="36" fillId="10" borderId="17" xfId="0" applyNumberFormat="1" applyFont="1" applyFill="1" applyBorder="1" applyAlignment="1">
      <alignment horizontal="center" vertical="center"/>
    </xf>
    <xf numFmtId="170" fontId="33" fillId="0" borderId="6" xfId="0" applyNumberFormat="1" applyFont="1" applyBorder="1" applyAlignment="1" applyProtection="1">
      <protection locked="0"/>
    </xf>
    <xf numFmtId="170" fontId="33" fillId="0" borderId="1" xfId="0" applyNumberFormat="1" applyFont="1" applyBorder="1" applyAlignment="1" applyProtection="1">
      <protection locked="0"/>
    </xf>
    <xf numFmtId="0" fontId="105" fillId="0" borderId="0" xfId="4" applyFont="1" applyBorder="1"/>
    <xf numFmtId="0" fontId="101" fillId="0" borderId="0" xfId="4" applyFont="1" applyBorder="1" applyAlignment="1">
      <alignment horizontal="center"/>
    </xf>
    <xf numFmtId="0" fontId="93" fillId="0" borderId="72" xfId="4" applyFont="1" applyBorder="1"/>
    <xf numFmtId="0" fontId="101" fillId="0" borderId="72" xfId="4" applyFont="1" applyBorder="1"/>
    <xf numFmtId="0" fontId="101" fillId="0" borderId="72" xfId="4" quotePrefix="1" applyFont="1" applyBorder="1" applyAlignment="1">
      <alignment horizontal="center"/>
    </xf>
    <xf numFmtId="0" fontId="99" fillId="0" borderId="72" xfId="4" applyFont="1" applyBorder="1" applyAlignment="1">
      <alignment horizontal="center"/>
    </xf>
    <xf numFmtId="0" fontId="101" fillId="0" borderId="72" xfId="4" applyFont="1" applyBorder="1" applyAlignment="1">
      <alignment horizontal="right"/>
    </xf>
    <xf numFmtId="0" fontId="101" fillId="0" borderId="72" xfId="4" applyFont="1" applyBorder="1" applyAlignment="1">
      <alignment horizontal="center"/>
    </xf>
    <xf numFmtId="189" fontId="99" fillId="0" borderId="72" xfId="4" applyNumberFormat="1" applyFont="1" applyBorder="1" applyAlignment="1">
      <alignment horizontal="center"/>
    </xf>
    <xf numFmtId="3" fontId="99" fillId="0" borderId="72" xfId="4" applyNumberFormat="1" applyFont="1" applyBorder="1" applyAlignment="1">
      <alignment horizontal="center"/>
    </xf>
    <xf numFmtId="3" fontId="104" fillId="0" borderId="72" xfId="4" applyNumberFormat="1" applyFont="1" applyBorder="1"/>
    <xf numFmtId="0" fontId="104" fillId="0" borderId="72" xfId="4" applyFont="1" applyBorder="1"/>
    <xf numFmtId="187" fontId="8" fillId="3" borderId="100" xfId="1" applyNumberFormat="1" applyFont="1" applyFill="1" applyBorder="1" applyAlignment="1"/>
    <xf numFmtId="0" fontId="8" fillId="3" borderId="99" xfId="0" applyNumberFormat="1" applyFont="1" applyFill="1" applyBorder="1" applyAlignment="1">
      <alignment horizontal="centerContinuous"/>
    </xf>
    <xf numFmtId="9" fontId="8" fillId="5" borderId="1" xfId="0" applyNumberFormat="1" applyFont="1" applyFill="1" applyBorder="1" applyAlignment="1"/>
    <xf numFmtId="3" fontId="13" fillId="0" borderId="0" xfId="0" quotePrefix="1" applyNumberFormat="1" applyFont="1" applyAlignment="1">
      <alignment horizontal="left"/>
    </xf>
    <xf numFmtId="4" fontId="8" fillId="10" borderId="0" xfId="0" applyNumberFormat="1" applyFont="1" applyFill="1" applyAlignment="1">
      <alignment vertical="center"/>
    </xf>
    <xf numFmtId="1" fontId="8" fillId="3" borderId="61" xfId="0" applyNumberFormat="1" applyFont="1" applyFill="1" applyBorder="1" applyAlignment="1"/>
    <xf numFmtId="1" fontId="8" fillId="3" borderId="64" xfId="0" applyNumberFormat="1" applyFont="1" applyFill="1" applyBorder="1" applyAlignment="1">
      <alignment horizontal="center"/>
    </xf>
    <xf numFmtId="1" fontId="8" fillId="3" borderId="42" xfId="0" applyNumberFormat="1" applyFont="1" applyFill="1" applyBorder="1" applyAlignment="1"/>
    <xf numFmtId="0" fontId="8" fillId="3" borderId="165" xfId="6" applyNumberFormat="1" applyFont="1" applyFill="1" applyBorder="1" applyAlignment="1"/>
    <xf numFmtId="1" fontId="8" fillId="3" borderId="166" xfId="0" applyNumberFormat="1" applyFont="1" applyFill="1" applyBorder="1" applyAlignment="1">
      <alignment horizontal="center"/>
    </xf>
    <xf numFmtId="0" fontId="8" fillId="3" borderId="80" xfId="0" applyNumberFormat="1" applyFont="1" applyFill="1" applyBorder="1" applyAlignment="1"/>
    <xf numFmtId="0" fontId="13" fillId="3" borderId="80" xfId="0" applyNumberFormat="1" applyFont="1" applyFill="1" applyBorder="1" applyAlignment="1"/>
    <xf numFmtId="1" fontId="36" fillId="2" borderId="143" xfId="0" applyNumberFormat="1" applyFont="1" applyFill="1" applyBorder="1" applyAlignment="1">
      <alignment horizontal="center"/>
    </xf>
    <xf numFmtId="3" fontId="106" fillId="0" borderId="0" xfId="4" applyNumberFormat="1" applyFont="1" applyBorder="1" applyAlignment="1">
      <alignment horizontal="center"/>
    </xf>
    <xf numFmtId="165" fontId="73" fillId="24" borderId="74" xfId="0" applyNumberFormat="1" applyFont="1" applyFill="1" applyBorder="1" applyAlignment="1"/>
    <xf numFmtId="165" fontId="13" fillId="0" borderId="4" xfId="0" applyNumberFormat="1" applyFont="1" applyBorder="1" applyAlignment="1">
      <alignment horizontal="center"/>
    </xf>
    <xf numFmtId="3" fontId="8" fillId="3" borderId="6" xfId="0" quotePrefix="1" applyNumberFormat="1" applyFont="1" applyFill="1" applyBorder="1" applyAlignment="1">
      <alignment horizontal="centerContinuous"/>
    </xf>
    <xf numFmtId="3" fontId="8" fillId="3" borderId="1" xfId="0" quotePrefix="1" applyNumberFormat="1" applyFont="1" applyFill="1" applyBorder="1" applyAlignment="1">
      <alignment horizontal="centerContinuous"/>
    </xf>
    <xf numFmtId="187" fontId="8" fillId="3" borderId="167" xfId="1" quotePrefix="1" applyNumberFormat="1" applyFont="1" applyFill="1" applyBorder="1" applyAlignment="1">
      <alignment horizontal="centerContinuous"/>
    </xf>
    <xf numFmtId="0" fontId="8" fillId="3" borderId="16" xfId="0" quotePrefix="1" applyNumberFormat="1" applyFont="1" applyFill="1" applyBorder="1" applyAlignment="1">
      <alignment horizontal="centerContinuous"/>
    </xf>
    <xf numFmtId="0" fontId="8" fillId="3" borderId="3" xfId="0" quotePrefix="1" applyNumberFormat="1" applyFont="1" applyFill="1" applyBorder="1" applyAlignment="1">
      <alignment horizontal="centerContinuous"/>
    </xf>
    <xf numFmtId="2" fontId="67" fillId="3" borderId="73" xfId="0" applyNumberFormat="1" applyFont="1" applyFill="1" applyBorder="1" applyAlignment="1" applyProtection="1">
      <protection locked="0"/>
    </xf>
    <xf numFmtId="2" fontId="67" fillId="3" borderId="72" xfId="0" applyNumberFormat="1" applyFont="1" applyFill="1" applyBorder="1" applyAlignment="1" applyProtection="1">
      <protection locked="0"/>
    </xf>
    <xf numFmtId="2" fontId="67" fillId="3" borderId="74" xfId="0" applyNumberFormat="1" applyFont="1" applyFill="1" applyBorder="1" applyAlignment="1" applyProtection="1">
      <protection locked="0"/>
    </xf>
    <xf numFmtId="2" fontId="4" fillId="3" borderId="72" xfId="0" applyNumberFormat="1" applyFont="1" applyFill="1" applyBorder="1" applyAlignment="1"/>
    <xf numFmtId="0" fontId="31" fillId="2" borderId="143" xfId="0" applyNumberFormat="1" applyFont="1" applyFill="1" applyBorder="1" applyAlignment="1">
      <alignment horizontal="center"/>
    </xf>
    <xf numFmtId="0" fontId="31" fillId="2" borderId="133" xfId="0" applyNumberFormat="1" applyFont="1" applyFill="1" applyBorder="1" applyAlignment="1">
      <alignment horizontal="center"/>
    </xf>
    <xf numFmtId="1" fontId="31" fillId="2" borderId="133" xfId="0" applyNumberFormat="1" applyFont="1" applyFill="1" applyBorder="1" applyAlignment="1"/>
    <xf numFmtId="165" fontId="31" fillId="2" borderId="84" xfId="0" applyNumberFormat="1" applyFont="1" applyFill="1" applyBorder="1" applyAlignment="1"/>
    <xf numFmtId="3" fontId="31" fillId="2" borderId="84" xfId="0" applyNumberFormat="1" applyFont="1" applyFill="1" applyBorder="1" applyAlignment="1"/>
    <xf numFmtId="1" fontId="31" fillId="2" borderId="84" xfId="0" applyNumberFormat="1" applyFont="1" applyFill="1" applyBorder="1" applyAlignment="1"/>
    <xf numFmtId="1" fontId="31" fillId="2" borderId="83" xfId="0" applyNumberFormat="1" applyFont="1" applyFill="1" applyBorder="1" applyAlignment="1"/>
    <xf numFmtId="1" fontId="31" fillId="2" borderId="85" xfId="0" applyNumberFormat="1" applyFont="1" applyFill="1" applyBorder="1" applyAlignment="1"/>
    <xf numFmtId="1" fontId="31" fillId="2" borderId="134" xfId="0" applyNumberFormat="1" applyFont="1" applyFill="1" applyBorder="1" applyAlignment="1"/>
    <xf numFmtId="165" fontId="31" fillId="2" borderId="84" xfId="0" applyNumberFormat="1" applyFont="1" applyFill="1" applyBorder="1" applyAlignment="1" applyProtection="1">
      <protection locked="0"/>
    </xf>
    <xf numFmtId="2" fontId="31" fillId="2" borderId="133" xfId="0" applyNumberFormat="1" applyFont="1" applyFill="1" applyBorder="1" applyAlignment="1"/>
    <xf numFmtId="2" fontId="31" fillId="2" borderId="84" xfId="0" applyNumberFormat="1" applyFont="1" applyFill="1" applyBorder="1" applyAlignment="1"/>
    <xf numFmtId="165" fontId="31" fillId="2" borderId="133" xfId="0" applyNumberFormat="1" applyFont="1" applyFill="1" applyBorder="1" applyAlignment="1"/>
    <xf numFmtId="0" fontId="31" fillId="2" borderId="133" xfId="0" applyNumberFormat="1" applyFont="1" applyFill="1" applyBorder="1" applyAlignment="1"/>
    <xf numFmtId="0" fontId="34" fillId="2" borderId="133" xfId="0" applyNumberFormat="1" applyFont="1" applyFill="1" applyBorder="1" applyAlignment="1"/>
    <xf numFmtId="0" fontId="34" fillId="2" borderId="84" xfId="0" applyNumberFormat="1" applyFont="1" applyFill="1" applyBorder="1" applyAlignment="1"/>
    <xf numFmtId="0" fontId="34" fillId="2" borderId="0" xfId="0" applyNumberFormat="1" applyFont="1" applyFill="1" applyAlignment="1"/>
    <xf numFmtId="165" fontId="88" fillId="0" borderId="0" xfId="0" applyNumberFormat="1" applyFont="1" applyFill="1" applyBorder="1" applyAlignment="1"/>
    <xf numFmtId="0" fontId="34" fillId="2" borderId="0" xfId="0" applyNumberFormat="1" applyFont="1" applyFill="1" applyBorder="1" applyAlignment="1" applyProtection="1">
      <protection locked="0"/>
    </xf>
    <xf numFmtId="0" fontId="34" fillId="2" borderId="168" xfId="0" applyNumberFormat="1" applyFont="1" applyFill="1" applyBorder="1" applyAlignment="1" applyProtection="1">
      <protection locked="0"/>
    </xf>
    <xf numFmtId="9" fontId="8" fillId="5" borderId="4" xfId="0" applyNumberFormat="1" applyFont="1" applyFill="1" applyBorder="1" applyAlignment="1"/>
    <xf numFmtId="3" fontId="45" fillId="2" borderId="0" xfId="0" applyNumberFormat="1" applyFont="1" applyFill="1" applyBorder="1" applyAlignment="1"/>
    <xf numFmtId="3" fontId="8" fillId="2" borderId="0" xfId="0" applyNumberFormat="1" applyFont="1" applyFill="1" applyBorder="1" applyAlignment="1">
      <alignment horizontal="right"/>
    </xf>
    <xf numFmtId="3" fontId="91" fillId="2" borderId="169" xfId="0" applyNumberFormat="1" applyFont="1" applyFill="1" applyBorder="1" applyAlignment="1">
      <alignment horizontal="center"/>
    </xf>
    <xf numFmtId="3" fontId="8" fillId="2" borderId="171" xfId="0" applyNumberFormat="1" applyFont="1" applyFill="1" applyBorder="1" applyAlignment="1">
      <alignment horizontal="right"/>
    </xf>
    <xf numFmtId="3" fontId="8" fillId="2" borderId="135" xfId="0" applyNumberFormat="1" applyFont="1" applyFill="1" applyBorder="1" applyAlignment="1">
      <alignment horizontal="right"/>
    </xf>
    <xf numFmtId="0" fontId="13" fillId="0" borderId="0" xfId="0" applyNumberFormat="1" applyFont="1" applyBorder="1" applyAlignment="1">
      <alignment horizontal="right"/>
    </xf>
    <xf numFmtId="179" fontId="13" fillId="0" borderId="0" xfId="0" applyNumberFormat="1" applyFont="1" applyBorder="1" applyAlignment="1" applyProtection="1">
      <protection locked="0"/>
    </xf>
    <xf numFmtId="0" fontId="8" fillId="2" borderId="0" xfId="0" applyNumberFormat="1" applyFont="1" applyFill="1" applyBorder="1" applyAlignment="1">
      <alignment horizontal="right"/>
    </xf>
    <xf numFmtId="3" fontId="8" fillId="2" borderId="131" xfId="0" applyNumberFormat="1" applyFont="1" applyFill="1" applyBorder="1" applyAlignment="1" applyProtection="1">
      <alignment horizontal="right"/>
      <protection locked="0"/>
    </xf>
    <xf numFmtId="1" fontId="42" fillId="2" borderId="129" xfId="0" applyNumberFormat="1" applyFont="1" applyFill="1" applyBorder="1" applyAlignment="1">
      <alignment horizontal="center"/>
    </xf>
    <xf numFmtId="3" fontId="104" fillId="0" borderId="0" xfId="4" applyNumberFormat="1" applyFont="1" applyAlignment="1">
      <alignment horizontal="center"/>
    </xf>
    <xf numFmtId="0" fontId="93" fillId="0" borderId="0" xfId="4" applyFont="1" applyAlignment="1">
      <alignment horizontal="center"/>
    </xf>
    <xf numFmtId="1"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31" fillId="2" borderId="5" xfId="0" applyNumberFormat="1" applyFont="1" applyFill="1" applyBorder="1" applyAlignment="1"/>
    <xf numFmtId="0" fontId="84" fillId="0" borderId="7" xfId="0" applyNumberFormat="1" applyFont="1" applyBorder="1" applyAlignment="1"/>
    <xf numFmtId="1" fontId="36" fillId="2" borderId="66" xfId="0" applyNumberFormat="1" applyFont="1" applyFill="1" applyBorder="1" applyAlignment="1">
      <alignment horizontal="center"/>
    </xf>
    <xf numFmtId="1" fontId="36" fillId="2" borderId="171" xfId="0" applyNumberFormat="1" applyFont="1" applyFill="1" applyBorder="1" applyAlignment="1">
      <alignment horizontal="center"/>
    </xf>
    <xf numFmtId="1" fontId="36" fillId="2" borderId="172" xfId="0" applyNumberFormat="1" applyFont="1" applyFill="1" applyBorder="1" applyAlignment="1">
      <alignment horizontal="center"/>
    </xf>
    <xf numFmtId="1" fontId="33" fillId="0" borderId="8" xfId="0" applyNumberFormat="1" applyFont="1" applyFill="1" applyBorder="1" applyAlignment="1" applyProtection="1">
      <protection locked="0"/>
    </xf>
    <xf numFmtId="0" fontId="33" fillId="0" borderId="8" xfId="0" applyNumberFormat="1" applyFont="1" applyFill="1" applyBorder="1" applyAlignment="1" applyProtection="1">
      <protection locked="0"/>
    </xf>
    <xf numFmtId="165" fontId="33" fillId="0" borderId="1" xfId="0" applyNumberFormat="1" applyFont="1" applyFill="1" applyBorder="1" applyAlignment="1" applyProtection="1">
      <protection locked="0"/>
    </xf>
    <xf numFmtId="0" fontId="33" fillId="0" borderId="5" xfId="0" applyNumberFormat="1" applyFont="1" applyFill="1" applyBorder="1" applyAlignment="1" applyProtection="1">
      <protection locked="0"/>
    </xf>
    <xf numFmtId="1" fontId="33" fillId="0" borderId="5" xfId="0" applyNumberFormat="1" applyFont="1" applyFill="1" applyBorder="1" applyAlignment="1" applyProtection="1">
      <protection locked="0"/>
    </xf>
    <xf numFmtId="1" fontId="34" fillId="0" borderId="92" xfId="0" applyNumberFormat="1" applyFont="1" applyBorder="1" applyAlignment="1">
      <alignment horizontal="centerContinuous" vertical="center"/>
    </xf>
    <xf numFmtId="165" fontId="33" fillId="0" borderId="3" xfId="0" applyNumberFormat="1" applyFont="1" applyFill="1" applyBorder="1" applyAlignment="1" applyProtection="1">
      <protection locked="0"/>
    </xf>
    <xf numFmtId="1" fontId="8" fillId="3" borderId="3" xfId="0" quotePrefix="1" applyNumberFormat="1" applyFont="1" applyFill="1" applyBorder="1" applyAlignment="1">
      <alignment horizontal="center"/>
    </xf>
    <xf numFmtId="0" fontId="8" fillId="3" borderId="1" xfId="0" quotePrefix="1" applyNumberFormat="1" applyFont="1" applyFill="1" applyBorder="1" applyAlignment="1">
      <alignment horizontal="center"/>
    </xf>
    <xf numFmtId="165" fontId="33" fillId="0" borderId="171" xfId="0" applyNumberFormat="1" applyFont="1" applyBorder="1" applyAlignment="1" applyProtection="1">
      <protection locked="0"/>
    </xf>
    <xf numFmtId="165" fontId="33" fillId="0" borderId="0" xfId="0" applyNumberFormat="1" applyFont="1" applyBorder="1" applyAlignment="1" applyProtection="1">
      <protection locked="0"/>
    </xf>
    <xf numFmtId="165" fontId="33" fillId="0" borderId="173" xfId="0" applyNumberFormat="1" applyFont="1" applyBorder="1" applyAlignment="1" applyProtection="1">
      <protection locked="0"/>
    </xf>
    <xf numFmtId="1" fontId="36" fillId="0" borderId="8" xfId="0" applyNumberFormat="1" applyFont="1" applyFill="1" applyBorder="1" applyAlignment="1">
      <alignment horizontal="center" vertical="center"/>
    </xf>
    <xf numFmtId="1" fontId="8" fillId="0" borderId="1" xfId="0" applyNumberFormat="1" applyFont="1" applyFill="1" applyBorder="1" applyAlignment="1"/>
    <xf numFmtId="165" fontId="8" fillId="0" borderId="1" xfId="0" applyNumberFormat="1" applyFont="1" applyFill="1" applyBorder="1" applyAlignment="1"/>
    <xf numFmtId="187" fontId="84" fillId="0" borderId="174" xfId="0" applyNumberFormat="1" applyFont="1" applyBorder="1" applyAlignment="1"/>
    <xf numFmtId="0" fontId="33" fillId="0" borderId="72" xfId="0" applyNumberFormat="1" applyFont="1" applyBorder="1" applyAlignment="1"/>
    <xf numFmtId="187" fontId="0" fillId="0" borderId="175" xfId="1" applyNumberFormat="1" applyFont="1" applyBorder="1"/>
    <xf numFmtId="187" fontId="84" fillId="0" borderId="176" xfId="0" applyNumberFormat="1" applyFont="1" applyBorder="1" applyAlignment="1"/>
    <xf numFmtId="0" fontId="33" fillId="0" borderId="177" xfId="0" applyNumberFormat="1" applyFont="1" applyBorder="1" applyAlignment="1"/>
    <xf numFmtId="0" fontId="33" fillId="0" borderId="178" xfId="0" applyNumberFormat="1" applyFont="1" applyBorder="1" applyAlignment="1"/>
    <xf numFmtId="0" fontId="0" fillId="0" borderId="179" xfId="0" applyBorder="1"/>
    <xf numFmtId="0" fontId="0" fillId="0" borderId="180" xfId="0" applyBorder="1"/>
    <xf numFmtId="0" fontId="84" fillId="0" borderId="178" xfId="0" applyNumberFormat="1" applyFont="1" applyBorder="1" applyAlignment="1"/>
    <xf numFmtId="0" fontId="33" fillId="0" borderId="181" xfId="0" applyNumberFormat="1" applyFont="1" applyBorder="1" applyAlignment="1"/>
    <xf numFmtId="0" fontId="33" fillId="0" borderId="176" xfId="0" applyNumberFormat="1" applyFont="1" applyBorder="1" applyAlignment="1">
      <alignment horizontal="center"/>
    </xf>
    <xf numFmtId="0" fontId="33" fillId="0" borderId="174" xfId="0" applyNumberFormat="1" applyFont="1" applyBorder="1" applyAlignment="1">
      <alignment horizontal="center"/>
    </xf>
    <xf numFmtId="0" fontId="0" fillId="0" borderId="182" xfId="0" applyBorder="1"/>
    <xf numFmtId="0" fontId="33" fillId="0" borderId="183" xfId="0" applyNumberFormat="1" applyFont="1" applyBorder="1" applyAlignment="1"/>
    <xf numFmtId="0" fontId="84" fillId="0" borderId="177" xfId="0" applyNumberFormat="1" applyFont="1" applyBorder="1" applyAlignment="1"/>
    <xf numFmtId="187" fontId="84" fillId="0" borderId="184" xfId="0" applyNumberFormat="1" applyFont="1" applyBorder="1" applyAlignment="1"/>
    <xf numFmtId="187" fontId="84" fillId="0" borderId="185" xfId="0" applyNumberFormat="1" applyFont="1" applyBorder="1" applyAlignment="1"/>
    <xf numFmtId="1" fontId="36" fillId="3" borderId="4" xfId="0" quotePrefix="1" applyNumberFormat="1" applyFont="1" applyFill="1" applyBorder="1" applyAlignment="1">
      <alignment horizontal="centerContinuous"/>
    </xf>
    <xf numFmtId="0" fontId="84" fillId="0" borderId="72" xfId="0" applyNumberFormat="1" applyFont="1" applyBorder="1" applyAlignment="1"/>
    <xf numFmtId="0" fontId="84" fillId="0" borderId="72" xfId="0" applyNumberFormat="1" applyFont="1" applyFill="1" applyBorder="1" applyAlignment="1"/>
    <xf numFmtId="3" fontId="93" fillId="0" borderId="0" xfId="4" applyNumberFormat="1" applyFont="1"/>
    <xf numFmtId="3" fontId="93" fillId="0" borderId="0" xfId="4" applyNumberFormat="1" applyFont="1" applyBorder="1"/>
    <xf numFmtId="1" fontId="8" fillId="3" borderId="4" xfId="0" applyNumberFormat="1" applyFont="1" applyFill="1" applyBorder="1" applyAlignment="1">
      <alignment horizontal="center"/>
    </xf>
    <xf numFmtId="3" fontId="13" fillId="3" borderId="4" xfId="0" applyNumberFormat="1" applyFont="1" applyFill="1" applyBorder="1" applyAlignment="1"/>
    <xf numFmtId="3" fontId="8" fillId="3" borderId="11" xfId="0" applyNumberFormat="1" applyFont="1" applyFill="1" applyBorder="1" applyAlignment="1">
      <alignment horizontal="center"/>
    </xf>
    <xf numFmtId="3" fontId="8" fillId="3" borderId="4" xfId="0" applyNumberFormat="1" applyFont="1" applyFill="1" applyBorder="1" applyAlignment="1">
      <alignment horizontal="center"/>
    </xf>
    <xf numFmtId="0" fontId="44" fillId="3" borderId="0" xfId="0" applyNumberFormat="1" applyFont="1" applyFill="1" applyBorder="1" applyAlignment="1"/>
    <xf numFmtId="0" fontId="8" fillId="3" borderId="42" xfId="0" applyNumberFormat="1" applyFont="1" applyFill="1" applyBorder="1" applyAlignment="1">
      <alignment horizontal="centerContinuous"/>
    </xf>
    <xf numFmtId="0" fontId="8" fillId="3" borderId="55" xfId="0" applyNumberFormat="1" applyFont="1" applyFill="1" applyBorder="1" applyAlignment="1">
      <alignment horizontal="centerContinuous"/>
    </xf>
    <xf numFmtId="1" fontId="8" fillId="3" borderId="57" xfId="0" applyNumberFormat="1" applyFont="1" applyFill="1" applyBorder="1" applyAlignment="1">
      <alignment horizontal="center"/>
    </xf>
    <xf numFmtId="1" fontId="8" fillId="3" borderId="100" xfId="0" applyNumberFormat="1" applyFont="1" applyFill="1" applyBorder="1" applyAlignment="1">
      <alignment horizontal="center"/>
    </xf>
    <xf numFmtId="165" fontId="8" fillId="3" borderId="81" xfId="0" applyNumberFormat="1" applyFont="1" applyFill="1" applyBorder="1" applyAlignment="1" applyProtection="1">
      <protection locked="0"/>
    </xf>
    <xf numFmtId="1" fontId="8" fillId="3" borderId="82" xfId="0" applyNumberFormat="1" applyFont="1" applyFill="1" applyBorder="1" applyAlignment="1"/>
    <xf numFmtId="165" fontId="8" fillId="3" borderId="61" xfId="0" applyNumberFormat="1" applyFont="1" applyFill="1" applyBorder="1" applyAlignment="1" applyProtection="1">
      <protection locked="0"/>
    </xf>
    <xf numFmtId="1" fontId="8" fillId="3" borderId="80" xfId="0" applyNumberFormat="1" applyFont="1" applyFill="1" applyBorder="1" applyAlignment="1"/>
    <xf numFmtId="165" fontId="13" fillId="3" borderId="61" xfId="0" applyNumberFormat="1" applyFont="1" applyFill="1" applyBorder="1" applyAlignment="1" applyProtection="1">
      <protection locked="0"/>
    </xf>
    <xf numFmtId="1" fontId="13" fillId="3" borderId="80" xfId="0" applyNumberFormat="1" applyFont="1" applyFill="1" applyBorder="1" applyAlignment="1"/>
    <xf numFmtId="3" fontId="8" fillId="3" borderId="186" xfId="0" applyNumberFormat="1" applyFont="1" applyFill="1" applyBorder="1" applyAlignment="1">
      <alignment horizontal="center"/>
    </xf>
    <xf numFmtId="3" fontId="8" fillId="3" borderId="167" xfId="0" applyNumberFormat="1" applyFont="1" applyFill="1" applyBorder="1" applyAlignment="1">
      <alignment horizontal="center"/>
    </xf>
    <xf numFmtId="0" fontId="8" fillId="3" borderId="64" xfId="0" applyNumberFormat="1" applyFont="1" applyFill="1" applyBorder="1" applyAlignment="1">
      <alignment horizontal="center"/>
    </xf>
    <xf numFmtId="3" fontId="8" fillId="3" borderId="66" xfId="0" applyNumberFormat="1" applyFont="1" applyFill="1" applyBorder="1" applyAlignment="1">
      <alignment horizontal="center"/>
    </xf>
    <xf numFmtId="0" fontId="8" fillId="3" borderId="99" xfId="0" applyNumberFormat="1" applyFont="1" applyFill="1" applyBorder="1" applyAlignment="1">
      <alignment horizontal="center"/>
    </xf>
    <xf numFmtId="3" fontId="8" fillId="3" borderId="81" xfId="0" applyNumberFormat="1" applyFont="1" applyFill="1" applyBorder="1" applyAlignment="1" applyProtection="1">
      <protection locked="0"/>
    </xf>
    <xf numFmtId="165" fontId="8" fillId="3" borderId="16" xfId="0" applyNumberFormat="1" applyFont="1" applyFill="1" applyBorder="1" applyAlignment="1" applyProtection="1">
      <alignment horizontal="center"/>
      <protection locked="0"/>
    </xf>
    <xf numFmtId="165" fontId="8" fillId="3" borderId="82" xfId="0" applyNumberFormat="1" applyFont="1" applyFill="1" applyBorder="1" applyAlignment="1" applyProtection="1">
      <protection locked="0"/>
    </xf>
    <xf numFmtId="3" fontId="8" fillId="3" borderId="61" xfId="0" applyNumberFormat="1" applyFont="1" applyFill="1" applyBorder="1" applyAlignment="1" applyProtection="1">
      <alignment horizontal="center"/>
      <protection locked="0"/>
    </xf>
    <xf numFmtId="3" fontId="8" fillId="3" borderId="61" xfId="0" applyNumberFormat="1" applyFont="1" applyFill="1" applyBorder="1" applyAlignment="1" applyProtection="1">
      <protection locked="0"/>
    </xf>
    <xf numFmtId="3" fontId="13" fillId="3" borderId="61" xfId="0" applyNumberFormat="1" applyFont="1" applyFill="1" applyBorder="1" applyAlignment="1" applyProtection="1">
      <alignment horizontal="center"/>
      <protection locked="0"/>
    </xf>
    <xf numFmtId="187" fontId="8" fillId="3" borderId="186" xfId="1" applyNumberFormat="1" applyFont="1" applyFill="1" applyBorder="1" applyAlignment="1">
      <alignment horizontal="center"/>
    </xf>
    <xf numFmtId="187" fontId="8" fillId="3" borderId="6" xfId="1" applyNumberFormat="1" applyFont="1" applyFill="1" applyBorder="1" applyAlignment="1">
      <alignment horizontal="center"/>
    </xf>
    <xf numFmtId="165" fontId="8" fillId="3" borderId="64" xfId="0" applyNumberFormat="1" applyFont="1" applyFill="1" applyBorder="1" applyAlignment="1">
      <alignment horizontal="center"/>
    </xf>
    <xf numFmtId="0" fontId="8" fillId="3" borderId="66" xfId="0" applyNumberFormat="1" applyFont="1" applyFill="1" applyBorder="1" applyAlignment="1">
      <alignment horizontal="center"/>
    </xf>
    <xf numFmtId="1" fontId="8" fillId="3" borderId="66" xfId="0" applyNumberFormat="1" applyFont="1" applyFill="1" applyBorder="1" applyAlignment="1">
      <alignment horizontal="center"/>
    </xf>
    <xf numFmtId="0" fontId="93" fillId="28" borderId="150" xfId="4" applyFont="1" applyFill="1" applyBorder="1"/>
    <xf numFmtId="0" fontId="93" fillId="0" borderId="77" xfId="4" applyFont="1" applyFill="1" applyBorder="1"/>
    <xf numFmtId="3" fontId="93" fillId="0" borderId="87" xfId="4" applyNumberFormat="1" applyFont="1" applyFill="1" applyBorder="1"/>
    <xf numFmtId="1" fontId="8" fillId="3" borderId="4" xfId="0" applyNumberFormat="1" applyFont="1" applyFill="1" applyBorder="1" applyAlignment="1"/>
    <xf numFmtId="1" fontId="8" fillId="2" borderId="72" xfId="0" applyNumberFormat="1" applyFont="1" applyFill="1" applyBorder="1" applyAlignment="1" applyProtection="1">
      <protection locked="0"/>
    </xf>
    <xf numFmtId="1" fontId="8" fillId="2" borderId="132" xfId="0" applyNumberFormat="1" applyFont="1" applyFill="1" applyBorder="1" applyAlignment="1" applyProtection="1">
      <protection locked="0"/>
    </xf>
    <xf numFmtId="0" fontId="36" fillId="2" borderId="24" xfId="0" applyNumberFormat="1" applyFont="1" applyFill="1" applyBorder="1" applyAlignment="1">
      <alignment horizontal="centerContinuous"/>
    </xf>
    <xf numFmtId="1" fontId="36" fillId="2" borderId="33" xfId="0" applyNumberFormat="1" applyFont="1" applyFill="1" applyBorder="1" applyAlignment="1">
      <alignment horizontal="center"/>
    </xf>
    <xf numFmtId="1" fontId="36" fillId="2" borderId="170" xfId="0" applyNumberFormat="1" applyFont="1" applyFill="1" applyBorder="1" applyAlignment="1">
      <alignment horizontal="center"/>
    </xf>
    <xf numFmtId="0" fontId="36" fillId="2" borderId="42" xfId="0" applyNumberFormat="1" applyFont="1" applyFill="1" applyBorder="1" applyAlignment="1" applyProtection="1">
      <protection locked="0"/>
    </xf>
    <xf numFmtId="0" fontId="36" fillId="2" borderId="56" xfId="0" applyNumberFormat="1" applyFont="1" applyFill="1" applyBorder="1" applyAlignment="1" applyProtection="1">
      <protection locked="0"/>
    </xf>
    <xf numFmtId="1" fontId="36" fillId="2" borderId="56" xfId="0" applyNumberFormat="1" applyFont="1" applyFill="1" applyBorder="1" applyAlignment="1" applyProtection="1">
      <protection locked="0"/>
    </xf>
    <xf numFmtId="0" fontId="36" fillId="2" borderId="61" xfId="0" applyNumberFormat="1" applyFont="1" applyFill="1" applyBorder="1" applyAlignment="1" applyProtection="1">
      <protection locked="0"/>
    </xf>
    <xf numFmtId="165" fontId="36" fillId="2" borderId="134" xfId="0" applyNumberFormat="1" applyFont="1" applyFill="1" applyBorder="1" applyAlignment="1"/>
    <xf numFmtId="1" fontId="36" fillId="2" borderId="165" xfId="0" applyNumberFormat="1" applyFont="1" applyFill="1" applyBorder="1" applyAlignment="1" applyProtection="1">
      <protection locked="0"/>
    </xf>
    <xf numFmtId="0" fontId="113" fillId="2" borderId="17" xfId="0" applyNumberFormat="1" applyFont="1" applyFill="1" applyBorder="1" applyAlignment="1">
      <alignment horizontal="centerContinuous"/>
    </xf>
    <xf numFmtId="0" fontId="113" fillId="2" borderId="7" xfId="0" applyNumberFormat="1" applyFont="1" applyFill="1" applyBorder="1" applyAlignment="1">
      <alignment horizontal="centerContinuous"/>
    </xf>
    <xf numFmtId="0" fontId="113" fillId="2" borderId="4" xfId="0" applyNumberFormat="1" applyFont="1" applyFill="1" applyBorder="1" applyAlignment="1">
      <alignment horizontal="centerContinuous"/>
    </xf>
    <xf numFmtId="0" fontId="113" fillId="2" borderId="187" xfId="0" applyNumberFormat="1" applyFont="1" applyFill="1" applyBorder="1" applyAlignment="1">
      <alignment horizontal="centerContinuous"/>
    </xf>
    <xf numFmtId="1" fontId="113" fillId="2" borderId="1" xfId="0" applyNumberFormat="1" applyFont="1" applyFill="1" applyBorder="1" applyAlignment="1">
      <alignment horizontal="center"/>
    </xf>
    <xf numFmtId="1" fontId="113" fillId="2" borderId="188" xfId="0" applyNumberFormat="1" applyFont="1" applyFill="1" applyBorder="1" applyAlignment="1">
      <alignment horizontal="center"/>
    </xf>
    <xf numFmtId="1" fontId="113" fillId="2" borderId="33" xfId="0" applyNumberFormat="1" applyFont="1" applyFill="1" applyBorder="1" applyAlignment="1">
      <alignment horizontal="center"/>
    </xf>
    <xf numFmtId="1" fontId="113" fillId="2" borderId="66" xfId="0" applyNumberFormat="1" applyFont="1" applyFill="1" applyBorder="1" applyAlignment="1">
      <alignment horizontal="center"/>
    </xf>
    <xf numFmtId="165" fontId="23" fillId="2" borderId="157" xfId="0" applyNumberFormat="1" applyFont="1" applyFill="1" applyBorder="1" applyAlignment="1">
      <alignment wrapText="1"/>
    </xf>
    <xf numFmtId="0" fontId="30" fillId="2" borderId="7" xfId="0" applyNumberFormat="1" applyFont="1" applyFill="1" applyBorder="1" applyAlignment="1" applyProtection="1">
      <protection locked="0"/>
    </xf>
    <xf numFmtId="0" fontId="30" fillId="2" borderId="4" xfId="0" applyNumberFormat="1" applyFont="1" applyFill="1" applyBorder="1" applyAlignment="1" applyProtection="1">
      <protection locked="0"/>
    </xf>
    <xf numFmtId="165" fontId="31" fillId="2" borderId="134" xfId="0" applyNumberFormat="1" applyFont="1" applyFill="1" applyBorder="1" applyAlignment="1"/>
    <xf numFmtId="165" fontId="23" fillId="2" borderId="189" xfId="0" applyNumberFormat="1" applyFont="1" applyFill="1" applyBorder="1" applyAlignment="1">
      <alignment wrapText="1"/>
    </xf>
    <xf numFmtId="0" fontId="30" fillId="2" borderId="42" xfId="0" applyNumberFormat="1" applyFont="1" applyFill="1" applyBorder="1" applyAlignment="1" applyProtection="1">
      <protection locked="0"/>
    </xf>
    <xf numFmtId="0" fontId="30" fillId="2" borderId="56" xfId="0" applyNumberFormat="1" applyFont="1" applyFill="1" applyBorder="1" applyAlignment="1" applyProtection="1">
      <protection locked="0"/>
    </xf>
    <xf numFmtId="165" fontId="30" fillId="2" borderId="56" xfId="0" applyNumberFormat="1" applyFont="1" applyFill="1" applyBorder="1" applyAlignment="1" applyProtection="1">
      <protection locked="0"/>
    </xf>
    <xf numFmtId="1" fontId="30" fillId="2" borderId="56" xfId="0" applyNumberFormat="1" applyFont="1" applyFill="1" applyBorder="1" applyAlignment="1" applyProtection="1">
      <protection locked="0"/>
    </xf>
    <xf numFmtId="1" fontId="30" fillId="2" borderId="165" xfId="0" applyNumberFormat="1" applyFont="1" applyFill="1" applyBorder="1" applyAlignment="1" applyProtection="1">
      <protection locked="0"/>
    </xf>
    <xf numFmtId="1" fontId="30" fillId="2" borderId="80" xfId="0" applyNumberFormat="1" applyFont="1" applyFill="1" applyBorder="1" applyAlignment="1" applyProtection="1">
      <protection locked="0"/>
    </xf>
    <xf numFmtId="165" fontId="30" fillId="2" borderId="61" xfId="0" applyNumberFormat="1" applyFont="1" applyFill="1" applyBorder="1" applyAlignment="1" applyProtection="1">
      <protection locked="0"/>
    </xf>
    <xf numFmtId="165" fontId="31" fillId="2" borderId="83" xfId="0" applyNumberFormat="1" applyFont="1" applyFill="1" applyBorder="1" applyAlignment="1"/>
    <xf numFmtId="165" fontId="23" fillId="2" borderId="129" xfId="0" applyNumberFormat="1" applyFont="1" applyFill="1" applyBorder="1" applyAlignment="1">
      <alignment wrapText="1"/>
    </xf>
    <xf numFmtId="2" fontId="23" fillId="2" borderId="131" xfId="0" applyNumberFormat="1" applyFont="1" applyFill="1" applyBorder="1" applyAlignment="1">
      <alignment wrapText="1"/>
    </xf>
    <xf numFmtId="0" fontId="6" fillId="2" borderId="0" xfId="0" applyNumberFormat="1" applyFont="1" applyFill="1" applyBorder="1" applyAlignment="1"/>
    <xf numFmtId="1" fontId="21" fillId="2" borderId="4" xfId="0" applyNumberFormat="1" applyFont="1" applyFill="1" applyBorder="1" applyAlignment="1">
      <alignment horizontal="center"/>
    </xf>
    <xf numFmtId="0" fontId="113" fillId="2" borderId="42" xfId="0" applyNumberFormat="1" applyFont="1" applyFill="1" applyBorder="1" applyAlignment="1">
      <alignment horizontal="centerContinuous"/>
    </xf>
    <xf numFmtId="0" fontId="113" fillId="2" borderId="55" xfId="0" applyNumberFormat="1" applyFont="1" applyFill="1" applyBorder="1" applyAlignment="1">
      <alignment horizontal="centerContinuous"/>
    </xf>
    <xf numFmtId="0" fontId="113" fillId="2" borderId="56" xfId="0" applyNumberFormat="1" applyFont="1" applyFill="1" applyBorder="1" applyAlignment="1">
      <alignment horizontal="centerContinuous"/>
    </xf>
    <xf numFmtId="0" fontId="113" fillId="2" borderId="43" xfId="0" applyNumberFormat="1" applyFont="1" applyFill="1" applyBorder="1" applyAlignment="1">
      <alignment horizontal="centerContinuous"/>
    </xf>
    <xf numFmtId="0" fontId="113" fillId="2" borderId="61" xfId="0" applyNumberFormat="1" applyFont="1" applyFill="1" applyBorder="1" applyAlignment="1">
      <alignment horizontal="centerContinuous"/>
    </xf>
    <xf numFmtId="0" fontId="113" fillId="2" borderId="80" xfId="0" applyNumberFormat="1" applyFont="1" applyFill="1" applyBorder="1" applyAlignment="1">
      <alignment horizontal="centerContinuous"/>
    </xf>
    <xf numFmtId="1" fontId="113" fillId="2" borderId="61" xfId="0" applyNumberFormat="1" applyFont="1" applyFill="1" applyBorder="1" applyAlignment="1">
      <alignment horizontal="center"/>
    </xf>
    <xf numFmtId="1" fontId="113" fillId="2" borderId="190" xfId="0" applyNumberFormat="1" applyFont="1" applyFill="1" applyBorder="1" applyAlignment="1">
      <alignment horizontal="center"/>
    </xf>
    <xf numFmtId="1" fontId="113" fillId="2" borderId="64" xfId="0" applyNumberFormat="1" applyFont="1" applyFill="1" applyBorder="1" applyAlignment="1">
      <alignment horizontal="center"/>
    </xf>
    <xf numFmtId="1" fontId="113" fillId="2" borderId="99" xfId="0" applyNumberFormat="1" applyFont="1" applyFill="1" applyBorder="1" applyAlignment="1">
      <alignment horizontal="center"/>
    </xf>
    <xf numFmtId="1" fontId="36" fillId="2" borderId="109" xfId="0" applyNumberFormat="1" applyFont="1" applyFill="1" applyBorder="1" applyAlignment="1">
      <alignment horizontal="center"/>
    </xf>
    <xf numFmtId="1" fontId="36" fillId="2" borderId="144" xfId="0" applyNumberFormat="1" applyFont="1" applyFill="1" applyBorder="1" applyAlignment="1">
      <alignment horizontal="center"/>
    </xf>
    <xf numFmtId="0" fontId="114" fillId="0" borderId="7" xfId="0" applyNumberFormat="1" applyFont="1" applyBorder="1" applyAlignment="1" applyProtection="1">
      <protection locked="0"/>
    </xf>
    <xf numFmtId="1" fontId="13" fillId="3" borderId="4" xfId="0" applyNumberFormat="1" applyFont="1" applyFill="1" applyBorder="1" applyAlignment="1"/>
    <xf numFmtId="0" fontId="36" fillId="2" borderId="61" xfId="0" applyNumberFormat="1" applyFont="1" applyFill="1" applyBorder="1" applyAlignment="1">
      <alignment horizontal="centerContinuous"/>
    </xf>
    <xf numFmtId="0" fontId="36" fillId="2" borderId="57" xfId="0" applyNumberFormat="1" applyFont="1" applyFill="1" applyBorder="1" applyAlignment="1"/>
    <xf numFmtId="0" fontId="8" fillId="3" borderId="61" xfId="0" applyNumberFormat="1" applyFont="1" applyFill="1" applyBorder="1" applyAlignment="1">
      <alignment horizontal="center"/>
    </xf>
    <xf numFmtId="165" fontId="8" fillId="3" borderId="81" xfId="0" applyNumberFormat="1" applyFont="1" applyFill="1" applyBorder="1" applyAlignment="1"/>
    <xf numFmtId="165" fontId="8" fillId="3" borderId="61" xfId="0" applyNumberFormat="1" applyFont="1" applyFill="1" applyBorder="1" applyAlignment="1"/>
    <xf numFmtId="165" fontId="13" fillId="3" borderId="61" xfId="0" applyNumberFormat="1" applyFont="1" applyFill="1" applyBorder="1" applyAlignment="1"/>
    <xf numFmtId="165" fontId="8" fillId="3" borderId="83" xfId="0" applyNumberFormat="1" applyFont="1" applyFill="1" applyBorder="1" applyAlignment="1">
      <alignment horizontal="centerContinuous"/>
    </xf>
    <xf numFmtId="165" fontId="8" fillId="3" borderId="84" xfId="0" applyNumberFormat="1" applyFont="1" applyFill="1" applyBorder="1" applyAlignment="1">
      <alignment horizontal="centerContinuous"/>
    </xf>
    <xf numFmtId="1" fontId="8" fillId="3" borderId="84" xfId="0" applyNumberFormat="1" applyFont="1" applyFill="1" applyBorder="1" applyAlignment="1">
      <alignment horizontal="centerContinuous"/>
    </xf>
    <xf numFmtId="2" fontId="83" fillId="2" borderId="135" xfId="0" applyNumberFormat="1" applyFont="1" applyFill="1" applyBorder="1" applyAlignment="1">
      <alignment horizontal="right"/>
    </xf>
    <xf numFmtId="1" fontId="8" fillId="2" borderId="0" xfId="0" applyNumberFormat="1" applyFont="1" applyFill="1" applyBorder="1" applyAlignment="1" applyProtection="1">
      <alignment horizontal="center"/>
      <protection locked="0"/>
    </xf>
    <xf numFmtId="2" fontId="84" fillId="0" borderId="0" xfId="0" applyNumberFormat="1" applyFont="1" applyAlignment="1">
      <alignment horizontal="center"/>
    </xf>
    <xf numFmtId="0" fontId="115" fillId="0" borderId="0" xfId="0" applyNumberFormat="1" applyFont="1" applyAlignment="1">
      <alignment vertical="center"/>
    </xf>
    <xf numFmtId="3" fontId="13" fillId="0" borderId="42" xfId="0" applyNumberFormat="1" applyFont="1" applyBorder="1" applyAlignment="1">
      <alignment horizontal="centerContinuous"/>
    </xf>
    <xf numFmtId="3" fontId="13" fillId="0" borderId="191" xfId="0" applyNumberFormat="1" applyFont="1" applyBorder="1" applyAlignment="1">
      <alignment horizontal="center"/>
    </xf>
    <xf numFmtId="3" fontId="13" fillId="0" borderId="192" xfId="0" applyNumberFormat="1" applyFont="1" applyBorder="1" applyAlignment="1">
      <alignment horizontal="center" wrapText="1"/>
    </xf>
    <xf numFmtId="3" fontId="13" fillId="0" borderId="61" xfId="0" applyNumberFormat="1" applyFont="1" applyBorder="1" applyAlignment="1">
      <alignment horizontal="center" wrapText="1"/>
    </xf>
    <xf numFmtId="3" fontId="13" fillId="0" borderId="55" xfId="0" applyNumberFormat="1" applyFont="1" applyBorder="1" applyAlignment="1">
      <alignment horizontal="centerContinuous"/>
    </xf>
    <xf numFmtId="3" fontId="13" fillId="0" borderId="98" xfId="0" applyNumberFormat="1" applyFont="1" applyBorder="1" applyAlignment="1">
      <alignment horizontal="centerContinuous"/>
    </xf>
    <xf numFmtId="3" fontId="13" fillId="0" borderId="1" xfId="0" applyNumberFormat="1" applyFont="1" applyBorder="1" applyAlignment="1">
      <alignment horizontal="center" wrapText="1"/>
    </xf>
    <xf numFmtId="3" fontId="13" fillId="0" borderId="8" xfId="0" applyNumberFormat="1" applyFont="1" applyBorder="1" applyAlignment="1">
      <alignment horizontal="center" wrapText="1"/>
    </xf>
    <xf numFmtId="3" fontId="13" fillId="0" borderId="83" xfId="0" applyNumberFormat="1" applyFont="1" applyBorder="1" applyAlignment="1"/>
    <xf numFmtId="0" fontId="13" fillId="0" borderId="84" xfId="0" applyNumberFormat="1" applyFont="1" applyBorder="1" applyAlignment="1"/>
    <xf numFmtId="3" fontId="13" fillId="0" borderId="84" xfId="0" applyNumberFormat="1" applyFont="1" applyBorder="1" applyAlignment="1"/>
    <xf numFmtId="3" fontId="13" fillId="0" borderId="133" xfId="0" applyNumberFormat="1" applyFont="1" applyBorder="1" applyAlignment="1"/>
    <xf numFmtId="1" fontId="13" fillId="0" borderId="84" xfId="0" applyNumberFormat="1" applyFont="1" applyBorder="1" applyAlignment="1"/>
    <xf numFmtId="0" fontId="13" fillId="0" borderId="84" xfId="0" applyNumberFormat="1" applyFont="1" applyBorder="1" applyAlignment="1">
      <alignment horizontal="center"/>
    </xf>
    <xf numFmtId="3" fontId="13" fillId="0" borderId="133" xfId="0" applyNumberFormat="1" applyFont="1" applyBorder="1" applyAlignment="1">
      <alignment horizontal="right"/>
    </xf>
    <xf numFmtId="0" fontId="13" fillId="0" borderId="84" xfId="0" applyNumberFormat="1" applyFont="1" applyBorder="1" applyAlignment="1">
      <alignment horizontal="right"/>
    </xf>
    <xf numFmtId="3" fontId="13" fillId="0" borderId="0" xfId="0" applyNumberFormat="1" applyFont="1" applyBorder="1" applyAlignment="1">
      <alignment horizontal="center"/>
    </xf>
    <xf numFmtId="3" fontId="13" fillId="0" borderId="0" xfId="0" applyNumberFormat="1" applyFont="1" applyBorder="1" applyAlignment="1">
      <alignment horizontal="center" wrapText="1"/>
    </xf>
    <xf numFmtId="3" fontId="8" fillId="2" borderId="33" xfId="0" applyNumberFormat="1" applyFont="1" applyFill="1" applyBorder="1" applyAlignment="1"/>
    <xf numFmtId="0" fontId="91" fillId="2" borderId="42" xfId="0" applyNumberFormat="1" applyFont="1" applyFill="1" applyBorder="1" applyAlignment="1">
      <alignment horizontal="left"/>
    </xf>
    <xf numFmtId="0" fontId="92" fillId="0" borderId="55" xfId="0" applyNumberFormat="1" applyFont="1" applyBorder="1" applyAlignment="1"/>
    <xf numFmtId="0" fontId="92" fillId="0" borderId="43" xfId="0" applyNumberFormat="1" applyFont="1" applyBorder="1" applyAlignment="1"/>
    <xf numFmtId="0" fontId="91" fillId="2" borderId="57" xfId="0" applyNumberFormat="1" applyFont="1" applyFill="1" applyBorder="1" applyAlignment="1">
      <alignment horizontal="center"/>
    </xf>
    <xf numFmtId="0" fontId="92" fillId="0" borderId="0" xfId="0" applyNumberFormat="1" applyFont="1" applyBorder="1" applyAlignment="1"/>
    <xf numFmtId="0" fontId="92" fillId="0" borderId="79" xfId="0" applyNumberFormat="1" applyFont="1" applyBorder="1" applyAlignment="1"/>
    <xf numFmtId="0" fontId="8" fillId="2" borderId="61" xfId="0" applyNumberFormat="1" applyFont="1" applyFill="1" applyBorder="1" applyAlignment="1">
      <alignment horizontal="center"/>
    </xf>
    <xf numFmtId="0" fontId="8" fillId="2" borderId="80" xfId="0" applyNumberFormat="1" applyFont="1" applyFill="1" applyBorder="1" applyAlignment="1">
      <alignment horizontal="center"/>
    </xf>
    <xf numFmtId="0" fontId="13" fillId="0" borderId="57" xfId="0" applyNumberFormat="1" applyFont="1" applyBorder="1" applyAlignment="1">
      <alignment horizontal="center"/>
    </xf>
    <xf numFmtId="0" fontId="8" fillId="25" borderId="100" xfId="0" applyNumberFormat="1" applyFont="1" applyFill="1" applyBorder="1" applyAlignment="1">
      <alignment horizontal="center"/>
    </xf>
    <xf numFmtId="0" fontId="8" fillId="2" borderId="57" xfId="0" applyNumberFormat="1" applyFont="1" applyFill="1" applyBorder="1" applyAlignment="1">
      <alignment horizontal="center"/>
    </xf>
    <xf numFmtId="0" fontId="8" fillId="2" borderId="100" xfId="0" applyNumberFormat="1" applyFont="1" applyFill="1" applyBorder="1" applyAlignment="1">
      <alignment horizontal="center"/>
    </xf>
    <xf numFmtId="3" fontId="8" fillId="0" borderId="61" xfId="0" applyNumberFormat="1" applyFont="1" applyBorder="1" applyAlignment="1"/>
    <xf numFmtId="3" fontId="8" fillId="0" borderId="193" xfId="0" applyNumberFormat="1" applyFont="1" applyBorder="1" applyAlignment="1"/>
    <xf numFmtId="3" fontId="8" fillId="0" borderId="194" xfId="0" applyNumberFormat="1" applyFont="1" applyBorder="1" applyAlignment="1"/>
    <xf numFmtId="3" fontId="8" fillId="2" borderId="195" xfId="0" applyNumberFormat="1" applyFont="1" applyFill="1" applyBorder="1" applyAlignment="1"/>
    <xf numFmtId="3" fontId="8" fillId="2" borderId="0" xfId="0" applyNumberFormat="1" applyFont="1" applyFill="1" applyBorder="1" applyAlignment="1">
      <alignment horizontal="center"/>
    </xf>
    <xf numFmtId="3" fontId="8" fillId="2" borderId="196" xfId="0" applyNumberFormat="1" applyFont="1" applyFill="1" applyBorder="1" applyAlignment="1">
      <alignment horizontal="center"/>
    </xf>
    <xf numFmtId="3" fontId="8" fillId="2" borderId="178" xfId="0" applyNumberFormat="1" applyFont="1" applyFill="1" applyBorder="1" applyAlignment="1">
      <alignment horizontal="center"/>
    </xf>
    <xf numFmtId="3" fontId="13" fillId="0" borderId="197" xfId="0" applyNumberFormat="1" applyFont="1" applyBorder="1" applyAlignment="1">
      <alignment horizontal="center" wrapText="1"/>
    </xf>
    <xf numFmtId="0" fontId="13" fillId="0" borderId="198" xfId="0" applyNumberFormat="1" applyFont="1" applyBorder="1" applyAlignment="1">
      <alignment horizontal="right"/>
    </xf>
    <xf numFmtId="3" fontId="13" fillId="0" borderId="199" xfId="0" applyNumberFormat="1" applyFont="1" applyBorder="1" applyAlignment="1">
      <alignment horizontal="center" wrapText="1"/>
    </xf>
    <xf numFmtId="3" fontId="13" fillId="0" borderId="200" xfId="0" applyNumberFormat="1" applyFont="1" applyBorder="1" applyAlignment="1">
      <alignment horizontal="right"/>
    </xf>
    <xf numFmtId="3" fontId="13" fillId="0" borderId="201" xfId="0" applyNumberFormat="1" applyFont="1" applyBorder="1" applyAlignment="1">
      <alignment horizontal="center"/>
    </xf>
    <xf numFmtId="0" fontId="56" fillId="3" borderId="72" xfId="0" applyNumberFormat="1" applyFont="1" applyFill="1" applyBorder="1" applyAlignment="1">
      <alignment horizontal="center"/>
    </xf>
    <xf numFmtId="0" fontId="56" fillId="3" borderId="92" xfId="0" applyNumberFormat="1" applyFont="1" applyFill="1" applyBorder="1" applyAlignment="1">
      <alignment horizontal="center"/>
    </xf>
    <xf numFmtId="1" fontId="8" fillId="3" borderId="171" xfId="0" applyNumberFormat="1" applyFont="1" applyFill="1" applyBorder="1" applyAlignment="1">
      <alignment horizontal="center"/>
    </xf>
    <xf numFmtId="0" fontId="74" fillId="3" borderId="67" xfId="0" applyNumberFormat="1" applyFont="1" applyFill="1" applyBorder="1" applyAlignment="1">
      <alignment horizontal="center"/>
    </xf>
    <xf numFmtId="0" fontId="8" fillId="3" borderId="72" xfId="0" applyNumberFormat="1" applyFont="1" applyFill="1" applyBorder="1" applyAlignment="1"/>
    <xf numFmtId="165" fontId="8" fillId="3" borderId="72" xfId="0" applyNumberFormat="1" applyFont="1" applyFill="1" applyBorder="1" applyAlignment="1"/>
    <xf numFmtId="1" fontId="8" fillId="3" borderId="72" xfId="0" applyNumberFormat="1" applyFont="1" applyFill="1" applyBorder="1" applyAlignment="1"/>
    <xf numFmtId="1" fontId="2" fillId="3" borderId="72" xfId="0" applyNumberFormat="1" applyFont="1" applyFill="1" applyBorder="1" applyAlignment="1"/>
    <xf numFmtId="165" fontId="13" fillId="3" borderId="72" xfId="0" applyNumberFormat="1" applyFont="1" applyFill="1" applyBorder="1" applyAlignment="1"/>
    <xf numFmtId="1" fontId="13" fillId="3" borderId="72" xfId="0" applyNumberFormat="1" applyFont="1" applyFill="1" applyBorder="1" applyAlignment="1"/>
    <xf numFmtId="0" fontId="8" fillId="3" borderId="126" xfId="0" applyNumberFormat="1" applyFont="1" applyFill="1" applyBorder="1" applyAlignment="1"/>
    <xf numFmtId="1" fontId="8" fillId="3" borderId="132" xfId="0" applyNumberFormat="1" applyFont="1" applyFill="1" applyBorder="1" applyAlignment="1"/>
    <xf numFmtId="1" fontId="2" fillId="3" borderId="126" xfId="0" applyNumberFormat="1" applyFont="1" applyFill="1" applyBorder="1" applyAlignment="1"/>
    <xf numFmtId="1" fontId="13" fillId="3" borderId="132" xfId="0" applyNumberFormat="1" applyFont="1" applyFill="1" applyBorder="1" applyAlignment="1"/>
    <xf numFmtId="0" fontId="8" fillId="3" borderId="127" xfId="0" applyNumberFormat="1" applyFont="1" applyFill="1" applyBorder="1" applyAlignment="1"/>
    <xf numFmtId="0" fontId="8" fillId="3" borderId="92" xfId="0" applyNumberFormat="1" applyFont="1" applyFill="1" applyBorder="1" applyAlignment="1"/>
    <xf numFmtId="0" fontId="8" fillId="3" borderId="156" xfId="0" applyNumberFormat="1" applyFont="1" applyFill="1" applyBorder="1" applyAlignment="1"/>
    <xf numFmtId="0" fontId="8" fillId="3" borderId="73" xfId="0" applyNumberFormat="1" applyFont="1" applyFill="1" applyBorder="1" applyAlignment="1"/>
    <xf numFmtId="165" fontId="8" fillId="3" borderId="73" xfId="0" applyNumberFormat="1" applyFont="1" applyFill="1" applyBorder="1" applyAlignment="1"/>
    <xf numFmtId="1" fontId="8" fillId="3" borderId="73" xfId="0" applyNumberFormat="1" applyFont="1" applyFill="1" applyBorder="1" applyAlignment="1"/>
    <xf numFmtId="1" fontId="8" fillId="3" borderId="181" xfId="0" applyNumberFormat="1" applyFont="1" applyFill="1" applyBorder="1" applyAlignment="1"/>
    <xf numFmtId="0" fontId="8" fillId="3" borderId="202" xfId="0" applyNumberFormat="1" applyFont="1" applyFill="1" applyBorder="1" applyAlignment="1"/>
    <xf numFmtId="0" fontId="8" fillId="3" borderId="138" xfId="0" applyNumberFormat="1" applyFont="1" applyFill="1" applyBorder="1" applyAlignment="1"/>
    <xf numFmtId="165" fontId="8" fillId="3" borderId="138" xfId="0" applyNumberFormat="1" applyFont="1" applyFill="1" applyBorder="1" applyAlignment="1">
      <alignment horizontal="centerContinuous"/>
    </xf>
    <xf numFmtId="1" fontId="8" fillId="3" borderId="138" xfId="0" applyNumberFormat="1" applyFont="1" applyFill="1" applyBorder="1" applyAlignment="1">
      <alignment horizontal="centerContinuous"/>
    </xf>
    <xf numFmtId="1" fontId="8" fillId="3" borderId="203" xfId="0" applyNumberFormat="1" applyFont="1" applyFill="1" applyBorder="1" applyAlignment="1">
      <alignment horizontal="centerContinuous"/>
    </xf>
    <xf numFmtId="165" fontId="8" fillId="3" borderId="92" xfId="0" applyNumberFormat="1" applyFont="1" applyFill="1" applyBorder="1" applyAlignment="1"/>
    <xf numFmtId="1" fontId="8" fillId="3" borderId="92" xfId="0" applyNumberFormat="1" applyFont="1" applyFill="1" applyBorder="1" applyAlignment="1"/>
    <xf numFmtId="1" fontId="8" fillId="3" borderId="174" xfId="0" applyNumberFormat="1" applyFont="1" applyFill="1" applyBorder="1" applyAlignment="1"/>
    <xf numFmtId="1" fontId="83" fillId="28" borderId="126" xfId="0" applyNumberFormat="1" applyFont="1" applyFill="1" applyBorder="1" applyAlignment="1">
      <alignment horizontal="center"/>
    </xf>
    <xf numFmtId="1" fontId="83" fillId="28" borderId="72" xfId="0" applyNumberFormat="1" applyFont="1" applyFill="1" applyBorder="1" applyAlignment="1">
      <alignment horizontal="center"/>
    </xf>
    <xf numFmtId="1" fontId="83" fillId="28" borderId="132" xfId="0" applyNumberFormat="1" applyFont="1" applyFill="1" applyBorder="1" applyAlignment="1">
      <alignment horizontal="center"/>
    </xf>
    <xf numFmtId="0" fontId="8" fillId="24" borderId="127" xfId="0" applyNumberFormat="1" applyFont="1" applyFill="1" applyBorder="1" applyAlignment="1">
      <alignment horizontal="center"/>
    </xf>
    <xf numFmtId="0" fontId="8" fillId="24" borderId="92" xfId="0" applyNumberFormat="1" applyFont="1" applyFill="1" applyBorder="1" applyAlignment="1">
      <alignment horizontal="center"/>
    </xf>
    <xf numFmtId="0" fontId="8" fillId="24" borderId="174" xfId="0" applyNumberFormat="1" applyFont="1" applyFill="1" applyBorder="1" applyAlignment="1">
      <alignment horizontal="center"/>
    </xf>
    <xf numFmtId="165" fontId="36" fillId="2" borderId="56" xfId="0" applyNumberFormat="1" applyFont="1" applyFill="1" applyBorder="1" applyAlignment="1" applyProtection="1">
      <protection locked="0"/>
    </xf>
    <xf numFmtId="1" fontId="36" fillId="0" borderId="8" xfId="0" applyNumberFormat="1" applyFont="1" applyFill="1" applyBorder="1" applyAlignment="1" applyProtection="1">
      <alignment horizontal="center" vertical="center"/>
      <protection locked="0"/>
    </xf>
    <xf numFmtId="167" fontId="0" fillId="0" borderId="72" xfId="0" applyNumberFormat="1" applyBorder="1" applyAlignment="1">
      <alignment horizontal="right"/>
    </xf>
    <xf numFmtId="0" fontId="99" fillId="0" borderId="204" xfId="4" applyFont="1" applyBorder="1" applyAlignment="1">
      <alignment wrapText="1"/>
    </xf>
    <xf numFmtId="0" fontId="99" fillId="0" borderId="205" xfId="4" applyFont="1" applyBorder="1" applyAlignment="1">
      <alignment wrapText="1"/>
    </xf>
    <xf numFmtId="0" fontId="99" fillId="0" borderId="206" xfId="4" applyFont="1" applyBorder="1" applyAlignment="1">
      <alignment wrapText="1"/>
    </xf>
    <xf numFmtId="0" fontId="99" fillId="0" borderId="207" xfId="4" applyFont="1" applyBorder="1" applyAlignment="1">
      <alignment wrapText="1"/>
    </xf>
    <xf numFmtId="0" fontId="99" fillId="0" borderId="76" xfId="4" applyFont="1" applyBorder="1" applyAlignment="1">
      <alignment wrapText="1"/>
    </xf>
    <xf numFmtId="0" fontId="99" fillId="0" borderId="208" xfId="4" applyFont="1" applyBorder="1" applyAlignment="1">
      <alignment wrapText="1"/>
    </xf>
    <xf numFmtId="0" fontId="8" fillId="0" borderId="72" xfId="0" applyNumberFormat="1" applyFont="1" applyBorder="1" applyAlignment="1">
      <alignment vertical="center"/>
    </xf>
    <xf numFmtId="0" fontId="8" fillId="0" borderId="3" xfId="0" quotePrefix="1" applyNumberFormat="1" applyFont="1" applyBorder="1" applyAlignment="1">
      <alignment horizontal="centerContinuous" vertical="center"/>
    </xf>
    <xf numFmtId="170" fontId="36" fillId="2" borderId="83" xfId="0" applyNumberFormat="1" applyFont="1" applyFill="1" applyBorder="1" applyAlignment="1"/>
    <xf numFmtId="165" fontId="2" fillId="3" borderId="72" xfId="0" applyNumberFormat="1" applyFont="1" applyFill="1" applyBorder="1" applyAlignment="1"/>
    <xf numFmtId="1" fontId="8" fillId="3" borderId="209" xfId="0" applyNumberFormat="1" applyFont="1" applyFill="1" applyBorder="1" applyAlignment="1">
      <alignment horizontal="center" vertical="center"/>
    </xf>
    <xf numFmtId="1" fontId="8" fillId="3" borderId="183" xfId="0" applyNumberFormat="1" applyFont="1" applyFill="1" applyBorder="1" applyAlignment="1">
      <alignment horizontal="center" vertical="center"/>
    </xf>
    <xf numFmtId="1" fontId="8" fillId="3" borderId="210" xfId="0" applyNumberFormat="1" applyFont="1" applyFill="1" applyBorder="1" applyAlignment="1">
      <alignment horizontal="center" vertical="center"/>
    </xf>
    <xf numFmtId="1" fontId="8" fillId="3" borderId="159" xfId="0" applyNumberFormat="1" applyFont="1" applyFill="1" applyBorder="1" applyAlignment="1">
      <alignment horizontal="center" vertical="center"/>
    </xf>
    <xf numFmtId="1" fontId="8" fillId="3" borderId="211" xfId="0" applyNumberFormat="1" applyFont="1" applyFill="1" applyBorder="1" applyAlignment="1">
      <alignment horizontal="center" vertical="center"/>
    </xf>
    <xf numFmtId="1" fontId="8" fillId="3" borderId="160" xfId="0" applyNumberFormat="1" applyFont="1" applyFill="1" applyBorder="1" applyAlignment="1">
      <alignment horizontal="center" vertical="center"/>
    </xf>
    <xf numFmtId="1" fontId="8" fillId="3" borderId="55" xfId="0" applyNumberFormat="1" applyFont="1" applyFill="1" applyBorder="1" applyAlignment="1">
      <alignment horizontal="center"/>
    </xf>
    <xf numFmtId="0" fontId="8" fillId="3" borderId="55" xfId="0" applyNumberFormat="1" applyFont="1" applyFill="1" applyBorder="1" applyAlignment="1">
      <alignment horizontal="center"/>
    </xf>
    <xf numFmtId="0" fontId="8" fillId="3" borderId="43" xfId="0" applyNumberFormat="1" applyFont="1" applyFill="1" applyBorder="1" applyAlignment="1">
      <alignment horizontal="center"/>
    </xf>
    <xf numFmtId="1" fontId="8" fillId="3" borderId="75" xfId="0" applyNumberFormat="1" applyFont="1" applyFill="1" applyBorder="1" applyAlignment="1">
      <alignment horizontal="center"/>
    </xf>
    <xf numFmtId="1" fontId="8" fillId="3" borderId="42" xfId="0" applyNumberFormat="1" applyFont="1" applyFill="1" applyBorder="1" applyAlignment="1">
      <alignment horizontal="left"/>
    </xf>
    <xf numFmtId="1" fontId="8" fillId="3" borderId="212" xfId="0" applyNumberFormat="1" applyFont="1" applyFill="1" applyBorder="1" applyAlignment="1">
      <alignment horizontal="center"/>
    </xf>
    <xf numFmtId="1" fontId="8" fillId="3" borderId="213" xfId="0" applyNumberFormat="1" applyFont="1" applyFill="1" applyBorder="1" applyAlignment="1">
      <alignment horizontal="center"/>
    </xf>
    <xf numFmtId="1" fontId="31" fillId="3" borderId="100" xfId="0" applyNumberFormat="1" applyFont="1" applyFill="1" applyBorder="1" applyAlignment="1">
      <alignment horizontal="center"/>
    </xf>
    <xf numFmtId="1" fontId="8" fillId="3" borderId="119" xfId="0" applyNumberFormat="1" applyFont="1" applyFill="1" applyBorder="1" applyAlignment="1">
      <alignment horizontal="center"/>
    </xf>
    <xf numFmtId="165" fontId="8" fillId="3" borderId="72" xfId="0" applyNumberFormat="1" applyFont="1" applyFill="1" applyBorder="1" applyAlignment="1" applyProtection="1">
      <alignment horizontal="center"/>
      <protection locked="0"/>
    </xf>
    <xf numFmtId="165" fontId="8" fillId="3" borderId="197" xfId="0" applyNumberFormat="1" applyFont="1" applyFill="1" applyBorder="1" applyAlignment="1" applyProtection="1">
      <alignment horizontal="center"/>
      <protection locked="0"/>
    </xf>
    <xf numFmtId="165" fontId="8" fillId="3" borderId="36" xfId="0" applyNumberFormat="1" applyFont="1" applyFill="1" applyBorder="1" applyAlignment="1" applyProtection="1">
      <protection locked="0"/>
    </xf>
    <xf numFmtId="165" fontId="8" fillId="3" borderId="119" xfId="0" applyNumberFormat="1" applyFont="1" applyFill="1" applyBorder="1" applyAlignment="1" applyProtection="1">
      <protection locked="0"/>
    </xf>
    <xf numFmtId="165" fontId="13" fillId="3" borderId="119" xfId="0" applyNumberFormat="1" applyFont="1" applyFill="1" applyBorder="1" applyAlignment="1" applyProtection="1">
      <protection locked="0"/>
    </xf>
    <xf numFmtId="165" fontId="8" fillId="3" borderId="118" xfId="0" applyNumberFormat="1" applyFont="1" applyFill="1" applyBorder="1" applyAlignment="1">
      <alignment horizontal="center"/>
    </xf>
    <xf numFmtId="165" fontId="8" fillId="3" borderId="214" xfId="0" applyNumberFormat="1" applyFont="1" applyFill="1" applyBorder="1" applyAlignment="1">
      <alignment horizontal="center"/>
    </xf>
    <xf numFmtId="0" fontId="13" fillId="0" borderId="0" xfId="0" applyNumberFormat="1" applyFont="1" applyAlignment="1">
      <alignment horizontal="center"/>
    </xf>
    <xf numFmtId="2" fontId="33" fillId="0" borderId="0" xfId="0" applyNumberFormat="1" applyFont="1" applyAlignment="1">
      <alignment horizontal="center"/>
    </xf>
    <xf numFmtId="165" fontId="84" fillId="0" borderId="0" xfId="0" applyNumberFormat="1" applyFont="1" applyAlignment="1">
      <alignment horizontal="center"/>
    </xf>
    <xf numFmtId="167" fontId="8" fillId="3" borderId="7" xfId="0" applyNumberFormat="1" applyFont="1" applyFill="1" applyBorder="1" applyAlignment="1" applyProtection="1">
      <protection locked="0"/>
    </xf>
    <xf numFmtId="167" fontId="8" fillId="3" borderId="4" xfId="0" applyNumberFormat="1" applyFont="1" applyFill="1" applyBorder="1" applyAlignment="1" applyProtection="1">
      <protection locked="0"/>
    </xf>
    <xf numFmtId="1" fontId="36" fillId="38" borderId="8" xfId="0" applyNumberFormat="1" applyFont="1" applyFill="1" applyBorder="1" applyAlignment="1">
      <alignment horizontal="center" vertical="center"/>
    </xf>
    <xf numFmtId="167" fontId="13" fillId="3" borderId="4" xfId="0" applyNumberFormat="1" applyFont="1" applyFill="1" applyBorder="1" applyAlignment="1" applyProtection="1">
      <protection locked="0"/>
    </xf>
    <xf numFmtId="0" fontId="104" fillId="0" borderId="77" xfId="4" applyFont="1" applyBorder="1" applyAlignment="1">
      <alignment horizontal="center"/>
    </xf>
    <xf numFmtId="0" fontId="104" fillId="0" borderId="204" xfId="4" applyFont="1" applyBorder="1" applyAlignment="1">
      <alignment horizontal="center" wrapText="1"/>
    </xf>
    <xf numFmtId="0" fontId="104" fillId="0" borderId="76" xfId="4" applyFont="1" applyBorder="1" applyAlignment="1">
      <alignment horizontal="center" wrapText="1"/>
    </xf>
    <xf numFmtId="2" fontId="13" fillId="0" borderId="0" xfId="0" applyNumberFormat="1" applyFont="1" applyAlignment="1"/>
    <xf numFmtId="165" fontId="13" fillId="0" borderId="0" xfId="0" applyNumberFormat="1" applyFont="1" applyAlignment="1">
      <alignment horizontal="center"/>
    </xf>
    <xf numFmtId="4" fontId="8" fillId="38" borderId="8" xfId="0" applyNumberFormat="1" applyFont="1" applyFill="1" applyBorder="1" applyAlignment="1">
      <alignment horizontal="center" vertical="center"/>
    </xf>
    <xf numFmtId="4" fontId="8" fillId="0" borderId="8" xfId="0" applyNumberFormat="1" applyFont="1" applyFill="1" applyBorder="1" applyAlignment="1">
      <alignment horizontal="center" vertical="center"/>
    </xf>
    <xf numFmtId="0" fontId="8" fillId="3" borderId="57" xfId="0" applyNumberFormat="1" applyFont="1" applyFill="1" applyBorder="1" applyAlignment="1">
      <alignment horizontal="centerContinuous"/>
    </xf>
    <xf numFmtId="0" fontId="8" fillId="3" borderId="79" xfId="0" applyNumberFormat="1" applyFont="1" applyFill="1" applyBorder="1" applyAlignment="1">
      <alignment horizontal="centerContinuous"/>
    </xf>
    <xf numFmtId="0" fontId="8" fillId="3" borderId="57" xfId="0" applyNumberFormat="1" applyFont="1" applyFill="1" applyBorder="1" applyAlignment="1">
      <alignment horizontal="center"/>
    </xf>
    <xf numFmtId="14" fontId="37" fillId="3" borderId="61" xfId="0" applyNumberFormat="1" applyFont="1" applyFill="1" applyBorder="1" applyAlignment="1"/>
    <xf numFmtId="0" fontId="8" fillId="3" borderId="42" xfId="0" applyNumberFormat="1" applyFont="1" applyFill="1" applyBorder="1" applyAlignment="1">
      <alignment horizontal="center"/>
    </xf>
    <xf numFmtId="191" fontId="8" fillId="3" borderId="56" xfId="1" applyNumberFormat="1" applyFont="1" applyFill="1" applyBorder="1" applyAlignment="1"/>
    <xf numFmtId="191" fontId="8" fillId="3" borderId="165" xfId="1" applyNumberFormat="1" applyFont="1" applyFill="1" applyBorder="1" applyAlignment="1"/>
    <xf numFmtId="0" fontId="8" fillId="3" borderId="215" xfId="0" applyNumberFormat="1" applyFont="1" applyFill="1" applyBorder="1" applyAlignment="1">
      <alignment horizontal="left"/>
    </xf>
    <xf numFmtId="187" fontId="101" fillId="0" borderId="77" xfId="1" applyNumberFormat="1" applyFont="1" applyBorder="1" applyAlignment="1"/>
    <xf numFmtId="0" fontId="0" fillId="0" borderId="87" xfId="0" applyBorder="1" applyAlignment="1"/>
    <xf numFmtId="187" fontId="101" fillId="0" borderId="87" xfId="1" applyNumberFormat="1" applyFont="1" applyBorder="1" applyAlignment="1"/>
    <xf numFmtId="0" fontId="97" fillId="0" borderId="0" xfId="4" applyFont="1" applyBorder="1" applyAlignment="1"/>
    <xf numFmtId="0" fontId="97" fillId="0" borderId="175" xfId="4" applyFont="1" applyBorder="1" applyAlignment="1"/>
    <xf numFmtId="0" fontId="0" fillId="0" borderId="0" xfId="0" applyAlignment="1">
      <alignment horizontal="right"/>
    </xf>
    <xf numFmtId="167" fontId="13" fillId="0" borderId="0" xfId="0" applyNumberFormat="1" applyFont="1" applyAlignment="1"/>
    <xf numFmtId="3" fontId="13" fillId="38" borderId="0" xfId="0" applyNumberFormat="1" applyFont="1" applyFill="1" applyAlignment="1">
      <alignment horizontal="center" vertical="center"/>
    </xf>
    <xf numFmtId="3" fontId="13" fillId="38" borderId="0" xfId="0" applyNumberFormat="1" applyFont="1" applyFill="1" applyBorder="1" applyAlignment="1">
      <alignment horizontal="center" vertical="center"/>
    </xf>
    <xf numFmtId="3" fontId="76" fillId="38" borderId="0" xfId="0" applyNumberFormat="1" applyFont="1" applyFill="1" applyBorder="1" applyAlignment="1">
      <alignment horizontal="center" vertical="center"/>
    </xf>
    <xf numFmtId="3" fontId="108" fillId="38" borderId="216" xfId="0" applyNumberFormat="1" applyFont="1" applyFill="1" applyBorder="1" applyAlignment="1">
      <alignment horizontal="center" vertical="center"/>
    </xf>
    <xf numFmtId="9" fontId="13" fillId="38" borderId="0" xfId="6" applyFont="1" applyFill="1" applyBorder="1" applyAlignment="1">
      <alignment horizontal="center" vertical="center"/>
    </xf>
    <xf numFmtId="3" fontId="107" fillId="38" borderId="0" xfId="0" applyNumberFormat="1" applyFont="1" applyFill="1" applyAlignment="1">
      <alignment horizontal="center" vertical="center"/>
    </xf>
    <xf numFmtId="3" fontId="107" fillId="38" borderId="0" xfId="0" applyNumberFormat="1" applyFont="1" applyFill="1" applyBorder="1" applyAlignment="1">
      <alignment horizontal="center" vertical="center"/>
    </xf>
    <xf numFmtId="176" fontId="108" fillId="38" borderId="216" xfId="0" applyNumberFormat="1" applyFont="1" applyFill="1" applyBorder="1" applyAlignment="1">
      <alignment horizontal="center" vertical="center"/>
    </xf>
    <xf numFmtId="3" fontId="107" fillId="38" borderId="0" xfId="0" applyNumberFormat="1" applyFont="1" applyFill="1" applyBorder="1" applyAlignment="1">
      <alignment horizontal="right" vertical="center"/>
    </xf>
    <xf numFmtId="3" fontId="109" fillId="38" borderId="216" xfId="0" applyNumberFormat="1" applyFont="1" applyFill="1" applyBorder="1" applyAlignment="1">
      <alignment horizontal="center" vertical="center"/>
    </xf>
    <xf numFmtId="3" fontId="110" fillId="38" borderId="0" xfId="0" applyNumberFormat="1" applyFont="1" applyFill="1" applyBorder="1" applyAlignment="1">
      <alignment horizontal="center" vertical="center"/>
    </xf>
    <xf numFmtId="3" fontId="56" fillId="38" borderId="0" xfId="0" applyNumberFormat="1" applyFont="1" applyFill="1" applyBorder="1" applyAlignment="1">
      <alignment horizontal="right" vertical="center"/>
    </xf>
    <xf numFmtId="3" fontId="13" fillId="38" borderId="0" xfId="0" applyNumberFormat="1" applyFont="1" applyFill="1" applyAlignment="1">
      <alignment horizontal="left" vertical="center"/>
    </xf>
    <xf numFmtId="3" fontId="56" fillId="38" borderId="0" xfId="0" applyNumberFormat="1" applyFont="1" applyFill="1" applyAlignment="1">
      <alignment horizontal="center" vertical="center"/>
    </xf>
    <xf numFmtId="3" fontId="13" fillId="38" borderId="0" xfId="0" applyNumberFormat="1" applyFont="1" applyFill="1" applyAlignment="1">
      <alignment horizontal="right" vertical="center"/>
    </xf>
    <xf numFmtId="174" fontId="13" fillId="38" borderId="0" xfId="6" applyNumberFormat="1" applyFont="1" applyFill="1" applyAlignment="1">
      <alignment horizontal="right" vertical="center"/>
    </xf>
    <xf numFmtId="0" fontId="8" fillId="2" borderId="16" xfId="0" applyNumberFormat="1" applyFont="1" applyFill="1" applyBorder="1" applyAlignment="1">
      <alignment horizontal="right"/>
    </xf>
    <xf numFmtId="0" fontId="8" fillId="2" borderId="1" xfId="0" applyNumberFormat="1" applyFont="1" applyFill="1" applyBorder="1" applyAlignment="1">
      <alignment horizontal="right"/>
    </xf>
    <xf numFmtId="0" fontId="8" fillId="2" borderId="217" xfId="0" applyNumberFormat="1" applyFont="1" applyFill="1" applyBorder="1" applyAlignment="1">
      <alignment horizontal="right"/>
    </xf>
    <xf numFmtId="0" fontId="8" fillId="2" borderId="218" xfId="0" applyNumberFormat="1" applyFont="1" applyFill="1" applyBorder="1" applyAlignment="1">
      <alignment horizontal="right"/>
    </xf>
    <xf numFmtId="0" fontId="13" fillId="0" borderId="0" xfId="0" applyNumberFormat="1" applyFont="1" applyFill="1" applyBorder="1" applyAlignment="1">
      <alignment horizontal="center"/>
    </xf>
    <xf numFmtId="2" fontId="48" fillId="3" borderId="1" xfId="0" applyNumberFormat="1" applyFont="1" applyFill="1" applyBorder="1" applyAlignment="1"/>
    <xf numFmtId="0" fontId="61" fillId="0" borderId="77" xfId="0" applyFont="1" applyBorder="1" applyAlignment="1">
      <alignment vertical="center"/>
    </xf>
    <xf numFmtId="0" fontId="61" fillId="0" borderId="87" xfId="0" applyFont="1" applyBorder="1" applyAlignment="1">
      <alignment vertical="center"/>
    </xf>
    <xf numFmtId="0" fontId="1" fillId="0" borderId="77" xfId="0" applyFont="1" applyBorder="1" applyAlignment="1">
      <alignment horizontal="center" vertical="center" wrapText="1"/>
    </xf>
    <xf numFmtId="0" fontId="1" fillId="0" borderId="72" xfId="0" quotePrefix="1" applyFont="1" applyBorder="1" applyAlignment="1">
      <alignment horizontal="center"/>
    </xf>
    <xf numFmtId="0" fontId="1" fillId="0" borderId="72" xfId="0" applyFont="1" applyBorder="1" applyAlignment="1">
      <alignment horizontal="center"/>
    </xf>
    <xf numFmtId="188" fontId="8" fillId="0" borderId="0" xfId="5" applyNumberFormat="1" applyFont="1" applyFill="1" applyBorder="1" applyAlignment="1" applyProtection="1">
      <alignment vertical="center"/>
      <protection locked="0"/>
    </xf>
    <xf numFmtId="0" fontId="13" fillId="3" borderId="72" xfId="0" applyNumberFormat="1" applyFont="1" applyFill="1" applyBorder="1" applyAlignment="1">
      <alignment horizontal="center"/>
    </xf>
    <xf numFmtId="0" fontId="13" fillId="3" borderId="92" xfId="0" applyNumberFormat="1" applyFont="1" applyFill="1" applyBorder="1" applyAlignment="1">
      <alignment horizontal="center"/>
    </xf>
    <xf numFmtId="0" fontId="34" fillId="3" borderId="73" xfId="0" applyNumberFormat="1" applyFont="1" applyFill="1" applyBorder="1" applyAlignment="1">
      <alignment horizontal="center"/>
    </xf>
    <xf numFmtId="0" fontId="34" fillId="3" borderId="72" xfId="0" applyNumberFormat="1" applyFont="1" applyFill="1" applyBorder="1" applyAlignment="1">
      <alignment horizontal="center"/>
    </xf>
    <xf numFmtId="0" fontId="34" fillId="3" borderId="92" xfId="0" applyNumberFormat="1" applyFont="1" applyFill="1" applyBorder="1" applyAlignment="1">
      <alignment horizontal="center"/>
    </xf>
    <xf numFmtId="0" fontId="1" fillId="0" borderId="59" xfId="0" applyFont="1" applyBorder="1" applyAlignment="1">
      <alignment horizontal="center" vertical="center" wrapText="1"/>
    </xf>
    <xf numFmtId="9" fontId="0" fillId="0" borderId="72" xfId="6" applyFont="1" applyBorder="1"/>
    <xf numFmtId="0" fontId="1" fillId="0" borderId="72" xfId="0" applyFont="1" applyBorder="1" applyAlignment="1">
      <alignment horizontal="center" vertical="center" wrapText="1"/>
    </xf>
    <xf numFmtId="0" fontId="13" fillId="3" borderId="0" xfId="0" quotePrefix="1" applyNumberFormat="1" applyFont="1" applyFill="1" applyAlignment="1"/>
    <xf numFmtId="2" fontId="67" fillId="24" borderId="73" xfId="0" applyNumberFormat="1" applyFont="1" applyFill="1" applyBorder="1" applyAlignment="1" applyProtection="1">
      <protection locked="0"/>
    </xf>
    <xf numFmtId="2" fontId="67" fillId="24" borderId="72" xfId="0" applyNumberFormat="1" applyFont="1" applyFill="1" applyBorder="1" applyAlignment="1" applyProtection="1">
      <protection locked="0"/>
    </xf>
    <xf numFmtId="2" fontId="67" fillId="24" borderId="74" xfId="0" applyNumberFormat="1" applyFont="1" applyFill="1" applyBorder="1" applyAlignment="1" applyProtection="1">
      <protection locked="0"/>
    </xf>
    <xf numFmtId="165" fontId="73" fillId="24" borderId="136" xfId="0" applyNumberFormat="1" applyFont="1" applyFill="1" applyBorder="1" applyAlignment="1"/>
    <xf numFmtId="1" fontId="73" fillId="24" borderId="136" xfId="0" applyNumberFormat="1" applyFont="1" applyFill="1" applyBorder="1" applyAlignment="1"/>
    <xf numFmtId="1" fontId="73" fillId="24" borderId="146" xfId="0" applyNumberFormat="1" applyFont="1" applyFill="1" applyBorder="1" applyAlignment="1"/>
    <xf numFmtId="167" fontId="1" fillId="0" borderId="72" xfId="0" applyNumberFormat="1" applyFont="1" applyBorder="1" applyAlignment="1">
      <alignment horizontal="center"/>
    </xf>
    <xf numFmtId="165" fontId="56" fillId="3" borderId="0" xfId="0" applyNumberFormat="1" applyFont="1" applyFill="1" applyAlignment="1"/>
    <xf numFmtId="170" fontId="17" fillId="3" borderId="0" xfId="0" applyNumberFormat="1" applyFont="1" applyFill="1" applyAlignment="1"/>
    <xf numFmtId="169" fontId="17" fillId="3" borderId="0" xfId="0" applyNumberFormat="1" applyFont="1" applyFill="1" applyAlignment="1"/>
    <xf numFmtId="4" fontId="13" fillId="0" borderId="0" xfId="0" applyNumberFormat="1" applyFont="1" applyAlignment="1"/>
    <xf numFmtId="174" fontId="8" fillId="3" borderId="72" xfId="6" applyNumberFormat="1" applyFont="1" applyFill="1" applyBorder="1" applyAlignment="1"/>
    <xf numFmtId="165" fontId="13" fillId="0" borderId="1" xfId="0" applyNumberFormat="1" applyFont="1" applyBorder="1" applyAlignment="1" applyProtection="1">
      <protection locked="0"/>
    </xf>
    <xf numFmtId="0" fontId="51" fillId="2" borderId="0" xfId="0" applyNumberFormat="1" applyFont="1" applyFill="1" applyAlignment="1">
      <alignment horizontal="left"/>
    </xf>
    <xf numFmtId="0" fontId="51" fillId="2" borderId="0" xfId="0" applyNumberFormat="1" applyFont="1" applyFill="1" applyAlignment="1"/>
    <xf numFmtId="0" fontId="31" fillId="3" borderId="17" xfId="0" applyNumberFormat="1" applyFont="1" applyFill="1" applyBorder="1" applyAlignment="1" applyProtection="1">
      <alignment horizontal="center"/>
      <protection locked="0"/>
    </xf>
    <xf numFmtId="0" fontId="31" fillId="3" borderId="17" xfId="0" applyNumberFormat="1" applyFont="1" applyFill="1" applyBorder="1" applyAlignment="1"/>
    <xf numFmtId="0" fontId="31" fillId="3" borderId="7" xfId="0" applyNumberFormat="1" applyFont="1" applyFill="1" applyBorder="1" applyAlignment="1"/>
    <xf numFmtId="0" fontId="31" fillId="2" borderId="17" xfId="0" applyNumberFormat="1" applyFont="1" applyFill="1" applyBorder="1" applyAlignment="1">
      <alignment horizontal="center"/>
    </xf>
    <xf numFmtId="0" fontId="31" fillId="2" borderId="16" xfId="0" applyNumberFormat="1" applyFont="1" applyFill="1" applyBorder="1" applyAlignment="1">
      <alignment horizontal="center"/>
    </xf>
    <xf numFmtId="0" fontId="31" fillId="2" borderId="17" xfId="0" applyNumberFormat="1" applyFont="1" applyFill="1" applyBorder="1" applyAlignment="1"/>
    <xf numFmtId="0" fontId="13" fillId="2" borderId="7" xfId="0" applyNumberFormat="1" applyFont="1" applyFill="1" applyBorder="1" applyAlignment="1">
      <alignment horizontal="center"/>
    </xf>
    <xf numFmtId="0" fontId="13" fillId="2" borderId="219" xfId="0" applyNumberFormat="1" applyFont="1" applyFill="1" applyBorder="1" applyAlignment="1">
      <alignment horizontal="center"/>
    </xf>
    <xf numFmtId="0" fontId="31" fillId="3" borderId="5" xfId="0" applyNumberFormat="1" applyFont="1" applyFill="1" applyBorder="1" applyAlignment="1">
      <alignment horizontal="center"/>
    </xf>
    <xf numFmtId="0" fontId="31" fillId="3" borderId="3" xfId="0" applyNumberFormat="1" applyFont="1" applyFill="1" applyBorder="1" applyAlignment="1">
      <alignment horizontal="center"/>
    </xf>
    <xf numFmtId="0" fontId="8" fillId="3" borderId="220" xfId="0" applyNumberFormat="1" applyFont="1" applyFill="1" applyBorder="1" applyAlignment="1" applyProtection="1">
      <protection locked="0"/>
    </xf>
    <xf numFmtId="0" fontId="8" fillId="3" borderId="221" xfId="0" applyNumberFormat="1" applyFont="1" applyFill="1" applyBorder="1" applyAlignment="1" applyProtection="1">
      <protection locked="0"/>
    </xf>
    <xf numFmtId="0" fontId="8" fillId="3" borderId="222" xfId="0" applyNumberFormat="1" applyFont="1" applyFill="1" applyBorder="1" applyAlignment="1" applyProtection="1">
      <protection locked="0"/>
    </xf>
    <xf numFmtId="0" fontId="8" fillId="3" borderId="223" xfId="0" applyNumberFormat="1" applyFont="1" applyFill="1" applyBorder="1" applyAlignment="1" applyProtection="1">
      <protection locked="0"/>
    </xf>
    <xf numFmtId="0" fontId="8" fillId="3" borderId="224" xfId="0" applyNumberFormat="1" applyFont="1" applyFill="1" applyBorder="1" applyAlignment="1" applyProtection="1">
      <protection locked="0"/>
    </xf>
    <xf numFmtId="0" fontId="8" fillId="3" borderId="72" xfId="0" applyNumberFormat="1" applyFont="1" applyFill="1" applyBorder="1" applyAlignment="1" applyProtection="1">
      <protection locked="0"/>
    </xf>
    <xf numFmtId="0" fontId="8" fillId="3" borderId="59" xfId="0" applyNumberFormat="1" applyFont="1" applyFill="1" applyBorder="1" applyAlignment="1" applyProtection="1">
      <protection locked="0"/>
    </xf>
    <xf numFmtId="0" fontId="8" fillId="3" borderId="87" xfId="0" applyNumberFormat="1" applyFont="1" applyFill="1" applyBorder="1" applyAlignment="1" applyProtection="1">
      <protection locked="0"/>
    </xf>
    <xf numFmtId="1" fontId="13" fillId="2" borderId="16" xfId="0" applyNumberFormat="1" applyFont="1" applyFill="1" applyBorder="1" applyAlignment="1">
      <alignment horizontal="center"/>
    </xf>
    <xf numFmtId="0" fontId="31" fillId="2" borderId="0" xfId="0" applyNumberFormat="1" applyFont="1" applyFill="1" applyAlignment="1" applyProtection="1">
      <protection locked="0"/>
    </xf>
    <xf numFmtId="9" fontId="8" fillId="3" borderId="16" xfId="6" applyFont="1" applyFill="1" applyBorder="1" applyAlignment="1" applyProtection="1">
      <protection locked="0"/>
    </xf>
    <xf numFmtId="9" fontId="8" fillId="3" borderId="1" xfId="6" applyFont="1" applyFill="1" applyBorder="1" applyAlignment="1" applyProtection="1">
      <protection locked="0"/>
    </xf>
    <xf numFmtId="9" fontId="13" fillId="3" borderId="1" xfId="6" applyFont="1" applyFill="1" applyBorder="1" applyAlignment="1" applyProtection="1">
      <protection locked="0"/>
    </xf>
    <xf numFmtId="9" fontId="8" fillId="3" borderId="6" xfId="6" applyFont="1" applyFill="1" applyBorder="1" applyAlignment="1">
      <alignment horizontal="center"/>
    </xf>
    <xf numFmtId="165" fontId="8" fillId="2" borderId="30" xfId="0" applyNumberFormat="1" applyFont="1" applyFill="1" applyBorder="1" applyAlignment="1">
      <alignment horizontal="right"/>
    </xf>
    <xf numFmtId="3" fontId="8" fillId="2" borderId="72" xfId="0" applyNumberFormat="1" applyFont="1" applyFill="1" applyBorder="1" applyAlignment="1">
      <alignment horizontal="right"/>
    </xf>
    <xf numFmtId="165" fontId="8" fillId="2" borderId="72" xfId="0" applyNumberFormat="1" applyFont="1" applyFill="1" applyBorder="1" applyAlignment="1">
      <alignment horizontal="right"/>
    </xf>
    <xf numFmtId="2" fontId="8" fillId="2" borderId="72" xfId="0" applyNumberFormat="1" applyFont="1" applyFill="1" applyBorder="1" applyAlignment="1">
      <alignment horizontal="right"/>
    </xf>
    <xf numFmtId="167" fontId="8" fillId="2" borderId="72" xfId="0" applyNumberFormat="1" applyFont="1" applyFill="1" applyBorder="1" applyAlignment="1">
      <alignment horizontal="right"/>
    </xf>
    <xf numFmtId="0" fontId="8" fillId="2" borderId="72" xfId="0" applyNumberFormat="1" applyFont="1" applyFill="1" applyBorder="1" applyAlignment="1">
      <alignment horizontal="right"/>
    </xf>
    <xf numFmtId="165" fontId="33" fillId="0" borderId="5" xfId="0" applyNumberFormat="1" applyFont="1" applyBorder="1" applyAlignment="1">
      <alignment horizontal="center"/>
    </xf>
    <xf numFmtId="0" fontId="13" fillId="0" borderId="72" xfId="0" applyNumberFormat="1" applyFont="1" applyBorder="1" applyAlignment="1"/>
    <xf numFmtId="0" fontId="33" fillId="38" borderId="72" xfId="0" applyNumberFormat="1" applyFont="1" applyFill="1" applyBorder="1" applyAlignment="1"/>
    <xf numFmtId="0" fontId="16" fillId="0" borderId="0" xfId="0" applyNumberFormat="1" applyFont="1" applyAlignment="1"/>
    <xf numFmtId="0" fontId="119" fillId="0" borderId="0" xfId="0" applyNumberFormat="1" applyFont="1" applyAlignment="1">
      <alignment horizontal="center"/>
    </xf>
    <xf numFmtId="0" fontId="33" fillId="0" borderId="0" xfId="0" applyNumberFormat="1" applyFont="1" applyAlignment="1">
      <alignment horizontal="center" vertical="center"/>
    </xf>
    <xf numFmtId="187" fontId="93" fillId="0" borderId="0" xfId="4" applyNumberFormat="1" applyFont="1" applyBorder="1"/>
    <xf numFmtId="1" fontId="120" fillId="10" borderId="0" xfId="0" applyNumberFormat="1" applyFont="1" applyFill="1" applyAlignment="1">
      <alignment vertical="center"/>
    </xf>
    <xf numFmtId="0" fontId="4" fillId="39" borderId="10" xfId="0" applyNumberFormat="1" applyFont="1" applyFill="1" applyBorder="1" applyAlignment="1">
      <alignment vertical="center"/>
    </xf>
    <xf numFmtId="0" fontId="4" fillId="39" borderId="15" xfId="0" applyNumberFormat="1" applyFont="1" applyFill="1" applyBorder="1" applyAlignment="1">
      <alignment vertical="center"/>
    </xf>
    <xf numFmtId="0" fontId="4" fillId="39" borderId="12" xfId="0" applyNumberFormat="1" applyFont="1" applyFill="1" applyBorder="1" applyAlignment="1">
      <alignment vertical="center"/>
    </xf>
    <xf numFmtId="0" fontId="4" fillId="39" borderId="13" xfId="0" applyNumberFormat="1" applyFont="1" applyFill="1" applyBorder="1" applyAlignment="1">
      <alignment vertical="center"/>
    </xf>
    <xf numFmtId="0" fontId="4" fillId="39" borderId="6" xfId="0" applyNumberFormat="1" applyFont="1" applyFill="1" applyBorder="1" applyAlignment="1">
      <alignment vertical="center"/>
    </xf>
    <xf numFmtId="0" fontId="4" fillId="39" borderId="1" xfId="0" applyNumberFormat="1" applyFont="1" applyFill="1" applyBorder="1" applyAlignment="1">
      <alignment vertical="center"/>
    </xf>
    <xf numFmtId="187" fontId="101" fillId="0" borderId="77" xfId="1" applyNumberFormat="1" applyFont="1" applyBorder="1" applyAlignment="1">
      <alignment horizontal="center"/>
    </xf>
    <xf numFmtId="178" fontId="11" fillId="4" borderId="9" xfId="0" applyNumberFormat="1" applyFont="1" applyFill="1" applyBorder="1" applyAlignment="1">
      <alignment horizontal="left" vertical="center"/>
    </xf>
    <xf numFmtId="0" fontId="4" fillId="39" borderId="9" xfId="0" applyNumberFormat="1" applyFont="1" applyFill="1" applyBorder="1" applyAlignment="1">
      <alignment vertical="center"/>
    </xf>
    <xf numFmtId="0" fontId="4" fillId="39" borderId="14" xfId="0" applyNumberFormat="1" applyFont="1" applyFill="1" applyBorder="1" applyAlignment="1">
      <alignment vertical="center"/>
    </xf>
    <xf numFmtId="0" fontId="4" fillId="0" borderId="14" xfId="0" applyNumberFormat="1" applyFont="1" applyBorder="1" applyAlignment="1">
      <alignment vertical="center"/>
    </xf>
    <xf numFmtId="0" fontId="4" fillId="39" borderId="3" xfId="0" applyNumberFormat="1" applyFont="1" applyFill="1" applyBorder="1" applyAlignment="1">
      <alignment vertical="center"/>
    </xf>
    <xf numFmtId="0" fontId="4" fillId="0" borderId="3" xfId="0" applyNumberFormat="1" applyFont="1" applyBorder="1" applyAlignment="1">
      <alignment vertical="center"/>
    </xf>
    <xf numFmtId="0" fontId="4" fillId="0" borderId="9" xfId="0" applyNumberFormat="1" applyFont="1" applyBorder="1" applyAlignment="1">
      <alignment vertical="center"/>
    </xf>
    <xf numFmtId="178" fontId="11" fillId="4" borderId="225" xfId="0" applyNumberFormat="1" applyFont="1" applyFill="1" applyBorder="1" applyAlignment="1">
      <alignment horizontal="left" vertical="center"/>
    </xf>
    <xf numFmtId="0" fontId="4" fillId="39" borderId="225" xfId="0" applyNumberFormat="1" applyFont="1" applyFill="1" applyBorder="1" applyAlignment="1">
      <alignment vertical="center"/>
    </xf>
    <xf numFmtId="0" fontId="4" fillId="39" borderId="226" xfId="0" applyNumberFormat="1" applyFont="1" applyFill="1" applyBorder="1" applyAlignment="1">
      <alignment vertical="center"/>
    </xf>
    <xf numFmtId="0" fontId="4" fillId="0" borderId="226" xfId="0" applyNumberFormat="1" applyFont="1" applyBorder="1" applyAlignment="1">
      <alignment vertical="center"/>
    </xf>
    <xf numFmtId="0" fontId="4" fillId="39" borderId="227" xfId="0" applyNumberFormat="1" applyFont="1" applyFill="1" applyBorder="1" applyAlignment="1">
      <alignment vertical="center"/>
    </xf>
    <xf numFmtId="0" fontId="4" fillId="0" borderId="227" xfId="0" applyNumberFormat="1" applyFont="1" applyBorder="1" applyAlignment="1">
      <alignment vertical="center"/>
    </xf>
    <xf numFmtId="0" fontId="4" fillId="0" borderId="225" xfId="0" applyNumberFormat="1" applyFont="1" applyBorder="1" applyAlignment="1">
      <alignment vertical="center"/>
    </xf>
    <xf numFmtId="0" fontId="4" fillId="0" borderId="228" xfId="0" applyNumberFormat="1" applyFont="1" applyBorder="1" applyAlignment="1">
      <alignment vertical="center"/>
    </xf>
    <xf numFmtId="0" fontId="4" fillId="38" borderId="15" xfId="0" applyNumberFormat="1" applyFont="1" applyFill="1" applyBorder="1" applyAlignment="1">
      <alignment vertical="center"/>
    </xf>
    <xf numFmtId="0" fontId="4" fillId="38" borderId="13" xfId="0" applyNumberFormat="1" applyFont="1" applyFill="1" applyBorder="1" applyAlignment="1">
      <alignment vertical="center"/>
    </xf>
    <xf numFmtId="0" fontId="4" fillId="38" borderId="226" xfId="0" applyNumberFormat="1" applyFont="1" applyFill="1" applyBorder="1" applyAlignment="1">
      <alignment vertical="center"/>
    </xf>
    <xf numFmtId="0" fontId="4" fillId="38" borderId="14" xfId="0" applyNumberFormat="1" applyFont="1" applyFill="1" applyBorder="1" applyAlignment="1">
      <alignment vertical="center"/>
    </xf>
    <xf numFmtId="0" fontId="4" fillId="38" borderId="15" xfId="0" applyNumberFormat="1" applyFont="1" applyFill="1" applyBorder="1" applyAlignment="1"/>
    <xf numFmtId="0" fontId="121" fillId="3" borderId="0" xfId="0" applyNumberFormat="1" applyFont="1" applyFill="1" applyAlignment="1"/>
    <xf numFmtId="0" fontId="4" fillId="29" borderId="0" xfId="3" applyNumberFormat="1" applyFont="1" applyFill="1" applyAlignment="1"/>
    <xf numFmtId="0" fontId="4" fillId="3" borderId="10" xfId="3" applyNumberFormat="1" applyFont="1" applyFill="1" applyBorder="1" applyAlignment="1">
      <alignment horizontal="centerContinuous"/>
    </xf>
    <xf numFmtId="0" fontId="4" fillId="3" borderId="11" xfId="3" applyNumberFormat="1" applyFont="1" applyFill="1" applyBorder="1" applyAlignment="1">
      <alignment horizontal="centerContinuous"/>
    </xf>
    <xf numFmtId="0" fontId="4" fillId="29" borderId="9" xfId="3" applyNumberFormat="1" applyFont="1" applyFill="1" applyBorder="1" applyAlignment="1"/>
    <xf numFmtId="0" fontId="27" fillId="5" borderId="17" xfId="3" applyNumberFormat="1" applyFont="1" applyFill="1" applyBorder="1" applyAlignment="1">
      <alignment horizontal="centerContinuous"/>
    </xf>
    <xf numFmtId="0" fontId="4" fillId="5" borderId="7" xfId="3" applyNumberFormat="1" applyFont="1" applyFill="1" applyBorder="1" applyAlignment="1">
      <alignment horizontal="centerContinuous"/>
    </xf>
    <xf numFmtId="0" fontId="11" fillId="5" borderId="7" xfId="3" applyNumberFormat="1" applyFont="1" applyFill="1" applyBorder="1" applyAlignment="1">
      <alignment horizontal="centerContinuous"/>
    </xf>
    <xf numFmtId="0" fontId="4" fillId="5" borderId="7" xfId="3" quotePrefix="1" applyNumberFormat="1" applyFont="1" applyFill="1" applyBorder="1" applyAlignment="1">
      <alignment horizontal="centerContinuous"/>
    </xf>
    <xf numFmtId="0" fontId="27" fillId="5" borderId="7" xfId="3" applyNumberFormat="1" applyFont="1" applyFill="1" applyBorder="1" applyAlignment="1">
      <alignment horizontal="centerContinuous"/>
    </xf>
    <xf numFmtId="0" fontId="4" fillId="5" borderId="7" xfId="3" applyNumberFormat="1" applyFont="1" applyFill="1" applyBorder="1" applyAlignment="1"/>
    <xf numFmtId="0" fontId="4" fillId="29" borderId="5" xfId="3" applyNumberFormat="1" applyFont="1" applyFill="1" applyBorder="1" applyAlignment="1"/>
    <xf numFmtId="0" fontId="4" fillId="3" borderId="9" xfId="3" applyNumberFormat="1" applyFont="1" applyFill="1" applyBorder="1" applyAlignment="1">
      <alignment horizontal="centerContinuous"/>
    </xf>
    <xf numFmtId="0" fontId="4" fillId="3" borderId="0" xfId="3" applyNumberFormat="1" applyFont="1" applyFill="1" applyAlignment="1">
      <alignment horizontal="centerContinuous"/>
    </xf>
    <xf numFmtId="0" fontId="4" fillId="3" borderId="12" xfId="3" applyNumberFormat="1" applyFont="1" applyFill="1" applyBorder="1" applyAlignment="1">
      <alignment horizontal="centerContinuous"/>
    </xf>
    <xf numFmtId="0" fontId="4" fillId="3" borderId="1" xfId="3" applyNumberFormat="1" applyFont="1" applyFill="1" applyBorder="1" applyAlignment="1">
      <alignment horizontal="centerContinuous"/>
    </xf>
    <xf numFmtId="0" fontId="4" fillId="5" borderId="5" xfId="3" applyNumberFormat="1" applyFont="1" applyFill="1" applyBorder="1" applyAlignment="1"/>
    <xf numFmtId="0" fontId="4" fillId="5" borderId="0" xfId="3" applyNumberFormat="1" applyFont="1" applyFill="1" applyAlignment="1">
      <alignment horizontal="centerContinuous"/>
    </xf>
    <xf numFmtId="0" fontId="4" fillId="3" borderId="3" xfId="3" applyNumberFormat="1" applyFont="1" applyFill="1" applyBorder="1" applyAlignment="1">
      <alignment horizontal="centerContinuous"/>
    </xf>
    <xf numFmtId="164" fontId="1" fillId="5" borderId="5" xfId="3" applyNumberFormat="1" applyFont="1" applyFill="1" applyBorder="1" applyAlignment="1"/>
    <xf numFmtId="0" fontId="15" fillId="5" borderId="0" xfId="3" applyNumberFormat="1" applyFont="1" applyFill="1" applyAlignment="1"/>
    <xf numFmtId="166" fontId="1" fillId="5" borderId="0" xfId="3" applyNumberFormat="1" applyFont="1" applyFill="1" applyAlignment="1"/>
    <xf numFmtId="173" fontId="1" fillId="5" borderId="0" xfId="3" applyNumberFormat="1" applyFont="1" applyFill="1" applyAlignment="1"/>
    <xf numFmtId="0" fontId="4" fillId="5" borderId="0" xfId="3" applyNumberFormat="1" applyFont="1" applyFill="1" applyAlignment="1"/>
    <xf numFmtId="0" fontId="4" fillId="5" borderId="1" xfId="3" applyNumberFormat="1" applyFont="1" applyFill="1" applyBorder="1" applyAlignment="1"/>
    <xf numFmtId="0" fontId="4" fillId="5" borderId="4" xfId="3" applyNumberFormat="1" applyFont="1" applyFill="1" applyBorder="1" applyAlignment="1"/>
    <xf numFmtId="0" fontId="11" fillId="5" borderId="4" xfId="3" applyNumberFormat="1" applyFont="1" applyFill="1" applyBorder="1" applyAlignment="1">
      <alignment horizontal="centerContinuous"/>
    </xf>
    <xf numFmtId="0" fontId="4" fillId="5" borderId="3" xfId="3" applyNumberFormat="1" applyFont="1" applyFill="1" applyBorder="1" applyAlignment="1"/>
    <xf numFmtId="165" fontId="4" fillId="3" borderId="10" xfId="3" applyNumberFormat="1" applyFont="1" applyFill="1" applyBorder="1" applyAlignment="1"/>
    <xf numFmtId="0" fontId="11" fillId="5" borderId="0" xfId="3" applyNumberFormat="1" applyFont="1" applyFill="1" applyAlignment="1"/>
    <xf numFmtId="0" fontId="4" fillId="3" borderId="10" xfId="3" applyNumberFormat="1" applyFont="1" applyFill="1" applyBorder="1" applyAlignment="1"/>
    <xf numFmtId="0" fontId="4" fillId="3" borderId="11" xfId="3" applyNumberFormat="1" applyFont="1" applyFill="1" applyBorder="1" applyAlignment="1"/>
    <xf numFmtId="0" fontId="4" fillId="30" borderId="10" xfId="3" applyNumberFormat="1" applyFont="1" applyFill="1" applyBorder="1" applyAlignment="1"/>
    <xf numFmtId="0" fontId="4" fillId="30" borderId="6" xfId="3" applyNumberFormat="1" applyFont="1" applyFill="1" applyBorder="1" applyAlignment="1"/>
    <xf numFmtId="0" fontId="4" fillId="3" borderId="6" xfId="3" applyNumberFormat="1" applyFont="1" applyFill="1" applyBorder="1" applyAlignment="1"/>
    <xf numFmtId="0" fontId="11" fillId="5" borderId="3" xfId="3" applyNumberFormat="1" applyFont="1" applyFill="1" applyBorder="1" applyAlignment="1"/>
    <xf numFmtId="0" fontId="4" fillId="3" borderId="12" xfId="3" applyNumberFormat="1" applyFont="1" applyFill="1" applyBorder="1" applyAlignment="1"/>
    <xf numFmtId="0" fontId="4" fillId="3" borderId="4" xfId="3" applyNumberFormat="1" applyFont="1" applyFill="1" applyBorder="1" applyAlignment="1"/>
    <xf numFmtId="0" fontId="4" fillId="30" borderId="12" xfId="3" applyNumberFormat="1" applyFont="1" applyFill="1" applyBorder="1" applyAlignment="1"/>
    <xf numFmtId="0" fontId="4" fillId="30" borderId="1" xfId="3" applyNumberFormat="1" applyFont="1" applyFill="1" applyBorder="1" applyAlignment="1"/>
    <xf numFmtId="3" fontId="4" fillId="3" borderId="1" xfId="3" applyNumberFormat="1" applyFont="1" applyFill="1" applyBorder="1" applyAlignment="1"/>
    <xf numFmtId="0" fontId="16" fillId="5" borderId="3" xfId="3" applyNumberFormat="1" applyFont="1" applyFill="1" applyBorder="1" applyAlignment="1"/>
    <xf numFmtId="1" fontId="4" fillId="5" borderId="0" xfId="3" applyNumberFormat="1" applyFont="1" applyFill="1" applyAlignment="1"/>
    <xf numFmtId="165" fontId="4" fillId="5" borderId="0" xfId="3" applyNumberFormat="1" applyFont="1" applyFill="1" applyAlignment="1"/>
    <xf numFmtId="165" fontId="16" fillId="5" borderId="0" xfId="3" applyNumberFormat="1" applyFont="1" applyFill="1" applyAlignment="1"/>
    <xf numFmtId="1" fontId="4" fillId="5" borderId="3" xfId="3" applyNumberFormat="1" applyFont="1" applyFill="1" applyBorder="1" applyAlignment="1"/>
    <xf numFmtId="0" fontId="11" fillId="5" borderId="1" xfId="3" applyNumberFormat="1" applyFont="1" applyFill="1" applyBorder="1" applyAlignment="1"/>
    <xf numFmtId="0" fontId="11" fillId="5" borderId="0" xfId="3" applyNumberFormat="1" applyFont="1" applyFill="1" applyAlignment="1">
      <alignment horizontal="centerContinuous"/>
    </xf>
    <xf numFmtId="165" fontId="4" fillId="3" borderId="1" xfId="3" applyNumberFormat="1" applyFont="1" applyFill="1" applyBorder="1" applyAlignment="1"/>
    <xf numFmtId="1" fontId="4" fillId="5" borderId="4" xfId="3" applyNumberFormat="1" applyFont="1" applyFill="1" applyBorder="1" applyAlignment="1"/>
    <xf numFmtId="1" fontId="16" fillId="5" borderId="0" xfId="3" applyNumberFormat="1" applyFont="1" applyFill="1" applyAlignment="1"/>
    <xf numFmtId="1" fontId="4" fillId="5" borderId="1" xfId="3" applyNumberFormat="1" applyFont="1" applyFill="1" applyBorder="1" applyAlignment="1"/>
    <xf numFmtId="0" fontId="16" fillId="5" borderId="0" xfId="3" applyNumberFormat="1" applyFont="1" applyFill="1" applyAlignment="1"/>
    <xf numFmtId="3" fontId="4" fillId="5" borderId="0" xfId="3" applyNumberFormat="1" applyFont="1" applyFill="1" applyAlignment="1"/>
    <xf numFmtId="3" fontId="4" fillId="5" borderId="4" xfId="3" applyNumberFormat="1" applyFont="1" applyFill="1" applyBorder="1" applyAlignment="1"/>
    <xf numFmtId="0" fontId="11" fillId="31" borderId="1" xfId="3" applyNumberFormat="1" applyFont="1" applyFill="1" applyBorder="1" applyAlignment="1">
      <alignment horizontal="centerContinuous"/>
    </xf>
    <xf numFmtId="0" fontId="11" fillId="31" borderId="4" xfId="3" applyNumberFormat="1" applyFont="1" applyFill="1" applyBorder="1" applyAlignment="1">
      <alignment horizontal="centerContinuous"/>
    </xf>
    <xf numFmtId="0" fontId="11" fillId="32" borderId="1" xfId="3" applyNumberFormat="1" applyFont="1" applyFill="1" applyBorder="1" applyAlignment="1">
      <alignment horizontal="centerContinuous"/>
    </xf>
    <xf numFmtId="0" fontId="11" fillId="32" borderId="4" xfId="3" applyNumberFormat="1" applyFont="1" applyFill="1" applyBorder="1" applyAlignment="1">
      <alignment horizontal="centerContinuous"/>
    </xf>
    <xf numFmtId="0" fontId="11" fillId="13" borderId="1" xfId="3" applyNumberFormat="1" applyFont="1" applyFill="1" applyBorder="1" applyAlignment="1">
      <alignment horizontal="centerContinuous"/>
    </xf>
    <xf numFmtId="0" fontId="11" fillId="13" borderId="4" xfId="3" applyNumberFormat="1" applyFont="1" applyFill="1" applyBorder="1" applyAlignment="1">
      <alignment horizontal="centerContinuous"/>
    </xf>
    <xf numFmtId="0" fontId="11" fillId="33" borderId="1" xfId="3" applyNumberFormat="1" applyFont="1" applyFill="1" applyBorder="1" applyAlignment="1">
      <alignment horizontal="centerContinuous"/>
    </xf>
    <xf numFmtId="0" fontId="11" fillId="33" borderId="4" xfId="3" applyNumberFormat="1" applyFont="1" applyFill="1" applyBorder="1" applyAlignment="1">
      <alignment horizontal="centerContinuous"/>
    </xf>
    <xf numFmtId="1" fontId="4" fillId="3" borderId="12" xfId="3" applyNumberFormat="1" applyFont="1" applyFill="1" applyBorder="1" applyAlignment="1"/>
    <xf numFmtId="1" fontId="4" fillId="3" borderId="1" xfId="3" applyNumberFormat="1" applyFont="1" applyFill="1" applyBorder="1" applyAlignment="1"/>
    <xf numFmtId="0" fontId="11" fillId="5" borderId="5" xfId="3" applyNumberFormat="1" applyFont="1" applyFill="1" applyBorder="1" applyAlignment="1">
      <alignment horizontal="centerContinuous"/>
    </xf>
    <xf numFmtId="0" fontId="11" fillId="31" borderId="3" xfId="3" applyNumberFormat="1" applyFont="1" applyFill="1" applyBorder="1" applyAlignment="1">
      <alignment horizontal="centerContinuous"/>
    </xf>
    <xf numFmtId="0" fontId="11" fillId="31" borderId="0" xfId="3" applyNumberFormat="1" applyFont="1" applyFill="1" applyAlignment="1">
      <alignment horizontal="centerContinuous"/>
    </xf>
    <xf numFmtId="0" fontId="11" fillId="5" borderId="1" xfId="3" applyNumberFormat="1" applyFont="1" applyFill="1" applyBorder="1" applyAlignment="1">
      <alignment horizontal="centerContinuous"/>
    </xf>
    <xf numFmtId="0" fontId="11" fillId="32" borderId="3" xfId="3" applyNumberFormat="1" applyFont="1" applyFill="1" applyBorder="1" applyAlignment="1">
      <alignment horizontal="centerContinuous"/>
    </xf>
    <xf numFmtId="0" fontId="11" fillId="32" borderId="0" xfId="3" applyNumberFormat="1" applyFont="1" applyFill="1" applyAlignment="1">
      <alignment horizontal="centerContinuous"/>
    </xf>
    <xf numFmtId="0" fontId="11" fillId="13" borderId="3" xfId="3" applyNumberFormat="1" applyFont="1" applyFill="1" applyBorder="1" applyAlignment="1">
      <alignment horizontal="centerContinuous"/>
    </xf>
    <xf numFmtId="0" fontId="11" fillId="13" borderId="0" xfId="3" applyNumberFormat="1" applyFont="1" applyFill="1" applyAlignment="1">
      <alignment horizontal="centerContinuous"/>
    </xf>
    <xf numFmtId="0" fontId="11" fillId="5" borderId="1" xfId="3" quotePrefix="1" applyNumberFormat="1" applyFont="1" applyFill="1" applyBorder="1" applyAlignment="1">
      <alignment horizontal="centerContinuous"/>
    </xf>
    <xf numFmtId="0" fontId="11" fillId="33" borderId="3" xfId="3" applyNumberFormat="1" applyFont="1" applyFill="1" applyBorder="1" applyAlignment="1">
      <alignment horizontal="centerContinuous"/>
    </xf>
    <xf numFmtId="0" fontId="11" fillId="33" borderId="0" xfId="3" applyNumberFormat="1" applyFont="1" applyFill="1" applyAlignment="1">
      <alignment horizontal="centerContinuous"/>
    </xf>
    <xf numFmtId="0" fontId="16" fillId="5" borderId="5" xfId="3" applyNumberFormat="1" applyFont="1" applyFill="1" applyBorder="1" applyAlignment="1"/>
    <xf numFmtId="165" fontId="4" fillId="5" borderId="4" xfId="3" applyNumberFormat="1" applyFont="1" applyFill="1" applyBorder="1" applyAlignment="1"/>
    <xf numFmtId="165" fontId="4" fillId="5" borderId="1" xfId="3" applyNumberFormat="1" applyFont="1" applyFill="1" applyBorder="1" applyAlignment="1"/>
    <xf numFmtId="165" fontId="11" fillId="5" borderId="1" xfId="3" applyNumberFormat="1" applyFont="1" applyFill="1" applyBorder="1" applyAlignment="1">
      <alignment horizontal="centerContinuous"/>
    </xf>
    <xf numFmtId="165" fontId="11" fillId="5" borderId="4" xfId="3" applyNumberFormat="1" applyFont="1" applyFill="1" applyBorder="1" applyAlignment="1">
      <alignment horizontal="centerContinuous"/>
    </xf>
    <xf numFmtId="165" fontId="4" fillId="5" borderId="4" xfId="3" applyNumberFormat="1" applyFont="1" applyFill="1" applyBorder="1" applyAlignment="1">
      <alignment horizontal="centerContinuous"/>
    </xf>
    <xf numFmtId="0" fontId="4" fillId="3" borderId="1" xfId="3" applyNumberFormat="1" applyFont="1" applyFill="1" applyBorder="1" applyAlignment="1"/>
    <xf numFmtId="165" fontId="16" fillId="5" borderId="3" xfId="3" applyNumberFormat="1" applyFont="1" applyFill="1" applyBorder="1" applyAlignment="1"/>
    <xf numFmtId="165" fontId="4" fillId="5" borderId="3" xfId="3" applyNumberFormat="1" applyFont="1" applyFill="1" applyBorder="1" applyAlignment="1"/>
    <xf numFmtId="2" fontId="4" fillId="5" borderId="4" xfId="3" applyNumberFormat="1" applyFont="1" applyFill="1" applyBorder="1" applyAlignment="1"/>
    <xf numFmtId="0" fontId="4" fillId="5" borderId="4" xfId="3" applyNumberFormat="1" applyFont="1" applyFill="1" applyBorder="1" applyAlignment="1">
      <alignment horizontal="centerContinuous"/>
    </xf>
    <xf numFmtId="0" fontId="11" fillId="34" borderId="1" xfId="3" applyNumberFormat="1" applyFont="1" applyFill="1" applyBorder="1" applyAlignment="1">
      <alignment horizontal="centerContinuous"/>
    </xf>
    <xf numFmtId="0" fontId="11" fillId="34" borderId="4" xfId="3" applyNumberFormat="1" applyFont="1" applyFill="1" applyBorder="1" applyAlignment="1">
      <alignment horizontal="centerContinuous"/>
    </xf>
    <xf numFmtId="0" fontId="11" fillId="34" borderId="229" xfId="3" applyNumberFormat="1" applyFont="1" applyFill="1" applyBorder="1" applyAlignment="1">
      <alignment horizontal="centerContinuous"/>
    </xf>
    <xf numFmtId="0" fontId="4" fillId="5" borderId="0" xfId="3" quotePrefix="1" applyNumberFormat="1" applyFont="1" applyFill="1" applyBorder="1" applyAlignment="1">
      <alignment horizontal="centerContinuous"/>
    </xf>
    <xf numFmtId="0" fontId="11" fillId="35" borderId="0" xfId="3" applyNumberFormat="1" applyFont="1" applyFill="1" applyAlignment="1">
      <alignment horizontal="centerContinuous"/>
    </xf>
    <xf numFmtId="0" fontId="11" fillId="34" borderId="3" xfId="3" applyNumberFormat="1" applyFont="1" applyFill="1" applyBorder="1" applyAlignment="1">
      <alignment horizontal="centerContinuous"/>
    </xf>
    <xf numFmtId="0" fontId="11" fillId="34" borderId="0" xfId="3" applyNumberFormat="1" applyFont="1" applyFill="1" applyAlignment="1">
      <alignment horizontal="centerContinuous"/>
    </xf>
    <xf numFmtId="0" fontId="11" fillId="34" borderId="230" xfId="3" applyNumberFormat="1" applyFont="1" applyFill="1" applyBorder="1" applyAlignment="1">
      <alignment horizontal="centerContinuous"/>
    </xf>
    <xf numFmtId="0" fontId="11" fillId="5" borderId="0" xfId="3" quotePrefix="1" applyNumberFormat="1" applyFont="1" applyFill="1" applyBorder="1" applyAlignment="1">
      <alignment horizontal="centerContinuous"/>
    </xf>
    <xf numFmtId="1" fontId="4" fillId="5" borderId="0" xfId="3" applyNumberFormat="1" applyFont="1" applyFill="1" applyAlignment="1">
      <alignment horizontal="centerContinuous"/>
    </xf>
    <xf numFmtId="165" fontId="4" fillId="3" borderId="6" xfId="3" applyNumberFormat="1" applyFont="1" applyFill="1" applyBorder="1" applyAlignment="1"/>
    <xf numFmtId="3" fontId="4" fillId="5" borderId="0" xfId="3" applyNumberFormat="1" applyFont="1" applyFill="1" applyAlignment="1">
      <alignment horizontal="centerContinuous"/>
    </xf>
    <xf numFmtId="165" fontId="4" fillId="3" borderId="12" xfId="3" applyNumberFormat="1" applyFont="1" applyFill="1" applyBorder="1" applyAlignment="1"/>
    <xf numFmtId="167" fontId="4" fillId="5" borderId="4" xfId="3" applyNumberFormat="1" applyFont="1" applyFill="1" applyBorder="1" applyAlignment="1"/>
    <xf numFmtId="9" fontId="4" fillId="5" borderId="0" xfId="3" applyNumberFormat="1" applyFont="1" applyFill="1" applyAlignment="1"/>
    <xf numFmtId="0" fontId="11" fillId="19" borderId="1" xfId="3" applyNumberFormat="1" applyFont="1" applyFill="1" applyBorder="1" applyAlignment="1">
      <alignment horizontal="centerContinuous"/>
    </xf>
    <xf numFmtId="0" fontId="11" fillId="19" borderId="4" xfId="3" applyNumberFormat="1" applyFont="1" applyFill="1" applyBorder="1" applyAlignment="1">
      <alignment horizontal="centerContinuous"/>
    </xf>
    <xf numFmtId="0" fontId="11" fillId="36" borderId="1" xfId="3" applyNumberFormat="1" applyFont="1" applyFill="1" applyBorder="1" applyAlignment="1">
      <alignment horizontal="centerContinuous"/>
    </xf>
    <xf numFmtId="0" fontId="11" fillId="36" borderId="4" xfId="3" applyNumberFormat="1" applyFont="1" applyFill="1" applyBorder="1" applyAlignment="1">
      <alignment horizontal="centerContinuous"/>
    </xf>
    <xf numFmtId="0" fontId="11" fillId="19" borderId="3" xfId="3" applyNumberFormat="1" applyFont="1" applyFill="1" applyBorder="1" applyAlignment="1">
      <alignment horizontal="centerContinuous"/>
    </xf>
    <xf numFmtId="0" fontId="11" fillId="19" borderId="0" xfId="3" applyNumberFormat="1" applyFont="1" applyFill="1" applyAlignment="1">
      <alignment horizontal="centerContinuous"/>
    </xf>
    <xf numFmtId="0" fontId="11" fillId="36" borderId="3" xfId="3" applyNumberFormat="1" applyFont="1" applyFill="1" applyBorder="1" applyAlignment="1">
      <alignment horizontal="centerContinuous"/>
    </xf>
    <xf numFmtId="0" fontId="11" fillId="36" borderId="0" xfId="3" applyNumberFormat="1" applyFont="1" applyFill="1" applyAlignment="1">
      <alignment horizontal="centerContinuous"/>
    </xf>
    <xf numFmtId="3" fontId="4" fillId="5" borderId="3" xfId="3" applyNumberFormat="1" applyFont="1" applyFill="1" applyBorder="1" applyAlignment="1"/>
    <xf numFmtId="0" fontId="4" fillId="3" borderId="0" xfId="3" applyNumberFormat="1" applyFont="1" applyFill="1" applyAlignment="1"/>
    <xf numFmtId="167" fontId="4" fillId="5" borderId="3" xfId="3" applyNumberFormat="1" applyFont="1" applyFill="1" applyBorder="1" applyAlignment="1"/>
    <xf numFmtId="0" fontId="11" fillId="9" borderId="1" xfId="3" applyNumberFormat="1" applyFont="1" applyFill="1" applyBorder="1" applyAlignment="1">
      <alignment horizontal="left"/>
    </xf>
    <xf numFmtId="0" fontId="4" fillId="9" borderId="4" xfId="3" applyNumberFormat="1" applyFont="1" applyFill="1" applyBorder="1" applyAlignment="1"/>
    <xf numFmtId="0" fontId="28" fillId="3" borderId="0" xfId="3" applyNumberFormat="1" applyFont="1" applyFill="1" applyAlignment="1"/>
    <xf numFmtId="0" fontId="11" fillId="9" borderId="3" xfId="3" applyNumberFormat="1" applyFont="1" applyFill="1" applyBorder="1" applyAlignment="1">
      <alignment horizontal="left"/>
    </xf>
    <xf numFmtId="0" fontId="4" fillId="9" borderId="0" xfId="3" applyNumberFormat="1" applyFont="1" applyFill="1" applyAlignment="1"/>
    <xf numFmtId="0" fontId="16" fillId="5" borderId="4" xfId="3" applyNumberFormat="1" applyFont="1" applyFill="1" applyBorder="1" applyAlignment="1"/>
    <xf numFmtId="2" fontId="4" fillId="5" borderId="0" xfId="3" applyNumberFormat="1" applyFont="1" applyFill="1" applyAlignment="1"/>
    <xf numFmtId="0" fontId="4" fillId="5" borderId="175" xfId="3" applyNumberFormat="1" applyFont="1" applyFill="1" applyBorder="1" applyAlignment="1"/>
    <xf numFmtId="1" fontId="8" fillId="2" borderId="1" xfId="0" quotePrefix="1" applyNumberFormat="1" applyFont="1" applyFill="1" applyBorder="1" applyAlignment="1">
      <alignment horizontal="right"/>
    </xf>
    <xf numFmtId="0" fontId="4" fillId="40" borderId="6" xfId="0" applyNumberFormat="1" applyFont="1" applyFill="1" applyBorder="1" applyAlignment="1">
      <alignment vertical="center"/>
    </xf>
    <xf numFmtId="0" fontId="4" fillId="40" borderId="1" xfId="0" applyNumberFormat="1" applyFont="1" applyFill="1" applyBorder="1" applyAlignment="1">
      <alignment vertical="center"/>
    </xf>
    <xf numFmtId="0" fontId="4" fillId="40" borderId="227" xfId="0" applyNumberFormat="1" applyFont="1" applyFill="1" applyBorder="1" applyAlignment="1">
      <alignment vertical="center"/>
    </xf>
    <xf numFmtId="0" fontId="4" fillId="40" borderId="3" xfId="0" applyNumberFormat="1" applyFont="1" applyFill="1" applyBorder="1" applyAlignment="1">
      <alignment vertical="center"/>
    </xf>
    <xf numFmtId="167" fontId="13" fillId="0" borderId="0" xfId="0" applyNumberFormat="1" applyFont="1" applyAlignment="1">
      <alignment horizontal="right"/>
    </xf>
    <xf numFmtId="1" fontId="8" fillId="2" borderId="81" xfId="0" applyNumberFormat="1" applyFont="1" applyFill="1" applyBorder="1" applyAlignment="1" applyProtection="1">
      <protection locked="0"/>
    </xf>
    <xf numFmtId="0" fontId="1" fillId="0" borderId="87" xfId="0" applyFont="1" applyBorder="1" applyAlignment="1">
      <alignment horizontal="center" vertical="center" wrapText="1"/>
    </xf>
    <xf numFmtId="0" fontId="119" fillId="0" borderId="0" xfId="0" applyNumberFormat="1" applyFont="1" applyAlignment="1">
      <alignment horizontal="right"/>
    </xf>
    <xf numFmtId="0" fontId="122" fillId="0" borderId="0" xfId="0" applyFont="1" applyFill="1" applyBorder="1" applyAlignment="1"/>
    <xf numFmtId="0" fontId="66" fillId="0" borderId="0" xfId="0" applyFont="1" applyFill="1" applyBorder="1" applyAlignment="1"/>
    <xf numFmtId="1" fontId="8" fillId="2" borderId="92" xfId="0" applyNumberFormat="1" applyFont="1" applyFill="1" applyBorder="1" applyAlignment="1" applyProtection="1">
      <protection locked="0"/>
    </xf>
    <xf numFmtId="165" fontId="36" fillId="2" borderId="7" xfId="0" applyNumberFormat="1" applyFont="1" applyFill="1" applyBorder="1" applyAlignment="1" applyProtection="1">
      <protection locked="0"/>
    </xf>
    <xf numFmtId="165" fontId="36" fillId="2" borderId="4" xfId="0" applyNumberFormat="1" applyFont="1" applyFill="1" applyBorder="1" applyAlignment="1" applyProtection="1">
      <protection locked="0"/>
    </xf>
    <xf numFmtId="165" fontId="13" fillId="0" borderId="6" xfId="0" applyNumberFormat="1" applyFont="1" applyBorder="1" applyAlignment="1" applyProtection="1">
      <protection locked="0"/>
    </xf>
    <xf numFmtId="167" fontId="8" fillId="3" borderId="72" xfId="0" applyNumberFormat="1" applyFont="1" applyFill="1" applyBorder="1" applyAlignment="1"/>
    <xf numFmtId="0" fontId="8" fillId="3" borderId="165" xfId="0" applyNumberFormat="1" applyFont="1" applyFill="1" applyBorder="1" applyAlignment="1">
      <alignment horizontal="center"/>
    </xf>
    <xf numFmtId="14" fontId="37" fillId="3" borderId="64" xfId="0" applyNumberFormat="1" applyFont="1" applyFill="1" applyBorder="1" applyAlignment="1"/>
    <xf numFmtId="167" fontId="8" fillId="3" borderId="144" xfId="0" applyNumberFormat="1" applyFont="1" applyFill="1" applyBorder="1" applyAlignment="1"/>
    <xf numFmtId="167" fontId="8" fillId="3" borderId="145" xfId="0" applyNumberFormat="1" applyFont="1" applyFill="1" applyBorder="1" applyAlignment="1"/>
    <xf numFmtId="1" fontId="8" fillId="2" borderId="0" xfId="0" applyNumberFormat="1" applyFont="1" applyFill="1" applyBorder="1" applyAlignment="1"/>
    <xf numFmtId="1" fontId="8" fillId="3" borderId="56" xfId="0" applyNumberFormat="1" applyFont="1" applyFill="1" applyBorder="1" applyAlignment="1"/>
    <xf numFmtId="1" fontId="8" fillId="3" borderId="165" xfId="0" applyNumberFormat="1" applyFont="1" applyFill="1" applyBorder="1" applyAlignment="1"/>
    <xf numFmtId="1" fontId="8" fillId="3" borderId="99" xfId="0" applyNumberFormat="1" applyFont="1" applyFill="1" applyBorder="1" applyAlignment="1"/>
    <xf numFmtId="1" fontId="30" fillId="2" borderId="4" xfId="0" applyNumberFormat="1" applyFont="1" applyFill="1" applyBorder="1" applyAlignment="1" applyProtection="1">
      <protection locked="0"/>
    </xf>
    <xf numFmtId="165" fontId="30" fillId="2" borderId="72" xfId="0" applyNumberFormat="1" applyFont="1" applyFill="1" applyBorder="1" applyAlignment="1" applyProtection="1">
      <protection locked="0"/>
    </xf>
    <xf numFmtId="0" fontId="48" fillId="2" borderId="8" xfId="0" applyNumberFormat="1" applyFont="1" applyFill="1" applyBorder="1" applyAlignment="1">
      <alignment horizontal="center"/>
    </xf>
    <xf numFmtId="1" fontId="36" fillId="2" borderId="197" xfId="0" applyNumberFormat="1" applyFont="1" applyFill="1" applyBorder="1" applyAlignment="1" applyProtection="1">
      <protection locked="0"/>
    </xf>
    <xf numFmtId="1" fontId="36" fillId="2" borderId="4" xfId="0" quotePrefix="1" applyNumberFormat="1" applyFont="1" applyFill="1" applyBorder="1" applyAlignment="1" applyProtection="1">
      <protection locked="0"/>
    </xf>
    <xf numFmtId="1" fontId="36" fillId="2" borderId="3" xfId="0" applyNumberFormat="1" applyFont="1" applyFill="1" applyBorder="1" applyAlignment="1" applyProtection="1">
      <protection locked="0"/>
    </xf>
    <xf numFmtId="1" fontId="36" fillId="2" borderId="72" xfId="0" applyNumberFormat="1" applyFont="1" applyFill="1" applyBorder="1" applyAlignment="1" applyProtection="1">
      <protection locked="0"/>
    </xf>
    <xf numFmtId="1" fontId="36" fillId="2" borderId="72" xfId="0" quotePrefix="1" applyNumberFormat="1" applyFont="1" applyFill="1" applyBorder="1" applyAlignment="1" applyProtection="1">
      <protection locked="0"/>
    </xf>
    <xf numFmtId="0" fontId="36" fillId="2" borderId="4" xfId="0" applyNumberFormat="1" applyFont="1" applyFill="1" applyBorder="1" applyAlignment="1" applyProtection="1">
      <protection locked="0"/>
    </xf>
    <xf numFmtId="165" fontId="36" fillId="2" borderId="3" xfId="0" applyNumberFormat="1" applyFont="1" applyFill="1" applyBorder="1" applyAlignment="1" applyProtection="1">
      <protection locked="0"/>
    </xf>
    <xf numFmtId="165" fontId="36" fillId="2" borderId="72" xfId="0" applyNumberFormat="1" applyFont="1" applyFill="1" applyBorder="1" applyAlignment="1" applyProtection="1">
      <protection locked="0"/>
    </xf>
    <xf numFmtId="0" fontId="33" fillId="0" borderId="72" xfId="0" applyNumberFormat="1" applyFont="1" applyFill="1" applyBorder="1" applyAlignment="1" applyProtection="1">
      <protection locked="0"/>
    </xf>
    <xf numFmtId="0" fontId="36" fillId="2" borderId="3" xfId="0" applyNumberFormat="1" applyFont="1" applyFill="1" applyBorder="1" applyAlignment="1" applyProtection="1">
      <protection locked="0"/>
    </xf>
    <xf numFmtId="0" fontId="36" fillId="2" borderId="72" xfId="0" applyNumberFormat="1" applyFont="1" applyFill="1" applyBorder="1" applyAlignment="1" applyProtection="1">
      <protection locked="0"/>
    </xf>
    <xf numFmtId="182" fontId="1" fillId="0" borderId="72" xfId="0" applyNumberFormat="1" applyFont="1" applyBorder="1"/>
    <xf numFmtId="0" fontId="8" fillId="0" borderId="0" xfId="0" applyNumberFormat="1" applyFont="1" applyBorder="1" applyAlignment="1"/>
    <xf numFmtId="0" fontId="8" fillId="2" borderId="64" xfId="0" applyNumberFormat="1" applyFont="1" applyFill="1" applyBorder="1" applyAlignment="1">
      <alignment horizontal="right"/>
    </xf>
    <xf numFmtId="3" fontId="8" fillId="2" borderId="65" xfId="0" applyNumberFormat="1" applyFont="1" applyFill="1" applyBorder="1" applyAlignment="1">
      <alignment horizontal="right"/>
    </xf>
    <xf numFmtId="3" fontId="8" fillId="2" borderId="99" xfId="0" applyNumberFormat="1" applyFont="1" applyFill="1" applyBorder="1" applyAlignment="1">
      <alignment horizontal="right"/>
    </xf>
    <xf numFmtId="0" fontId="8" fillId="2" borderId="145" xfId="0" applyNumberFormat="1" applyFont="1" applyFill="1" applyBorder="1" applyAlignment="1">
      <alignment horizontal="center"/>
    </xf>
    <xf numFmtId="3" fontId="8" fillId="2" borderId="218" xfId="0" applyNumberFormat="1" applyFont="1" applyFill="1" applyBorder="1" applyAlignment="1">
      <alignment horizontal="center"/>
    </xf>
    <xf numFmtId="3" fontId="8" fillId="0" borderId="7" xfId="0" applyNumberFormat="1" applyFont="1" applyBorder="1" applyAlignment="1"/>
    <xf numFmtId="3" fontId="8" fillId="0" borderId="4" xfId="0" applyNumberFormat="1" applyFont="1" applyBorder="1" applyAlignment="1"/>
    <xf numFmtId="3" fontId="8" fillId="0" borderId="0" xfId="0" applyNumberFormat="1" applyFont="1" applyBorder="1" applyAlignment="1"/>
    <xf numFmtId="0" fontId="8" fillId="2" borderId="233" xfId="0" applyNumberFormat="1" applyFont="1" applyFill="1" applyBorder="1" applyAlignment="1">
      <alignment horizontal="center"/>
    </xf>
    <xf numFmtId="3" fontId="8" fillId="0" borderId="87" xfId="0" applyNumberFormat="1" applyFont="1" applyBorder="1" applyAlignment="1"/>
    <xf numFmtId="0" fontId="8" fillId="2" borderId="97" xfId="0" applyNumberFormat="1" applyFont="1" applyFill="1" applyBorder="1" applyAlignment="1">
      <alignment horizontal="center"/>
    </xf>
    <xf numFmtId="0" fontId="91" fillId="2" borderId="234" xfId="0" applyNumberFormat="1" applyFont="1" applyFill="1" applyBorder="1" applyAlignment="1">
      <alignment horizontal="center"/>
    </xf>
    <xf numFmtId="0" fontId="91" fillId="2" borderId="235" xfId="0" applyNumberFormat="1" applyFont="1" applyFill="1" applyBorder="1" applyAlignment="1">
      <alignment horizontal="center"/>
    </xf>
    <xf numFmtId="0" fontId="91" fillId="2" borderId="236" xfId="0" applyNumberFormat="1" applyFont="1" applyFill="1" applyBorder="1" applyAlignment="1">
      <alignment horizontal="center"/>
    </xf>
    <xf numFmtId="2" fontId="8" fillId="2" borderId="4" xfId="0" applyNumberFormat="1" applyFont="1" applyFill="1" applyBorder="1" applyAlignment="1">
      <alignment horizontal="right"/>
    </xf>
    <xf numFmtId="2" fontId="36" fillId="2" borderId="4" xfId="0" applyNumberFormat="1" applyFont="1" applyFill="1" applyBorder="1" applyAlignment="1">
      <alignment horizontal="right"/>
    </xf>
    <xf numFmtId="165" fontId="83" fillId="2" borderId="144" xfId="0" applyNumberFormat="1" applyFont="1" applyFill="1" applyBorder="1" applyAlignment="1">
      <alignment horizontal="right"/>
    </xf>
    <xf numFmtId="165" fontId="8" fillId="2" borderId="73" xfId="0" applyNumberFormat="1" applyFont="1" applyFill="1" applyBorder="1" applyAlignment="1">
      <alignment horizontal="right"/>
    </xf>
    <xf numFmtId="1" fontId="8" fillId="2" borderId="3" xfId="0" applyNumberFormat="1" applyFont="1" applyFill="1" applyBorder="1" applyAlignment="1">
      <alignment horizontal="right"/>
    </xf>
    <xf numFmtId="165" fontId="8" fillId="2" borderId="3" xfId="0" applyNumberFormat="1" applyFont="1" applyFill="1" applyBorder="1" applyAlignment="1">
      <alignment horizontal="right"/>
    </xf>
    <xf numFmtId="1" fontId="8" fillId="2" borderId="59" xfId="0" applyNumberFormat="1" applyFont="1" applyFill="1" applyBorder="1" applyAlignment="1" applyProtection="1">
      <protection locked="0"/>
    </xf>
    <xf numFmtId="165" fontId="36" fillId="2" borderId="72" xfId="0" quotePrefix="1" applyNumberFormat="1" applyFont="1" applyFill="1" applyBorder="1" applyAlignment="1" applyProtection="1">
      <protection locked="0"/>
    </xf>
    <xf numFmtId="165" fontId="8" fillId="2" borderId="237" xfId="0" applyNumberFormat="1" applyFont="1" applyFill="1" applyBorder="1" applyAlignment="1">
      <alignment horizontal="right"/>
    </xf>
    <xf numFmtId="167" fontId="8" fillId="2" borderId="3" xfId="0" applyNumberFormat="1" applyFont="1" applyFill="1" applyBorder="1" applyAlignment="1">
      <alignment horizontal="right"/>
    </xf>
    <xf numFmtId="3" fontId="13" fillId="0" borderId="72" xfId="0" applyNumberFormat="1" applyFont="1" applyBorder="1" applyAlignment="1"/>
    <xf numFmtId="165" fontId="8" fillId="2" borderId="75" xfId="0" applyNumberFormat="1" applyFont="1" applyFill="1" applyBorder="1" applyAlignment="1">
      <alignment horizontal="right"/>
    </xf>
    <xf numFmtId="2" fontId="36" fillId="2" borderId="0" xfId="0" applyNumberFormat="1" applyFont="1" applyFill="1" applyBorder="1" applyAlignment="1">
      <alignment horizontal="right"/>
    </xf>
    <xf numFmtId="1" fontId="8" fillId="2" borderId="72" xfId="0" applyNumberFormat="1" applyFont="1" applyFill="1" applyBorder="1" applyAlignment="1">
      <alignment horizontal="right"/>
    </xf>
    <xf numFmtId="2" fontId="36" fillId="2" borderId="72" xfId="0" applyNumberFormat="1" applyFont="1" applyFill="1" applyBorder="1" applyAlignment="1">
      <alignment horizontal="right"/>
    </xf>
    <xf numFmtId="0" fontId="8" fillId="42" borderId="0" xfId="0" applyNumberFormat="1" applyFont="1" applyFill="1" applyAlignment="1"/>
    <xf numFmtId="2" fontId="3" fillId="2" borderId="0" xfId="0" applyNumberFormat="1" applyFont="1" applyFill="1" applyBorder="1" applyAlignment="1">
      <alignment horizontal="right"/>
    </xf>
    <xf numFmtId="0" fontId="13" fillId="0" borderId="77" xfId="0" applyNumberFormat="1" applyFont="1" applyBorder="1" applyAlignment="1"/>
    <xf numFmtId="0" fontId="13" fillId="0" borderId="155" xfId="0" applyNumberFormat="1" applyFont="1" applyFill="1" applyBorder="1" applyAlignment="1"/>
    <xf numFmtId="0" fontId="8" fillId="0" borderId="218" xfId="0" applyNumberFormat="1" applyFont="1" applyBorder="1" applyAlignment="1">
      <alignment vertical="center"/>
    </xf>
    <xf numFmtId="0" fontId="13" fillId="0" borderId="72" xfId="0" applyNumberFormat="1" applyFont="1" applyBorder="1" applyAlignment="1">
      <alignment horizontal="center" vertical="center"/>
    </xf>
    <xf numFmtId="0" fontId="8" fillId="2" borderId="293" xfId="0" applyNumberFormat="1" applyFont="1" applyFill="1" applyBorder="1" applyAlignment="1">
      <alignment horizontal="right"/>
    </xf>
    <xf numFmtId="0" fontId="8" fillId="2" borderId="294" xfId="0" applyNumberFormat="1" applyFont="1" applyFill="1" applyBorder="1" applyAlignment="1">
      <alignment horizontal="right"/>
    </xf>
    <xf numFmtId="0" fontId="8" fillId="2" borderId="295" xfId="0" applyNumberFormat="1" applyFont="1" applyFill="1" applyBorder="1" applyAlignment="1">
      <alignment horizontal="right"/>
    </xf>
    <xf numFmtId="3" fontId="8" fillId="2" borderId="296" xfId="0" applyNumberFormat="1" applyFont="1" applyFill="1" applyBorder="1" applyAlignment="1">
      <alignment horizontal="right"/>
    </xf>
    <xf numFmtId="1" fontId="8" fillId="2" borderId="297" xfId="0" applyNumberFormat="1" applyFont="1" applyFill="1" applyBorder="1" applyAlignment="1">
      <alignment horizontal="right"/>
    </xf>
    <xf numFmtId="0" fontId="13" fillId="0" borderId="297" xfId="0" applyNumberFormat="1" applyFont="1" applyBorder="1" applyAlignment="1"/>
    <xf numFmtId="1" fontId="36" fillId="2" borderId="240" xfId="0" applyNumberFormat="1" applyFont="1" applyFill="1" applyBorder="1" applyAlignment="1">
      <alignment horizontal="center"/>
    </xf>
    <xf numFmtId="1" fontId="33" fillId="0" borderId="298" xfId="0" applyNumberFormat="1" applyFont="1" applyFill="1" applyBorder="1" applyAlignment="1" applyProtection="1">
      <protection locked="0"/>
    </xf>
    <xf numFmtId="2" fontId="33" fillId="0" borderId="177" xfId="0" applyNumberFormat="1" applyFont="1" applyBorder="1" applyAlignment="1">
      <alignment horizontal="center"/>
    </xf>
    <xf numFmtId="2" fontId="33" fillId="0" borderId="180" xfId="0" applyNumberFormat="1" applyFont="1" applyBorder="1" applyAlignment="1">
      <alignment horizontal="center"/>
    </xf>
    <xf numFmtId="2" fontId="8" fillId="3" borderId="179" xfId="0" applyNumberFormat="1" applyFont="1" applyFill="1" applyBorder="1" applyAlignment="1">
      <alignment horizontal="center"/>
    </xf>
    <xf numFmtId="2" fontId="8" fillId="3" borderId="178" xfId="0" applyNumberFormat="1" applyFont="1" applyFill="1" applyBorder="1" applyAlignment="1">
      <alignment horizontal="center"/>
    </xf>
    <xf numFmtId="0" fontId="33" fillId="44" borderId="93" xfId="0" applyNumberFormat="1" applyFont="1" applyFill="1" applyBorder="1" applyAlignment="1">
      <alignment horizontal="center"/>
    </xf>
    <xf numFmtId="3" fontId="8" fillId="2" borderId="237" xfId="0" applyNumberFormat="1" applyFont="1" applyFill="1" applyBorder="1" applyAlignment="1">
      <alignment horizontal="center"/>
    </xf>
    <xf numFmtId="0" fontId="13" fillId="0" borderId="73" xfId="0" applyFont="1" applyBorder="1" applyAlignment="1">
      <alignment vertical="center"/>
    </xf>
    <xf numFmtId="0" fontId="13" fillId="0" borderId="72" xfId="0" applyFont="1" applyBorder="1" applyAlignment="1">
      <alignment vertical="center"/>
    </xf>
    <xf numFmtId="3" fontId="13" fillId="0" borderId="73" xfId="0" applyNumberFormat="1" applyFont="1" applyBorder="1" applyAlignment="1"/>
    <xf numFmtId="0" fontId="13" fillId="0" borderId="73" xfId="0" applyNumberFormat="1" applyFont="1" applyBorder="1" applyAlignment="1"/>
    <xf numFmtId="3" fontId="8" fillId="2" borderId="73" xfId="0" applyNumberFormat="1" applyFont="1" applyFill="1" applyBorder="1" applyAlignment="1">
      <alignment horizontal="right"/>
    </xf>
    <xf numFmtId="167" fontId="8" fillId="2" borderId="73" xfId="0" applyNumberFormat="1" applyFont="1" applyFill="1" applyBorder="1" applyAlignment="1">
      <alignment horizontal="right"/>
    </xf>
    <xf numFmtId="0" fontId="8" fillId="2" borderId="73" xfId="0" applyNumberFormat="1" applyFont="1" applyFill="1" applyBorder="1" applyAlignment="1">
      <alignment horizontal="right"/>
    </xf>
    <xf numFmtId="177" fontId="13" fillId="2" borderId="168" xfId="0" applyNumberFormat="1" applyFont="1" applyFill="1" applyBorder="1" applyAlignment="1">
      <alignment horizontal="center"/>
    </xf>
    <xf numFmtId="0" fontId="13" fillId="2" borderId="282" xfId="0" applyNumberFormat="1" applyFont="1" applyFill="1" applyBorder="1" applyAlignment="1">
      <alignment horizontal="center"/>
    </xf>
    <xf numFmtId="0" fontId="13" fillId="2" borderId="300" xfId="0" applyNumberFormat="1" applyFont="1" applyFill="1" applyBorder="1" applyAlignment="1">
      <alignment horizontal="center"/>
    </xf>
    <xf numFmtId="0" fontId="13" fillId="2" borderId="301" xfId="0" applyNumberFormat="1" applyFont="1" applyFill="1" applyBorder="1" applyAlignment="1">
      <alignment horizontal="center"/>
    </xf>
    <xf numFmtId="1" fontId="8" fillId="3" borderId="302" xfId="0" applyNumberFormat="1" applyFont="1" applyFill="1" applyBorder="1" applyAlignment="1"/>
    <xf numFmtId="0" fontId="8" fillId="0" borderId="222" xfId="0" applyNumberFormat="1" applyFont="1" applyFill="1" applyBorder="1" applyAlignment="1" applyProtection="1">
      <protection locked="0"/>
    </xf>
    <xf numFmtId="165" fontId="36" fillId="2" borderId="77" xfId="0" applyNumberFormat="1" applyFont="1" applyFill="1" applyBorder="1" applyAlignment="1" applyProtection="1">
      <protection locked="0"/>
    </xf>
    <xf numFmtId="1" fontId="36" fillId="2" borderId="77" xfId="0" quotePrefix="1" applyNumberFormat="1" applyFont="1" applyFill="1" applyBorder="1" applyAlignment="1" applyProtection="1">
      <protection locked="0"/>
    </xf>
    <xf numFmtId="0" fontId="123" fillId="0" borderId="0" xfId="0" quotePrefix="1" applyNumberFormat="1" applyFont="1" applyAlignment="1"/>
    <xf numFmtId="3" fontId="13" fillId="0" borderId="1" xfId="0" applyNumberFormat="1" applyFont="1" applyBorder="1" applyAlignment="1" applyProtection="1">
      <protection locked="0"/>
    </xf>
    <xf numFmtId="0" fontId="13" fillId="2" borderId="61" xfId="0" applyNumberFormat="1" applyFont="1" applyFill="1" applyBorder="1" applyAlignment="1">
      <alignment horizontal="center"/>
    </xf>
    <xf numFmtId="3" fontId="13" fillId="0" borderId="1" xfId="0" applyNumberFormat="1" applyFont="1" applyFill="1" applyBorder="1" applyAlignment="1" applyProtection="1">
      <protection locked="0"/>
    </xf>
    <xf numFmtId="0" fontId="13" fillId="0" borderId="0" xfId="0" applyNumberFormat="1" applyFont="1" applyFill="1" applyAlignment="1"/>
    <xf numFmtId="1" fontId="8" fillId="2" borderId="126" xfId="0" applyNumberFormat="1" applyFont="1" applyFill="1" applyBorder="1" applyAlignment="1" applyProtection="1">
      <protection locked="0"/>
    </xf>
    <xf numFmtId="4" fontId="36" fillId="0" borderId="8" xfId="0" applyNumberFormat="1" applyFont="1" applyFill="1" applyBorder="1" applyAlignment="1" applyProtection="1">
      <alignment horizontal="center" vertical="center"/>
      <protection locked="0"/>
    </xf>
    <xf numFmtId="0" fontId="13" fillId="0" borderId="75" xfId="0" applyNumberFormat="1" applyFont="1" applyBorder="1" applyAlignment="1">
      <alignment horizontal="center" vertical="center"/>
    </xf>
    <xf numFmtId="187" fontId="101" fillId="0" borderId="77" xfId="1" applyNumberFormat="1" applyFont="1" applyBorder="1" applyAlignment="1">
      <alignment horizontal="center"/>
    </xf>
    <xf numFmtId="43" fontId="8" fillId="0" borderId="1" xfId="1" applyNumberFormat="1" applyFont="1" applyFill="1" applyBorder="1" applyAlignment="1">
      <alignment horizontal="center" vertical="center"/>
    </xf>
    <xf numFmtId="1" fontId="8" fillId="2" borderId="87" xfId="0" applyNumberFormat="1" applyFont="1" applyFill="1" applyBorder="1" applyAlignment="1" applyProtection="1">
      <protection locked="0"/>
    </xf>
    <xf numFmtId="3" fontId="8" fillId="0" borderId="1" xfId="0" applyNumberFormat="1" applyFont="1" applyFill="1" applyBorder="1" applyAlignment="1">
      <alignment horizontal="right"/>
    </xf>
    <xf numFmtId="2" fontId="13" fillId="0" borderId="4" xfId="0" applyNumberFormat="1" applyFont="1" applyFill="1" applyBorder="1" applyAlignment="1">
      <alignment horizontal="right"/>
    </xf>
    <xf numFmtId="43" fontId="116" fillId="0" borderId="1" xfId="1" applyNumberFormat="1" applyFont="1" applyFill="1" applyBorder="1" applyAlignment="1">
      <alignment horizontal="center" vertical="center"/>
    </xf>
    <xf numFmtId="9" fontId="8" fillId="0" borderId="5" xfId="6" applyNumberFormat="1" applyFont="1" applyBorder="1" applyAlignment="1">
      <alignment vertical="center"/>
    </xf>
    <xf numFmtId="1" fontId="8" fillId="2" borderId="77" xfId="0" applyNumberFormat="1" applyFont="1" applyFill="1" applyBorder="1" applyAlignment="1" applyProtection="1">
      <protection locked="0"/>
    </xf>
    <xf numFmtId="1" fontId="8" fillId="2" borderId="174" xfId="0" applyNumberFormat="1" applyFont="1" applyFill="1" applyBorder="1" applyAlignment="1" applyProtection="1">
      <protection locked="0"/>
    </xf>
    <xf numFmtId="1" fontId="8" fillId="0" borderId="3" xfId="0" applyNumberFormat="1" applyFont="1" applyFill="1" applyBorder="1" applyAlignment="1"/>
    <xf numFmtId="165" fontId="8" fillId="0" borderId="3" xfId="0" applyNumberFormat="1" applyFont="1" applyFill="1" applyBorder="1" applyAlignment="1"/>
    <xf numFmtId="0" fontId="8" fillId="3" borderId="66" xfId="0" applyNumberFormat="1" applyFont="1" applyFill="1" applyBorder="1" applyAlignment="1">
      <alignment horizontal="centerContinuous"/>
    </xf>
    <xf numFmtId="0" fontId="8" fillId="3" borderId="171" xfId="0" applyNumberFormat="1" applyFont="1" applyFill="1" applyBorder="1" applyAlignment="1">
      <alignment horizontal="centerContinuous"/>
    </xf>
    <xf numFmtId="165" fontId="8" fillId="0" borderId="72" xfId="0" applyNumberFormat="1" applyFont="1" applyFill="1" applyBorder="1" applyAlignment="1">
      <alignment horizontal="right"/>
    </xf>
    <xf numFmtId="2" fontId="8" fillId="0" borderId="4" xfId="0" applyNumberFormat="1" applyFont="1" applyFill="1" applyBorder="1" applyAlignment="1">
      <alignment horizontal="right"/>
    </xf>
    <xf numFmtId="1" fontId="8" fillId="0" borderId="1" xfId="0" applyNumberFormat="1" applyFont="1" applyFill="1" applyBorder="1" applyAlignment="1">
      <alignment horizontal="right"/>
    </xf>
    <xf numFmtId="165" fontId="8" fillId="0" borderId="1" xfId="0" applyNumberFormat="1" applyFont="1" applyFill="1" applyBorder="1" applyAlignment="1">
      <alignment horizontal="right"/>
    </xf>
    <xf numFmtId="1" fontId="13" fillId="0" borderId="8" xfId="0" applyNumberFormat="1" applyFont="1" applyFill="1" applyBorder="1" applyAlignment="1" applyProtection="1">
      <alignment horizontal="center" vertical="center"/>
      <protection locked="0"/>
    </xf>
    <xf numFmtId="190" fontId="116" fillId="0" borderId="1" xfId="1" applyNumberFormat="1" applyFont="1" applyFill="1" applyBorder="1" applyAlignment="1">
      <alignment horizontal="center" vertical="center"/>
    </xf>
    <xf numFmtId="1" fontId="8" fillId="2" borderId="156" xfId="0" applyNumberFormat="1" applyFont="1" applyFill="1" applyBorder="1" applyAlignment="1" applyProtection="1">
      <protection locked="0"/>
    </xf>
    <xf numFmtId="1" fontId="8" fillId="2" borderId="231" xfId="0" applyNumberFormat="1" applyFont="1" applyFill="1" applyBorder="1" applyAlignment="1" applyProtection="1">
      <protection locked="0"/>
    </xf>
    <xf numFmtId="0" fontId="13" fillId="2" borderId="42" xfId="0" applyNumberFormat="1" applyFont="1" applyFill="1" applyBorder="1" applyAlignment="1">
      <alignment horizontal="center"/>
    </xf>
    <xf numFmtId="0" fontId="13" fillId="2" borderId="305" xfId="0" applyNumberFormat="1" applyFont="1" applyFill="1" applyBorder="1" applyAlignment="1">
      <alignment horizontal="center"/>
    </xf>
    <xf numFmtId="0" fontId="13" fillId="2" borderId="64" xfId="0" applyNumberFormat="1" applyFont="1" applyFill="1" applyBorder="1" applyAlignment="1">
      <alignment horizontal="center"/>
    </xf>
    <xf numFmtId="1" fontId="8" fillId="3" borderId="55" xfId="0" applyNumberFormat="1" applyFont="1" applyFill="1" applyBorder="1" applyAlignment="1"/>
    <xf numFmtId="1" fontId="8" fillId="2" borderId="136" xfId="0" applyNumberFormat="1" applyFont="1" applyFill="1" applyBorder="1" applyAlignment="1" applyProtection="1">
      <protection locked="0"/>
    </xf>
    <xf numFmtId="1" fontId="8" fillId="2" borderId="262" xfId="0" applyNumberFormat="1" applyFont="1" applyFill="1" applyBorder="1" applyAlignment="1" applyProtection="1">
      <protection locked="0"/>
    </xf>
    <xf numFmtId="1" fontId="8" fillId="2" borderId="127" xfId="0" applyNumberFormat="1" applyFont="1" applyFill="1" applyBorder="1" applyAlignment="1" applyProtection="1">
      <protection locked="0"/>
    </xf>
    <xf numFmtId="4" fontId="36" fillId="0" borderId="8" xfId="0" applyNumberFormat="1" applyFont="1" applyFill="1" applyBorder="1" applyAlignment="1">
      <alignment horizontal="center" vertical="center" wrapText="1"/>
    </xf>
    <xf numFmtId="1" fontId="36" fillId="41" borderId="8" xfId="0" applyNumberFormat="1" applyFont="1" applyFill="1" applyBorder="1" applyAlignment="1">
      <alignment horizontal="center" vertical="center"/>
    </xf>
    <xf numFmtId="3" fontId="8" fillId="0" borderId="56" xfId="0" applyNumberFormat="1" applyFont="1" applyBorder="1" applyAlignment="1"/>
    <xf numFmtId="3" fontId="8" fillId="2" borderId="185" xfId="0" applyNumberFormat="1" applyFont="1" applyFill="1" applyBorder="1" applyAlignment="1"/>
    <xf numFmtId="3" fontId="8" fillId="2" borderId="132" xfId="0" applyNumberFormat="1" applyFont="1" applyFill="1" applyBorder="1" applyAlignment="1"/>
    <xf numFmtId="3" fontId="8" fillId="0" borderId="55" xfId="0" applyNumberFormat="1" applyFont="1" applyBorder="1" applyAlignment="1"/>
    <xf numFmtId="3" fontId="8" fillId="0" borderId="267" xfId="0" applyNumberFormat="1" applyFont="1" applyBorder="1" applyAlignment="1"/>
    <xf numFmtId="3" fontId="8" fillId="0" borderId="126" xfId="0" applyNumberFormat="1" applyFont="1" applyBorder="1" applyAlignment="1"/>
    <xf numFmtId="3" fontId="8" fillId="25" borderId="116" xfId="0" applyNumberFormat="1" applyFont="1" applyFill="1" applyBorder="1" applyAlignment="1"/>
    <xf numFmtId="165" fontId="8" fillId="2" borderId="0" xfId="0" applyNumberFormat="1" applyFont="1" applyFill="1" applyBorder="1" applyAlignment="1">
      <alignment horizontal="right"/>
    </xf>
    <xf numFmtId="1" fontId="8" fillId="2" borderId="57" xfId="0" applyNumberFormat="1" applyFont="1" applyFill="1" applyBorder="1" applyAlignment="1">
      <alignment horizontal="right"/>
    </xf>
    <xf numFmtId="3" fontId="8" fillId="2" borderId="100" xfId="0" applyNumberFormat="1" applyFont="1" applyFill="1" applyBorder="1" applyAlignment="1">
      <alignment horizontal="right"/>
    </xf>
    <xf numFmtId="3" fontId="8" fillId="2" borderId="42" xfId="0" applyNumberFormat="1" applyFont="1" applyFill="1" applyBorder="1" applyAlignment="1">
      <alignment horizontal="right"/>
    </xf>
    <xf numFmtId="3" fontId="8" fillId="2" borderId="56" xfId="0" applyNumberFormat="1" applyFont="1" applyFill="1" applyBorder="1" applyAlignment="1">
      <alignment horizontal="right"/>
    </xf>
    <xf numFmtId="165" fontId="8" fillId="2" borderId="136" xfId="0" applyNumberFormat="1" applyFont="1" applyFill="1" applyBorder="1" applyAlignment="1">
      <alignment horizontal="right"/>
    </xf>
    <xf numFmtId="2" fontId="8" fillId="2" borderId="55" xfId="0" applyNumberFormat="1" applyFont="1" applyFill="1" applyBorder="1" applyAlignment="1">
      <alignment horizontal="right"/>
    </xf>
    <xf numFmtId="1" fontId="8" fillId="2" borderId="56" xfId="0" applyNumberFormat="1" applyFont="1" applyFill="1" applyBorder="1" applyAlignment="1">
      <alignment horizontal="right"/>
    </xf>
    <xf numFmtId="165" fontId="8" fillId="2" borderId="56" xfId="0" applyNumberFormat="1" applyFont="1" applyFill="1" applyBorder="1" applyAlignment="1">
      <alignment horizontal="right"/>
    </xf>
    <xf numFmtId="3" fontId="8" fillId="2" borderId="136" xfId="0" applyNumberFormat="1" applyFont="1" applyFill="1" applyBorder="1" applyAlignment="1">
      <alignment horizontal="right"/>
    </xf>
    <xf numFmtId="3" fontId="8" fillId="2" borderId="43" xfId="0" applyNumberFormat="1" applyFont="1" applyFill="1" applyBorder="1" applyAlignment="1">
      <alignment horizontal="right"/>
    </xf>
    <xf numFmtId="3" fontId="8" fillId="2" borderId="61" xfId="0" applyNumberFormat="1" applyFont="1" applyFill="1" applyBorder="1" applyAlignment="1">
      <alignment horizontal="right"/>
    </xf>
    <xf numFmtId="3" fontId="8" fillId="2" borderId="197" xfId="0" applyNumberFormat="1" applyFont="1" applyFill="1" applyBorder="1" applyAlignment="1">
      <alignment horizontal="right"/>
    </xf>
    <xf numFmtId="3" fontId="8" fillId="2" borderId="80" xfId="0" applyNumberFormat="1" applyFont="1" applyFill="1" applyBorder="1" applyAlignment="1">
      <alignment horizontal="right"/>
    </xf>
    <xf numFmtId="3" fontId="8" fillId="0" borderId="80" xfId="0" applyNumberFormat="1" applyFont="1" applyFill="1" applyBorder="1" applyAlignment="1">
      <alignment horizontal="right"/>
    </xf>
    <xf numFmtId="3" fontId="8" fillId="2" borderId="306" xfId="0" applyNumberFormat="1" applyFont="1" applyFill="1" applyBorder="1" applyAlignment="1">
      <alignment horizontal="right"/>
    </xf>
    <xf numFmtId="3" fontId="8" fillId="2" borderId="64" xfId="0" applyNumberFormat="1" applyFont="1" applyFill="1" applyBorder="1" applyAlignment="1">
      <alignment horizontal="right"/>
    </xf>
    <xf numFmtId="1" fontId="8" fillId="2" borderId="194" xfId="0" applyNumberFormat="1" applyFont="1" applyFill="1" applyBorder="1" applyAlignment="1">
      <alignment horizontal="right"/>
    </xf>
    <xf numFmtId="165" fontId="8" fillId="2" borderId="194" xfId="0" applyNumberFormat="1" applyFont="1" applyFill="1" applyBorder="1" applyAlignment="1">
      <alignment horizontal="right"/>
    </xf>
    <xf numFmtId="2" fontId="8" fillId="2" borderId="194" xfId="0" applyNumberFormat="1" applyFont="1" applyFill="1" applyBorder="1" applyAlignment="1">
      <alignment horizontal="right"/>
    </xf>
    <xf numFmtId="3" fontId="8" fillId="2" borderId="194" xfId="0" applyNumberFormat="1" applyFont="1" applyFill="1" applyBorder="1" applyAlignment="1">
      <alignment horizontal="right"/>
    </xf>
    <xf numFmtId="3" fontId="8" fillId="2" borderId="195" xfId="0" applyNumberFormat="1" applyFont="1" applyFill="1" applyBorder="1" applyAlignment="1">
      <alignment horizontal="right"/>
    </xf>
    <xf numFmtId="0" fontId="13" fillId="3" borderId="267" xfId="0" applyNumberFormat="1" applyFont="1" applyFill="1" applyBorder="1" applyAlignment="1">
      <alignment horizontal="center"/>
    </xf>
    <xf numFmtId="0" fontId="13" fillId="3" borderId="126" xfId="0" applyNumberFormat="1" applyFont="1" applyFill="1" applyBorder="1" applyAlignment="1"/>
    <xf numFmtId="0" fontId="13" fillId="3" borderId="127" xfId="0" applyNumberFormat="1" applyFont="1" applyFill="1" applyBorder="1" applyAlignment="1"/>
    <xf numFmtId="3" fontId="13" fillId="3" borderId="196" xfId="0" applyNumberFormat="1" applyFont="1" applyFill="1" applyBorder="1" applyAlignment="1">
      <alignment horizontal="centerContinuous"/>
    </xf>
    <xf numFmtId="3" fontId="13" fillId="3" borderId="166" xfId="0" applyNumberFormat="1" applyFont="1" applyFill="1" applyBorder="1" applyAlignment="1">
      <alignment horizontal="centerContinuous"/>
    </xf>
    <xf numFmtId="0" fontId="13" fillId="0" borderId="72" xfId="0" applyNumberFormat="1" applyFont="1" applyBorder="1" applyAlignment="1">
      <alignment horizontal="center"/>
    </xf>
    <xf numFmtId="1" fontId="13" fillId="0" borderId="72" xfId="0" applyNumberFormat="1" applyFont="1" applyBorder="1" applyAlignment="1"/>
    <xf numFmtId="1" fontId="8" fillId="0" borderId="72" xfId="0" applyNumberFormat="1" applyFont="1" applyBorder="1" applyAlignment="1">
      <alignment vertical="center"/>
    </xf>
    <xf numFmtId="1" fontId="8" fillId="0" borderId="72" xfId="0" applyNumberFormat="1" applyFont="1" applyBorder="1" applyAlignment="1">
      <alignment horizontal="center" vertical="center"/>
    </xf>
    <xf numFmtId="9" fontId="8" fillId="0" borderId="72" xfId="6" applyFont="1" applyBorder="1" applyAlignment="1">
      <alignment vertical="center"/>
    </xf>
    <xf numFmtId="0" fontId="8" fillId="0" borderId="267" xfId="0" applyNumberFormat="1" applyFont="1" applyBorder="1" applyAlignment="1">
      <alignment vertical="center"/>
    </xf>
    <xf numFmtId="0" fontId="13" fillId="0" borderId="126" xfId="0" applyNumberFormat="1" applyFont="1" applyBorder="1" applyAlignment="1"/>
    <xf numFmtId="0" fontId="13" fillId="0" borderId="132" xfId="0" applyNumberFormat="1" applyFont="1" applyBorder="1" applyAlignment="1">
      <alignment horizontal="center"/>
    </xf>
    <xf numFmtId="0" fontId="8" fillId="0" borderId="126" xfId="0" applyNumberFormat="1" applyFont="1" applyBorder="1" applyAlignment="1">
      <alignment vertical="center"/>
    </xf>
    <xf numFmtId="1" fontId="8" fillId="0" borderId="132" xfId="0" applyNumberFormat="1" applyFont="1" applyBorder="1" applyAlignment="1">
      <alignment vertical="center"/>
    </xf>
    <xf numFmtId="9" fontId="8" fillId="0" borderId="132" xfId="6" applyFont="1" applyBorder="1" applyAlignment="1">
      <alignment vertical="center"/>
    </xf>
    <xf numFmtId="0" fontId="8" fillId="0" borderId="92" xfId="0" applyNumberFormat="1" applyFont="1" applyBorder="1" applyAlignment="1">
      <alignment vertical="center"/>
    </xf>
    <xf numFmtId="9" fontId="8" fillId="0" borderId="92" xfId="6" applyFont="1" applyBorder="1" applyAlignment="1">
      <alignment vertical="center"/>
    </xf>
    <xf numFmtId="9" fontId="8" fillId="0" borderId="174" xfId="6" applyFont="1" applyBorder="1" applyAlignment="1">
      <alignment vertical="center"/>
    </xf>
    <xf numFmtId="0" fontId="1" fillId="0" borderId="313" xfId="0" applyNumberFormat="1" applyFont="1" applyBorder="1" applyAlignment="1">
      <alignment horizontal="center"/>
    </xf>
    <xf numFmtId="0" fontId="1" fillId="0" borderId="72" xfId="0" applyNumberFormat="1" applyFont="1" applyBorder="1" applyAlignment="1">
      <alignment horizontal="center"/>
    </xf>
    <xf numFmtId="0" fontId="1" fillId="0" borderId="314" xfId="0" applyNumberFormat="1" applyFont="1" applyBorder="1" applyAlignment="1">
      <alignment horizontal="center"/>
    </xf>
    <xf numFmtId="0" fontId="1" fillId="0" borderId="315" xfId="0" applyNumberFormat="1" applyFont="1" applyBorder="1" applyAlignment="1">
      <alignment horizontal="center"/>
    </xf>
    <xf numFmtId="0" fontId="1" fillId="0" borderId="316" xfId="0" applyNumberFormat="1" applyFont="1" applyBorder="1" applyAlignment="1">
      <alignment horizontal="center"/>
    </xf>
    <xf numFmtId="0" fontId="1" fillId="0" borderId="317" xfId="0" applyNumberFormat="1" applyFont="1" applyBorder="1" applyAlignment="1">
      <alignment horizontal="center"/>
    </xf>
    <xf numFmtId="2" fontId="124" fillId="0" borderId="318" xfId="0" applyNumberFormat="1" applyFont="1" applyFill="1" applyBorder="1" applyAlignment="1" applyProtection="1">
      <protection locked="0"/>
    </xf>
    <xf numFmtId="2" fontId="124" fillId="0" borderId="319" xfId="0" applyNumberFormat="1" applyFont="1" applyFill="1" applyBorder="1" applyAlignment="1" applyProtection="1">
      <protection locked="0"/>
    </xf>
    <xf numFmtId="2" fontId="124" fillId="0" borderId="320" xfId="0" applyNumberFormat="1" applyFont="1" applyFill="1" applyBorder="1" applyAlignment="1" applyProtection="1">
      <protection locked="0"/>
    </xf>
    <xf numFmtId="165" fontId="34" fillId="2" borderId="218" xfId="0" applyNumberFormat="1" applyFont="1" applyFill="1" applyBorder="1" applyAlignment="1"/>
    <xf numFmtId="0" fontId="33" fillId="0" borderId="1" xfId="0" applyNumberFormat="1" applyFont="1" applyBorder="1" applyAlignment="1"/>
    <xf numFmtId="2" fontId="124" fillId="0" borderId="298" xfId="0" applyNumberFormat="1" applyFont="1" applyBorder="1"/>
    <xf numFmtId="2" fontId="124" fillId="0" borderId="321" xfId="0" applyNumberFormat="1" applyFont="1" applyBorder="1"/>
    <xf numFmtId="2" fontId="124" fillId="0" borderId="322" xfId="0" applyNumberFormat="1" applyFont="1" applyBorder="1"/>
    <xf numFmtId="2" fontId="124" fillId="0" borderId="323" xfId="0" applyNumberFormat="1" applyFont="1" applyBorder="1"/>
    <xf numFmtId="2" fontId="124" fillId="0" borderId="324" xfId="0" applyNumberFormat="1" applyFont="1" applyBorder="1"/>
    <xf numFmtId="2" fontId="124" fillId="0" borderId="325" xfId="0" applyNumberFormat="1" applyFont="1" applyBorder="1"/>
    <xf numFmtId="0" fontId="41" fillId="0" borderId="66" xfId="0" applyNumberFormat="1" applyFont="1" applyBorder="1" applyAlignment="1"/>
    <xf numFmtId="16" fontId="8" fillId="6" borderId="42" xfId="0" applyNumberFormat="1" applyFont="1" applyFill="1" applyBorder="1" applyAlignment="1">
      <alignment vertical="center"/>
    </xf>
    <xf numFmtId="167" fontId="8" fillId="6" borderId="55" xfId="0" applyNumberFormat="1" applyFont="1" applyFill="1" applyBorder="1" applyAlignment="1">
      <alignment vertical="center"/>
    </xf>
    <xf numFmtId="9" fontId="8" fillId="6" borderId="43" xfId="6" applyFont="1" applyFill="1" applyBorder="1" applyAlignment="1">
      <alignment vertical="center"/>
    </xf>
    <xf numFmtId="0" fontId="8" fillId="6" borderId="94" xfId="0" applyNumberFormat="1" applyFont="1" applyFill="1" applyBorder="1" applyAlignment="1">
      <alignment vertical="center"/>
    </xf>
    <xf numFmtId="167" fontId="8" fillId="6" borderId="67" xfId="0" applyNumberFormat="1" applyFont="1" applyFill="1" applyBorder="1" applyAlignment="1">
      <alignment vertical="center"/>
    </xf>
    <xf numFmtId="9" fontId="8" fillId="6" borderId="68" xfId="6" applyFont="1" applyFill="1" applyBorder="1" applyAlignment="1">
      <alignment vertical="center"/>
    </xf>
    <xf numFmtId="165" fontId="8" fillId="41" borderId="0" xfId="0" applyNumberFormat="1" applyFont="1" applyFill="1" applyAlignment="1">
      <alignment horizontal="centerContinuous"/>
    </xf>
    <xf numFmtId="2" fontId="8" fillId="41" borderId="0" xfId="0" applyNumberFormat="1" applyFont="1" applyFill="1" applyAlignment="1">
      <alignment horizontal="centerContinuous"/>
    </xf>
    <xf numFmtId="1" fontId="8" fillId="41" borderId="0" xfId="0" applyNumberFormat="1" applyFont="1" applyFill="1" applyAlignment="1">
      <alignment horizontal="centerContinuous"/>
    </xf>
    <xf numFmtId="1" fontId="13" fillId="41" borderId="0" xfId="0" applyNumberFormat="1" applyFont="1" applyFill="1" applyAlignment="1"/>
    <xf numFmtId="167" fontId="0" fillId="45" borderId="72" xfId="0" applyNumberFormat="1" applyFill="1" applyBorder="1"/>
    <xf numFmtId="167" fontId="0" fillId="0" borderId="72" xfId="0" applyNumberFormat="1" applyFill="1" applyBorder="1"/>
    <xf numFmtId="4" fontId="8" fillId="0" borderId="8" xfId="0" applyNumberFormat="1" applyFont="1" applyFill="1" applyBorder="1" applyAlignment="1">
      <alignment horizontal="center" vertical="center" wrapText="1"/>
    </xf>
    <xf numFmtId="4" fontId="8" fillId="41" borderId="8" xfId="0" applyNumberFormat="1" applyFont="1" applyFill="1" applyBorder="1" applyAlignment="1">
      <alignment horizontal="center" vertical="center"/>
    </xf>
    <xf numFmtId="1" fontId="13" fillId="0" borderId="6" xfId="0" applyNumberFormat="1" applyFont="1" applyFill="1" applyBorder="1" applyAlignment="1" applyProtection="1">
      <protection locked="0"/>
    </xf>
    <xf numFmtId="2" fontId="13" fillId="0" borderId="6" xfId="0" applyNumberFormat="1" applyFont="1" applyFill="1" applyBorder="1" applyAlignment="1" applyProtection="1">
      <protection locked="0"/>
    </xf>
    <xf numFmtId="1" fontId="13" fillId="0" borderId="1" xfId="0" applyNumberFormat="1" applyFont="1" applyFill="1" applyBorder="1" applyAlignment="1" applyProtection="1">
      <protection locked="0"/>
    </xf>
    <xf numFmtId="2" fontId="13" fillId="0" borderId="1" xfId="0" applyNumberFormat="1" applyFont="1" applyFill="1" applyBorder="1" applyAlignment="1" applyProtection="1">
      <protection locked="0"/>
    </xf>
    <xf numFmtId="0" fontId="13" fillId="0" borderId="72" xfId="0" applyFont="1" applyFill="1" applyBorder="1"/>
    <xf numFmtId="1" fontId="8" fillId="15" borderId="1" xfId="0" applyNumberFormat="1" applyFont="1" applyFill="1" applyBorder="1" applyAlignment="1">
      <alignment horizontal="left"/>
    </xf>
    <xf numFmtId="0" fontId="125" fillId="3" borderId="0" xfId="0" applyNumberFormat="1" applyFont="1" applyFill="1" applyAlignment="1"/>
    <xf numFmtId="0" fontId="16" fillId="3" borderId="0" xfId="0" applyNumberFormat="1" applyFont="1" applyFill="1" applyAlignment="1"/>
    <xf numFmtId="3" fontId="13" fillId="46" borderId="0" xfId="0" applyNumberFormat="1" applyFont="1" applyFill="1" applyAlignment="1"/>
    <xf numFmtId="1" fontId="8" fillId="0" borderId="138" xfId="0" applyNumberFormat="1" applyFont="1" applyFill="1" applyBorder="1" applyAlignment="1">
      <alignment horizontal="centerContinuous"/>
    </xf>
    <xf numFmtId="1" fontId="8" fillId="3" borderId="138" xfId="0" applyNumberFormat="1" applyFont="1" applyFill="1" applyBorder="1" applyAlignment="1">
      <alignment horizontal="left"/>
    </xf>
    <xf numFmtId="0" fontId="33" fillId="41" borderId="1" xfId="0" applyNumberFormat="1" applyFont="1" applyFill="1" applyBorder="1" applyAlignment="1" applyProtection="1">
      <protection locked="0"/>
    </xf>
    <xf numFmtId="2" fontId="33" fillId="41" borderId="1" xfId="0" applyNumberFormat="1" applyFont="1" applyFill="1" applyBorder="1" applyAlignment="1" applyProtection="1">
      <protection locked="0"/>
    </xf>
    <xf numFmtId="0" fontId="13" fillId="0" borderId="72" xfId="0" applyFont="1" applyFill="1" applyBorder="1" applyAlignment="1">
      <alignment horizontal="center" vertical="center" wrapText="1"/>
    </xf>
    <xf numFmtId="0" fontId="13" fillId="0" borderId="72" xfId="0" applyFont="1" applyBorder="1" applyAlignment="1">
      <alignment horizontal="center" vertical="center" wrapText="1"/>
    </xf>
    <xf numFmtId="0" fontId="13" fillId="0" borderId="77" xfId="0" applyFont="1" applyBorder="1" applyAlignment="1">
      <alignment horizontal="center" vertical="center" wrapText="1"/>
    </xf>
    <xf numFmtId="0" fontId="13" fillId="0" borderId="77" xfId="0" applyFont="1" applyFill="1" applyBorder="1" applyAlignment="1">
      <alignment horizontal="center" vertical="center" wrapText="1"/>
    </xf>
    <xf numFmtId="170" fontId="8" fillId="8" borderId="206" xfId="0" applyNumberFormat="1" applyFont="1" applyFill="1" applyBorder="1" applyAlignment="1">
      <alignment horizontal="center" vertical="center"/>
    </xf>
    <xf numFmtId="170" fontId="8" fillId="8" borderId="0" xfId="0" applyNumberFormat="1" applyFont="1" applyFill="1" applyBorder="1" applyAlignment="1">
      <alignment horizontal="center" vertical="center"/>
    </xf>
    <xf numFmtId="0" fontId="13" fillId="8" borderId="0" xfId="0" applyNumberFormat="1" applyFont="1" applyFill="1" applyBorder="1" applyAlignment="1"/>
    <xf numFmtId="0" fontId="8" fillId="8" borderId="326" xfId="0" applyNumberFormat="1" applyFont="1" applyFill="1" applyBorder="1" applyAlignment="1">
      <alignment horizontal="center" vertical="center"/>
    </xf>
    <xf numFmtId="0" fontId="13" fillId="8" borderId="204" xfId="0" applyNumberFormat="1" applyFont="1" applyFill="1" applyBorder="1" applyAlignment="1"/>
    <xf numFmtId="0" fontId="13" fillId="8" borderId="37" xfId="0" applyNumberFormat="1" applyFont="1" applyFill="1" applyBorder="1" applyAlignment="1"/>
    <xf numFmtId="0" fontId="8" fillId="8" borderId="327" xfId="0" applyNumberFormat="1" applyFont="1" applyFill="1" applyBorder="1" applyAlignment="1">
      <alignment horizontal="center" vertical="center"/>
    </xf>
    <xf numFmtId="165" fontId="33" fillId="0" borderId="4" xfId="0" applyNumberFormat="1" applyFont="1" applyBorder="1" applyAlignment="1" applyProtection="1">
      <protection locked="0"/>
    </xf>
    <xf numFmtId="3" fontId="33" fillId="0" borderId="3" xfId="0" applyNumberFormat="1" applyFont="1" applyBorder="1" applyAlignment="1" applyProtection="1">
      <protection locked="0"/>
    </xf>
    <xf numFmtId="3" fontId="8" fillId="3" borderId="42" xfId="0" applyNumberFormat="1" applyFont="1" applyFill="1" applyBorder="1" applyAlignment="1"/>
    <xf numFmtId="3" fontId="8" fillId="3" borderId="94" xfId="0" quotePrefix="1" applyNumberFormat="1" applyFont="1" applyFill="1" applyBorder="1" applyAlignment="1"/>
    <xf numFmtId="187" fontId="126" fillId="3" borderId="55" xfId="1" applyNumberFormat="1" applyFont="1" applyFill="1" applyBorder="1" applyAlignment="1"/>
    <xf numFmtId="0" fontId="8" fillId="7" borderId="0" xfId="0" applyNumberFormat="1" applyFont="1" applyFill="1" applyBorder="1" applyAlignment="1">
      <alignment vertical="center"/>
    </xf>
    <xf numFmtId="1" fontId="8" fillId="15" borderId="77" xfId="0" applyNumberFormat="1" applyFont="1" applyFill="1" applyBorder="1" applyAlignment="1"/>
    <xf numFmtId="1" fontId="8" fillId="15" borderId="87" xfId="0" applyNumberFormat="1" applyFont="1" applyFill="1" applyBorder="1" applyAlignment="1"/>
    <xf numFmtId="1" fontId="8" fillId="15" borderId="128" xfId="0" applyNumberFormat="1" applyFont="1" applyFill="1" applyBorder="1" applyAlignment="1"/>
    <xf numFmtId="1" fontId="8" fillId="15" borderId="114" xfId="0" applyNumberFormat="1" applyFont="1" applyFill="1" applyBorder="1" applyAlignment="1"/>
    <xf numFmtId="3" fontId="8" fillId="2" borderId="1" xfId="0" applyNumberFormat="1" applyFont="1" applyFill="1" applyBorder="1" applyAlignment="1">
      <alignment horizontal="center" vertical="center"/>
    </xf>
    <xf numFmtId="1" fontId="8" fillId="0" borderId="16" xfId="0" applyNumberFormat="1" applyFont="1" applyBorder="1" applyAlignment="1">
      <alignment horizontal="center" vertical="center"/>
    </xf>
    <xf numFmtId="165" fontId="8" fillId="0" borderId="0" xfId="0" applyNumberFormat="1" applyFont="1" applyBorder="1" applyAlignment="1">
      <alignment horizontal="center" vertical="center"/>
    </xf>
    <xf numFmtId="164" fontId="8" fillId="0" borderId="66" xfId="0" applyNumberFormat="1" applyFont="1" applyBorder="1" applyAlignment="1">
      <alignment horizontal="center" vertical="center"/>
    </xf>
    <xf numFmtId="1" fontId="8" fillId="15" borderId="66" xfId="0" applyNumberFormat="1" applyFont="1" applyFill="1" applyBorder="1" applyAlignment="1"/>
    <xf numFmtId="165" fontId="8" fillId="15" borderId="66" xfId="0" applyNumberFormat="1" applyFont="1" applyFill="1" applyBorder="1" applyAlignment="1"/>
    <xf numFmtId="1" fontId="8" fillId="15" borderId="66" xfId="0" applyNumberFormat="1" applyFont="1" applyFill="1" applyBorder="1" applyAlignment="1">
      <alignment vertical="center"/>
    </xf>
    <xf numFmtId="1" fontId="8" fillId="15" borderId="171" xfId="0" applyNumberFormat="1" applyFont="1" applyFill="1" applyBorder="1" applyAlignment="1"/>
    <xf numFmtId="2" fontId="8" fillId="0" borderId="0" xfId="0" applyNumberFormat="1" applyFont="1" applyBorder="1" applyAlignment="1">
      <alignment horizontal="centerContinuous" vertical="center"/>
    </xf>
    <xf numFmtId="181" fontId="8" fillId="0" borderId="66" xfId="0" applyNumberFormat="1" applyFont="1" applyBorder="1" applyAlignment="1" applyProtection="1">
      <alignment horizontal="center" vertical="center"/>
      <protection locked="0"/>
    </xf>
    <xf numFmtId="164" fontId="8" fillId="0" borderId="66" xfId="0" applyNumberFormat="1" applyFont="1" applyBorder="1" applyAlignment="1">
      <alignment horizontal="centerContinuous" vertical="center"/>
    </xf>
    <xf numFmtId="2" fontId="8" fillId="15" borderId="66" xfId="0" applyNumberFormat="1" applyFont="1" applyFill="1" applyBorder="1" applyAlignment="1"/>
    <xf numFmtId="0" fontId="8" fillId="0" borderId="66" xfId="0" applyNumberFormat="1" applyFont="1" applyBorder="1" applyAlignment="1">
      <alignment horizontal="right" vertical="center"/>
    </xf>
    <xf numFmtId="1" fontId="8" fillId="15" borderId="65" xfId="0" applyNumberFormat="1" applyFont="1" applyFill="1" applyBorder="1" applyAlignment="1"/>
    <xf numFmtId="1" fontId="8" fillId="15" borderId="171" xfId="0" applyNumberFormat="1" applyFont="1" applyFill="1" applyBorder="1" applyAlignment="1">
      <alignment horizontal="center"/>
    </xf>
    <xf numFmtId="0" fontId="8" fillId="0" borderId="238" xfId="0" applyNumberFormat="1" applyFont="1" applyBorder="1" applyAlignment="1">
      <alignment horizontal="center" vertical="center"/>
    </xf>
    <xf numFmtId="0" fontId="8" fillId="0" borderId="326" xfId="0" applyNumberFormat="1" applyFont="1" applyBorder="1" applyAlignment="1">
      <alignment vertical="center"/>
    </xf>
    <xf numFmtId="180" fontId="8" fillId="0" borderId="0" xfId="0" applyNumberFormat="1" applyFont="1" applyBorder="1" applyAlignment="1">
      <alignment horizontal="centerContinuous" vertical="center"/>
    </xf>
    <xf numFmtId="0" fontId="8" fillId="0" borderId="238" xfId="0" applyNumberFormat="1" applyFont="1" applyBorder="1" applyAlignment="1">
      <alignment horizontal="centerContinuous" vertical="center"/>
    </xf>
    <xf numFmtId="0" fontId="8" fillId="0" borderId="326" xfId="0" applyNumberFormat="1" applyFont="1" applyBorder="1" applyAlignment="1">
      <alignment horizontal="centerContinuous" vertical="center"/>
    </xf>
    <xf numFmtId="0" fontId="8" fillId="0" borderId="30" xfId="0" applyNumberFormat="1" applyFont="1" applyBorder="1" applyAlignment="1">
      <alignment horizontal="center" vertical="center"/>
    </xf>
    <xf numFmtId="0" fontId="8" fillId="0" borderId="237" xfId="0" applyNumberFormat="1" applyFont="1" applyBorder="1" applyAlignment="1">
      <alignment horizontal="center" vertical="center"/>
    </xf>
    <xf numFmtId="3" fontId="8" fillId="0" borderId="30" xfId="0" applyNumberFormat="1" applyFont="1" applyBorder="1" applyAlignment="1">
      <alignment vertical="center"/>
    </xf>
    <xf numFmtId="0" fontId="8" fillId="7" borderId="329" xfId="0" applyNumberFormat="1" applyFont="1" applyFill="1" applyBorder="1" applyAlignment="1">
      <alignment vertical="center"/>
    </xf>
    <xf numFmtId="0" fontId="8" fillId="7" borderId="326" xfId="0" applyNumberFormat="1" applyFont="1" applyFill="1" applyBorder="1" applyAlignment="1">
      <alignment vertical="center"/>
    </xf>
    <xf numFmtId="0" fontId="8" fillId="8" borderId="0" xfId="0" applyNumberFormat="1" applyFont="1" applyFill="1" applyBorder="1" applyAlignment="1">
      <alignment horizontal="center" vertical="center"/>
    </xf>
    <xf numFmtId="0" fontId="8" fillId="0" borderId="238" xfId="0" applyNumberFormat="1" applyFont="1" applyBorder="1" applyAlignment="1">
      <alignment vertical="center"/>
    </xf>
    <xf numFmtId="0" fontId="13" fillId="0" borderId="326" xfId="0" applyNumberFormat="1" applyFont="1" applyBorder="1" applyAlignment="1"/>
    <xf numFmtId="0" fontId="13" fillId="0" borderId="3" xfId="0" applyNumberFormat="1" applyFont="1" applyBorder="1" applyAlignment="1"/>
    <xf numFmtId="2" fontId="13" fillId="0" borderId="332" xfId="0" applyNumberFormat="1" applyFont="1" applyBorder="1" applyAlignment="1">
      <alignment horizontal="center" vertical="center" wrapText="1"/>
    </xf>
    <xf numFmtId="0" fontId="13" fillId="0" borderId="332" xfId="0" applyFont="1" applyBorder="1" applyAlignment="1">
      <alignment horizontal="center" vertical="center" wrapText="1"/>
    </xf>
    <xf numFmtId="165" fontId="13" fillId="0" borderId="332" xfId="0" applyNumberFormat="1" applyFont="1" applyBorder="1" applyAlignment="1">
      <alignment horizontal="center" vertical="center" wrapText="1"/>
    </xf>
    <xf numFmtId="169" fontId="13" fillId="0" borderId="332" xfId="0" applyNumberFormat="1" applyFont="1" applyBorder="1" applyAlignment="1">
      <alignment horizontal="center" vertical="center" wrapText="1"/>
    </xf>
    <xf numFmtId="0" fontId="13" fillId="0" borderId="333" xfId="0" applyFont="1" applyBorder="1" applyAlignment="1">
      <alignment horizontal="center" vertical="center" wrapText="1"/>
    </xf>
    <xf numFmtId="170" fontId="8" fillId="8" borderId="334" xfId="0" applyNumberFormat="1" applyFont="1" applyFill="1" applyBorder="1" applyAlignment="1">
      <alignment horizontal="center" vertical="center"/>
    </xf>
    <xf numFmtId="170" fontId="8" fillId="8" borderId="241" xfId="0" applyNumberFormat="1" applyFont="1" applyFill="1" applyBorder="1" applyAlignment="1">
      <alignment horizontal="center" vertical="center"/>
    </xf>
    <xf numFmtId="0" fontId="13" fillId="8" borderId="241" xfId="0" applyNumberFormat="1" applyFont="1" applyFill="1" applyBorder="1" applyAlignment="1"/>
    <xf numFmtId="0" fontId="8" fillId="8" borderId="291" xfId="0" applyNumberFormat="1" applyFont="1" applyFill="1" applyBorder="1" applyAlignment="1">
      <alignment horizontal="center" vertical="center"/>
    </xf>
    <xf numFmtId="0" fontId="8" fillId="0" borderId="1" xfId="0" applyNumberFormat="1" applyFont="1" applyBorder="1" applyAlignment="1">
      <alignment horizontal="center" vertical="center"/>
    </xf>
    <xf numFmtId="0" fontId="8" fillId="0" borderId="3" xfId="0" applyNumberFormat="1" applyFont="1" applyBorder="1" applyAlignment="1">
      <alignment horizontal="center" vertical="center"/>
    </xf>
    <xf numFmtId="0" fontId="13" fillId="0" borderId="237" xfId="0" applyNumberFormat="1" applyFont="1" applyBorder="1" applyAlignment="1" applyProtection="1">
      <alignment horizontal="center" vertical="center"/>
    </xf>
    <xf numFmtId="1" fontId="13" fillId="0" borderId="328" xfId="0" applyNumberFormat="1" applyFont="1" applyBorder="1" applyAlignment="1" applyProtection="1">
      <alignment horizontal="center" vertical="center"/>
    </xf>
    <xf numFmtId="0" fontId="8" fillId="0" borderId="3" xfId="0" applyNumberFormat="1" applyFont="1" applyBorder="1" applyAlignment="1">
      <alignment horizontal="left" vertical="center"/>
    </xf>
    <xf numFmtId="3" fontId="8" fillId="0" borderId="1" xfId="0" applyNumberFormat="1" applyFont="1" applyBorder="1" applyAlignment="1">
      <alignment horizontal="center" vertical="center"/>
    </xf>
    <xf numFmtId="0" fontId="13" fillId="0" borderId="0" xfId="0" applyNumberFormat="1" applyFont="1" applyBorder="1" applyAlignment="1">
      <alignment horizontal="centerContinuous"/>
    </xf>
    <xf numFmtId="0" fontId="8" fillId="0" borderId="30" xfId="0" applyNumberFormat="1" applyFont="1" applyBorder="1" applyAlignment="1">
      <alignment horizontal="centerContinuous" vertical="center"/>
    </xf>
    <xf numFmtId="0" fontId="8" fillId="0" borderId="237" xfId="0" applyNumberFormat="1" applyFont="1" applyBorder="1" applyAlignment="1">
      <alignment horizontal="centerContinuous" vertical="center"/>
    </xf>
    <xf numFmtId="1" fontId="8" fillId="15" borderId="30" xfId="0" applyNumberFormat="1" applyFont="1" applyFill="1" applyBorder="1" applyAlignment="1"/>
    <xf numFmtId="1" fontId="8" fillId="15" borderId="30" xfId="0" applyNumberFormat="1" applyFont="1" applyFill="1" applyBorder="1" applyAlignment="1">
      <alignment horizontal="left"/>
    </xf>
    <xf numFmtId="1" fontId="8" fillId="15" borderId="30" xfId="0" applyNumberFormat="1" applyFont="1" applyFill="1" applyBorder="1" applyAlignment="1">
      <alignment vertical="center"/>
    </xf>
    <xf numFmtId="165" fontId="8" fillId="0" borderId="0" xfId="0" applyNumberFormat="1" applyFont="1" applyBorder="1" applyAlignment="1">
      <alignment horizontal="centerContinuous" vertical="center"/>
    </xf>
    <xf numFmtId="165" fontId="8" fillId="0" borderId="0" xfId="0" applyNumberFormat="1" applyFont="1" applyBorder="1" applyAlignment="1">
      <alignment vertical="center"/>
    </xf>
    <xf numFmtId="1" fontId="8" fillId="0" borderId="237" xfId="0" applyNumberFormat="1" applyFont="1" applyBorder="1" applyAlignment="1">
      <alignment horizontal="center"/>
    </xf>
    <xf numFmtId="0" fontId="8" fillId="7" borderId="0" xfId="0" applyNumberFormat="1" applyFont="1" applyFill="1" applyBorder="1" applyAlignment="1">
      <alignment horizontal="center" vertical="center"/>
    </xf>
    <xf numFmtId="9" fontId="8" fillId="2" borderId="238" xfId="0" applyNumberFormat="1" applyFont="1" applyFill="1" applyBorder="1" applyAlignment="1">
      <alignment horizontal="center" vertical="center"/>
    </xf>
    <xf numFmtId="0" fontId="8" fillId="0" borderId="232" xfId="0" applyNumberFormat="1" applyFont="1" applyBorder="1" applyAlignment="1">
      <alignment vertical="center"/>
    </xf>
    <xf numFmtId="0" fontId="8" fillId="0" borderId="241" xfId="0" applyNumberFormat="1" applyFont="1" applyBorder="1" applyAlignment="1">
      <alignment vertical="center"/>
    </xf>
    <xf numFmtId="0" fontId="8" fillId="0" borderId="291" xfId="0" applyNumberFormat="1" applyFont="1" applyBorder="1" applyAlignment="1">
      <alignment vertical="center"/>
    </xf>
    <xf numFmtId="0" fontId="13" fillId="0" borderId="3" xfId="0" applyNumberFormat="1" applyFont="1" applyBorder="1" applyAlignment="1" applyProtection="1">
      <alignment horizontal="centerContinuous" vertical="center"/>
    </xf>
    <xf numFmtId="2" fontId="13" fillId="0" borderId="3" xfId="0" applyNumberFormat="1" applyFont="1" applyBorder="1" applyAlignment="1" applyProtection="1">
      <alignment horizontal="center" vertical="center"/>
    </xf>
    <xf numFmtId="0" fontId="13" fillId="0" borderId="75" xfId="0" applyNumberFormat="1" applyFont="1" applyBorder="1" applyAlignment="1" applyProtection="1">
      <alignment horizontal="center" vertical="center"/>
    </xf>
    <xf numFmtId="2" fontId="13" fillId="0" borderId="73" xfId="0" applyNumberFormat="1" applyFont="1" applyBorder="1" applyAlignment="1" applyProtection="1">
      <alignment horizontal="center" vertical="center"/>
    </xf>
    <xf numFmtId="1" fontId="13" fillId="0" borderId="76" xfId="0" applyNumberFormat="1" applyFont="1" applyBorder="1" applyAlignment="1" applyProtection="1">
      <alignment horizontal="center" vertical="center"/>
    </xf>
    <xf numFmtId="1" fontId="13" fillId="0" borderId="208" xfId="0" applyNumberFormat="1" applyFont="1" applyBorder="1" applyAlignment="1" applyProtection="1">
      <alignment horizontal="center" vertical="center"/>
    </xf>
    <xf numFmtId="0" fontId="8" fillId="0" borderId="238" xfId="0" applyNumberFormat="1" applyFont="1" applyBorder="1" applyAlignment="1">
      <alignment horizontal="right" vertical="center"/>
    </xf>
    <xf numFmtId="0" fontId="13" fillId="0" borderId="238" xfId="0" applyNumberFormat="1" applyFont="1" applyBorder="1" applyAlignment="1">
      <alignment horizontal="centerContinuous" vertical="center"/>
    </xf>
    <xf numFmtId="0" fontId="13" fillId="0" borderId="326" xfId="0" applyNumberFormat="1" applyFont="1" applyBorder="1" applyAlignment="1">
      <alignment vertical="center"/>
    </xf>
    <xf numFmtId="0" fontId="13" fillId="0" borderId="238" xfId="0" applyNumberFormat="1" applyFont="1" applyBorder="1" applyAlignment="1">
      <alignment horizontal="center" vertical="center"/>
    </xf>
    <xf numFmtId="1" fontId="8" fillId="15" borderId="238" xfId="0" applyNumberFormat="1" applyFont="1" applyFill="1" applyBorder="1" applyAlignment="1">
      <alignment horizontal="center"/>
    </xf>
    <xf numFmtId="1" fontId="8" fillId="15" borderId="238" xfId="0" applyNumberFormat="1" applyFont="1" applyFill="1" applyBorder="1" applyAlignment="1">
      <alignment horizontal="center" vertical="center"/>
    </xf>
    <xf numFmtId="0" fontId="8" fillId="7" borderId="238" xfId="0" applyNumberFormat="1" applyFont="1" applyFill="1" applyBorder="1" applyAlignment="1">
      <alignment vertical="center"/>
    </xf>
    <xf numFmtId="0" fontId="8" fillId="0" borderId="72" xfId="0" applyNumberFormat="1" applyFont="1" applyBorder="1" applyAlignment="1">
      <alignment horizontal="center" vertical="center"/>
    </xf>
    <xf numFmtId="1" fontId="8" fillId="15" borderId="59" xfId="0" applyNumberFormat="1" applyFont="1" applyFill="1" applyBorder="1" applyAlignment="1"/>
    <xf numFmtId="0" fontId="8" fillId="0" borderId="75" xfId="0" applyNumberFormat="1" applyFont="1" applyBorder="1" applyAlignment="1">
      <alignment vertical="center"/>
    </xf>
    <xf numFmtId="0" fontId="8" fillId="0" borderId="73" xfId="0" applyNumberFormat="1" applyFont="1" applyBorder="1" applyAlignment="1">
      <alignment vertical="center"/>
    </xf>
    <xf numFmtId="0" fontId="8" fillId="0" borderId="298" xfId="0" applyNumberFormat="1" applyFont="1" applyBorder="1" applyAlignment="1">
      <alignment horizontal="center" vertical="center"/>
    </xf>
    <xf numFmtId="0" fontId="13" fillId="0" borderId="1" xfId="0" applyNumberFormat="1" applyFont="1" applyBorder="1" applyAlignment="1" applyProtection="1">
      <alignment horizontal="centerContinuous" vertical="center"/>
    </xf>
    <xf numFmtId="14" fontId="13" fillId="0" borderId="331" xfId="0" applyNumberFormat="1" applyFont="1" applyBorder="1" applyAlignment="1">
      <alignment horizontal="center" vertical="center" wrapText="1"/>
    </xf>
    <xf numFmtId="180" fontId="8" fillId="0" borderId="4" xfId="0" applyNumberFormat="1" applyFont="1" applyBorder="1" applyAlignment="1">
      <alignment horizontal="centerContinuous" vertical="center"/>
    </xf>
    <xf numFmtId="3" fontId="8" fillId="0" borderId="0" xfId="0" applyNumberFormat="1" applyFont="1" applyFill="1" applyBorder="1" applyAlignment="1">
      <alignment horizontal="center" vertical="center"/>
    </xf>
    <xf numFmtId="0" fontId="8" fillId="0" borderId="326" xfId="0" applyNumberFormat="1" applyFont="1" applyBorder="1" applyAlignment="1" applyProtection="1">
      <alignment vertical="center"/>
      <protection locked="0"/>
    </xf>
    <xf numFmtId="3" fontId="8" fillId="0" borderId="0" xfId="0" applyNumberFormat="1" applyFont="1" applyBorder="1" applyAlignment="1" applyProtection="1">
      <alignment horizontal="center" vertical="center"/>
      <protection locked="0"/>
    </xf>
    <xf numFmtId="0" fontId="8" fillId="0" borderId="30" xfId="0" applyNumberFormat="1" applyFont="1" applyBorder="1" applyAlignment="1" applyProtection="1">
      <alignment horizontal="center" vertical="center"/>
      <protection locked="0"/>
    </xf>
    <xf numFmtId="0" fontId="8" fillId="0" borderId="237" xfId="0" applyNumberFormat="1" applyFont="1" applyBorder="1" applyAlignment="1" applyProtection="1">
      <alignment horizontal="center" vertical="center"/>
      <protection locked="0"/>
    </xf>
    <xf numFmtId="0" fontId="8" fillId="0" borderId="30" xfId="0" applyNumberFormat="1" applyFont="1" applyBorder="1" applyAlignment="1" applyProtection="1">
      <alignment horizontal="right" vertical="center"/>
      <protection locked="0"/>
    </xf>
    <xf numFmtId="0" fontId="8" fillId="0" borderId="238" xfId="0" applyNumberFormat="1" applyFont="1" applyBorder="1" applyAlignment="1" applyProtection="1">
      <alignment vertical="center"/>
      <protection locked="0"/>
    </xf>
    <xf numFmtId="0" fontId="8" fillId="0" borderId="326" xfId="0" applyNumberFormat="1" applyFont="1" applyBorder="1" applyAlignment="1">
      <alignment horizontal="left" vertical="center"/>
    </xf>
    <xf numFmtId="0" fontId="8" fillId="0" borderId="241" xfId="0" applyNumberFormat="1" applyFont="1" applyBorder="1" applyAlignment="1">
      <alignment horizontal="center" vertical="center"/>
    </xf>
    <xf numFmtId="169" fontId="8" fillId="0" borderId="241" xfId="0" applyNumberFormat="1" applyFont="1" applyBorder="1" applyAlignment="1">
      <alignment horizontal="center" vertical="center"/>
    </xf>
    <xf numFmtId="0" fontId="8" fillId="0" borderId="291" xfId="0" applyNumberFormat="1" applyFont="1" applyBorder="1" applyAlignment="1">
      <alignment horizontal="center" vertical="center"/>
    </xf>
    <xf numFmtId="0" fontId="8" fillId="0" borderId="77" xfId="0" applyNumberFormat="1" applyFont="1" applyBorder="1" applyAlignment="1">
      <alignment horizontal="center" vertical="center"/>
    </xf>
    <xf numFmtId="0" fontId="8" fillId="0" borderId="59" xfId="0" applyNumberFormat="1" applyFont="1" applyBorder="1" applyAlignment="1">
      <alignment horizontal="center" vertical="center"/>
    </xf>
    <xf numFmtId="0" fontId="8" fillId="0" borderId="87" xfId="0" applyNumberFormat="1" applyFont="1" applyBorder="1" applyAlignment="1">
      <alignment horizontal="center" vertical="center"/>
    </xf>
    <xf numFmtId="0" fontId="8" fillId="0" borderId="136" xfId="0" applyNumberFormat="1" applyFont="1" applyBorder="1" applyAlignment="1">
      <alignment horizontal="center" vertical="center"/>
    </xf>
    <xf numFmtId="0" fontId="8" fillId="0" borderId="185" xfId="0" applyNumberFormat="1" applyFont="1" applyBorder="1" applyAlignment="1">
      <alignment horizontal="center" vertical="center"/>
    </xf>
    <xf numFmtId="0" fontId="8" fillId="0" borderId="309" xfId="0" applyNumberFormat="1" applyFont="1" applyBorder="1" applyAlignment="1">
      <alignment horizontal="center" vertical="center"/>
    </xf>
    <xf numFmtId="0" fontId="8" fillId="0" borderId="202" xfId="0" applyNumberFormat="1" applyFont="1" applyBorder="1" applyAlignment="1">
      <alignment horizontal="center" vertical="center"/>
    </xf>
    <xf numFmtId="0" fontId="13" fillId="0" borderId="212" xfId="0" applyFont="1" applyBorder="1" applyAlignment="1">
      <alignment horizontal="center" vertical="center" wrapText="1"/>
    </xf>
    <xf numFmtId="0" fontId="13" fillId="0" borderId="213" xfId="0" applyFont="1" applyBorder="1" applyAlignment="1">
      <alignment horizontal="center" vertical="center" wrapText="1"/>
    </xf>
    <xf numFmtId="0" fontId="13" fillId="0" borderId="330" xfId="0" applyFont="1" applyBorder="1" applyAlignment="1">
      <alignment horizontal="center" vertical="center" wrapText="1"/>
    </xf>
    <xf numFmtId="0" fontId="13" fillId="0" borderId="187" xfId="0" applyNumberFormat="1" applyFont="1" applyBorder="1" applyAlignment="1" applyProtection="1">
      <alignment horizontal="center" vertical="center"/>
    </xf>
    <xf numFmtId="0" fontId="13" fillId="0" borderId="238" xfId="0" applyNumberFormat="1" applyFont="1" applyBorder="1" applyAlignment="1" applyProtection="1">
      <alignment horizontal="center" vertical="center"/>
    </xf>
    <xf numFmtId="0" fontId="13" fillId="0" borderId="206" xfId="0" applyNumberFormat="1" applyFont="1" applyBorder="1" applyAlignment="1" applyProtection="1">
      <alignment horizontal="center" vertical="center"/>
    </xf>
    <xf numFmtId="0" fontId="13" fillId="0" borderId="326" xfId="0" applyNumberFormat="1" applyFont="1" applyBorder="1" applyAlignment="1" applyProtection="1">
      <alignment horizontal="center" vertical="center"/>
    </xf>
    <xf numFmtId="0" fontId="13" fillId="0" borderId="207" xfId="0" applyNumberFormat="1" applyFont="1" applyBorder="1" applyAlignment="1" applyProtection="1">
      <alignment horizontal="center" vertical="center"/>
    </xf>
    <xf numFmtId="0" fontId="8" fillId="0" borderId="1" xfId="0" applyNumberFormat="1" applyFont="1" applyBorder="1" applyAlignment="1">
      <alignment horizontal="center" vertical="center"/>
    </xf>
    <xf numFmtId="0" fontId="8" fillId="0" borderId="229" xfId="0" applyNumberFormat="1" applyFont="1" applyBorder="1" applyAlignment="1">
      <alignment horizontal="center" vertical="center"/>
    </xf>
    <xf numFmtId="0" fontId="8" fillId="0" borderId="3" xfId="0" applyNumberFormat="1" applyFont="1" applyBorder="1" applyAlignment="1">
      <alignment horizontal="center" vertical="center"/>
    </xf>
    <xf numFmtId="0" fontId="8" fillId="0" borderId="207" xfId="0" applyNumberFormat="1" applyFont="1" applyBorder="1" applyAlignment="1">
      <alignment horizontal="center" vertical="center"/>
    </xf>
    <xf numFmtId="0" fontId="8" fillId="0" borderId="232" xfId="0" applyNumberFormat="1" applyFont="1" applyBorder="1" applyAlignment="1">
      <alignment horizontal="center" vertical="center"/>
    </xf>
    <xf numFmtId="0" fontId="8" fillId="0" borderId="230" xfId="0" applyNumberFormat="1" applyFont="1" applyBorder="1" applyAlignment="1">
      <alignment horizontal="center" vertical="center"/>
    </xf>
    <xf numFmtId="180" fontId="36" fillId="3" borderId="241" xfId="0" applyNumberFormat="1" applyFont="1" applyFill="1" applyBorder="1" applyAlignment="1">
      <alignment horizontal="center"/>
    </xf>
    <xf numFmtId="0" fontId="13" fillId="0" borderId="188" xfId="0" applyNumberFormat="1" applyFont="1" applyBorder="1" applyAlignment="1">
      <alignment horizontal="left" vertical="center" wrapText="1"/>
    </xf>
    <xf numFmtId="0" fontId="33" fillId="0" borderId="109" xfId="0" applyNumberFormat="1" applyFont="1" applyBorder="1" applyAlignment="1">
      <alignment horizontal="left" vertical="center" wrapText="1"/>
    </xf>
    <xf numFmtId="0" fontId="33" fillId="0" borderId="244" xfId="0" applyNumberFormat="1" applyFont="1" applyBorder="1" applyAlignment="1">
      <alignment horizontal="left" vertical="center" wrapText="1"/>
    </xf>
    <xf numFmtId="0" fontId="33" fillId="0" borderId="33" xfId="0" applyNumberFormat="1" applyFont="1" applyBorder="1" applyAlignment="1">
      <alignment horizontal="left" vertical="center" wrapText="1"/>
    </xf>
    <xf numFmtId="0" fontId="0" fillId="0" borderId="239" xfId="0" applyBorder="1" applyAlignment="1">
      <alignment vertical="center" wrapText="1"/>
    </xf>
    <xf numFmtId="14" fontId="13" fillId="0" borderId="245" xfId="0" quotePrefix="1" applyNumberFormat="1" applyFont="1" applyBorder="1" applyAlignment="1">
      <alignment horizontal="center" vertical="center"/>
    </xf>
    <xf numFmtId="14" fontId="33" fillId="0" borderId="246" xfId="0" applyNumberFormat="1" applyFont="1" applyBorder="1" applyAlignment="1">
      <alignment horizontal="center" vertical="center"/>
    </xf>
    <xf numFmtId="0" fontId="13" fillId="0" borderId="247" xfId="0" applyNumberFormat="1" applyFont="1" applyFill="1" applyBorder="1" applyAlignment="1">
      <alignment horizontal="left" vertical="center" wrapText="1"/>
    </xf>
    <xf numFmtId="0" fontId="33" fillId="0" borderId="87" xfId="0" applyNumberFormat="1" applyFont="1" applyFill="1" applyBorder="1" applyAlignment="1">
      <alignment horizontal="left" vertical="center" wrapText="1"/>
    </xf>
    <xf numFmtId="0" fontId="13" fillId="0" borderId="76" xfId="0" applyNumberFormat="1" applyFont="1" applyBorder="1" applyAlignment="1">
      <alignment horizontal="left" vertical="center" wrapText="1"/>
    </xf>
    <xf numFmtId="0" fontId="13" fillId="0" borderId="175" xfId="0" applyNumberFormat="1" applyFont="1" applyBorder="1" applyAlignment="1">
      <alignment horizontal="left" vertical="center" wrapText="1"/>
    </xf>
    <xf numFmtId="0" fontId="13" fillId="0" borderId="248" xfId="0" applyNumberFormat="1" applyFont="1" applyBorder="1" applyAlignment="1">
      <alignment horizontal="left" vertical="center" wrapText="1"/>
    </xf>
    <xf numFmtId="0" fontId="33" fillId="0" borderId="188" xfId="0" applyNumberFormat="1" applyFont="1" applyBorder="1" applyAlignment="1">
      <alignment horizontal="left" wrapText="1"/>
    </xf>
    <xf numFmtId="0" fontId="33" fillId="0" borderId="109" xfId="0" applyNumberFormat="1" applyFont="1" applyBorder="1" applyAlignment="1">
      <alignment horizontal="left" wrapText="1"/>
    </xf>
    <xf numFmtId="0" fontId="33" fillId="0" borderId="244" xfId="0" applyNumberFormat="1" applyFont="1" applyBorder="1" applyAlignment="1">
      <alignment horizontal="left" wrapText="1"/>
    </xf>
    <xf numFmtId="0" fontId="33" fillId="0" borderId="32" xfId="0" applyNumberFormat="1" applyFont="1" applyBorder="1" applyAlignment="1">
      <alignment horizontal="center" vertical="center"/>
    </xf>
    <xf numFmtId="0" fontId="33" fillId="0" borderId="239" xfId="0" applyNumberFormat="1" applyFont="1" applyBorder="1" applyAlignment="1">
      <alignment horizontal="center" vertical="center"/>
    </xf>
    <xf numFmtId="14" fontId="13" fillId="0" borderId="32" xfId="0" applyNumberFormat="1" applyFont="1" applyBorder="1" applyAlignment="1">
      <alignment horizontal="center" vertical="center" wrapText="1"/>
    </xf>
    <xf numFmtId="164" fontId="33" fillId="0" borderId="242" xfId="0" applyNumberFormat="1" applyFont="1" applyBorder="1" applyAlignment="1">
      <alignment horizontal="center" vertical="center"/>
    </xf>
    <xf numFmtId="164" fontId="33" fillId="0" borderId="243" xfId="0" applyNumberFormat="1" applyFont="1" applyBorder="1" applyAlignment="1">
      <alignment horizontal="center" vertical="center"/>
    </xf>
    <xf numFmtId="0" fontId="67" fillId="3" borderId="268" xfId="0" applyNumberFormat="1" applyFont="1" applyFill="1" applyBorder="1" applyAlignment="1" applyProtection="1">
      <alignment horizontal="center"/>
      <protection locked="0"/>
    </xf>
    <xf numFmtId="0" fontId="67" fillId="3" borderId="269" xfId="0" applyNumberFormat="1" applyFont="1" applyFill="1" applyBorder="1" applyAlignment="1" applyProtection="1">
      <alignment horizontal="center"/>
      <protection locked="0"/>
    </xf>
    <xf numFmtId="167" fontId="8" fillId="3" borderId="65" xfId="0" applyNumberFormat="1" applyFont="1" applyFill="1" applyBorder="1" applyAlignment="1">
      <alignment horizontal="center"/>
    </xf>
    <xf numFmtId="167" fontId="8" fillId="3" borderId="270" xfId="0" applyNumberFormat="1" applyFont="1" applyFill="1" applyBorder="1" applyAlignment="1">
      <alignment horizontal="center"/>
    </xf>
    <xf numFmtId="3" fontId="13" fillId="3" borderId="271" xfId="0" applyNumberFormat="1" applyFont="1" applyFill="1" applyBorder="1" applyAlignment="1">
      <alignment horizontal="center"/>
    </xf>
    <xf numFmtId="3" fontId="13" fillId="3" borderId="272" xfId="0" applyNumberFormat="1" applyFont="1" applyFill="1" applyBorder="1" applyAlignment="1">
      <alignment horizontal="center"/>
    </xf>
    <xf numFmtId="3" fontId="13" fillId="3" borderId="273" xfId="0" applyNumberFormat="1" applyFont="1" applyFill="1" applyBorder="1" applyAlignment="1">
      <alignment horizontal="center"/>
    </xf>
    <xf numFmtId="3" fontId="13" fillId="3" borderId="274" xfId="0" applyNumberFormat="1" applyFont="1" applyFill="1" applyBorder="1" applyAlignment="1">
      <alignment horizontal="center"/>
    </xf>
    <xf numFmtId="3" fontId="13" fillId="3" borderId="275" xfId="0" applyNumberFormat="1" applyFont="1" applyFill="1" applyBorder="1" applyAlignment="1">
      <alignment horizontal="center"/>
    </xf>
    <xf numFmtId="1" fontId="8" fillId="3" borderId="8" xfId="0" applyNumberFormat="1" applyFont="1" applyFill="1" applyBorder="1" applyAlignment="1">
      <alignment horizontal="left" wrapText="1"/>
    </xf>
    <xf numFmtId="1" fontId="8" fillId="3" borderId="4" xfId="0" applyNumberFormat="1" applyFont="1" applyFill="1" applyBorder="1" applyAlignment="1">
      <alignment horizontal="left" wrapText="1"/>
    </xf>
    <xf numFmtId="1" fontId="8" fillId="3" borderId="276" xfId="0" applyNumberFormat="1" applyFont="1" applyFill="1" applyBorder="1" applyAlignment="1">
      <alignment horizontal="left" wrapText="1"/>
    </xf>
    <xf numFmtId="1" fontId="8" fillId="3" borderId="5" xfId="0" applyNumberFormat="1" applyFont="1" applyFill="1" applyBorder="1" applyAlignment="1">
      <alignment horizontal="left" wrapText="1"/>
    </xf>
    <xf numFmtId="1" fontId="8" fillId="3" borderId="0" xfId="0" applyNumberFormat="1" applyFont="1" applyFill="1" applyBorder="1" applyAlignment="1">
      <alignment horizontal="left" wrapText="1"/>
    </xf>
    <xf numFmtId="1" fontId="8" fillId="3" borderId="143" xfId="0" applyNumberFormat="1" applyFont="1" applyFill="1" applyBorder="1" applyAlignment="1">
      <alignment horizontal="left" wrapText="1"/>
    </xf>
    <xf numFmtId="1" fontId="8" fillId="3" borderId="277" xfId="0" applyNumberFormat="1" applyFont="1" applyFill="1" applyBorder="1" applyAlignment="1">
      <alignment horizontal="left" wrapText="1"/>
    </xf>
    <xf numFmtId="1" fontId="8" fillId="3" borderId="241" xfId="0" applyNumberFormat="1" applyFont="1" applyFill="1" applyBorder="1" applyAlignment="1">
      <alignment horizontal="left" wrapText="1"/>
    </xf>
    <xf numFmtId="1" fontId="8" fillId="3" borderId="278" xfId="0" applyNumberFormat="1" applyFont="1" applyFill="1" applyBorder="1" applyAlignment="1">
      <alignment horizontal="left" wrapText="1"/>
    </xf>
    <xf numFmtId="0" fontId="112" fillId="3" borderId="0" xfId="0" applyNumberFormat="1" applyFont="1" applyFill="1" applyAlignment="1">
      <alignment horizontal="center"/>
    </xf>
    <xf numFmtId="0" fontId="67" fillId="3" borderId="268" xfId="0" applyNumberFormat="1" applyFont="1" applyFill="1" applyBorder="1" applyAlignment="1">
      <alignment horizontal="center"/>
    </xf>
    <xf numFmtId="0" fontId="67" fillId="3" borderId="269" xfId="0" applyNumberFormat="1" applyFont="1" applyFill="1" applyBorder="1" applyAlignment="1">
      <alignment horizontal="center"/>
    </xf>
    <xf numFmtId="3" fontId="13" fillId="3" borderId="24" xfId="0" applyNumberFormat="1" applyFont="1" applyFill="1" applyBorder="1" applyAlignment="1">
      <alignment horizontal="center"/>
    </xf>
    <xf numFmtId="3" fontId="13" fillId="3" borderId="259" xfId="0" applyNumberFormat="1" applyFont="1" applyFill="1" applyBorder="1" applyAlignment="1">
      <alignment horizontal="center"/>
    </xf>
    <xf numFmtId="3" fontId="13" fillId="3" borderId="252" xfId="0" applyNumberFormat="1" applyFont="1" applyFill="1" applyBorder="1" applyAlignment="1">
      <alignment horizontal="center"/>
    </xf>
    <xf numFmtId="3" fontId="13" fillId="3" borderId="307" xfId="0" applyNumberFormat="1" applyFont="1" applyFill="1" applyBorder="1" applyAlignment="1">
      <alignment horizontal="center"/>
    </xf>
    <xf numFmtId="3" fontId="13" fillId="3" borderId="308" xfId="0" applyNumberFormat="1" applyFont="1" applyFill="1" applyBorder="1" applyAlignment="1">
      <alignment horizontal="center"/>
    </xf>
    <xf numFmtId="0" fontId="83" fillId="3" borderId="161" xfId="0" applyNumberFormat="1" applyFont="1" applyFill="1" applyBorder="1" applyAlignment="1">
      <alignment horizontal="center"/>
    </xf>
    <xf numFmtId="0" fontId="83" fillId="3" borderId="260" xfId="0" applyNumberFormat="1" applyFont="1" applyFill="1" applyBorder="1" applyAlignment="1">
      <alignment horizontal="center"/>
    </xf>
    <xf numFmtId="0" fontId="36" fillId="2" borderId="33" xfId="0" applyNumberFormat="1" applyFont="1" applyFill="1" applyBorder="1" applyAlignment="1">
      <alignment horizontal="center"/>
    </xf>
    <xf numFmtId="0" fontId="36" fillId="2" borderId="239" xfId="0" applyNumberFormat="1" applyFont="1" applyFill="1" applyBorder="1" applyAlignment="1">
      <alignment horizontal="center"/>
    </xf>
    <xf numFmtId="1" fontId="8" fillId="3" borderId="261" xfId="0" applyNumberFormat="1" applyFont="1" applyFill="1" applyBorder="1" applyAlignment="1">
      <alignment horizontal="center" vertical="center"/>
    </xf>
    <xf numFmtId="1" fontId="8" fillId="3" borderId="262" xfId="0" applyNumberFormat="1" applyFont="1" applyFill="1" applyBorder="1" applyAlignment="1">
      <alignment horizontal="center" vertical="center"/>
    </xf>
    <xf numFmtId="1" fontId="8" fillId="3" borderId="231" xfId="0" applyNumberFormat="1" applyFont="1" applyFill="1" applyBorder="1" applyAlignment="1">
      <alignment horizontal="center" vertical="center"/>
    </xf>
    <xf numFmtId="1" fontId="8" fillId="3" borderId="60" xfId="0" applyNumberFormat="1" applyFont="1" applyFill="1" applyBorder="1" applyAlignment="1">
      <alignment horizontal="center" vertical="center"/>
    </xf>
    <xf numFmtId="1" fontId="8" fillId="3" borderId="263" xfId="0" applyNumberFormat="1" applyFont="1" applyFill="1" applyBorder="1" applyAlignment="1">
      <alignment horizontal="center" vertical="center"/>
    </xf>
    <xf numFmtId="1" fontId="8" fillId="3" borderId="264" xfId="0" applyNumberFormat="1" applyFont="1" applyFill="1" applyBorder="1" applyAlignment="1">
      <alignment horizontal="center" vertical="center"/>
    </xf>
    <xf numFmtId="1" fontId="8" fillId="3" borderId="265" xfId="0" applyNumberFormat="1" applyFont="1" applyFill="1" applyBorder="1" applyAlignment="1">
      <alignment horizontal="center" vertical="center"/>
    </xf>
    <xf numFmtId="1" fontId="8" fillId="3" borderId="266" xfId="0" applyNumberFormat="1" applyFont="1" applyFill="1" applyBorder="1" applyAlignment="1">
      <alignment horizontal="center" vertical="center"/>
    </xf>
    <xf numFmtId="0" fontId="83" fillId="28" borderId="72" xfId="0" applyNumberFormat="1" applyFont="1" applyFill="1" applyBorder="1" applyAlignment="1">
      <alignment horizontal="center"/>
    </xf>
    <xf numFmtId="0" fontId="83" fillId="28" borderId="72" xfId="0" applyNumberFormat="1" applyFont="1" applyFill="1" applyBorder="1" applyAlignment="1">
      <alignment horizontal="center" vertical="center"/>
    </xf>
    <xf numFmtId="0" fontId="83" fillId="28" borderId="72" xfId="0" applyNumberFormat="1" applyFont="1" applyFill="1" applyBorder="1" applyAlignment="1">
      <alignment horizontal="center" vertical="center" wrapText="1"/>
    </xf>
    <xf numFmtId="0" fontId="83" fillId="28" borderId="132" xfId="0" applyNumberFormat="1" applyFont="1" applyFill="1" applyBorder="1" applyAlignment="1">
      <alignment horizontal="center" vertical="center" wrapText="1"/>
    </xf>
    <xf numFmtId="0" fontId="83" fillId="24" borderId="267" xfId="0" applyNumberFormat="1" applyFont="1" applyFill="1" applyBorder="1" applyAlignment="1">
      <alignment horizontal="center"/>
    </xf>
    <xf numFmtId="0" fontId="83" fillId="24" borderId="136" xfId="0" applyNumberFormat="1" applyFont="1" applyFill="1" applyBorder="1" applyAlignment="1">
      <alignment horizontal="center"/>
    </xf>
    <xf numFmtId="0" fontId="83" fillId="24" borderId="185" xfId="0" applyNumberFormat="1" applyFont="1" applyFill="1" applyBorder="1" applyAlignment="1">
      <alignment horizontal="center"/>
    </xf>
    <xf numFmtId="0" fontId="83" fillId="28" borderId="126" xfId="0" applyNumberFormat="1" applyFont="1" applyFill="1" applyBorder="1" applyAlignment="1">
      <alignment horizontal="center"/>
    </xf>
    <xf numFmtId="180" fontId="70" fillId="3" borderId="0" xfId="0" applyNumberFormat="1" applyFont="1" applyFill="1" applyAlignment="1">
      <alignment horizontal="center"/>
    </xf>
    <xf numFmtId="180" fontId="10" fillId="3" borderId="0" xfId="0" applyNumberFormat="1" applyFont="1" applyFill="1" applyAlignment="1">
      <alignment horizontal="center"/>
    </xf>
    <xf numFmtId="180" fontId="71" fillId="3" borderId="0" xfId="0" applyNumberFormat="1" applyFont="1" applyFill="1" applyAlignment="1">
      <alignment horizontal="center"/>
    </xf>
    <xf numFmtId="0" fontId="67" fillId="24" borderId="78" xfId="0" applyNumberFormat="1" applyFont="1" applyFill="1" applyBorder="1" applyAlignment="1">
      <alignment horizontal="center"/>
    </xf>
    <xf numFmtId="0" fontId="67" fillId="24" borderId="257" xfId="0" applyNumberFormat="1" applyFont="1" applyFill="1" applyBorder="1" applyAlignment="1">
      <alignment horizontal="center"/>
    </xf>
    <xf numFmtId="0" fontId="67" fillId="24" borderId="77" xfId="0" applyNumberFormat="1" applyFont="1" applyFill="1" applyBorder="1" applyAlignment="1">
      <alignment horizontal="center"/>
    </xf>
    <xf numFmtId="0" fontId="67" fillId="24" borderId="87" xfId="0" applyNumberFormat="1" applyFont="1" applyFill="1" applyBorder="1" applyAlignment="1">
      <alignment horizontal="center"/>
    </xf>
    <xf numFmtId="0" fontId="67" fillId="24" borderId="76" xfId="0" applyNumberFormat="1" applyFont="1" applyFill="1" applyBorder="1" applyAlignment="1">
      <alignment horizontal="center"/>
    </xf>
    <xf numFmtId="0" fontId="67" fillId="24" borderId="208" xfId="0" applyNumberFormat="1" applyFont="1" applyFill="1" applyBorder="1" applyAlignment="1">
      <alignment horizontal="center"/>
    </xf>
    <xf numFmtId="0" fontId="67" fillId="3" borderId="204" xfId="0" applyNumberFormat="1" applyFont="1" applyFill="1" applyBorder="1" applyAlignment="1">
      <alignment horizontal="center"/>
    </xf>
    <xf numFmtId="0" fontId="67" fillId="3" borderId="205" xfId="0" applyNumberFormat="1" applyFont="1" applyFill="1" applyBorder="1" applyAlignment="1">
      <alignment horizontal="center"/>
    </xf>
    <xf numFmtId="0" fontId="67" fillId="3" borderId="254" xfId="0" applyNumberFormat="1" applyFont="1" applyFill="1" applyBorder="1" applyAlignment="1">
      <alignment horizontal="center"/>
    </xf>
    <xf numFmtId="0" fontId="67" fillId="3" borderId="255" xfId="0" applyNumberFormat="1" applyFont="1" applyFill="1" applyBorder="1" applyAlignment="1">
      <alignment horizontal="center"/>
    </xf>
    <xf numFmtId="0" fontId="67" fillId="3" borderId="42" xfId="0" applyNumberFormat="1" applyFont="1" applyFill="1" applyBorder="1" applyAlignment="1">
      <alignment horizontal="center"/>
    </xf>
    <xf numFmtId="0" fontId="67" fillId="3" borderId="256" xfId="0" applyNumberFormat="1" applyFont="1" applyFill="1" applyBorder="1" applyAlignment="1">
      <alignment horizontal="center"/>
    </xf>
    <xf numFmtId="0" fontId="67" fillId="3" borderId="94" xfId="0" applyNumberFormat="1" applyFont="1" applyFill="1" applyBorder="1" applyAlignment="1">
      <alignment horizontal="center"/>
    </xf>
    <xf numFmtId="0" fontId="67" fillId="3" borderId="77" xfId="0" applyNumberFormat="1" applyFont="1" applyFill="1" applyBorder="1" applyAlignment="1">
      <alignment horizontal="center"/>
    </xf>
    <xf numFmtId="0" fontId="67" fillId="3" borderId="87" xfId="0" applyNumberFormat="1" applyFont="1" applyFill="1" applyBorder="1" applyAlignment="1">
      <alignment horizontal="center"/>
    </xf>
    <xf numFmtId="0" fontId="67" fillId="3" borderId="77" xfId="0" applyNumberFormat="1" applyFont="1" applyFill="1" applyBorder="1" applyAlignment="1" applyProtection="1">
      <alignment horizontal="center"/>
      <protection locked="0"/>
    </xf>
    <xf numFmtId="0" fontId="67" fillId="3" borderId="87" xfId="0" applyNumberFormat="1" applyFont="1" applyFill="1" applyBorder="1" applyAlignment="1" applyProtection="1">
      <alignment horizontal="center"/>
      <protection locked="0"/>
    </xf>
    <xf numFmtId="0" fontId="30" fillId="3" borderId="204" xfId="0" applyNumberFormat="1" applyFont="1" applyFill="1" applyBorder="1" applyAlignment="1">
      <alignment horizontal="center" wrapText="1"/>
    </xf>
    <xf numFmtId="0" fontId="30" fillId="3" borderId="205" xfId="0" applyNumberFormat="1" applyFont="1" applyFill="1" applyBorder="1" applyAlignment="1">
      <alignment horizontal="center" wrapText="1"/>
    </xf>
    <xf numFmtId="0" fontId="30" fillId="3" borderId="254" xfId="0" applyNumberFormat="1" applyFont="1" applyFill="1" applyBorder="1" applyAlignment="1">
      <alignment horizontal="center" wrapText="1"/>
    </xf>
    <xf numFmtId="0" fontId="30" fillId="3" borderId="255" xfId="0" applyNumberFormat="1" applyFont="1" applyFill="1" applyBorder="1" applyAlignment="1">
      <alignment horizontal="center" wrapText="1"/>
    </xf>
    <xf numFmtId="0" fontId="8" fillId="3" borderId="303" xfId="0" applyNumberFormat="1" applyFont="1" applyFill="1" applyBorder="1" applyAlignment="1">
      <alignment horizontal="center"/>
    </xf>
    <xf numFmtId="0" fontId="8" fillId="3" borderId="304" xfId="0" applyNumberFormat="1" applyFont="1" applyFill="1" applyBorder="1" applyAlignment="1">
      <alignment horizontal="center"/>
    </xf>
    <xf numFmtId="0" fontId="8" fillId="3" borderId="196" xfId="0" applyNumberFormat="1" applyFont="1" applyFill="1" applyBorder="1" applyAlignment="1">
      <alignment horizontal="center"/>
    </xf>
    <xf numFmtId="0" fontId="8" fillId="3" borderId="299" xfId="0" applyNumberFormat="1" applyFont="1" applyFill="1" applyBorder="1" applyAlignment="1">
      <alignment horizontal="center"/>
    </xf>
    <xf numFmtId="180" fontId="80" fillId="3" borderId="0" xfId="0" applyNumberFormat="1" applyFont="1" applyFill="1" applyAlignment="1">
      <alignment horizontal="center"/>
    </xf>
    <xf numFmtId="3" fontId="8" fillId="3" borderId="24" xfId="0" applyNumberFormat="1" applyFont="1" applyFill="1" applyBorder="1" applyAlignment="1">
      <alignment horizontal="center"/>
    </xf>
    <xf numFmtId="3" fontId="8" fillId="3" borderId="249" xfId="0" applyNumberFormat="1" applyFont="1" applyFill="1" applyBorder="1" applyAlignment="1">
      <alignment horizontal="center"/>
    </xf>
    <xf numFmtId="3" fontId="8" fillId="0" borderId="32" xfId="0" applyNumberFormat="1" applyFont="1" applyFill="1" applyBorder="1" applyAlignment="1">
      <alignment horizontal="center"/>
    </xf>
    <xf numFmtId="3" fontId="8" fillId="0" borderId="239" xfId="0" applyNumberFormat="1" applyFont="1" applyFill="1" applyBorder="1" applyAlignment="1">
      <alignment horizontal="center"/>
    </xf>
    <xf numFmtId="3" fontId="8" fillId="3" borderId="32" xfId="0" applyNumberFormat="1" applyFont="1" applyFill="1" applyBorder="1" applyAlignment="1">
      <alignment horizontal="center"/>
    </xf>
    <xf numFmtId="3" fontId="8" fillId="3" borderId="239" xfId="0" applyNumberFormat="1" applyFont="1" applyFill="1" applyBorder="1" applyAlignment="1">
      <alignment horizontal="center"/>
    </xf>
    <xf numFmtId="0" fontId="8" fillId="3" borderId="16" xfId="0" applyNumberFormat="1" applyFont="1" applyFill="1" applyBorder="1" applyAlignment="1">
      <alignment horizontal="center" vertical="center"/>
    </xf>
    <xf numFmtId="0" fontId="8" fillId="3" borderId="250" xfId="0" applyNumberFormat="1" applyFont="1" applyFill="1" applyBorder="1" applyAlignment="1">
      <alignment horizontal="center" vertical="center"/>
    </xf>
    <xf numFmtId="0" fontId="8" fillId="3" borderId="251" xfId="0" applyNumberFormat="1" applyFont="1" applyFill="1" applyBorder="1" applyAlignment="1">
      <alignment horizontal="center" vertical="center"/>
    </xf>
    <xf numFmtId="0" fontId="8" fillId="3" borderId="208" xfId="0" applyNumberFormat="1" applyFont="1" applyFill="1" applyBorder="1" applyAlignment="1">
      <alignment horizontal="center" vertical="center"/>
    </xf>
    <xf numFmtId="0" fontId="8" fillId="3" borderId="7" xfId="0" applyNumberFormat="1" applyFont="1" applyFill="1" applyBorder="1" applyAlignment="1">
      <alignment horizontal="center" vertical="center"/>
    </xf>
    <xf numFmtId="0" fontId="8" fillId="3" borderId="252" xfId="0" applyNumberFormat="1" applyFont="1" applyFill="1" applyBorder="1" applyAlignment="1">
      <alignment horizontal="center" vertical="center"/>
    </xf>
    <xf numFmtId="0" fontId="8" fillId="3" borderId="175" xfId="0" applyNumberFormat="1" applyFont="1" applyFill="1" applyBorder="1" applyAlignment="1">
      <alignment horizontal="center" vertical="center"/>
    </xf>
    <xf numFmtId="0" fontId="8" fillId="3" borderId="248" xfId="0" applyNumberFormat="1" applyFont="1" applyFill="1" applyBorder="1" applyAlignment="1">
      <alignment horizontal="center" vertical="center"/>
    </xf>
    <xf numFmtId="0" fontId="8" fillId="3" borderId="36" xfId="0" quotePrefix="1" applyNumberFormat="1" applyFont="1" applyFill="1" applyBorder="1" applyAlignment="1">
      <alignment horizontal="center" wrapText="1"/>
    </xf>
    <xf numFmtId="0" fontId="8" fillId="3" borderId="213" xfId="0" quotePrefix="1" applyNumberFormat="1" applyFont="1" applyFill="1" applyBorder="1" applyAlignment="1">
      <alignment horizontal="center" wrapText="1"/>
    </xf>
    <xf numFmtId="0" fontId="8" fillId="3" borderId="253" xfId="0" quotePrefix="1" applyNumberFormat="1" applyFont="1" applyFill="1" applyBorder="1" applyAlignment="1">
      <alignment horizontal="center" wrapText="1"/>
    </xf>
    <xf numFmtId="1" fontId="8" fillId="3" borderId="42" xfId="0" applyNumberFormat="1" applyFont="1" applyFill="1" applyBorder="1" applyAlignment="1">
      <alignment horizontal="center"/>
    </xf>
    <xf numFmtId="1" fontId="8" fillId="3" borderId="55" xfId="0" applyNumberFormat="1" applyFont="1" applyFill="1" applyBorder="1" applyAlignment="1">
      <alignment horizontal="center"/>
    </xf>
    <xf numFmtId="1" fontId="8" fillId="3" borderId="43" xfId="0" applyNumberFormat="1" applyFont="1" applyFill="1" applyBorder="1" applyAlignment="1">
      <alignment horizontal="center"/>
    </xf>
    <xf numFmtId="1" fontId="8" fillId="3" borderId="258" xfId="0" applyNumberFormat="1" applyFont="1" applyFill="1" applyBorder="1" applyAlignment="1">
      <alignment horizontal="center"/>
    </xf>
    <xf numFmtId="1" fontId="8" fillId="3" borderId="175" xfId="0" applyNumberFormat="1" applyFont="1" applyFill="1" applyBorder="1" applyAlignment="1">
      <alignment horizontal="center"/>
    </xf>
    <xf numFmtId="1" fontId="8" fillId="3" borderId="63" xfId="0" applyNumberFormat="1" applyFont="1" applyFill="1" applyBorder="1" applyAlignment="1">
      <alignment horizontal="center"/>
    </xf>
    <xf numFmtId="170" fontId="8" fillId="3" borderId="72" xfId="0" applyNumberFormat="1" applyFont="1" applyFill="1" applyBorder="1" applyAlignment="1">
      <alignment horizontal="center"/>
    </xf>
    <xf numFmtId="170" fontId="8" fillId="3" borderId="132" xfId="0" applyNumberFormat="1" applyFont="1" applyFill="1" applyBorder="1" applyAlignment="1">
      <alignment horizontal="center"/>
    </xf>
    <xf numFmtId="170" fontId="8" fillId="3" borderId="92" xfId="0" applyNumberFormat="1" applyFont="1" applyFill="1" applyBorder="1" applyAlignment="1">
      <alignment horizontal="center"/>
    </xf>
    <xf numFmtId="170" fontId="8" fillId="3" borderId="174" xfId="0" applyNumberFormat="1" applyFont="1" applyFill="1" applyBorder="1" applyAlignment="1">
      <alignment horizontal="center"/>
    </xf>
    <xf numFmtId="0" fontId="8" fillId="3" borderId="136" xfId="0" applyNumberFormat="1" applyFont="1" applyFill="1" applyBorder="1" applyAlignment="1">
      <alignment horizontal="center"/>
    </xf>
    <xf numFmtId="0" fontId="8" fillId="3" borderId="185" xfId="0" applyNumberFormat="1" applyFont="1" applyFill="1" applyBorder="1" applyAlignment="1">
      <alignment horizontal="center"/>
    </xf>
    <xf numFmtId="0" fontId="36" fillId="2" borderId="30" xfId="0" applyNumberFormat="1" applyFont="1" applyFill="1" applyBorder="1" applyAlignment="1">
      <alignment horizontal="center" vertical="center"/>
    </xf>
    <xf numFmtId="0" fontId="36" fillId="2" borderId="279" xfId="0" applyNumberFormat="1" applyFont="1" applyFill="1" applyBorder="1" applyAlignment="1">
      <alignment horizontal="center" vertical="center"/>
    </xf>
    <xf numFmtId="0" fontId="36" fillId="2" borderId="143" xfId="0" applyNumberFormat="1" applyFont="1" applyFill="1" applyBorder="1" applyAlignment="1">
      <alignment horizontal="center" wrapText="1"/>
    </xf>
    <xf numFmtId="0" fontId="36" fillId="2" borderId="119" xfId="0" applyNumberFormat="1" applyFont="1" applyFill="1" applyBorder="1" applyAlignment="1">
      <alignment horizontal="center" vertical="center" wrapText="1"/>
    </xf>
    <xf numFmtId="0" fontId="36" fillId="2" borderId="253" xfId="0" applyNumberFormat="1" applyFont="1" applyFill="1" applyBorder="1" applyAlignment="1">
      <alignment horizontal="center" vertical="center" wrapText="1"/>
    </xf>
    <xf numFmtId="0" fontId="1" fillId="0" borderId="310" xfId="0" applyNumberFormat="1" applyFont="1" applyBorder="1" applyAlignment="1">
      <alignment horizontal="center"/>
    </xf>
    <xf numFmtId="0" fontId="1" fillId="0" borderId="311" xfId="0" applyNumberFormat="1" applyFont="1" applyBorder="1" applyAlignment="1">
      <alignment horizontal="center"/>
    </xf>
    <xf numFmtId="0" fontId="1" fillId="0" borderId="312" xfId="0" applyNumberFormat="1" applyFont="1" applyBorder="1" applyAlignment="1">
      <alignment horizontal="center"/>
    </xf>
    <xf numFmtId="0" fontId="1" fillId="0" borderId="313" xfId="0" applyNumberFormat="1" applyFont="1" applyBorder="1" applyAlignment="1">
      <alignment horizontal="center"/>
    </xf>
    <xf numFmtId="0" fontId="1" fillId="0" borderId="72" xfId="0" applyNumberFormat="1" applyFont="1" applyBorder="1" applyAlignment="1">
      <alignment horizontal="center"/>
    </xf>
    <xf numFmtId="0" fontId="1" fillId="0" borderId="314" xfId="0" applyNumberFormat="1" applyFont="1" applyBorder="1" applyAlignment="1">
      <alignment horizontal="center"/>
    </xf>
    <xf numFmtId="0" fontId="89" fillId="0" borderId="261" xfId="0" applyNumberFormat="1" applyFont="1" applyFill="1" applyBorder="1" applyAlignment="1">
      <alignment horizontal="center"/>
    </xf>
    <xf numFmtId="0" fontId="89" fillId="0" borderId="184" xfId="0" applyNumberFormat="1" applyFont="1" applyFill="1" applyBorder="1" applyAlignment="1">
      <alignment horizontal="center"/>
    </xf>
    <xf numFmtId="0" fontId="113" fillId="2" borderId="119" xfId="0" applyNumberFormat="1" applyFont="1" applyFill="1" applyBorder="1" applyAlignment="1">
      <alignment horizontal="center" vertical="center" wrapText="1"/>
    </xf>
    <xf numFmtId="0" fontId="113" fillId="2" borderId="253" xfId="0" applyNumberFormat="1" applyFont="1" applyFill="1" applyBorder="1" applyAlignment="1">
      <alignment horizontal="center" vertical="center" wrapText="1"/>
    </xf>
    <xf numFmtId="165" fontId="23" fillId="2" borderId="157" xfId="0" applyNumberFormat="1" applyFont="1" applyFill="1" applyBorder="1" applyAlignment="1">
      <alignment horizontal="center" wrapText="1"/>
    </xf>
    <xf numFmtId="165" fontId="23" fillId="2" borderId="280" xfId="0" applyNumberFormat="1" applyFont="1" applyFill="1" applyBorder="1" applyAlignment="1">
      <alignment horizontal="center" wrapText="1"/>
    </xf>
    <xf numFmtId="165" fontId="23" fillId="2" borderId="189" xfId="0" applyNumberFormat="1" applyFont="1" applyFill="1" applyBorder="1" applyAlignment="1">
      <alignment horizontal="center" wrapText="1"/>
    </xf>
    <xf numFmtId="180" fontId="18" fillId="2" borderId="0" xfId="0" applyNumberFormat="1" applyFont="1" applyFill="1" applyAlignment="1">
      <alignment horizontal="center"/>
    </xf>
    <xf numFmtId="0" fontId="6" fillId="2" borderId="42" xfId="0" applyNumberFormat="1" applyFont="1" applyFill="1" applyBorder="1" applyAlignment="1">
      <alignment horizontal="center" wrapText="1" shrinkToFit="1"/>
    </xf>
    <xf numFmtId="0" fontId="6" fillId="2" borderId="55" xfId="0" applyNumberFormat="1" applyFont="1" applyFill="1" applyBorder="1" applyAlignment="1">
      <alignment horizontal="center" wrapText="1" shrinkToFit="1"/>
    </xf>
    <xf numFmtId="0" fontId="6" fillId="2" borderId="43" xfId="0" applyNumberFormat="1" applyFont="1" applyFill="1" applyBorder="1" applyAlignment="1">
      <alignment horizontal="center" wrapText="1" shrinkToFit="1"/>
    </xf>
    <xf numFmtId="0" fontId="6" fillId="2" borderId="285" xfId="0" applyNumberFormat="1" applyFont="1" applyFill="1" applyBorder="1" applyAlignment="1">
      <alignment horizontal="center" wrapText="1" shrinkToFit="1"/>
    </xf>
    <xf numFmtId="0" fontId="6" fillId="2" borderId="241" xfId="0" applyNumberFormat="1" applyFont="1" applyFill="1" applyBorder="1" applyAlignment="1">
      <alignment horizontal="center" wrapText="1" shrinkToFit="1"/>
    </xf>
    <xf numFmtId="0" fontId="89" fillId="0" borderId="261" xfId="0" applyNumberFormat="1" applyFont="1" applyFill="1" applyBorder="1" applyAlignment="1" applyProtection="1">
      <alignment horizontal="center"/>
      <protection locked="0"/>
    </xf>
    <xf numFmtId="0" fontId="89" fillId="0" borderId="184" xfId="0" applyNumberFormat="1" applyFont="1" applyFill="1" applyBorder="1" applyAlignment="1" applyProtection="1">
      <alignment horizontal="center"/>
      <protection locked="0"/>
    </xf>
    <xf numFmtId="0" fontId="89" fillId="0" borderId="262" xfId="0" applyNumberFormat="1" applyFont="1" applyFill="1" applyBorder="1" applyAlignment="1" applyProtection="1">
      <alignment horizontal="center"/>
      <protection locked="0"/>
    </xf>
    <xf numFmtId="0" fontId="86" fillId="2" borderId="79" xfId="0" applyNumberFormat="1" applyFont="1" applyFill="1" applyBorder="1" applyAlignment="1">
      <alignment horizontal="center" wrapText="1"/>
    </xf>
    <xf numFmtId="0" fontId="113" fillId="2" borderId="30" xfId="0" applyNumberFormat="1" applyFont="1" applyFill="1" applyBorder="1" applyAlignment="1">
      <alignment horizontal="center" vertical="center"/>
    </xf>
    <xf numFmtId="0" fontId="113" fillId="2" borderId="279" xfId="0" applyNumberFormat="1" applyFont="1" applyFill="1" applyBorder="1" applyAlignment="1">
      <alignment horizontal="center" vertical="center"/>
    </xf>
    <xf numFmtId="0" fontId="23" fillId="2" borderId="157" xfId="0" applyNumberFormat="1" applyFont="1" applyFill="1" applyBorder="1" applyAlignment="1">
      <alignment horizontal="center" wrapText="1"/>
    </xf>
    <xf numFmtId="0" fontId="23" fillId="2" borderId="189" xfId="0" applyNumberFormat="1" applyFont="1" applyFill="1" applyBorder="1" applyAlignment="1">
      <alignment horizontal="center" wrapText="1"/>
    </xf>
    <xf numFmtId="2" fontId="23" fillId="2" borderId="157" xfId="0" applyNumberFormat="1" applyFont="1" applyFill="1" applyBorder="1" applyAlignment="1">
      <alignment horizontal="center" wrapText="1"/>
    </xf>
    <xf numFmtId="2" fontId="23" fillId="2" borderId="189" xfId="0" applyNumberFormat="1" applyFont="1" applyFill="1" applyBorder="1" applyAlignment="1">
      <alignment horizontal="center" wrapText="1"/>
    </xf>
    <xf numFmtId="0" fontId="23" fillId="2" borderId="130" xfId="0" applyNumberFormat="1" applyFont="1" applyFill="1" applyBorder="1" applyAlignment="1">
      <alignment horizontal="center" wrapText="1"/>
    </xf>
    <xf numFmtId="0" fontId="89" fillId="0" borderId="0" xfId="0" applyNumberFormat="1" applyFont="1" applyFill="1" applyBorder="1" applyAlignment="1">
      <alignment horizontal="center"/>
    </xf>
    <xf numFmtId="0" fontId="34" fillId="2" borderId="0" xfId="0" applyNumberFormat="1" applyFont="1" applyFill="1" applyBorder="1" applyAlignment="1" applyProtection="1">
      <alignment horizontal="center"/>
      <protection locked="0"/>
    </xf>
    <xf numFmtId="165" fontId="31" fillId="2" borderId="0" xfId="0" applyNumberFormat="1" applyFont="1" applyFill="1" applyBorder="1" applyAlignment="1">
      <alignment horizontal="center"/>
    </xf>
    <xf numFmtId="0" fontId="89" fillId="0" borderId="280" xfId="0" applyNumberFormat="1" applyFont="1" applyFill="1" applyBorder="1" applyAlignment="1">
      <alignment horizontal="center"/>
    </xf>
    <xf numFmtId="0" fontId="89" fillId="0" borderId="281" xfId="0" applyNumberFormat="1" applyFont="1" applyFill="1" applyBorder="1" applyAlignment="1">
      <alignment horizontal="center"/>
    </xf>
    <xf numFmtId="0" fontId="90" fillId="0" borderId="157" xfId="0" applyNumberFormat="1" applyFont="1" applyBorder="1" applyAlignment="1">
      <alignment horizontal="center" wrapText="1"/>
    </xf>
    <xf numFmtId="0" fontId="90" fillId="0" borderId="280" xfId="0" applyNumberFormat="1" applyFont="1" applyBorder="1" applyAlignment="1">
      <alignment horizontal="center" wrapText="1"/>
    </xf>
    <xf numFmtId="0" fontId="90" fillId="0" borderId="189" xfId="0" applyNumberFormat="1" applyFont="1" applyBorder="1" applyAlignment="1">
      <alignment horizontal="center" wrapText="1"/>
    </xf>
    <xf numFmtId="0" fontId="23" fillId="2" borderId="280" xfId="0" applyNumberFormat="1" applyFont="1" applyFill="1" applyBorder="1" applyAlignment="1">
      <alignment horizontal="center" wrapText="1"/>
    </xf>
    <xf numFmtId="165" fontId="34" fillId="2" borderId="283" xfId="0" applyNumberFormat="1" applyFont="1" applyFill="1" applyBorder="1" applyAlignment="1" applyProtection="1">
      <alignment horizontal="center"/>
      <protection locked="0"/>
    </xf>
    <xf numFmtId="165" fontId="34" fillId="2" borderId="191" xfId="0" applyNumberFormat="1" applyFont="1" applyFill="1" applyBorder="1" applyAlignment="1" applyProtection="1">
      <alignment horizontal="center"/>
      <protection locked="0"/>
    </xf>
    <xf numFmtId="165" fontId="34" fillId="2" borderId="284" xfId="0" applyNumberFormat="1" applyFont="1" applyFill="1" applyBorder="1" applyAlignment="1" applyProtection="1">
      <alignment horizontal="center"/>
      <protection locked="0"/>
    </xf>
    <xf numFmtId="1" fontId="23" fillId="2" borderId="157" xfId="0" applyNumberFormat="1" applyFont="1" applyFill="1" applyBorder="1" applyAlignment="1">
      <alignment horizontal="center" wrapText="1"/>
    </xf>
    <xf numFmtId="1" fontId="23" fillId="2" borderId="280" xfId="0" applyNumberFormat="1" applyFont="1" applyFill="1" applyBorder="1" applyAlignment="1">
      <alignment horizontal="center" wrapText="1"/>
    </xf>
    <xf numFmtId="1" fontId="23" fillId="2" borderId="189" xfId="0" applyNumberFormat="1" applyFont="1" applyFill="1" applyBorder="1" applyAlignment="1">
      <alignment horizontal="center" wrapText="1"/>
    </xf>
    <xf numFmtId="0" fontId="34" fillId="2" borderId="282" xfId="0" applyNumberFormat="1" applyFont="1" applyFill="1" applyBorder="1" applyAlignment="1" applyProtection="1">
      <alignment horizontal="center"/>
      <protection locked="0"/>
    </xf>
    <xf numFmtId="0" fontId="34" fillId="2" borderId="280" xfId="0" applyNumberFormat="1" applyFont="1" applyFill="1" applyBorder="1" applyAlignment="1" applyProtection="1">
      <alignment horizontal="center"/>
      <protection locked="0"/>
    </xf>
    <xf numFmtId="0" fontId="34" fillId="2" borderId="281" xfId="0" applyNumberFormat="1" applyFont="1" applyFill="1" applyBorder="1" applyAlignment="1" applyProtection="1">
      <alignment horizontal="center"/>
      <protection locked="0"/>
    </xf>
    <xf numFmtId="0" fontId="33" fillId="0" borderId="261" xfId="0" applyNumberFormat="1" applyFont="1" applyBorder="1" applyAlignment="1">
      <alignment horizontal="center"/>
    </xf>
    <xf numFmtId="0" fontId="33" fillId="0" borderId="262" xfId="0" applyNumberFormat="1" applyFont="1" applyBorder="1" applyAlignment="1">
      <alignment horizontal="center"/>
    </xf>
    <xf numFmtId="0" fontId="13" fillId="0" borderId="0" xfId="0" applyNumberFormat="1" applyFont="1" applyAlignment="1">
      <alignment horizontal="center"/>
    </xf>
    <xf numFmtId="0" fontId="13" fillId="44" borderId="196" xfId="0" applyNumberFormat="1" applyFont="1" applyFill="1" applyBorder="1" applyAlignment="1">
      <alignment horizontal="center" wrapText="1"/>
    </xf>
    <xf numFmtId="0" fontId="13" fillId="44" borderId="299" xfId="0" applyNumberFormat="1" applyFont="1" applyFill="1" applyBorder="1" applyAlignment="1">
      <alignment horizontal="center" wrapText="1"/>
    </xf>
    <xf numFmtId="180" fontId="51" fillId="3" borderId="0" xfId="0" applyNumberFormat="1" applyFont="1" applyFill="1" applyAlignment="1">
      <alignment horizontal="center"/>
    </xf>
    <xf numFmtId="180" fontId="78" fillId="0" borderId="0" xfId="0" applyNumberFormat="1" applyFont="1" applyAlignment="1">
      <alignment horizontal="center"/>
    </xf>
    <xf numFmtId="0" fontId="8" fillId="3" borderId="286" xfId="0" applyNumberFormat="1" applyFont="1" applyFill="1" applyBorder="1" applyAlignment="1">
      <alignment horizontal="center" wrapText="1"/>
    </xf>
    <xf numFmtId="0" fontId="8" fillId="3" borderId="287" xfId="0" applyNumberFormat="1" applyFont="1" applyFill="1" applyBorder="1" applyAlignment="1">
      <alignment horizontal="center" wrapText="1"/>
    </xf>
    <xf numFmtId="0" fontId="8" fillId="3" borderId="288" xfId="0" applyNumberFormat="1" applyFont="1" applyFill="1" applyBorder="1" applyAlignment="1">
      <alignment horizontal="center" wrapText="1"/>
    </xf>
    <xf numFmtId="0" fontId="8" fillId="3" borderId="80" xfId="0" applyNumberFormat="1" applyFont="1" applyFill="1" applyBorder="1" applyAlignment="1">
      <alignment horizontal="center" wrapText="1"/>
    </xf>
    <xf numFmtId="0" fontId="0" fillId="0" borderId="100" xfId="0" applyBorder="1" applyAlignment="1">
      <alignment horizontal="center" wrapText="1"/>
    </xf>
    <xf numFmtId="0" fontId="0" fillId="0" borderId="289" xfId="0" applyBorder="1" applyAlignment="1">
      <alignment horizontal="center" wrapText="1"/>
    </xf>
    <xf numFmtId="0" fontId="8" fillId="3" borderId="26" xfId="0" applyNumberFormat="1" applyFont="1" applyFill="1" applyBorder="1" applyAlignment="1">
      <alignment horizontal="center"/>
    </xf>
    <xf numFmtId="0" fontId="8" fillId="3" borderId="290" xfId="0" applyNumberFormat="1" applyFont="1" applyFill="1" applyBorder="1" applyAlignment="1">
      <alignment horizontal="center"/>
    </xf>
    <xf numFmtId="0" fontId="8" fillId="3" borderId="30" xfId="0" applyNumberFormat="1" applyFont="1" applyFill="1" applyBorder="1" applyAlignment="1">
      <alignment horizontal="center" wrapText="1"/>
    </xf>
    <xf numFmtId="0" fontId="8" fillId="3" borderId="237" xfId="0" applyNumberFormat="1" applyFont="1" applyFill="1" applyBorder="1" applyAlignment="1">
      <alignment horizontal="center" wrapText="1"/>
    </xf>
    <xf numFmtId="0" fontId="8" fillId="3" borderId="279" xfId="0" applyNumberFormat="1" applyFont="1" applyFill="1" applyBorder="1" applyAlignment="1">
      <alignment horizontal="center" wrapText="1"/>
    </xf>
    <xf numFmtId="180" fontId="27" fillId="5" borderId="7" xfId="3" applyNumberFormat="1" applyFont="1" applyFill="1" applyBorder="1" applyAlignment="1">
      <alignment horizontal="center"/>
    </xf>
    <xf numFmtId="0" fontId="11" fillId="37" borderId="1" xfId="3" applyNumberFormat="1" applyFont="1" applyFill="1" applyBorder="1" applyAlignment="1">
      <alignment horizontal="center"/>
    </xf>
    <xf numFmtId="0" fontId="11" fillId="37" borderId="238" xfId="3" applyNumberFormat="1" applyFont="1" applyFill="1" applyBorder="1" applyAlignment="1">
      <alignment horizontal="center"/>
    </xf>
    <xf numFmtId="0" fontId="11" fillId="37" borderId="232" xfId="3" applyNumberFormat="1" applyFont="1" applyFill="1" applyBorder="1" applyAlignment="1">
      <alignment horizontal="center"/>
    </xf>
    <xf numFmtId="0" fontId="11" fillId="37" borderId="291" xfId="3" applyNumberFormat="1" applyFont="1" applyFill="1" applyBorder="1" applyAlignment="1">
      <alignment horizontal="center"/>
    </xf>
    <xf numFmtId="3" fontId="13" fillId="0" borderId="0" xfId="0" applyNumberFormat="1" applyFont="1" applyAlignment="1">
      <alignment horizontal="left" wrapText="1" shrinkToFit="1"/>
    </xf>
    <xf numFmtId="3" fontId="13" fillId="0" borderId="0" xfId="0" applyNumberFormat="1" applyFont="1" applyAlignment="1">
      <alignment horizontal="left" wrapText="1"/>
    </xf>
    <xf numFmtId="0" fontId="34" fillId="0" borderId="0" xfId="0" applyNumberFormat="1" applyFont="1" applyBorder="1" applyAlignment="1">
      <alignment horizontal="left" vertical="center" wrapText="1"/>
    </xf>
    <xf numFmtId="0" fontId="67" fillId="0" borderId="0" xfId="0" applyNumberFormat="1" applyFont="1" applyBorder="1" applyAlignment="1">
      <alignment horizontal="left" vertical="center" wrapText="1"/>
    </xf>
    <xf numFmtId="0" fontId="34" fillId="0" borderId="0" xfId="0" applyFont="1" applyAlignment="1">
      <alignment horizontal="left"/>
    </xf>
    <xf numFmtId="0" fontId="61" fillId="0" borderId="77" xfId="0" quotePrefix="1" applyFont="1" applyBorder="1" applyAlignment="1">
      <alignment horizontal="center"/>
    </xf>
    <xf numFmtId="0" fontId="61" fillId="0" borderId="87" xfId="0" quotePrefix="1" applyFont="1" applyBorder="1" applyAlignment="1">
      <alignment horizontal="center"/>
    </xf>
    <xf numFmtId="0" fontId="61" fillId="0" borderId="77" xfId="0" applyFont="1" applyBorder="1" applyAlignment="1">
      <alignment horizontal="center"/>
    </xf>
    <xf numFmtId="0" fontId="61" fillId="0" borderId="87" xfId="0" applyFont="1" applyBorder="1" applyAlignment="1">
      <alignment horizontal="center"/>
    </xf>
    <xf numFmtId="0" fontId="34" fillId="0" borderId="0" xfId="0" applyNumberFormat="1" applyFont="1" applyBorder="1" applyAlignment="1">
      <alignment vertical="center"/>
    </xf>
    <xf numFmtId="0" fontId="34" fillId="0" borderId="0" xfId="0" applyNumberFormat="1" applyFont="1" applyBorder="1" applyAlignment="1">
      <alignment vertical="center" wrapText="1"/>
    </xf>
    <xf numFmtId="0" fontId="69" fillId="0" borderId="0" xfId="0" applyFont="1" applyAlignment="1">
      <alignment horizontal="center"/>
    </xf>
    <xf numFmtId="184" fontId="61" fillId="0" borderId="0" xfId="0" applyNumberFormat="1" applyFont="1" applyAlignment="1">
      <alignment horizontal="center"/>
    </xf>
    <xf numFmtId="0" fontId="61" fillId="0" borderId="77" xfId="0" applyFont="1" applyBorder="1" applyAlignment="1">
      <alignment horizontal="center" vertical="center" wrapText="1"/>
    </xf>
    <xf numFmtId="0" fontId="61" fillId="0" borderId="87" xfId="0" applyFont="1" applyBorder="1" applyAlignment="1">
      <alignment horizontal="center" vertical="center" wrapText="1"/>
    </xf>
    <xf numFmtId="0" fontId="61" fillId="0" borderId="77" xfId="0" applyFont="1" applyBorder="1" applyAlignment="1">
      <alignment horizontal="center" vertical="center"/>
    </xf>
    <xf numFmtId="0" fontId="61" fillId="0" borderId="87" xfId="0" applyFont="1" applyBorder="1" applyAlignment="1">
      <alignment horizontal="center" vertical="center"/>
    </xf>
    <xf numFmtId="0" fontId="61" fillId="0" borderId="75" xfId="0" applyFont="1" applyBorder="1" applyAlignment="1">
      <alignment horizontal="center" vertical="center" wrapText="1"/>
    </xf>
    <xf numFmtId="0" fontId="61" fillId="0" borderId="73" xfId="0" applyFont="1" applyBorder="1" applyAlignment="1">
      <alignment horizontal="center" vertical="center" wrapText="1"/>
    </xf>
    <xf numFmtId="0" fontId="61" fillId="0" borderId="75" xfId="0" applyFont="1" applyBorder="1" applyAlignment="1">
      <alignment horizontal="center" wrapText="1"/>
    </xf>
    <xf numFmtId="0" fontId="61" fillId="0" borderId="73" xfId="0" applyFont="1" applyBorder="1" applyAlignment="1">
      <alignment horizontal="center" wrapText="1"/>
    </xf>
    <xf numFmtId="0" fontId="61" fillId="0" borderId="72" xfId="0" applyFont="1" applyFill="1" applyBorder="1" applyAlignment="1">
      <alignment horizontal="center" vertical="center" wrapText="1"/>
    </xf>
    <xf numFmtId="0" fontId="61" fillId="0" borderId="59" xfId="0" applyFont="1" applyBorder="1" applyAlignment="1">
      <alignment horizontal="center" vertical="center" wrapText="1"/>
    </xf>
    <xf numFmtId="0" fontId="61" fillId="0" borderId="72" xfId="0" applyFont="1" applyBorder="1" applyAlignment="1">
      <alignment horizontal="center" vertical="center" wrapText="1"/>
    </xf>
    <xf numFmtId="0" fontId="61" fillId="0" borderId="72" xfId="0" quotePrefix="1" applyFont="1" applyBorder="1" applyAlignment="1">
      <alignment horizontal="center" vertical="center" wrapText="1"/>
    </xf>
    <xf numFmtId="3" fontId="93" fillId="0" borderId="77" xfId="4" applyNumberFormat="1" applyFont="1" applyBorder="1" applyAlignment="1">
      <alignment horizontal="center"/>
    </xf>
    <xf numFmtId="3" fontId="93" fillId="0" borderId="87" xfId="4" applyNumberFormat="1" applyFont="1" applyBorder="1" applyAlignment="1">
      <alignment horizontal="center"/>
    </xf>
    <xf numFmtId="0" fontId="93" fillId="0" borderId="77" xfId="4" applyFont="1" applyBorder="1" applyAlignment="1">
      <alignment horizontal="center"/>
    </xf>
    <xf numFmtId="0" fontId="93" fillId="0" borderId="87" xfId="4" applyFont="1" applyBorder="1" applyAlignment="1">
      <alignment horizontal="center"/>
    </xf>
    <xf numFmtId="0" fontId="93" fillId="0" borderId="175" xfId="4" applyFont="1" applyBorder="1" applyAlignment="1"/>
    <xf numFmtId="187" fontId="93" fillId="0" borderId="77" xfId="1" applyNumberFormat="1" applyFont="1" applyBorder="1" applyAlignment="1">
      <alignment horizontal="center"/>
    </xf>
    <xf numFmtId="187" fontId="93" fillId="0" borderId="87" xfId="1" applyNumberFormat="1" applyFont="1" applyBorder="1" applyAlignment="1">
      <alignment horizontal="center"/>
    </xf>
    <xf numFmtId="187" fontId="93" fillId="28" borderId="77" xfId="1" applyNumberFormat="1" applyFont="1" applyFill="1" applyBorder="1" applyAlignment="1">
      <alignment horizontal="center"/>
    </xf>
    <xf numFmtId="187" fontId="93" fillId="28" borderId="59" xfId="1" applyNumberFormat="1" applyFont="1" applyFill="1" applyBorder="1" applyAlignment="1">
      <alignment horizontal="center"/>
    </xf>
    <xf numFmtId="187" fontId="93" fillId="28" borderId="87" xfId="1" applyNumberFormat="1" applyFont="1" applyFill="1" applyBorder="1" applyAlignment="1">
      <alignment horizontal="center"/>
    </xf>
    <xf numFmtId="187" fontId="93" fillId="43" borderId="77" xfId="1" applyNumberFormat="1" applyFont="1" applyFill="1" applyBorder="1" applyAlignment="1">
      <alignment horizontal="center"/>
    </xf>
    <xf numFmtId="187" fontId="93" fillId="43" borderId="87" xfId="1" applyNumberFormat="1" applyFont="1" applyFill="1" applyBorder="1" applyAlignment="1">
      <alignment horizontal="center"/>
    </xf>
    <xf numFmtId="3" fontId="93" fillId="28" borderId="77" xfId="4" applyNumberFormat="1" applyFont="1" applyFill="1" applyBorder="1" applyAlignment="1">
      <alignment horizontal="center"/>
    </xf>
    <xf numFmtId="3" fontId="93" fillId="28" borderId="87" xfId="4" applyNumberFormat="1" applyFont="1" applyFill="1" applyBorder="1" applyAlignment="1">
      <alignment horizontal="center"/>
    </xf>
    <xf numFmtId="0" fontId="101" fillId="0" borderId="72" xfId="4" applyFont="1" applyBorder="1" applyAlignment="1">
      <alignment horizontal="center"/>
    </xf>
    <xf numFmtId="0" fontId="101" fillId="0" borderId="77" xfId="4" applyFont="1" applyBorder="1" applyAlignment="1">
      <alignment horizontal="center"/>
    </xf>
    <xf numFmtId="0" fontId="101" fillId="0" borderId="87" xfId="4" applyFont="1" applyBorder="1" applyAlignment="1">
      <alignment horizontal="center"/>
    </xf>
    <xf numFmtId="0" fontId="104" fillId="0" borderId="204" xfId="4" applyFont="1" applyBorder="1" applyAlignment="1">
      <alignment horizontal="center" wrapText="1"/>
    </xf>
    <xf numFmtId="0" fontId="104" fillId="0" borderId="205" xfId="4" applyFont="1" applyBorder="1" applyAlignment="1">
      <alignment horizontal="center" wrapText="1"/>
    </xf>
    <xf numFmtId="0" fontId="104" fillId="0" borderId="76" xfId="4" applyFont="1" applyBorder="1" applyAlignment="1">
      <alignment horizontal="center" wrapText="1"/>
    </xf>
    <xf numFmtId="0" fontId="104" fillId="0" borderId="208" xfId="4" applyFont="1" applyBorder="1" applyAlignment="1">
      <alignment horizontal="center" wrapText="1"/>
    </xf>
    <xf numFmtId="3" fontId="93" fillId="0" borderId="59" xfId="4" applyNumberFormat="1" applyFont="1" applyBorder="1" applyAlignment="1">
      <alignment horizontal="center"/>
    </xf>
    <xf numFmtId="0" fontId="105" fillId="0" borderId="0" xfId="4" applyFont="1" applyBorder="1" applyAlignment="1">
      <alignment horizontal="left" vertical="center" wrapText="1"/>
    </xf>
    <xf numFmtId="0" fontId="105" fillId="0" borderId="151" xfId="4" applyFont="1" applyBorder="1" applyAlignment="1">
      <alignment horizontal="left" vertical="center" wrapText="1"/>
    </xf>
    <xf numFmtId="0" fontId="105" fillId="0" borderId="175" xfId="4" applyFont="1" applyBorder="1" applyAlignment="1">
      <alignment horizontal="left" vertical="center" wrapText="1"/>
    </xf>
    <xf numFmtId="0" fontId="105" fillId="0" borderId="292" xfId="4" applyFont="1" applyBorder="1" applyAlignment="1">
      <alignment horizontal="left" vertical="center" wrapText="1"/>
    </xf>
    <xf numFmtId="187" fontId="101" fillId="0" borderId="77" xfId="1" applyNumberFormat="1" applyFont="1" applyBorder="1" applyAlignment="1">
      <alignment horizontal="center"/>
    </xf>
    <xf numFmtId="187" fontId="101" fillId="0" borderId="87" xfId="1" applyNumberFormat="1" applyFont="1" applyBorder="1" applyAlignment="1">
      <alignment horizontal="center"/>
    </xf>
    <xf numFmtId="0" fontId="104" fillId="0" borderId="77" xfId="4" applyFont="1" applyBorder="1" applyAlignment="1">
      <alignment horizontal="center"/>
    </xf>
    <xf numFmtId="0" fontId="104" fillId="0" borderId="87" xfId="4" applyFont="1" applyBorder="1" applyAlignment="1">
      <alignment horizontal="center"/>
    </xf>
    <xf numFmtId="187" fontId="93" fillId="0" borderId="77" xfId="4" applyNumberFormat="1" applyFont="1" applyBorder="1" applyAlignment="1">
      <alignment horizontal="center"/>
    </xf>
    <xf numFmtId="0" fontId="104" fillId="0" borderId="72" xfId="4" applyFont="1" applyBorder="1" applyAlignment="1">
      <alignment horizontal="center" vertical="center" wrapText="1"/>
    </xf>
  </cellXfs>
  <cellStyles count="7">
    <cellStyle name="Comma" xfId="1" builtinId="3"/>
    <cellStyle name="Normal" xfId="0" builtinId="0"/>
    <cellStyle name="Normal 2" xfId="2"/>
    <cellStyle name="Normal 3" xfId="3"/>
    <cellStyle name="Normal_ENERGY_MONTHLY_REPORT UPDATE (2)" xfId="4"/>
    <cellStyle name="Normal_PR07PSRP" xfId="5"/>
    <cellStyle name="Percent" xfId="6" builtinI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Blower</a:t>
            </a:r>
            <a:r>
              <a:rPr lang="en-US"/>
              <a:t> Energy</a:t>
            </a:r>
          </a:p>
        </c:rich>
      </c:tx>
      <c:overlay val="0"/>
    </c:title>
    <c:autoTitleDeleted val="0"/>
    <c:plotArea>
      <c:layout>
        <c:manualLayout>
          <c:layoutTarget val="inner"/>
          <c:xMode val="edge"/>
          <c:yMode val="edge"/>
          <c:x val="0.14868180847472806"/>
          <c:y val="0.23076923076923347"/>
          <c:w val="0.81401836700998054"/>
          <c:h val="0.5629130968568653"/>
        </c:manualLayout>
      </c:layout>
      <c:lineChart>
        <c:grouping val="standard"/>
        <c:varyColors val="0"/>
        <c:ser>
          <c:idx val="0"/>
          <c:order val="0"/>
          <c:cat>
            <c:numRef>
              <c:f>FER!$B$7:$B$11</c:f>
              <c:numCache>
                <c:formatCode>mm/dd/yy;@</c:formatCode>
                <c:ptCount val="5"/>
                <c:pt idx="0">
                  <c:v>42365</c:v>
                </c:pt>
                <c:pt idx="1">
                  <c:v>42372</c:v>
                </c:pt>
                <c:pt idx="2">
                  <c:v>42379</c:v>
                </c:pt>
                <c:pt idx="3">
                  <c:v>42386</c:v>
                </c:pt>
                <c:pt idx="4">
                  <c:v>42393</c:v>
                </c:pt>
              </c:numCache>
            </c:numRef>
          </c:cat>
          <c:val>
            <c:numRef>
              <c:f>FER!$G$7:$G$11</c:f>
              <c:numCache>
                <c:formatCode>0.0</c:formatCode>
                <c:ptCount val="5"/>
                <c:pt idx="0">
                  <c:v>58.3</c:v>
                </c:pt>
                <c:pt idx="1">
                  <c:v>58</c:v>
                </c:pt>
                <c:pt idx="2">
                  <c:v>56.4</c:v>
                </c:pt>
                <c:pt idx="3">
                  <c:v>57.8</c:v>
                </c:pt>
                <c:pt idx="4">
                  <c:v>56.8</c:v>
                </c:pt>
              </c:numCache>
            </c:numRef>
          </c:val>
          <c:smooth val="0"/>
        </c:ser>
        <c:dLbls>
          <c:showLegendKey val="0"/>
          <c:showVal val="0"/>
          <c:showCatName val="0"/>
          <c:showSerName val="0"/>
          <c:showPercent val="0"/>
          <c:showBubbleSize val="0"/>
        </c:dLbls>
        <c:marker val="1"/>
        <c:smooth val="0"/>
        <c:axId val="284040688"/>
        <c:axId val="284039904"/>
      </c:lineChart>
      <c:dateAx>
        <c:axId val="284040688"/>
        <c:scaling>
          <c:orientation val="minMax"/>
        </c:scaling>
        <c:delete val="0"/>
        <c:axPos val="b"/>
        <c:numFmt formatCode="mm/dd/yy;@" sourceLinked="0"/>
        <c:majorTickMark val="out"/>
        <c:minorTickMark val="none"/>
        <c:tickLblPos val="nextTo"/>
        <c:txPr>
          <a:bodyPr rot="0"/>
          <a:lstStyle/>
          <a:p>
            <a:pPr>
              <a:defRPr/>
            </a:pPr>
            <a:endParaRPr lang="en-US"/>
          </a:p>
        </c:txPr>
        <c:crossAx val="284039904"/>
        <c:crosses val="autoZero"/>
        <c:auto val="1"/>
        <c:lblOffset val="100"/>
        <c:baseTimeUnit val="days"/>
        <c:majorUnit val="7"/>
        <c:majorTimeUnit val="days"/>
        <c:minorUnit val="7"/>
        <c:minorTimeUnit val="days"/>
      </c:dateAx>
      <c:valAx>
        <c:axId val="284039904"/>
        <c:scaling>
          <c:orientation val="minMax"/>
        </c:scaling>
        <c:delete val="0"/>
        <c:axPos val="l"/>
        <c:majorGridlines/>
        <c:title>
          <c:tx>
            <c:rich>
              <a:bodyPr rot="-5400000" vert="horz"/>
              <a:lstStyle/>
              <a:p>
                <a:pPr>
                  <a:defRPr/>
                </a:pPr>
                <a:r>
                  <a:rPr lang="en-US"/>
                  <a:t>(kWh/d</a:t>
                </a:r>
              </a:p>
              <a:p>
                <a:pPr>
                  <a:defRPr/>
                </a:pPr>
                <a:endParaRPr lang="en-US"/>
              </a:p>
            </c:rich>
          </c:tx>
          <c:overlay val="0"/>
        </c:title>
        <c:numFmt formatCode="0" sourceLinked="0"/>
        <c:majorTickMark val="out"/>
        <c:minorTickMark val="none"/>
        <c:tickLblPos val="nextTo"/>
        <c:crossAx val="284040688"/>
        <c:crosses val="autoZero"/>
        <c:crossBetween val="between"/>
        <c:majorUnit val="20"/>
      </c:valAx>
    </c:plotArea>
    <c:plotVisOnly val="1"/>
    <c:dispBlanksAs val="gap"/>
    <c:showDLblsOverMax val="0"/>
  </c:chart>
  <c:printSettings>
    <c:headerFooter/>
    <c:pageMargins b="0.75000000000000544" l="0.70000000000000062" r="0.70000000000000062" t="0.75000000000000544"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BOWERY BAY WASTEWATER POLLUTION CONTROL
PROCESS QUALITY CONTROL</a:t>
            </a:r>
          </a:p>
        </c:rich>
      </c:tx>
      <c:layout>
        <c:manualLayout>
          <c:xMode val="edge"/>
          <c:yMode val="edge"/>
          <c:x val="0.37075745427382939"/>
          <c:y val="2.970297029702970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5.8311624843298139E-2"/>
          <c:y val="0.26930719108447088"/>
          <c:w val="0.93037502921615711"/>
          <c:h val="0.62376297935003422"/>
        </c:manualLayout>
      </c:layout>
      <c:lineChart>
        <c:grouping val="standard"/>
        <c:varyColors val="0"/>
        <c:ser>
          <c:idx val="0"/>
          <c:order val="0"/>
          <c:tx>
            <c:v>DAILY FLOW</c:v>
          </c:tx>
          <c:spPr>
            <a:ln w="25400">
              <a:solidFill>
                <a:srgbClr val="808000"/>
              </a:solidFill>
              <a:prstDash val="solid"/>
            </a:ln>
          </c:spPr>
          <c:marker>
            <c:symbol val="circle"/>
            <c:size val="5"/>
            <c:spPr>
              <a:noFill/>
              <a:ln>
                <a:solidFill>
                  <a:srgbClr val="808000"/>
                </a:solidFill>
                <a:prstDash val="solid"/>
              </a:ln>
            </c:spPr>
          </c:marker>
          <c:val>
            <c:numRef>
              <c:f>AT_!$CF$11:$CF$41</c:f>
              <c:numCache>
                <c:formatCode>0</c:formatCode>
                <c:ptCount val="31"/>
                <c:pt idx="0">
                  <c:v>87</c:v>
                </c:pt>
                <c:pt idx="1">
                  <c:v>91</c:v>
                </c:pt>
                <c:pt idx="2">
                  <c:v>93</c:v>
                </c:pt>
                <c:pt idx="3">
                  <c:v>86</c:v>
                </c:pt>
                <c:pt idx="4">
                  <c:v>87</c:v>
                </c:pt>
                <c:pt idx="5">
                  <c:v>88</c:v>
                </c:pt>
                <c:pt idx="6">
                  <c:v>91</c:v>
                </c:pt>
                <c:pt idx="7">
                  <c:v>87</c:v>
                </c:pt>
                <c:pt idx="8">
                  <c:v>115</c:v>
                </c:pt>
                <c:pt idx="9">
                  <c:v>172</c:v>
                </c:pt>
                <c:pt idx="10">
                  <c:v>96</c:v>
                </c:pt>
                <c:pt idx="11">
                  <c:v>94</c:v>
                </c:pt>
                <c:pt idx="12">
                  <c:v>90</c:v>
                </c:pt>
                <c:pt idx="13">
                  <c:v>87</c:v>
                </c:pt>
                <c:pt idx="14">
                  <c:v>116</c:v>
                </c:pt>
                <c:pt idx="15">
                  <c:v>110</c:v>
                </c:pt>
                <c:pt idx="16">
                  <c:v>96</c:v>
                </c:pt>
                <c:pt idx="17">
                  <c:v>93</c:v>
                </c:pt>
                <c:pt idx="18">
                  <c:v>89</c:v>
                </c:pt>
                <c:pt idx="19">
                  <c:v>87</c:v>
                </c:pt>
                <c:pt idx="20">
                  <c:v>87</c:v>
                </c:pt>
                <c:pt idx="21">
                  <c:v>89</c:v>
                </c:pt>
                <c:pt idx="22">
                  <c:v>124</c:v>
                </c:pt>
                <c:pt idx="23">
                  <c:v>120</c:v>
                </c:pt>
                <c:pt idx="24">
                  <c:v>106</c:v>
                </c:pt>
                <c:pt idx="25">
                  <c:v>161</c:v>
                </c:pt>
                <c:pt idx="26">
                  <c:v>140</c:v>
                </c:pt>
                <c:pt idx="27">
                  <c:v>107</c:v>
                </c:pt>
                <c:pt idx="28">
                  <c:v>101</c:v>
                </c:pt>
                <c:pt idx="29">
                  <c:v>100</c:v>
                </c:pt>
                <c:pt idx="30">
                  <c:v>113</c:v>
                </c:pt>
              </c:numCache>
            </c:numRef>
          </c:val>
          <c:smooth val="0"/>
        </c:ser>
        <c:ser>
          <c:idx val="1"/>
          <c:order val="1"/>
          <c:tx>
            <c:v>DRY FLOW</c:v>
          </c:tx>
          <c:spPr>
            <a:ln w="25400">
              <a:solidFill>
                <a:srgbClr val="000000"/>
              </a:solidFill>
              <a:prstDash val="solid"/>
            </a:ln>
          </c:spPr>
          <c:marker>
            <c:symbol val="star"/>
            <c:size val="5"/>
            <c:spPr>
              <a:noFill/>
              <a:ln>
                <a:solidFill>
                  <a:srgbClr val="000000"/>
                </a:solidFill>
                <a:prstDash val="solid"/>
              </a:ln>
            </c:spPr>
          </c:marker>
          <c:val>
            <c:numRef>
              <c:f>AT_!$CG$11:$CG$41</c:f>
              <c:numCache>
                <c:formatCode>0</c:formatCode>
                <c:ptCount val="31"/>
                <c:pt idx="0">
                  <c:v>87</c:v>
                </c:pt>
                <c:pt idx="1">
                  <c:v>91</c:v>
                </c:pt>
                <c:pt idx="2">
                  <c:v>93</c:v>
                </c:pt>
                <c:pt idx="3">
                  <c:v>86</c:v>
                </c:pt>
                <c:pt idx="4">
                  <c:v>87</c:v>
                </c:pt>
                <c:pt idx="5">
                  <c:v>88</c:v>
                </c:pt>
                <c:pt idx="6">
                  <c:v>91</c:v>
                </c:pt>
                <c:pt idx="7">
                  <c:v>87</c:v>
                </c:pt>
                <c:pt idx="8">
                  <c:v>104</c:v>
                </c:pt>
                <c:pt idx="9">
                  <c:v>96</c:v>
                </c:pt>
                <c:pt idx="10">
                  <c:v>96</c:v>
                </c:pt>
                <c:pt idx="11">
                  <c:v>94</c:v>
                </c:pt>
                <c:pt idx="12">
                  <c:v>90</c:v>
                </c:pt>
                <c:pt idx="13">
                  <c:v>87</c:v>
                </c:pt>
                <c:pt idx="14">
                  <c:v>93</c:v>
                </c:pt>
                <c:pt idx="15">
                  <c:v>95</c:v>
                </c:pt>
                <c:pt idx="16">
                  <c:v>96</c:v>
                </c:pt>
                <c:pt idx="17">
                  <c:v>93</c:v>
                </c:pt>
                <c:pt idx="18">
                  <c:v>89</c:v>
                </c:pt>
                <c:pt idx="19">
                  <c:v>87</c:v>
                </c:pt>
                <c:pt idx="20">
                  <c:v>87</c:v>
                </c:pt>
                <c:pt idx="21">
                  <c:v>89</c:v>
                </c:pt>
                <c:pt idx="22">
                  <c:v>97</c:v>
                </c:pt>
                <c:pt idx="23">
                  <c:v>98</c:v>
                </c:pt>
                <c:pt idx="24">
                  <c:v>106</c:v>
                </c:pt>
                <c:pt idx="25">
                  <c:v>98</c:v>
                </c:pt>
                <c:pt idx="26">
                  <c:v>95</c:v>
                </c:pt>
                <c:pt idx="27">
                  <c:v>98</c:v>
                </c:pt>
                <c:pt idx="28">
                  <c:v>101</c:v>
                </c:pt>
                <c:pt idx="29">
                  <c:v>100</c:v>
                </c:pt>
                <c:pt idx="30">
                  <c:v>96</c:v>
                </c:pt>
              </c:numCache>
            </c:numRef>
          </c:val>
          <c:smooth val="0"/>
        </c:ser>
        <c:dLbls>
          <c:showLegendKey val="0"/>
          <c:showVal val="0"/>
          <c:showCatName val="0"/>
          <c:showSerName val="0"/>
          <c:showPercent val="0"/>
          <c:showBubbleSize val="0"/>
        </c:dLbls>
        <c:marker val="1"/>
        <c:smooth val="0"/>
        <c:axId val="326939440"/>
        <c:axId val="326939832"/>
      </c:lineChart>
      <c:catAx>
        <c:axId val="326939440"/>
        <c:scaling>
          <c:orientation val="minMax"/>
        </c:scaling>
        <c:delete val="0"/>
        <c:axPos val="b"/>
        <c:majorGridlines>
          <c:spPr>
            <a:ln w="3175">
              <a:solidFill>
                <a:srgbClr val="000000"/>
              </a:solidFill>
              <a:prstDash val="solid"/>
            </a:ln>
          </c:spPr>
        </c:majorGridlines>
        <c:title>
          <c:tx>
            <c:strRef>
              <c:f>AT_!$B$11:$B$41</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tx>
          <c:layout>
            <c:manualLayout>
              <c:xMode val="edge"/>
              <c:yMode val="edge"/>
              <c:x val="0.47780715400131119"/>
              <c:y val="0.95247607910397336"/>
            </c:manualLayout>
          </c:layout>
          <c:overlay val="0"/>
          <c:spPr>
            <a:noFill/>
            <a:ln w="25400">
              <a:noFill/>
            </a:ln>
          </c:spPr>
          <c:txPr>
            <a:bodyPr/>
            <a:lstStyle/>
            <a:p>
              <a:pPr>
                <a:defRPr sz="100" b="0" i="0" u="none" strike="noStrike" baseline="0">
                  <a:solidFill>
                    <a:srgbClr val="FFFFFF"/>
                  </a:solidFill>
                  <a:latin typeface="Arial"/>
                  <a:ea typeface="Arial"/>
                  <a:cs typeface="Arial"/>
                </a:defRPr>
              </a:pPr>
              <a:endParaRPr lang="en-US"/>
            </a:p>
          </c:txPr>
        </c:title>
        <c:numFmt formatCode="General" sourceLinked="1"/>
        <c:majorTickMark val="in"/>
        <c:minorTickMark val="in"/>
        <c:tickLblPos val="low"/>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326939832"/>
        <c:crossesAt val="0"/>
        <c:auto val="0"/>
        <c:lblAlgn val="ctr"/>
        <c:lblOffset val="100"/>
        <c:tickLblSkip val="1"/>
        <c:tickMarkSkip val="1"/>
        <c:noMultiLvlLbl val="0"/>
      </c:catAx>
      <c:valAx>
        <c:axId val="326939832"/>
        <c:scaling>
          <c:orientation val="minMax"/>
          <c:min val="50"/>
        </c:scaling>
        <c:delete val="0"/>
        <c:axPos val="l"/>
        <c:majorGridlines>
          <c:spPr>
            <a:ln w="3175">
              <a:solidFill>
                <a:srgbClr val="000000"/>
              </a:solidFill>
              <a:prstDash val="solid"/>
            </a:ln>
          </c:spPr>
        </c:majorGridlines>
        <c:minorGridlines>
          <c:spPr>
            <a:ln w="12700">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PLANT FLOW  (MGD)</a:t>
                </a:r>
              </a:p>
            </c:rich>
          </c:tx>
          <c:layout>
            <c:manualLayout>
              <c:xMode val="edge"/>
              <c:yMode val="edge"/>
              <c:x val="5.2219321148825066E-3"/>
              <c:y val="0.42772318806683818"/>
            </c:manualLayout>
          </c:layout>
          <c:overlay val="0"/>
          <c:spPr>
            <a:noFill/>
            <a:ln w="25400">
              <a:noFill/>
            </a:ln>
          </c:spPr>
        </c:title>
        <c:numFmt formatCode="General" sourceLinked="0"/>
        <c:majorTickMark val="out"/>
        <c:minorTickMark val="cross"/>
        <c:tickLblPos val="low"/>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326939440"/>
        <c:crosses val="autoZero"/>
        <c:crossBetween val="between"/>
        <c:majorUnit val="50"/>
        <c:minorUnit val="10"/>
      </c:valAx>
      <c:spPr>
        <a:solidFill>
          <a:srgbClr val="CCFFFF"/>
        </a:solidFill>
        <a:ln w="12700">
          <a:solidFill>
            <a:srgbClr val="000000"/>
          </a:solidFill>
          <a:prstDash val="solid"/>
        </a:ln>
      </c:spPr>
    </c:plotArea>
    <c:legend>
      <c:legendPos val="r"/>
      <c:layout>
        <c:manualLayout>
          <c:xMode val="edge"/>
          <c:yMode val="edge"/>
          <c:x val="0.82419568311141256"/>
          <c:y val="0.83564439593565654"/>
          <c:w val="9.4865191459422626E-2"/>
          <c:h val="8.1188118811881149E-2"/>
        </c:manualLayout>
      </c:layout>
      <c:overlay val="0"/>
      <c:spPr>
        <a:pattFill prst="pct5">
          <a:fgClr>
            <a:srgbClr val="CCFFCC"/>
          </a:fgClr>
          <a:bgClr>
            <a:srgbClr val="FF8080"/>
          </a:bgClr>
        </a:pattFill>
        <a:ln w="3175">
          <a:solidFill>
            <a:srgbClr val="000000"/>
          </a:solidFill>
          <a:prstDash val="solid"/>
        </a:ln>
      </c:spPr>
      <c:txPr>
        <a:bodyPr/>
        <a:lstStyle/>
        <a:p>
          <a:pPr>
            <a:defRPr sz="755" b="1" i="0" u="none" strike="noStrike" baseline="0">
              <a:solidFill>
                <a:srgbClr val="000000"/>
              </a:solidFill>
              <a:latin typeface="Arial"/>
              <a:ea typeface="Arial"/>
              <a:cs typeface="Arial"/>
            </a:defRPr>
          </a:pPr>
          <a:endParaRPr lang="en-US"/>
        </a:p>
      </c:txPr>
    </c:legend>
    <c:plotVisOnly val="0"/>
    <c:dispBlanksAs val="gap"/>
    <c:showDLblsOverMax val="0"/>
  </c:chart>
  <c:spPr>
    <a:pattFill prst="weave">
      <a:fgClr>
        <a:srgbClr val="CCFFCC"/>
      </a:fgClr>
      <a:bgClr>
        <a:srgbClr val="FFFFCC"/>
      </a:bgClr>
    </a:pattFill>
    <a:ln w="12700">
      <a:solidFill>
        <a:srgbClr val="0000FF"/>
      </a:solidFill>
      <a:prstDash val="solid"/>
    </a:ln>
  </c:spPr>
  <c:txPr>
    <a:bodyPr/>
    <a:lstStyle/>
    <a:p>
      <a:pPr>
        <a:defRPr sz="900" b="1" i="0" u="none" strike="noStrike" baseline="0">
          <a:solidFill>
            <a:srgbClr val="000000"/>
          </a:solidFill>
          <a:latin typeface="Arial"/>
          <a:ea typeface="Arial"/>
          <a:cs typeface="Arial"/>
        </a:defRPr>
      </a:pPr>
      <a:endParaRPr lang="en-US"/>
    </a:p>
  </c:txPr>
  <c:printSettings>
    <c:headerFooter alignWithMargins="0"/>
    <c:pageMargins b="1" l="0.75000000000001299" r="0.7500000000000129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BOWERY BAY WASTEWATER POLLUTION CONTROL
PROCESS QUALITY CONTROL</a:t>
            </a:r>
          </a:p>
        </c:rich>
      </c:tx>
      <c:layout>
        <c:manualLayout>
          <c:xMode val="edge"/>
          <c:yMode val="edge"/>
          <c:x val="0.32616509572769992"/>
          <c:y val="2.7777812633978521E-2"/>
        </c:manualLayout>
      </c:layout>
      <c:overlay val="0"/>
    </c:title>
    <c:autoTitleDeleted val="0"/>
    <c:plotArea>
      <c:layout>
        <c:manualLayout>
          <c:layoutTarget val="inner"/>
          <c:xMode val="edge"/>
          <c:yMode val="edge"/>
          <c:x val="8.3062537287865293E-2"/>
          <c:y val="0.19178526553861619"/>
          <c:w val="0.90349752792528826"/>
          <c:h val="0.66279129669961467"/>
        </c:manualLayout>
      </c:layout>
      <c:lineChart>
        <c:grouping val="standard"/>
        <c:varyColors val="0"/>
        <c:ser>
          <c:idx val="0"/>
          <c:order val="0"/>
          <c:tx>
            <c:strRef>
              <c:f>DMREZ!$G$9</c:f>
              <c:strCache>
                <c:ptCount val="1"/>
                <c:pt idx="0">
                  <c:v>Daily Average</c:v>
                </c:pt>
              </c:strCache>
            </c:strRef>
          </c:tx>
          <c:val>
            <c:numRef>
              <c:f>DMREZ!$G$11:$G$41</c:f>
              <c:numCache>
                <c:formatCode>0</c:formatCode>
                <c:ptCount val="31"/>
                <c:pt idx="0">
                  <c:v>87</c:v>
                </c:pt>
                <c:pt idx="1">
                  <c:v>91</c:v>
                </c:pt>
                <c:pt idx="2">
                  <c:v>93</c:v>
                </c:pt>
                <c:pt idx="3">
                  <c:v>86</c:v>
                </c:pt>
                <c:pt idx="4">
                  <c:v>87</c:v>
                </c:pt>
                <c:pt idx="5">
                  <c:v>88</c:v>
                </c:pt>
                <c:pt idx="6">
                  <c:v>91</c:v>
                </c:pt>
                <c:pt idx="7">
                  <c:v>87</c:v>
                </c:pt>
                <c:pt idx="8">
                  <c:v>115</c:v>
                </c:pt>
                <c:pt idx="9">
                  <c:v>172</c:v>
                </c:pt>
                <c:pt idx="10">
                  <c:v>96</c:v>
                </c:pt>
                <c:pt idx="11">
                  <c:v>94</c:v>
                </c:pt>
                <c:pt idx="12">
                  <c:v>90</c:v>
                </c:pt>
                <c:pt idx="13">
                  <c:v>87</c:v>
                </c:pt>
                <c:pt idx="14">
                  <c:v>116</c:v>
                </c:pt>
                <c:pt idx="15">
                  <c:v>110</c:v>
                </c:pt>
                <c:pt idx="16">
                  <c:v>96</c:v>
                </c:pt>
                <c:pt idx="17">
                  <c:v>93</c:v>
                </c:pt>
                <c:pt idx="18">
                  <c:v>89</c:v>
                </c:pt>
                <c:pt idx="19">
                  <c:v>87</c:v>
                </c:pt>
                <c:pt idx="20">
                  <c:v>87</c:v>
                </c:pt>
                <c:pt idx="21">
                  <c:v>89</c:v>
                </c:pt>
                <c:pt idx="22">
                  <c:v>124</c:v>
                </c:pt>
                <c:pt idx="23">
                  <c:v>120</c:v>
                </c:pt>
                <c:pt idx="24">
                  <c:v>106</c:v>
                </c:pt>
                <c:pt idx="25">
                  <c:v>161</c:v>
                </c:pt>
                <c:pt idx="26">
                  <c:v>140</c:v>
                </c:pt>
                <c:pt idx="27">
                  <c:v>107</c:v>
                </c:pt>
                <c:pt idx="28">
                  <c:v>101</c:v>
                </c:pt>
                <c:pt idx="29">
                  <c:v>100</c:v>
                </c:pt>
                <c:pt idx="30">
                  <c:v>113</c:v>
                </c:pt>
              </c:numCache>
            </c:numRef>
          </c:val>
          <c:smooth val="0"/>
        </c:ser>
        <c:ser>
          <c:idx val="1"/>
          <c:order val="1"/>
          <c:tx>
            <c:strRef>
              <c:f>DMREZ!$E$9</c:f>
              <c:strCache>
                <c:ptCount val="1"/>
                <c:pt idx="0">
                  <c:v>Dry Flow</c:v>
                </c:pt>
              </c:strCache>
            </c:strRef>
          </c:tx>
          <c:val>
            <c:numRef>
              <c:f>DMREZ!$E$11:$E$41</c:f>
              <c:numCache>
                <c:formatCode>0</c:formatCode>
                <c:ptCount val="31"/>
                <c:pt idx="0">
                  <c:v>87</c:v>
                </c:pt>
                <c:pt idx="1">
                  <c:v>91</c:v>
                </c:pt>
                <c:pt idx="2">
                  <c:v>93</c:v>
                </c:pt>
                <c:pt idx="3">
                  <c:v>86</c:v>
                </c:pt>
                <c:pt idx="4">
                  <c:v>87</c:v>
                </c:pt>
                <c:pt idx="5">
                  <c:v>88</c:v>
                </c:pt>
                <c:pt idx="6">
                  <c:v>91</c:v>
                </c:pt>
                <c:pt idx="7">
                  <c:v>87</c:v>
                </c:pt>
                <c:pt idx="8">
                  <c:v>104</c:v>
                </c:pt>
                <c:pt idx="9">
                  <c:v>96</c:v>
                </c:pt>
                <c:pt idx="10">
                  <c:v>96</c:v>
                </c:pt>
                <c:pt idx="11">
                  <c:v>94</c:v>
                </c:pt>
                <c:pt idx="12">
                  <c:v>90</c:v>
                </c:pt>
                <c:pt idx="13">
                  <c:v>87</c:v>
                </c:pt>
                <c:pt idx="14">
                  <c:v>93</c:v>
                </c:pt>
                <c:pt idx="15">
                  <c:v>95</c:v>
                </c:pt>
                <c:pt idx="16">
                  <c:v>96</c:v>
                </c:pt>
                <c:pt idx="17">
                  <c:v>93</c:v>
                </c:pt>
                <c:pt idx="18">
                  <c:v>89</c:v>
                </c:pt>
                <c:pt idx="19">
                  <c:v>87</c:v>
                </c:pt>
                <c:pt idx="20">
                  <c:v>87</c:v>
                </c:pt>
                <c:pt idx="21">
                  <c:v>89</c:v>
                </c:pt>
                <c:pt idx="22">
                  <c:v>97</c:v>
                </c:pt>
                <c:pt idx="23">
                  <c:v>98</c:v>
                </c:pt>
                <c:pt idx="24">
                  <c:v>106</c:v>
                </c:pt>
                <c:pt idx="25">
                  <c:v>98</c:v>
                </c:pt>
                <c:pt idx="26">
                  <c:v>95</c:v>
                </c:pt>
                <c:pt idx="27">
                  <c:v>98</c:v>
                </c:pt>
                <c:pt idx="28">
                  <c:v>101</c:v>
                </c:pt>
                <c:pt idx="29">
                  <c:v>100</c:v>
                </c:pt>
                <c:pt idx="30">
                  <c:v>96</c:v>
                </c:pt>
              </c:numCache>
            </c:numRef>
          </c:val>
          <c:smooth val="0"/>
        </c:ser>
        <c:dLbls>
          <c:showLegendKey val="0"/>
          <c:showVal val="0"/>
          <c:showCatName val="0"/>
          <c:showSerName val="0"/>
          <c:showPercent val="0"/>
          <c:showBubbleSize val="0"/>
        </c:dLbls>
        <c:marker val="1"/>
        <c:smooth val="0"/>
        <c:axId val="326940224"/>
        <c:axId val="326940616"/>
      </c:lineChart>
      <c:catAx>
        <c:axId val="326940224"/>
        <c:scaling>
          <c:orientation val="minMax"/>
        </c:scaling>
        <c:delete val="0"/>
        <c:axPos val="b"/>
        <c:majorGridlines/>
        <c:title>
          <c:tx>
            <c:rich>
              <a:bodyPr/>
              <a:lstStyle/>
              <a:p>
                <a:pPr>
                  <a:defRPr/>
                </a:pPr>
                <a:r>
                  <a:rPr lang="en-US"/>
                  <a:t>Time</a:t>
                </a:r>
              </a:p>
            </c:rich>
          </c:tx>
          <c:layout>
            <c:manualLayout>
              <c:xMode val="edge"/>
              <c:yMode val="edge"/>
              <c:x val="0.51254521837091993"/>
              <c:y val="0.91176626826029206"/>
            </c:manualLayout>
          </c:layout>
          <c:overlay val="0"/>
        </c:title>
        <c:numFmt formatCode="General" sourceLinked="0"/>
        <c:majorTickMark val="out"/>
        <c:minorTickMark val="in"/>
        <c:tickLblPos val="nextTo"/>
        <c:txPr>
          <a:bodyPr rot="0" vert="horz"/>
          <a:lstStyle/>
          <a:p>
            <a:pPr>
              <a:defRPr/>
            </a:pPr>
            <a:endParaRPr lang="en-US"/>
          </a:p>
        </c:txPr>
        <c:crossAx val="326940616"/>
        <c:crossesAt val="0"/>
        <c:auto val="0"/>
        <c:lblAlgn val="ctr"/>
        <c:lblOffset val="100"/>
        <c:tickLblSkip val="1"/>
        <c:tickMarkSkip val="1"/>
        <c:noMultiLvlLbl val="0"/>
      </c:catAx>
      <c:valAx>
        <c:axId val="326940616"/>
        <c:scaling>
          <c:orientation val="minMax"/>
          <c:min val="40"/>
        </c:scaling>
        <c:delete val="0"/>
        <c:axPos val="l"/>
        <c:majorGridlines/>
        <c:minorGridlines/>
        <c:title>
          <c:tx>
            <c:rich>
              <a:bodyPr/>
              <a:lstStyle/>
              <a:p>
                <a:pPr>
                  <a:defRPr/>
                </a:pPr>
                <a:r>
                  <a:rPr lang="en-US"/>
                  <a:t>PLANT FLOW  (MGD)</a:t>
                </a:r>
              </a:p>
            </c:rich>
          </c:tx>
          <c:layout>
            <c:manualLayout>
              <c:xMode val="edge"/>
              <c:yMode val="edge"/>
              <c:x val="2.2401441042972686E-2"/>
              <c:y val="0.39869351988371976"/>
            </c:manualLayout>
          </c:layout>
          <c:overlay val="0"/>
        </c:title>
        <c:numFmt formatCode="General" sourceLinked="0"/>
        <c:majorTickMark val="out"/>
        <c:minorTickMark val="cross"/>
        <c:tickLblPos val="nextTo"/>
        <c:txPr>
          <a:bodyPr rot="0" vert="horz"/>
          <a:lstStyle/>
          <a:p>
            <a:pPr>
              <a:defRPr/>
            </a:pPr>
            <a:endParaRPr lang="en-US"/>
          </a:p>
        </c:txPr>
        <c:crossAx val="326940224"/>
        <c:crosses val="autoZero"/>
        <c:crossBetween val="between"/>
        <c:majorUnit val="10"/>
        <c:minorUnit val="10"/>
      </c:valAx>
    </c:plotArea>
    <c:legend>
      <c:legendPos val="r"/>
      <c:layout>
        <c:manualLayout>
          <c:xMode val="edge"/>
          <c:yMode val="edge"/>
          <c:x val="0.79984650276586322"/>
          <c:y val="0.20767324403174703"/>
          <c:w val="0.17462111686775283"/>
          <c:h val="0.10804801790214469"/>
        </c:manualLayout>
      </c:layout>
      <c:overlay val="0"/>
      <c:spPr>
        <a:noFill/>
      </c:spPr>
    </c:legend>
    <c:plotVisOnly val="0"/>
    <c:dispBlanksAs val="gap"/>
    <c:showDLblsOverMax val="0"/>
  </c:chart>
  <c:printSettings>
    <c:headerFooter alignWithMargins="0"/>
    <c:pageMargins b="1" l="0.75000000000001299" r="0.75000000000001299"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Hourly Flow </a:t>
            </a:r>
          </a:p>
        </c:rich>
      </c:tx>
      <c:overlay val="0"/>
    </c:title>
    <c:autoTitleDeleted val="0"/>
    <c:plotArea>
      <c:layout>
        <c:manualLayout>
          <c:layoutTarget val="inner"/>
          <c:xMode val="edge"/>
          <c:yMode val="edge"/>
          <c:x val="6.2410602262161177E-2"/>
          <c:y val="9.5630816034359342E-2"/>
          <c:w val="0.86188811600343684"/>
          <c:h val="0.78606997136721546"/>
        </c:manualLayout>
      </c:layout>
      <c:lineChart>
        <c:grouping val="standard"/>
        <c:varyColors val="0"/>
        <c:ser>
          <c:idx val="0"/>
          <c:order val="0"/>
          <c:tx>
            <c:v>dry flow</c:v>
          </c:tx>
          <c:cat>
            <c:strRef>
              <c:f>DF_!$C$54:$Z$54</c:f>
              <c:strCache>
                <c:ptCount val="24"/>
                <c:pt idx="0">
                  <c:v>7:00</c:v>
                </c:pt>
                <c:pt idx="1">
                  <c:v>8:00</c:v>
                </c:pt>
                <c:pt idx="2">
                  <c:v>9:00</c:v>
                </c:pt>
                <c:pt idx="3">
                  <c:v>10:00</c:v>
                </c:pt>
                <c:pt idx="4">
                  <c:v>11:00</c:v>
                </c:pt>
                <c:pt idx="5">
                  <c:v>12:00</c:v>
                </c:pt>
                <c:pt idx="6">
                  <c:v>1:00</c:v>
                </c:pt>
                <c:pt idx="7">
                  <c:v>2:00</c:v>
                </c:pt>
                <c:pt idx="8">
                  <c:v>3:00</c:v>
                </c:pt>
                <c:pt idx="9">
                  <c:v>4:00</c:v>
                </c:pt>
                <c:pt idx="10">
                  <c:v>5:00</c:v>
                </c:pt>
                <c:pt idx="11">
                  <c:v>6:00</c:v>
                </c:pt>
                <c:pt idx="12">
                  <c:v>7:00</c:v>
                </c:pt>
                <c:pt idx="13">
                  <c:v>8:00</c:v>
                </c:pt>
                <c:pt idx="14">
                  <c:v>9:00</c:v>
                </c:pt>
                <c:pt idx="15">
                  <c:v>10:00</c:v>
                </c:pt>
                <c:pt idx="16">
                  <c:v>11:00</c:v>
                </c:pt>
                <c:pt idx="17">
                  <c:v>12:00</c:v>
                </c:pt>
                <c:pt idx="18">
                  <c:v>1:00</c:v>
                </c:pt>
                <c:pt idx="19">
                  <c:v>2:00</c:v>
                </c:pt>
                <c:pt idx="20">
                  <c:v>3:00</c:v>
                </c:pt>
                <c:pt idx="21">
                  <c:v>4:00</c:v>
                </c:pt>
                <c:pt idx="22">
                  <c:v>5:00</c:v>
                </c:pt>
                <c:pt idx="23">
                  <c:v>6:00</c:v>
                </c:pt>
              </c:strCache>
            </c:strRef>
          </c:cat>
          <c:val>
            <c:numRef>
              <c:f>DF_!$C$87:$Z$87</c:f>
              <c:numCache>
                <c:formatCode>General</c:formatCode>
                <c:ptCount val="24"/>
                <c:pt idx="0">
                  <c:v>64</c:v>
                </c:pt>
                <c:pt idx="1">
                  <c:v>68</c:v>
                </c:pt>
                <c:pt idx="2">
                  <c:v>74</c:v>
                </c:pt>
                <c:pt idx="3">
                  <c:v>87</c:v>
                </c:pt>
                <c:pt idx="4">
                  <c:v>97</c:v>
                </c:pt>
                <c:pt idx="5">
                  <c:v>98</c:v>
                </c:pt>
                <c:pt idx="6">
                  <c:v>105</c:v>
                </c:pt>
                <c:pt idx="7">
                  <c:v>108</c:v>
                </c:pt>
                <c:pt idx="8">
                  <c:v>109</c:v>
                </c:pt>
                <c:pt idx="9">
                  <c:v>108</c:v>
                </c:pt>
                <c:pt idx="10">
                  <c:v>108</c:v>
                </c:pt>
                <c:pt idx="11">
                  <c:v>108</c:v>
                </c:pt>
                <c:pt idx="12">
                  <c:v>107</c:v>
                </c:pt>
                <c:pt idx="13">
                  <c:v>108</c:v>
                </c:pt>
                <c:pt idx="14">
                  <c:v>109</c:v>
                </c:pt>
                <c:pt idx="15">
                  <c:v>110</c:v>
                </c:pt>
                <c:pt idx="16">
                  <c:v>114</c:v>
                </c:pt>
                <c:pt idx="17">
                  <c:v>109</c:v>
                </c:pt>
                <c:pt idx="18">
                  <c:v>100</c:v>
                </c:pt>
                <c:pt idx="19">
                  <c:v>85</c:v>
                </c:pt>
                <c:pt idx="20">
                  <c:v>73</c:v>
                </c:pt>
                <c:pt idx="21">
                  <c:v>68</c:v>
                </c:pt>
                <c:pt idx="22">
                  <c:v>63</c:v>
                </c:pt>
                <c:pt idx="23">
                  <c:v>61</c:v>
                </c:pt>
              </c:numCache>
            </c:numRef>
          </c:val>
          <c:smooth val="0"/>
        </c:ser>
        <c:dLbls>
          <c:showLegendKey val="0"/>
          <c:showVal val="0"/>
          <c:showCatName val="0"/>
          <c:showSerName val="0"/>
          <c:showPercent val="0"/>
          <c:showBubbleSize val="0"/>
        </c:dLbls>
        <c:marker val="1"/>
        <c:smooth val="0"/>
        <c:axId val="30754928"/>
        <c:axId val="30755320"/>
      </c:lineChart>
      <c:scatterChart>
        <c:scatterStyle val="lineMarker"/>
        <c:varyColors val="0"/>
        <c:ser>
          <c:idx val="1"/>
          <c:order val="1"/>
          <c:tx>
            <c:v>daily flow</c:v>
          </c:tx>
          <c:yVal>
            <c:numRef>
              <c:f>DF_!$C$40:$Z$40</c:f>
              <c:numCache>
                <c:formatCode>General</c:formatCode>
                <c:ptCount val="24"/>
                <c:pt idx="0">
                  <c:v>75</c:v>
                </c:pt>
                <c:pt idx="1">
                  <c:v>78</c:v>
                </c:pt>
                <c:pt idx="2">
                  <c:v>83</c:v>
                </c:pt>
                <c:pt idx="3">
                  <c:v>94</c:v>
                </c:pt>
                <c:pt idx="4">
                  <c:v>105</c:v>
                </c:pt>
                <c:pt idx="5">
                  <c:v>110</c:v>
                </c:pt>
                <c:pt idx="6">
                  <c:v>117</c:v>
                </c:pt>
                <c:pt idx="7">
                  <c:v>122</c:v>
                </c:pt>
                <c:pt idx="8">
                  <c:v>125</c:v>
                </c:pt>
                <c:pt idx="9">
                  <c:v>125</c:v>
                </c:pt>
                <c:pt idx="10">
                  <c:v>124</c:v>
                </c:pt>
                <c:pt idx="11">
                  <c:v>122</c:v>
                </c:pt>
                <c:pt idx="12">
                  <c:v>121</c:v>
                </c:pt>
                <c:pt idx="13">
                  <c:v>120</c:v>
                </c:pt>
                <c:pt idx="14">
                  <c:v>120</c:v>
                </c:pt>
                <c:pt idx="15">
                  <c:v>119</c:v>
                </c:pt>
                <c:pt idx="16">
                  <c:v>117</c:v>
                </c:pt>
                <c:pt idx="17">
                  <c:v>112</c:v>
                </c:pt>
                <c:pt idx="18">
                  <c:v>103</c:v>
                </c:pt>
                <c:pt idx="19">
                  <c:v>87</c:v>
                </c:pt>
                <c:pt idx="20">
                  <c:v>78</c:v>
                </c:pt>
                <c:pt idx="21">
                  <c:v>75</c:v>
                </c:pt>
                <c:pt idx="22">
                  <c:v>74</c:v>
                </c:pt>
                <c:pt idx="23">
                  <c:v>73</c:v>
                </c:pt>
              </c:numCache>
            </c:numRef>
          </c:yVal>
          <c:smooth val="0"/>
        </c:ser>
        <c:dLbls>
          <c:showLegendKey val="0"/>
          <c:showVal val="0"/>
          <c:showCatName val="0"/>
          <c:showSerName val="0"/>
          <c:showPercent val="0"/>
          <c:showBubbleSize val="0"/>
        </c:dLbls>
        <c:axId val="30754928"/>
        <c:axId val="30755320"/>
      </c:scatterChart>
      <c:catAx>
        <c:axId val="30754928"/>
        <c:scaling>
          <c:orientation val="minMax"/>
        </c:scaling>
        <c:delete val="0"/>
        <c:axPos val="b"/>
        <c:numFmt formatCode="General" sourceLinked="1"/>
        <c:majorTickMark val="none"/>
        <c:minorTickMark val="none"/>
        <c:tickLblPos val="nextTo"/>
        <c:crossAx val="30755320"/>
        <c:crosses val="autoZero"/>
        <c:auto val="1"/>
        <c:lblAlgn val="ctr"/>
        <c:lblOffset val="100"/>
        <c:noMultiLvlLbl val="0"/>
      </c:catAx>
      <c:valAx>
        <c:axId val="30755320"/>
        <c:scaling>
          <c:orientation val="minMax"/>
        </c:scaling>
        <c:delete val="0"/>
        <c:axPos val="l"/>
        <c:majorGridlines/>
        <c:title>
          <c:tx>
            <c:rich>
              <a:bodyPr/>
              <a:lstStyle/>
              <a:p>
                <a:pPr>
                  <a:defRPr/>
                </a:pPr>
                <a:r>
                  <a:rPr lang="en-US"/>
                  <a:t>Dry flow rate MGD</a:t>
                </a:r>
              </a:p>
            </c:rich>
          </c:tx>
          <c:overlay val="0"/>
        </c:title>
        <c:numFmt formatCode="General" sourceLinked="1"/>
        <c:majorTickMark val="out"/>
        <c:minorTickMark val="none"/>
        <c:tickLblPos val="nextTo"/>
        <c:crossAx val="3075492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numRef>
              <c:f>DMREZ!$EJ$10:$EU$10</c:f>
              <c:numCache>
                <c:formatCode>mmm\-yy</c:formatCode>
                <c:ptCount val="12"/>
                <c:pt idx="0">
                  <c:v>42370</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DMREZ!$EJ$11:$EU$11</c:f>
              <c:numCache>
                <c:formatCode>0</c:formatCode>
                <c:ptCount val="12"/>
                <c:pt idx="0">
                  <c:v>103</c:v>
                </c:pt>
                <c:pt idx="1">
                  <c:v>105</c:v>
                </c:pt>
                <c:pt idx="2">
                  <c:v>122</c:v>
                </c:pt>
                <c:pt idx="3">
                  <c:v>103</c:v>
                </c:pt>
                <c:pt idx="4">
                  <c:v>98</c:v>
                </c:pt>
                <c:pt idx="5">
                  <c:v>116</c:v>
                </c:pt>
                <c:pt idx="6">
                  <c:v>103</c:v>
                </c:pt>
                <c:pt idx="7">
                  <c:v>100</c:v>
                </c:pt>
                <c:pt idx="8">
                  <c:v>101</c:v>
                </c:pt>
                <c:pt idx="9">
                  <c:v>105</c:v>
                </c:pt>
                <c:pt idx="10">
                  <c:v>98</c:v>
                </c:pt>
                <c:pt idx="11">
                  <c:v>105</c:v>
                </c:pt>
              </c:numCache>
            </c:numRef>
          </c:val>
        </c:ser>
        <c:ser>
          <c:idx val="1"/>
          <c:order val="1"/>
          <c:invertIfNegative val="0"/>
          <c:cat>
            <c:numRef>
              <c:f>DMREZ!$EJ$10:$EU$10</c:f>
              <c:numCache>
                <c:formatCode>mmm\-yy</c:formatCode>
                <c:ptCount val="12"/>
                <c:pt idx="0">
                  <c:v>42370</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DMREZ!$EJ$30:$EU$30</c:f>
              <c:numCache>
                <c:formatCode>#,##0.00</c:formatCode>
                <c:ptCount val="12"/>
                <c:pt idx="0">
                  <c:v>15028.51858</c:v>
                </c:pt>
                <c:pt idx="1">
                  <c:v>13098.1785</c:v>
                </c:pt>
                <c:pt idx="2">
                  <c:v>14660.966710000001</c:v>
                </c:pt>
                <c:pt idx="3">
                  <c:v>11924.893400000001</c:v>
                </c:pt>
                <c:pt idx="4">
                  <c:v>10200.384969999999</c:v>
                </c:pt>
                <c:pt idx="5">
                  <c:v>10248.9426</c:v>
                </c:pt>
                <c:pt idx="6" formatCode="_(* #,##0.00_);_(* \(#,##0.00\);_(* &quot;-&quot;??_);_(@_)">
                  <c:v>9299.99</c:v>
                </c:pt>
                <c:pt idx="7" formatCode="_(* #,##0.00_);_(* \(#,##0.00\);_(* &quot;-&quot;??_);_(@_)">
                  <c:v>9330.6843869999993</c:v>
                </c:pt>
                <c:pt idx="8" formatCode="_(* #,##0.0000_);_(* \(#,##0.0000\);_(* &quot;-&quot;??_);_(@_)">
                  <c:v>11907.94</c:v>
                </c:pt>
                <c:pt idx="9">
                  <c:v>9500.6299999999992</c:v>
                </c:pt>
                <c:pt idx="10">
                  <c:v>10577.82</c:v>
                </c:pt>
                <c:pt idx="11">
                  <c:v>12335.34</c:v>
                </c:pt>
              </c:numCache>
            </c:numRef>
          </c:val>
        </c:ser>
        <c:dLbls>
          <c:showLegendKey val="0"/>
          <c:showVal val="0"/>
          <c:showCatName val="0"/>
          <c:showSerName val="0"/>
          <c:showPercent val="0"/>
          <c:showBubbleSize val="0"/>
        </c:dLbls>
        <c:gapWidth val="150"/>
        <c:axId val="326941400"/>
        <c:axId val="30755712"/>
      </c:barChart>
      <c:dateAx>
        <c:axId val="326941400"/>
        <c:scaling>
          <c:orientation val="minMax"/>
        </c:scaling>
        <c:delete val="0"/>
        <c:axPos val="b"/>
        <c:numFmt formatCode="mmm\-yy" sourceLinked="0"/>
        <c:majorTickMark val="out"/>
        <c:minorTickMark val="none"/>
        <c:tickLblPos val="nextTo"/>
        <c:crossAx val="30755712"/>
        <c:crosses val="autoZero"/>
        <c:auto val="1"/>
        <c:lblOffset val="100"/>
        <c:baseTimeUnit val="days"/>
      </c:dateAx>
      <c:valAx>
        <c:axId val="30755712"/>
        <c:scaling>
          <c:orientation val="minMax"/>
        </c:scaling>
        <c:delete val="0"/>
        <c:axPos val="l"/>
        <c:majorGridlines/>
        <c:numFmt formatCode="0" sourceLinked="1"/>
        <c:majorTickMark val="out"/>
        <c:minorTickMark val="none"/>
        <c:tickLblPos val="nextTo"/>
        <c:crossAx val="3269414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Effluent</a:t>
            </a:r>
            <a:r>
              <a:rPr lang="en-US" baseline="0"/>
              <a:t> TN Loading vs. Flow - 12 month rolling average</a:t>
            </a:r>
            <a:endParaRPr lang="en-US"/>
          </a:p>
        </c:rich>
      </c:tx>
      <c:overlay val="0"/>
    </c:title>
    <c:autoTitleDeleted val="0"/>
    <c:plotArea>
      <c:layout>
        <c:manualLayout>
          <c:layoutTarget val="inner"/>
          <c:xMode val="edge"/>
          <c:yMode val="edge"/>
          <c:x val="8.0475821878197434E-2"/>
          <c:y val="0.11137153181211612"/>
          <c:w val="0.82981247683022674"/>
          <c:h val="0.79585321136863485"/>
        </c:manualLayout>
      </c:layout>
      <c:barChart>
        <c:barDir val="col"/>
        <c:grouping val="clustered"/>
        <c:varyColors val="0"/>
        <c:ser>
          <c:idx val="1"/>
          <c:order val="1"/>
          <c:tx>
            <c:strRef>
              <c:f>DMREZ!$EI$36</c:f>
              <c:strCache>
                <c:ptCount val="1"/>
                <c:pt idx="0">
                  <c:v>N Loading</c:v>
                </c:pt>
              </c:strCache>
            </c:strRef>
          </c:tx>
          <c:invertIfNegative val="0"/>
          <c:cat>
            <c:numRef>
              <c:f>DMREZ!$EJ$10:$EU$10</c:f>
              <c:numCache>
                <c:formatCode>mmm\-yy</c:formatCode>
                <c:ptCount val="12"/>
                <c:pt idx="0">
                  <c:v>42370</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DMREZ!$EJ$30:$EU$30</c:f>
              <c:numCache>
                <c:formatCode>#,##0.00</c:formatCode>
                <c:ptCount val="12"/>
                <c:pt idx="0">
                  <c:v>15028.51858</c:v>
                </c:pt>
                <c:pt idx="1">
                  <c:v>13098.1785</c:v>
                </c:pt>
                <c:pt idx="2">
                  <c:v>14660.966710000001</c:v>
                </c:pt>
                <c:pt idx="3">
                  <c:v>11924.893400000001</c:v>
                </c:pt>
                <c:pt idx="4">
                  <c:v>10200.384969999999</c:v>
                </c:pt>
                <c:pt idx="5">
                  <c:v>10248.9426</c:v>
                </c:pt>
                <c:pt idx="6" formatCode="_(* #,##0.00_);_(* \(#,##0.00\);_(* &quot;-&quot;??_);_(@_)">
                  <c:v>9299.99</c:v>
                </c:pt>
                <c:pt idx="7" formatCode="_(* #,##0.00_);_(* \(#,##0.00\);_(* &quot;-&quot;??_);_(@_)">
                  <c:v>9330.6843869999993</c:v>
                </c:pt>
                <c:pt idx="8" formatCode="_(* #,##0.0000_);_(* \(#,##0.0000\);_(* &quot;-&quot;??_);_(@_)">
                  <c:v>11907.94</c:v>
                </c:pt>
                <c:pt idx="9">
                  <c:v>9500.6299999999992</c:v>
                </c:pt>
                <c:pt idx="10">
                  <c:v>10577.82</c:v>
                </c:pt>
                <c:pt idx="11">
                  <c:v>12335.34</c:v>
                </c:pt>
              </c:numCache>
            </c:numRef>
          </c:val>
        </c:ser>
        <c:dLbls>
          <c:showLegendKey val="0"/>
          <c:showVal val="0"/>
          <c:showCatName val="0"/>
          <c:showSerName val="0"/>
          <c:showPercent val="0"/>
          <c:showBubbleSize val="0"/>
        </c:dLbls>
        <c:gapWidth val="150"/>
        <c:axId val="30757280"/>
        <c:axId val="30757672"/>
      </c:barChart>
      <c:lineChart>
        <c:grouping val="standard"/>
        <c:varyColors val="0"/>
        <c:ser>
          <c:idx val="0"/>
          <c:order val="0"/>
          <c:tx>
            <c:strRef>
              <c:f>DMREZ!$EI$11</c:f>
              <c:strCache>
                <c:ptCount val="1"/>
                <c:pt idx="0">
                  <c:v>FLOW</c:v>
                </c:pt>
              </c:strCache>
            </c:strRef>
          </c:tx>
          <c:cat>
            <c:numRef>
              <c:f>DMREZ!$EJ$10:$EU$10</c:f>
              <c:numCache>
                <c:formatCode>mmm\-yy</c:formatCode>
                <c:ptCount val="12"/>
                <c:pt idx="0">
                  <c:v>42370</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DMREZ!$EJ$11:$EU$11</c:f>
              <c:numCache>
                <c:formatCode>0</c:formatCode>
                <c:ptCount val="12"/>
                <c:pt idx="0">
                  <c:v>103</c:v>
                </c:pt>
                <c:pt idx="1">
                  <c:v>105</c:v>
                </c:pt>
                <c:pt idx="2">
                  <c:v>122</c:v>
                </c:pt>
                <c:pt idx="3">
                  <c:v>103</c:v>
                </c:pt>
                <c:pt idx="4">
                  <c:v>98</c:v>
                </c:pt>
                <c:pt idx="5">
                  <c:v>116</c:v>
                </c:pt>
                <c:pt idx="6">
                  <c:v>103</c:v>
                </c:pt>
                <c:pt idx="7">
                  <c:v>100</c:v>
                </c:pt>
                <c:pt idx="8">
                  <c:v>101</c:v>
                </c:pt>
                <c:pt idx="9">
                  <c:v>105</c:v>
                </c:pt>
                <c:pt idx="10">
                  <c:v>98</c:v>
                </c:pt>
                <c:pt idx="11">
                  <c:v>105</c:v>
                </c:pt>
              </c:numCache>
            </c:numRef>
          </c:val>
          <c:smooth val="0"/>
        </c:ser>
        <c:ser>
          <c:idx val="3"/>
          <c:order val="3"/>
          <c:tx>
            <c:v>Flow 12-m RA</c:v>
          </c:tx>
          <c:marker>
            <c:symbol val="none"/>
          </c:marker>
          <c:val>
            <c:numRef>
              <c:f>DMREZ!$EJ$8:$EU$8</c:f>
              <c:numCache>
                <c:formatCode>0</c:formatCode>
                <c:ptCount val="12"/>
                <c:pt idx="0">
                  <c:v>105</c:v>
                </c:pt>
                <c:pt idx="1">
                  <c:v>105</c:v>
                </c:pt>
                <c:pt idx="2">
                  <c:v>105</c:v>
                </c:pt>
                <c:pt idx="3">
                  <c:v>105</c:v>
                </c:pt>
                <c:pt idx="4">
                  <c:v>105</c:v>
                </c:pt>
                <c:pt idx="5">
                  <c:v>105</c:v>
                </c:pt>
                <c:pt idx="6">
                  <c:v>105</c:v>
                </c:pt>
                <c:pt idx="7">
                  <c:v>105</c:v>
                </c:pt>
                <c:pt idx="8">
                  <c:v>105</c:v>
                </c:pt>
                <c:pt idx="9">
                  <c:v>105</c:v>
                </c:pt>
                <c:pt idx="10">
                  <c:v>105</c:v>
                </c:pt>
                <c:pt idx="11">
                  <c:v>105</c:v>
                </c:pt>
              </c:numCache>
            </c:numRef>
          </c:val>
          <c:smooth val="0"/>
        </c:ser>
        <c:dLbls>
          <c:showLegendKey val="0"/>
          <c:showVal val="0"/>
          <c:showCatName val="0"/>
          <c:showSerName val="0"/>
          <c:showPercent val="0"/>
          <c:showBubbleSize val="0"/>
        </c:dLbls>
        <c:marker val="1"/>
        <c:smooth val="0"/>
        <c:axId val="30756496"/>
        <c:axId val="30756888"/>
      </c:lineChart>
      <c:lineChart>
        <c:grouping val="standard"/>
        <c:varyColors val="0"/>
        <c:ser>
          <c:idx val="2"/>
          <c:order val="2"/>
          <c:tx>
            <c:v>TN 12-m RA</c:v>
          </c:tx>
          <c:spPr>
            <a:ln w="38100"/>
          </c:spPr>
          <c:marker>
            <c:symbol val="none"/>
          </c:marker>
          <c:val>
            <c:numRef>
              <c:f>DMREZ!$EJ$27:$EU$27</c:f>
              <c:numCache>
                <c:formatCode>0</c:formatCode>
                <c:ptCount val="12"/>
                <c:pt idx="0">
                  <c:v>11500</c:v>
                </c:pt>
                <c:pt idx="1">
                  <c:v>11500</c:v>
                </c:pt>
                <c:pt idx="2">
                  <c:v>11500</c:v>
                </c:pt>
                <c:pt idx="3">
                  <c:v>11500</c:v>
                </c:pt>
                <c:pt idx="4">
                  <c:v>11500</c:v>
                </c:pt>
                <c:pt idx="5">
                  <c:v>11500</c:v>
                </c:pt>
                <c:pt idx="6">
                  <c:v>11500</c:v>
                </c:pt>
                <c:pt idx="7">
                  <c:v>11500</c:v>
                </c:pt>
                <c:pt idx="8">
                  <c:v>11500</c:v>
                </c:pt>
                <c:pt idx="9">
                  <c:v>11500</c:v>
                </c:pt>
                <c:pt idx="10">
                  <c:v>11500</c:v>
                </c:pt>
                <c:pt idx="11">
                  <c:v>11500</c:v>
                </c:pt>
              </c:numCache>
            </c:numRef>
          </c:val>
          <c:smooth val="0"/>
        </c:ser>
        <c:dLbls>
          <c:showLegendKey val="0"/>
          <c:showVal val="0"/>
          <c:showCatName val="0"/>
          <c:showSerName val="0"/>
          <c:showPercent val="0"/>
          <c:showBubbleSize val="0"/>
        </c:dLbls>
        <c:marker val="1"/>
        <c:smooth val="0"/>
        <c:axId val="30757280"/>
        <c:axId val="30757672"/>
      </c:lineChart>
      <c:dateAx>
        <c:axId val="30756496"/>
        <c:scaling>
          <c:orientation val="minMax"/>
        </c:scaling>
        <c:delete val="0"/>
        <c:axPos val="b"/>
        <c:numFmt formatCode="mmm\-yy" sourceLinked="0"/>
        <c:majorTickMark val="none"/>
        <c:minorTickMark val="none"/>
        <c:tickLblPos val="nextTo"/>
        <c:crossAx val="30756888"/>
        <c:crosses val="autoZero"/>
        <c:auto val="1"/>
        <c:lblOffset val="100"/>
        <c:baseTimeUnit val="months"/>
      </c:dateAx>
      <c:valAx>
        <c:axId val="30756888"/>
        <c:scaling>
          <c:orientation val="minMax"/>
          <c:min val="80"/>
        </c:scaling>
        <c:delete val="0"/>
        <c:axPos val="l"/>
        <c:majorGridlines/>
        <c:title>
          <c:tx>
            <c:rich>
              <a:bodyPr/>
              <a:lstStyle/>
              <a:p>
                <a:pPr>
                  <a:defRPr sz="1100" b="1"/>
                </a:pPr>
                <a:r>
                  <a:rPr lang="en-US" sz="1100" b="1"/>
                  <a:t>Flow  MGD</a:t>
                </a:r>
              </a:p>
            </c:rich>
          </c:tx>
          <c:overlay val="0"/>
        </c:title>
        <c:numFmt formatCode="0" sourceLinked="1"/>
        <c:majorTickMark val="none"/>
        <c:minorTickMark val="none"/>
        <c:tickLblPos val="nextTo"/>
        <c:crossAx val="30756496"/>
        <c:crosses val="autoZero"/>
        <c:crossBetween val="between"/>
      </c:valAx>
      <c:dateAx>
        <c:axId val="30757280"/>
        <c:scaling>
          <c:orientation val="minMax"/>
        </c:scaling>
        <c:delete val="1"/>
        <c:axPos val="b"/>
        <c:numFmt formatCode="mmm\-yy" sourceLinked="1"/>
        <c:majorTickMark val="out"/>
        <c:minorTickMark val="none"/>
        <c:tickLblPos val="nextTo"/>
        <c:crossAx val="30757672"/>
        <c:crosses val="autoZero"/>
        <c:auto val="1"/>
        <c:lblOffset val="100"/>
        <c:baseTimeUnit val="months"/>
      </c:dateAx>
      <c:valAx>
        <c:axId val="30757672"/>
        <c:scaling>
          <c:orientation val="minMax"/>
          <c:max val="16000"/>
          <c:min val="6000"/>
        </c:scaling>
        <c:delete val="0"/>
        <c:axPos val="r"/>
        <c:title>
          <c:tx>
            <c:rich>
              <a:bodyPr rot="-5400000" vert="horz"/>
              <a:lstStyle/>
              <a:p>
                <a:pPr>
                  <a:defRPr sz="1100" b="1"/>
                </a:pPr>
                <a:r>
                  <a:rPr lang="en-US" sz="1100" b="1"/>
                  <a:t>TN Loading</a:t>
                </a:r>
                <a:r>
                  <a:rPr lang="en-US" sz="1100" b="1" baseline="0"/>
                  <a:t>  lb/day</a:t>
                </a:r>
                <a:endParaRPr lang="en-US" sz="1100" b="1"/>
              </a:p>
            </c:rich>
          </c:tx>
          <c:overlay val="0"/>
        </c:title>
        <c:numFmt formatCode="#,##0" sourceLinked="0"/>
        <c:majorTickMark val="out"/>
        <c:minorTickMark val="none"/>
        <c:tickLblPos val="nextTo"/>
        <c:crossAx val="30757280"/>
        <c:crosses val="max"/>
        <c:crossBetween val="between"/>
      </c:valAx>
    </c:plotArea>
    <c:legend>
      <c:legendPos val="r"/>
      <c:layout>
        <c:manualLayout>
          <c:xMode val="edge"/>
          <c:yMode val="edge"/>
          <c:x val="0.60754008589835362"/>
          <c:y val="9.3461234012415115E-2"/>
          <c:w val="0.29565366261035553"/>
          <c:h val="0.11998458526017582"/>
        </c:manualLayout>
      </c:layout>
      <c:overlay val="0"/>
      <c:spPr>
        <a:noFill/>
        <a:ln>
          <a:no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Thickened Sludge/Volatile Dest.</a:t>
            </a:r>
          </a:p>
        </c:rich>
      </c:tx>
      <c:overlay val="0"/>
    </c:title>
    <c:autoTitleDeleted val="0"/>
    <c:plotArea>
      <c:layout>
        <c:manualLayout>
          <c:layoutTarget val="inner"/>
          <c:xMode val="edge"/>
          <c:yMode val="edge"/>
          <c:x val="0.1496066826778899"/>
          <c:y val="0.22821623001538024"/>
          <c:w val="0.71653726966778852"/>
          <c:h val="0.46058184603103525"/>
        </c:manualLayout>
      </c:layout>
      <c:lineChart>
        <c:grouping val="standard"/>
        <c:varyColors val="0"/>
        <c:ser>
          <c:idx val="1"/>
          <c:order val="1"/>
          <c:tx>
            <c:v>Volatile Dest. (%)</c:v>
          </c:tx>
          <c:cat>
            <c:numRef>
              <c:f>FER!$B$7:$B$11</c:f>
              <c:numCache>
                <c:formatCode>mm/dd/yy;@</c:formatCode>
                <c:ptCount val="5"/>
                <c:pt idx="0">
                  <c:v>42365</c:v>
                </c:pt>
                <c:pt idx="1">
                  <c:v>42372</c:v>
                </c:pt>
                <c:pt idx="2">
                  <c:v>42379</c:v>
                </c:pt>
                <c:pt idx="3">
                  <c:v>42386</c:v>
                </c:pt>
                <c:pt idx="4">
                  <c:v>42393</c:v>
                </c:pt>
              </c:numCache>
            </c:numRef>
          </c:cat>
          <c:val>
            <c:numRef>
              <c:f>FER!$Q$7:$Q$11</c:f>
              <c:numCache>
                <c:formatCode>0%</c:formatCode>
                <c:ptCount val="5"/>
                <c:pt idx="0">
                  <c:v>0.5</c:v>
                </c:pt>
                <c:pt idx="1">
                  <c:v>0.46</c:v>
                </c:pt>
                <c:pt idx="2">
                  <c:v>0.55000000000000004</c:v>
                </c:pt>
                <c:pt idx="3">
                  <c:v>0.54</c:v>
                </c:pt>
                <c:pt idx="4">
                  <c:v>0.63</c:v>
                </c:pt>
              </c:numCache>
            </c:numRef>
          </c:val>
          <c:smooth val="0"/>
        </c:ser>
        <c:dLbls>
          <c:showLegendKey val="0"/>
          <c:showVal val="0"/>
          <c:showCatName val="0"/>
          <c:showSerName val="0"/>
          <c:showPercent val="0"/>
          <c:showBubbleSize val="0"/>
        </c:dLbls>
        <c:marker val="1"/>
        <c:smooth val="0"/>
        <c:axId val="284039120"/>
        <c:axId val="284038728"/>
      </c:lineChart>
      <c:lineChart>
        <c:grouping val="standard"/>
        <c:varyColors val="0"/>
        <c:ser>
          <c:idx val="0"/>
          <c:order val="0"/>
          <c:tx>
            <c:v>Thickened Sludge (%sol)</c:v>
          </c:tx>
          <c:cat>
            <c:numRef>
              <c:f>FER!$B$7:$B$11</c:f>
              <c:numCache>
                <c:formatCode>mm/dd/yy;@</c:formatCode>
                <c:ptCount val="5"/>
                <c:pt idx="0">
                  <c:v>42365</c:v>
                </c:pt>
                <c:pt idx="1">
                  <c:v>42372</c:v>
                </c:pt>
                <c:pt idx="2">
                  <c:v>42379</c:v>
                </c:pt>
                <c:pt idx="3">
                  <c:v>42386</c:v>
                </c:pt>
                <c:pt idx="4">
                  <c:v>42393</c:v>
                </c:pt>
              </c:numCache>
            </c:numRef>
          </c:cat>
          <c:val>
            <c:numRef>
              <c:f>FER!$M$7:$M$11</c:f>
              <c:numCache>
                <c:formatCode>0.0</c:formatCode>
                <c:ptCount val="5"/>
                <c:pt idx="0">
                  <c:v>2.9</c:v>
                </c:pt>
                <c:pt idx="1">
                  <c:v>2.9</c:v>
                </c:pt>
                <c:pt idx="2">
                  <c:v>3.3</c:v>
                </c:pt>
                <c:pt idx="3">
                  <c:v>3.1</c:v>
                </c:pt>
                <c:pt idx="4">
                  <c:v>4</c:v>
                </c:pt>
              </c:numCache>
            </c:numRef>
          </c:val>
          <c:smooth val="0"/>
        </c:ser>
        <c:dLbls>
          <c:showLegendKey val="0"/>
          <c:showVal val="0"/>
          <c:showCatName val="0"/>
          <c:showSerName val="0"/>
          <c:showPercent val="0"/>
          <c:showBubbleSize val="0"/>
        </c:dLbls>
        <c:marker val="1"/>
        <c:smooth val="0"/>
        <c:axId val="284038336"/>
        <c:axId val="284037944"/>
      </c:lineChart>
      <c:dateAx>
        <c:axId val="284039120"/>
        <c:scaling>
          <c:orientation val="minMax"/>
        </c:scaling>
        <c:delete val="0"/>
        <c:axPos val="b"/>
        <c:numFmt formatCode="mm/dd/yy;@" sourceLinked="0"/>
        <c:majorTickMark val="out"/>
        <c:minorTickMark val="none"/>
        <c:tickLblPos val="nextTo"/>
        <c:txPr>
          <a:bodyPr rot="0"/>
          <a:lstStyle/>
          <a:p>
            <a:pPr>
              <a:defRPr/>
            </a:pPr>
            <a:endParaRPr lang="en-US"/>
          </a:p>
        </c:txPr>
        <c:crossAx val="284038728"/>
        <c:crosses val="autoZero"/>
        <c:auto val="1"/>
        <c:lblOffset val="100"/>
        <c:baseTimeUnit val="days"/>
        <c:majorUnit val="7"/>
        <c:majorTimeUnit val="days"/>
      </c:dateAx>
      <c:valAx>
        <c:axId val="284038728"/>
        <c:scaling>
          <c:orientation val="minMax"/>
        </c:scaling>
        <c:delete val="0"/>
        <c:axPos val="l"/>
        <c:majorGridlines/>
        <c:title>
          <c:tx>
            <c:rich>
              <a:bodyPr rot="-5400000" vert="horz"/>
              <a:lstStyle/>
              <a:p>
                <a:pPr>
                  <a:defRPr/>
                </a:pPr>
                <a:r>
                  <a:rPr lang="en-US"/>
                  <a:t>Vol.Dest.%</a:t>
                </a:r>
              </a:p>
            </c:rich>
          </c:tx>
          <c:layout>
            <c:manualLayout>
              <c:xMode val="edge"/>
              <c:yMode val="edge"/>
              <c:x val="2.4496863265226175E-2"/>
              <c:y val="0.29874251432856608"/>
            </c:manualLayout>
          </c:layout>
          <c:overlay val="0"/>
        </c:title>
        <c:numFmt formatCode="0%" sourceLinked="1"/>
        <c:majorTickMark val="out"/>
        <c:minorTickMark val="none"/>
        <c:tickLblPos val="nextTo"/>
        <c:crossAx val="284039120"/>
        <c:crosses val="autoZero"/>
        <c:crossBetween val="between"/>
      </c:valAx>
      <c:dateAx>
        <c:axId val="284038336"/>
        <c:scaling>
          <c:orientation val="minMax"/>
        </c:scaling>
        <c:delete val="1"/>
        <c:axPos val="b"/>
        <c:numFmt formatCode="mm/dd/yy;@" sourceLinked="1"/>
        <c:majorTickMark val="out"/>
        <c:minorTickMark val="none"/>
        <c:tickLblPos val="nextTo"/>
        <c:crossAx val="284037944"/>
        <c:crosses val="autoZero"/>
        <c:auto val="1"/>
        <c:lblOffset val="100"/>
        <c:baseTimeUnit val="days"/>
      </c:dateAx>
      <c:valAx>
        <c:axId val="284037944"/>
        <c:scaling>
          <c:orientation val="minMax"/>
        </c:scaling>
        <c:delete val="0"/>
        <c:axPos val="r"/>
        <c:title>
          <c:tx>
            <c:rich>
              <a:bodyPr rot="-5400000" vert="horz"/>
              <a:lstStyle/>
              <a:p>
                <a:pPr>
                  <a:defRPr/>
                </a:pPr>
                <a:r>
                  <a:rPr lang="en-US"/>
                  <a:t>Thick.Sl.% sol.</a:t>
                </a:r>
              </a:p>
            </c:rich>
          </c:tx>
          <c:overlay val="0"/>
        </c:title>
        <c:numFmt formatCode="0.0" sourceLinked="1"/>
        <c:majorTickMark val="out"/>
        <c:minorTickMark val="none"/>
        <c:tickLblPos val="nextTo"/>
        <c:crossAx val="284038336"/>
        <c:crosses val="max"/>
        <c:crossBetween val="between"/>
      </c:valAx>
    </c:plotArea>
    <c:legend>
      <c:legendPos val="b"/>
      <c:overlay val="0"/>
    </c:legend>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Total Suspended Solids</a:t>
            </a:r>
          </a:p>
        </c:rich>
      </c:tx>
      <c:overlay val="0"/>
    </c:title>
    <c:autoTitleDeleted val="0"/>
    <c:plotArea>
      <c:layout>
        <c:manualLayout>
          <c:layoutTarget val="inner"/>
          <c:xMode val="edge"/>
          <c:yMode val="edge"/>
          <c:x val="0.16339760679521359"/>
          <c:y val="0.21476152492130471"/>
          <c:w val="0.68739565034686223"/>
          <c:h val="0.49957346765387839"/>
        </c:manualLayout>
      </c:layout>
      <c:lineChart>
        <c:grouping val="standard"/>
        <c:varyColors val="0"/>
        <c:ser>
          <c:idx val="0"/>
          <c:order val="0"/>
          <c:tx>
            <c:v>Influent</c:v>
          </c:tx>
          <c:cat>
            <c:numRef>
              <c:f>FER!$B$17:$B$21</c:f>
              <c:numCache>
                <c:formatCode>mm/dd/yy;@</c:formatCode>
                <c:ptCount val="5"/>
                <c:pt idx="0">
                  <c:v>42365</c:v>
                </c:pt>
                <c:pt idx="1">
                  <c:v>42372</c:v>
                </c:pt>
                <c:pt idx="2">
                  <c:v>42379</c:v>
                </c:pt>
                <c:pt idx="3">
                  <c:v>42386</c:v>
                </c:pt>
                <c:pt idx="4">
                  <c:v>42393</c:v>
                </c:pt>
              </c:numCache>
            </c:numRef>
          </c:cat>
          <c:val>
            <c:numRef>
              <c:f>FER!$D$17:$D$21</c:f>
              <c:numCache>
                <c:formatCode>General</c:formatCode>
                <c:ptCount val="5"/>
                <c:pt idx="0">
                  <c:v>114</c:v>
                </c:pt>
                <c:pt idx="1">
                  <c:v>157</c:v>
                </c:pt>
                <c:pt idx="2">
                  <c:v>123</c:v>
                </c:pt>
                <c:pt idx="3">
                  <c:v>138</c:v>
                </c:pt>
                <c:pt idx="4">
                  <c:v>146</c:v>
                </c:pt>
              </c:numCache>
            </c:numRef>
          </c:val>
          <c:smooth val="0"/>
        </c:ser>
        <c:ser>
          <c:idx val="1"/>
          <c:order val="1"/>
          <c:tx>
            <c:v>Effluent</c:v>
          </c:tx>
          <c:cat>
            <c:numRef>
              <c:f>FER!$B$17:$B$21</c:f>
              <c:numCache>
                <c:formatCode>mm/dd/yy;@</c:formatCode>
                <c:ptCount val="5"/>
                <c:pt idx="0">
                  <c:v>42365</c:v>
                </c:pt>
                <c:pt idx="1">
                  <c:v>42372</c:v>
                </c:pt>
                <c:pt idx="2">
                  <c:v>42379</c:v>
                </c:pt>
                <c:pt idx="3">
                  <c:v>42386</c:v>
                </c:pt>
                <c:pt idx="4">
                  <c:v>42393</c:v>
                </c:pt>
              </c:numCache>
            </c:numRef>
          </c:cat>
          <c:val>
            <c:numRef>
              <c:f>FER!$E$17:$E$21</c:f>
              <c:numCache>
                <c:formatCode>General</c:formatCode>
                <c:ptCount val="5"/>
                <c:pt idx="0">
                  <c:v>5</c:v>
                </c:pt>
                <c:pt idx="1">
                  <c:v>6</c:v>
                </c:pt>
                <c:pt idx="2">
                  <c:v>21</c:v>
                </c:pt>
                <c:pt idx="3">
                  <c:v>27</c:v>
                </c:pt>
                <c:pt idx="4">
                  <c:v>12</c:v>
                </c:pt>
              </c:numCache>
            </c:numRef>
          </c:val>
          <c:smooth val="0"/>
        </c:ser>
        <c:dLbls>
          <c:showLegendKey val="0"/>
          <c:showVal val="0"/>
          <c:showCatName val="0"/>
          <c:showSerName val="0"/>
          <c:showPercent val="0"/>
          <c:showBubbleSize val="0"/>
        </c:dLbls>
        <c:marker val="1"/>
        <c:smooth val="0"/>
        <c:axId val="322153888"/>
        <c:axId val="322154280"/>
      </c:lineChart>
      <c:lineChart>
        <c:grouping val="standard"/>
        <c:varyColors val="0"/>
        <c:ser>
          <c:idx val="2"/>
          <c:order val="2"/>
          <c:tx>
            <c:v>% Removal</c:v>
          </c:tx>
          <c:cat>
            <c:numRef>
              <c:f>FER!$B$17:$B$21</c:f>
              <c:numCache>
                <c:formatCode>mm/dd/yy;@</c:formatCode>
                <c:ptCount val="5"/>
                <c:pt idx="0">
                  <c:v>42365</c:v>
                </c:pt>
                <c:pt idx="1">
                  <c:v>42372</c:v>
                </c:pt>
                <c:pt idx="2">
                  <c:v>42379</c:v>
                </c:pt>
                <c:pt idx="3">
                  <c:v>42386</c:v>
                </c:pt>
                <c:pt idx="4">
                  <c:v>42393</c:v>
                </c:pt>
              </c:numCache>
            </c:numRef>
          </c:cat>
          <c:val>
            <c:numRef>
              <c:f>FER!$F$17:$F$21</c:f>
              <c:numCache>
                <c:formatCode>0%</c:formatCode>
                <c:ptCount val="5"/>
                <c:pt idx="0">
                  <c:v>0.96</c:v>
                </c:pt>
                <c:pt idx="1">
                  <c:v>0.96</c:v>
                </c:pt>
                <c:pt idx="2">
                  <c:v>0.83</c:v>
                </c:pt>
                <c:pt idx="3">
                  <c:v>0.8</c:v>
                </c:pt>
                <c:pt idx="4">
                  <c:v>0.92</c:v>
                </c:pt>
              </c:numCache>
            </c:numRef>
          </c:val>
          <c:smooth val="0"/>
        </c:ser>
        <c:dLbls>
          <c:showLegendKey val="0"/>
          <c:showVal val="0"/>
          <c:showCatName val="0"/>
          <c:showSerName val="0"/>
          <c:showPercent val="0"/>
          <c:showBubbleSize val="0"/>
        </c:dLbls>
        <c:marker val="1"/>
        <c:smooth val="0"/>
        <c:axId val="322154672"/>
        <c:axId val="322155064"/>
      </c:lineChart>
      <c:dateAx>
        <c:axId val="322153888"/>
        <c:scaling>
          <c:orientation val="minMax"/>
        </c:scaling>
        <c:delete val="0"/>
        <c:axPos val="b"/>
        <c:numFmt formatCode="mm/dd/yy;@" sourceLinked="0"/>
        <c:majorTickMark val="out"/>
        <c:minorTickMark val="none"/>
        <c:tickLblPos val="nextTo"/>
        <c:txPr>
          <a:bodyPr/>
          <a:lstStyle/>
          <a:p>
            <a:pPr>
              <a:defRPr sz="1000"/>
            </a:pPr>
            <a:endParaRPr lang="en-US"/>
          </a:p>
        </c:txPr>
        <c:crossAx val="322154280"/>
        <c:crosses val="autoZero"/>
        <c:auto val="1"/>
        <c:lblOffset val="100"/>
        <c:baseTimeUnit val="days"/>
        <c:majorUnit val="7"/>
        <c:majorTimeUnit val="days"/>
      </c:dateAx>
      <c:valAx>
        <c:axId val="322154280"/>
        <c:scaling>
          <c:orientation val="minMax"/>
        </c:scaling>
        <c:delete val="0"/>
        <c:axPos val="l"/>
        <c:majorGridlines/>
        <c:title>
          <c:tx>
            <c:rich>
              <a:bodyPr rot="-5400000" vert="horz"/>
              <a:lstStyle/>
              <a:p>
                <a:pPr>
                  <a:defRPr sz="1000"/>
                </a:pPr>
                <a:r>
                  <a:rPr lang="en-US" sz="1000"/>
                  <a:t>TSS (mg/L)</a:t>
                </a:r>
              </a:p>
            </c:rich>
          </c:tx>
          <c:layout>
            <c:manualLayout>
              <c:xMode val="edge"/>
              <c:yMode val="edge"/>
              <c:x val="1.7497812773403325E-2"/>
              <c:y val="0.34366629791110825"/>
            </c:manualLayout>
          </c:layout>
          <c:overlay val="0"/>
        </c:title>
        <c:numFmt formatCode="General" sourceLinked="1"/>
        <c:majorTickMark val="out"/>
        <c:minorTickMark val="none"/>
        <c:tickLblPos val="nextTo"/>
        <c:crossAx val="322153888"/>
        <c:crosses val="autoZero"/>
        <c:crossBetween val="between"/>
      </c:valAx>
      <c:dateAx>
        <c:axId val="322154672"/>
        <c:scaling>
          <c:orientation val="minMax"/>
        </c:scaling>
        <c:delete val="1"/>
        <c:axPos val="b"/>
        <c:numFmt formatCode="mm/dd/yy;@" sourceLinked="1"/>
        <c:majorTickMark val="out"/>
        <c:minorTickMark val="none"/>
        <c:tickLblPos val="nextTo"/>
        <c:crossAx val="322155064"/>
        <c:crosses val="autoZero"/>
        <c:auto val="1"/>
        <c:lblOffset val="100"/>
        <c:baseTimeUnit val="days"/>
      </c:dateAx>
      <c:valAx>
        <c:axId val="322155064"/>
        <c:scaling>
          <c:orientation val="minMax"/>
          <c:max val="1"/>
          <c:min val="0.70000000000000062"/>
        </c:scaling>
        <c:delete val="0"/>
        <c:axPos val="r"/>
        <c:numFmt formatCode="0%" sourceLinked="1"/>
        <c:majorTickMark val="out"/>
        <c:minorTickMark val="none"/>
        <c:tickLblPos val="nextTo"/>
        <c:crossAx val="322154672"/>
        <c:crosses val="max"/>
        <c:crossBetween val="between"/>
      </c:valAx>
    </c:plotArea>
    <c:legend>
      <c:legendPos val="b"/>
      <c:overlay val="0"/>
      <c:txPr>
        <a:bodyPr/>
        <a:lstStyle/>
        <a:p>
          <a:pPr>
            <a:defRPr sz="1000"/>
          </a:pPr>
          <a:endParaRPr lang="en-US"/>
        </a:p>
      </c:txPr>
    </c:legend>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CBOD</a:t>
            </a:r>
          </a:p>
        </c:rich>
      </c:tx>
      <c:overlay val="0"/>
    </c:title>
    <c:autoTitleDeleted val="0"/>
    <c:plotArea>
      <c:layout>
        <c:manualLayout>
          <c:layoutTarget val="inner"/>
          <c:xMode val="edge"/>
          <c:yMode val="edge"/>
          <c:x val="0.15989804424053294"/>
          <c:y val="0.21844589137896492"/>
          <c:w val="0.71998140321604465"/>
          <c:h val="0.56435129576383514"/>
        </c:manualLayout>
      </c:layout>
      <c:lineChart>
        <c:grouping val="standard"/>
        <c:varyColors val="0"/>
        <c:ser>
          <c:idx val="0"/>
          <c:order val="0"/>
          <c:tx>
            <c:v>Influent</c:v>
          </c:tx>
          <c:cat>
            <c:numRef>
              <c:f>FER!$B$17:$B$21</c:f>
              <c:numCache>
                <c:formatCode>mm/dd/yy;@</c:formatCode>
                <c:ptCount val="5"/>
                <c:pt idx="0">
                  <c:v>42365</c:v>
                </c:pt>
                <c:pt idx="1">
                  <c:v>42372</c:v>
                </c:pt>
                <c:pt idx="2">
                  <c:v>42379</c:v>
                </c:pt>
                <c:pt idx="3">
                  <c:v>42386</c:v>
                </c:pt>
                <c:pt idx="4">
                  <c:v>42393</c:v>
                </c:pt>
              </c:numCache>
            </c:numRef>
          </c:cat>
          <c:val>
            <c:numRef>
              <c:f>FER!$G$17:$G$21</c:f>
              <c:numCache>
                <c:formatCode>General</c:formatCode>
                <c:ptCount val="5"/>
                <c:pt idx="0">
                  <c:v>132</c:v>
                </c:pt>
                <c:pt idx="1">
                  <c:v>171</c:v>
                </c:pt>
                <c:pt idx="2">
                  <c:v>118</c:v>
                </c:pt>
                <c:pt idx="3">
                  <c:v>142</c:v>
                </c:pt>
                <c:pt idx="4">
                  <c:v>131</c:v>
                </c:pt>
              </c:numCache>
            </c:numRef>
          </c:val>
          <c:smooth val="0"/>
        </c:ser>
        <c:ser>
          <c:idx val="1"/>
          <c:order val="1"/>
          <c:tx>
            <c:v>Effluent</c:v>
          </c:tx>
          <c:cat>
            <c:numRef>
              <c:f>FER!$B$17:$B$21</c:f>
              <c:numCache>
                <c:formatCode>mm/dd/yy;@</c:formatCode>
                <c:ptCount val="5"/>
                <c:pt idx="0">
                  <c:v>42365</c:v>
                </c:pt>
                <c:pt idx="1">
                  <c:v>42372</c:v>
                </c:pt>
                <c:pt idx="2">
                  <c:v>42379</c:v>
                </c:pt>
                <c:pt idx="3">
                  <c:v>42386</c:v>
                </c:pt>
                <c:pt idx="4">
                  <c:v>42393</c:v>
                </c:pt>
              </c:numCache>
            </c:numRef>
          </c:cat>
          <c:val>
            <c:numRef>
              <c:f>FER!$H$17:$H$21</c:f>
              <c:numCache>
                <c:formatCode>General</c:formatCode>
                <c:ptCount val="5"/>
                <c:pt idx="0">
                  <c:v>4</c:v>
                </c:pt>
                <c:pt idx="1">
                  <c:v>3</c:v>
                </c:pt>
                <c:pt idx="2">
                  <c:v>7</c:v>
                </c:pt>
                <c:pt idx="3">
                  <c:v>11</c:v>
                </c:pt>
                <c:pt idx="4">
                  <c:v>8</c:v>
                </c:pt>
              </c:numCache>
            </c:numRef>
          </c:val>
          <c:smooth val="0"/>
        </c:ser>
        <c:dLbls>
          <c:showLegendKey val="0"/>
          <c:showVal val="0"/>
          <c:showCatName val="0"/>
          <c:showSerName val="0"/>
          <c:showPercent val="0"/>
          <c:showBubbleSize val="0"/>
        </c:dLbls>
        <c:marker val="1"/>
        <c:smooth val="0"/>
        <c:axId val="322155848"/>
        <c:axId val="322156240"/>
      </c:lineChart>
      <c:lineChart>
        <c:grouping val="standard"/>
        <c:varyColors val="0"/>
        <c:ser>
          <c:idx val="2"/>
          <c:order val="2"/>
          <c:tx>
            <c:v>% Removal</c:v>
          </c:tx>
          <c:cat>
            <c:numRef>
              <c:f>FER!$B$17:$B$21</c:f>
              <c:numCache>
                <c:formatCode>mm/dd/yy;@</c:formatCode>
                <c:ptCount val="5"/>
                <c:pt idx="0">
                  <c:v>42365</c:v>
                </c:pt>
                <c:pt idx="1">
                  <c:v>42372</c:v>
                </c:pt>
                <c:pt idx="2">
                  <c:v>42379</c:v>
                </c:pt>
                <c:pt idx="3">
                  <c:v>42386</c:v>
                </c:pt>
                <c:pt idx="4">
                  <c:v>42393</c:v>
                </c:pt>
              </c:numCache>
            </c:numRef>
          </c:cat>
          <c:val>
            <c:numRef>
              <c:f>FER!$I$17:$I$21</c:f>
              <c:numCache>
                <c:formatCode>0%</c:formatCode>
                <c:ptCount val="5"/>
                <c:pt idx="0">
                  <c:v>0.97</c:v>
                </c:pt>
                <c:pt idx="1">
                  <c:v>0.98</c:v>
                </c:pt>
                <c:pt idx="2">
                  <c:v>0.94</c:v>
                </c:pt>
                <c:pt idx="3">
                  <c:v>0.92</c:v>
                </c:pt>
                <c:pt idx="4">
                  <c:v>0.94</c:v>
                </c:pt>
              </c:numCache>
            </c:numRef>
          </c:val>
          <c:smooth val="0"/>
        </c:ser>
        <c:dLbls>
          <c:showLegendKey val="0"/>
          <c:showVal val="0"/>
          <c:showCatName val="0"/>
          <c:showSerName val="0"/>
          <c:showPercent val="0"/>
          <c:showBubbleSize val="0"/>
        </c:dLbls>
        <c:marker val="1"/>
        <c:smooth val="0"/>
        <c:axId val="322156632"/>
        <c:axId val="316819016"/>
      </c:lineChart>
      <c:dateAx>
        <c:axId val="322155848"/>
        <c:scaling>
          <c:orientation val="minMax"/>
        </c:scaling>
        <c:delete val="0"/>
        <c:axPos val="b"/>
        <c:numFmt formatCode="mm/dd/yy;@" sourceLinked="0"/>
        <c:majorTickMark val="out"/>
        <c:minorTickMark val="none"/>
        <c:tickLblPos val="nextTo"/>
        <c:txPr>
          <a:bodyPr rot="0"/>
          <a:lstStyle/>
          <a:p>
            <a:pPr>
              <a:defRPr/>
            </a:pPr>
            <a:endParaRPr lang="en-US"/>
          </a:p>
        </c:txPr>
        <c:crossAx val="322156240"/>
        <c:crosses val="autoZero"/>
        <c:auto val="1"/>
        <c:lblOffset val="100"/>
        <c:baseTimeUnit val="days"/>
      </c:dateAx>
      <c:valAx>
        <c:axId val="322156240"/>
        <c:scaling>
          <c:orientation val="minMax"/>
        </c:scaling>
        <c:delete val="0"/>
        <c:axPos val="l"/>
        <c:majorGridlines/>
        <c:title>
          <c:tx>
            <c:rich>
              <a:bodyPr rot="-5400000" vert="horz"/>
              <a:lstStyle/>
              <a:p>
                <a:pPr>
                  <a:defRPr/>
                </a:pPr>
                <a:r>
                  <a:rPr lang="en-US"/>
                  <a:t>CBOD (mg/L)</a:t>
                </a:r>
              </a:p>
            </c:rich>
          </c:tx>
          <c:layout>
            <c:manualLayout>
              <c:xMode val="edge"/>
              <c:yMode val="edge"/>
              <c:x val="1.7497812773403325E-2"/>
              <c:y val="0.29055633941711045"/>
            </c:manualLayout>
          </c:layout>
          <c:overlay val="0"/>
        </c:title>
        <c:numFmt formatCode="General" sourceLinked="1"/>
        <c:majorTickMark val="out"/>
        <c:minorTickMark val="none"/>
        <c:tickLblPos val="nextTo"/>
        <c:crossAx val="322155848"/>
        <c:crosses val="autoZero"/>
        <c:crossBetween val="between"/>
      </c:valAx>
      <c:dateAx>
        <c:axId val="322156632"/>
        <c:scaling>
          <c:orientation val="minMax"/>
        </c:scaling>
        <c:delete val="1"/>
        <c:axPos val="b"/>
        <c:numFmt formatCode="mm/dd/yy;@" sourceLinked="1"/>
        <c:majorTickMark val="out"/>
        <c:minorTickMark val="none"/>
        <c:tickLblPos val="nextTo"/>
        <c:crossAx val="316819016"/>
        <c:crosses val="autoZero"/>
        <c:auto val="1"/>
        <c:lblOffset val="100"/>
        <c:baseTimeUnit val="days"/>
      </c:dateAx>
      <c:valAx>
        <c:axId val="316819016"/>
        <c:scaling>
          <c:orientation val="minMax"/>
          <c:max val="1"/>
          <c:min val="0.70000000000000062"/>
        </c:scaling>
        <c:delete val="0"/>
        <c:axPos val="r"/>
        <c:numFmt formatCode="0%" sourceLinked="1"/>
        <c:majorTickMark val="out"/>
        <c:minorTickMark val="none"/>
        <c:tickLblPos val="nextTo"/>
        <c:crossAx val="322156632"/>
        <c:crosses val="max"/>
        <c:crossBetween val="between"/>
      </c:valAx>
    </c:plotArea>
    <c:legend>
      <c:legendPos val="b"/>
      <c:overlay val="0"/>
      <c:txPr>
        <a:bodyPr/>
        <a:lstStyle/>
        <a:p>
          <a:pPr>
            <a:defRPr sz="1000"/>
          </a:pPr>
          <a:endParaRPr lang="en-US"/>
        </a:p>
      </c:txPr>
    </c:legend>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Sludge Cake &amp; Polymer Dosage</a:t>
            </a:r>
          </a:p>
        </c:rich>
      </c:tx>
      <c:overlay val="0"/>
    </c:title>
    <c:autoTitleDeleted val="0"/>
    <c:plotArea>
      <c:layout>
        <c:manualLayout>
          <c:layoutTarget val="inner"/>
          <c:xMode val="edge"/>
          <c:yMode val="edge"/>
          <c:x val="0.14565482464298263"/>
          <c:y val="0.25405461336564"/>
          <c:w val="0.73797530189420468"/>
          <c:h val="0.47012920278143328"/>
        </c:manualLayout>
      </c:layout>
      <c:lineChart>
        <c:grouping val="standard"/>
        <c:varyColors val="0"/>
        <c:ser>
          <c:idx val="0"/>
          <c:order val="0"/>
          <c:tx>
            <c:v>Sludge Cake</c:v>
          </c:tx>
          <c:cat>
            <c:numRef>
              <c:f>FER!$B$7:$B$11</c:f>
              <c:numCache>
                <c:formatCode>mm/dd/yy;@</c:formatCode>
                <c:ptCount val="5"/>
                <c:pt idx="0">
                  <c:v>42365</c:v>
                </c:pt>
                <c:pt idx="1">
                  <c:v>42372</c:v>
                </c:pt>
                <c:pt idx="2">
                  <c:v>42379</c:v>
                </c:pt>
                <c:pt idx="3">
                  <c:v>42386</c:v>
                </c:pt>
                <c:pt idx="4">
                  <c:v>42393</c:v>
                </c:pt>
              </c:numCache>
            </c:numRef>
          </c:cat>
          <c:val>
            <c:numRef>
              <c:f>FER!$X$7:$X$11</c:f>
              <c:numCache>
                <c:formatCode>#,##0.0</c:formatCode>
                <c:ptCount val="5"/>
                <c:pt idx="0">
                  <c:v>23.2</c:v>
                </c:pt>
                <c:pt idx="1">
                  <c:v>23.9</c:v>
                </c:pt>
              </c:numCache>
            </c:numRef>
          </c:val>
          <c:smooth val="0"/>
        </c:ser>
        <c:dLbls>
          <c:showLegendKey val="0"/>
          <c:showVal val="0"/>
          <c:showCatName val="0"/>
          <c:showSerName val="0"/>
          <c:showPercent val="0"/>
          <c:showBubbleSize val="0"/>
        </c:dLbls>
        <c:marker val="1"/>
        <c:smooth val="0"/>
        <c:axId val="316818624"/>
        <c:axId val="316816272"/>
      </c:lineChart>
      <c:lineChart>
        <c:grouping val="standard"/>
        <c:varyColors val="0"/>
        <c:ser>
          <c:idx val="1"/>
          <c:order val="1"/>
          <c:tx>
            <c:v>Polymer Dosage</c:v>
          </c:tx>
          <c:cat>
            <c:numRef>
              <c:f>FER!$B$7:$B$11</c:f>
              <c:numCache>
                <c:formatCode>mm/dd/yy;@</c:formatCode>
                <c:ptCount val="5"/>
                <c:pt idx="0">
                  <c:v>42365</c:v>
                </c:pt>
                <c:pt idx="1">
                  <c:v>42372</c:v>
                </c:pt>
                <c:pt idx="2">
                  <c:v>42379</c:v>
                </c:pt>
                <c:pt idx="3">
                  <c:v>42386</c:v>
                </c:pt>
                <c:pt idx="4">
                  <c:v>42393</c:v>
                </c:pt>
              </c:numCache>
            </c:numRef>
          </c:cat>
          <c:val>
            <c:numRef>
              <c:f>FER!$Y$7:$Y$11</c:f>
              <c:numCache>
                <c:formatCode>#,##0.0</c:formatCode>
                <c:ptCount val="5"/>
                <c:pt idx="0">
                  <c:v>77.599999999999994</c:v>
                </c:pt>
                <c:pt idx="1">
                  <c:v>69.099999999999994</c:v>
                </c:pt>
                <c:pt idx="2">
                  <c:v>0</c:v>
                </c:pt>
                <c:pt idx="3">
                  <c:v>0</c:v>
                </c:pt>
                <c:pt idx="4">
                  <c:v>0</c:v>
                </c:pt>
              </c:numCache>
            </c:numRef>
          </c:val>
          <c:smooth val="0"/>
        </c:ser>
        <c:dLbls>
          <c:showLegendKey val="0"/>
          <c:showVal val="0"/>
          <c:showCatName val="0"/>
          <c:showSerName val="0"/>
          <c:showPercent val="0"/>
          <c:showBubbleSize val="0"/>
        </c:dLbls>
        <c:marker val="1"/>
        <c:smooth val="0"/>
        <c:axId val="180305744"/>
        <c:axId val="180306528"/>
      </c:lineChart>
      <c:dateAx>
        <c:axId val="316818624"/>
        <c:scaling>
          <c:orientation val="minMax"/>
        </c:scaling>
        <c:delete val="0"/>
        <c:axPos val="b"/>
        <c:numFmt formatCode="mm/dd/yy;@" sourceLinked="0"/>
        <c:majorTickMark val="out"/>
        <c:minorTickMark val="none"/>
        <c:tickLblPos val="nextTo"/>
        <c:txPr>
          <a:bodyPr rot="0"/>
          <a:lstStyle/>
          <a:p>
            <a:pPr>
              <a:defRPr/>
            </a:pPr>
            <a:endParaRPr lang="en-US"/>
          </a:p>
        </c:txPr>
        <c:crossAx val="316816272"/>
        <c:crosses val="autoZero"/>
        <c:auto val="1"/>
        <c:lblOffset val="100"/>
        <c:baseTimeUnit val="days"/>
        <c:majorUnit val="7"/>
        <c:majorTimeUnit val="days"/>
      </c:dateAx>
      <c:valAx>
        <c:axId val="316816272"/>
        <c:scaling>
          <c:orientation val="minMax"/>
        </c:scaling>
        <c:delete val="0"/>
        <c:axPos val="l"/>
        <c:majorGridlines/>
        <c:title>
          <c:tx>
            <c:rich>
              <a:bodyPr rot="-5400000" vert="horz"/>
              <a:lstStyle/>
              <a:p>
                <a:pPr>
                  <a:defRPr/>
                </a:pPr>
                <a:r>
                  <a:rPr lang="en-US"/>
                  <a:t>Cake % TS</a:t>
                </a:r>
              </a:p>
            </c:rich>
          </c:tx>
          <c:overlay val="0"/>
        </c:title>
        <c:numFmt formatCode="#,##0.0" sourceLinked="1"/>
        <c:majorTickMark val="out"/>
        <c:minorTickMark val="none"/>
        <c:tickLblPos val="nextTo"/>
        <c:crossAx val="316818624"/>
        <c:crosses val="autoZero"/>
        <c:crossBetween val="between"/>
      </c:valAx>
      <c:dateAx>
        <c:axId val="180305744"/>
        <c:scaling>
          <c:orientation val="minMax"/>
        </c:scaling>
        <c:delete val="1"/>
        <c:axPos val="b"/>
        <c:numFmt formatCode="mm/dd/yy;@" sourceLinked="1"/>
        <c:majorTickMark val="out"/>
        <c:minorTickMark val="none"/>
        <c:tickLblPos val="nextTo"/>
        <c:crossAx val="180306528"/>
        <c:crosses val="autoZero"/>
        <c:auto val="1"/>
        <c:lblOffset val="100"/>
        <c:baseTimeUnit val="days"/>
      </c:dateAx>
      <c:valAx>
        <c:axId val="180306528"/>
        <c:scaling>
          <c:orientation val="minMax"/>
        </c:scaling>
        <c:delete val="0"/>
        <c:axPos val="r"/>
        <c:title>
          <c:tx>
            <c:rich>
              <a:bodyPr rot="-5400000" vert="horz"/>
              <a:lstStyle/>
              <a:p>
                <a:pPr>
                  <a:defRPr/>
                </a:pPr>
                <a:r>
                  <a:rPr lang="en-US"/>
                  <a:t>Polymer #/DT</a:t>
                </a:r>
              </a:p>
            </c:rich>
          </c:tx>
          <c:overlay val="0"/>
        </c:title>
        <c:numFmt formatCode="#,##0.0" sourceLinked="1"/>
        <c:majorTickMark val="out"/>
        <c:minorTickMark val="none"/>
        <c:tickLblPos val="nextTo"/>
        <c:crossAx val="180305744"/>
        <c:crosses val="max"/>
        <c:crossBetween val="between"/>
      </c:valAx>
    </c:plotArea>
    <c:legend>
      <c:legendPos val="b"/>
      <c:overlay val="0"/>
    </c:legend>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Caustic, Glycerin, Ferric &amp; Hypo</a:t>
            </a:r>
          </a:p>
        </c:rich>
      </c:tx>
      <c:overlay val="0"/>
    </c:title>
    <c:autoTitleDeleted val="0"/>
    <c:plotArea>
      <c:layout>
        <c:manualLayout>
          <c:layoutTarget val="inner"/>
          <c:xMode val="edge"/>
          <c:yMode val="edge"/>
          <c:x val="0.17039673190457488"/>
          <c:y val="0.25405461336564"/>
          <c:w val="0.7539290935263645"/>
          <c:h val="0.47419148533826838"/>
        </c:manualLayout>
      </c:layout>
      <c:lineChart>
        <c:grouping val="standard"/>
        <c:varyColors val="0"/>
        <c:ser>
          <c:idx val="0"/>
          <c:order val="0"/>
          <c:tx>
            <c:v>caustic</c:v>
          </c:tx>
          <c:cat>
            <c:numRef>
              <c:f>FER!$B$17:$B$21</c:f>
              <c:numCache>
                <c:formatCode>mm/dd/yy;@</c:formatCode>
                <c:ptCount val="5"/>
                <c:pt idx="0">
                  <c:v>42365</c:v>
                </c:pt>
                <c:pt idx="1">
                  <c:v>42372</c:v>
                </c:pt>
                <c:pt idx="2">
                  <c:v>42379</c:v>
                </c:pt>
                <c:pt idx="3">
                  <c:v>42386</c:v>
                </c:pt>
                <c:pt idx="4">
                  <c:v>42393</c:v>
                </c:pt>
              </c:numCache>
            </c:numRef>
          </c:cat>
          <c:val>
            <c:numRef>
              <c:f>FER!$V$17:$V$21</c:f>
              <c:numCache>
                <c:formatCode>0</c:formatCode>
                <c:ptCount val="5"/>
                <c:pt idx="0">
                  <c:v>440</c:v>
                </c:pt>
                <c:pt idx="1">
                  <c:v>130</c:v>
                </c:pt>
                <c:pt idx="2">
                  <c:v>0</c:v>
                </c:pt>
                <c:pt idx="3">
                  <c:v>0</c:v>
                </c:pt>
                <c:pt idx="4">
                  <c:v>0</c:v>
                </c:pt>
              </c:numCache>
            </c:numRef>
          </c:val>
          <c:smooth val="0"/>
        </c:ser>
        <c:ser>
          <c:idx val="1"/>
          <c:order val="1"/>
          <c:tx>
            <c:v>Glycerin</c:v>
          </c:tx>
          <c:cat>
            <c:numRef>
              <c:f>FER!$B$17:$B$21</c:f>
              <c:numCache>
                <c:formatCode>mm/dd/yy;@</c:formatCode>
                <c:ptCount val="5"/>
                <c:pt idx="0">
                  <c:v>42365</c:v>
                </c:pt>
                <c:pt idx="1">
                  <c:v>42372</c:v>
                </c:pt>
                <c:pt idx="2">
                  <c:v>42379</c:v>
                </c:pt>
                <c:pt idx="3">
                  <c:v>42386</c:v>
                </c:pt>
                <c:pt idx="4">
                  <c:v>42393</c:v>
                </c:pt>
              </c:numCache>
            </c:numRef>
          </c:cat>
          <c:val>
            <c:numRef>
              <c:f>FER!$W$17:$W$21</c:f>
              <c:numCache>
                <c:formatCode>0</c:formatCode>
                <c:ptCount val="5"/>
                <c:pt idx="0">
                  <c:v>0</c:v>
                </c:pt>
                <c:pt idx="1">
                  <c:v>0</c:v>
                </c:pt>
                <c:pt idx="2">
                  <c:v>0</c:v>
                </c:pt>
                <c:pt idx="3">
                  <c:v>0</c:v>
                </c:pt>
                <c:pt idx="4">
                  <c:v>0</c:v>
                </c:pt>
              </c:numCache>
            </c:numRef>
          </c:val>
          <c:smooth val="0"/>
        </c:ser>
        <c:ser>
          <c:idx val="2"/>
          <c:order val="2"/>
          <c:tx>
            <c:v>ferric</c:v>
          </c:tx>
          <c:cat>
            <c:numRef>
              <c:f>FER!$B$17:$B$21</c:f>
              <c:numCache>
                <c:formatCode>mm/dd/yy;@</c:formatCode>
                <c:ptCount val="5"/>
                <c:pt idx="0">
                  <c:v>42365</c:v>
                </c:pt>
                <c:pt idx="1">
                  <c:v>42372</c:v>
                </c:pt>
                <c:pt idx="2">
                  <c:v>42379</c:v>
                </c:pt>
                <c:pt idx="3">
                  <c:v>42386</c:v>
                </c:pt>
                <c:pt idx="4">
                  <c:v>42393</c:v>
                </c:pt>
              </c:numCache>
            </c:numRef>
          </c:cat>
          <c:val>
            <c:numRef>
              <c:f>FER!$X$17:$X$21</c:f>
              <c:numCache>
                <c:formatCode>0</c:formatCode>
                <c:ptCount val="5"/>
                <c:pt idx="0">
                  <c:v>70.900000000000006</c:v>
                </c:pt>
                <c:pt idx="1">
                  <c:v>15.1</c:v>
                </c:pt>
                <c:pt idx="2">
                  <c:v>0</c:v>
                </c:pt>
                <c:pt idx="3">
                  <c:v>0</c:v>
                </c:pt>
                <c:pt idx="4">
                  <c:v>0</c:v>
                </c:pt>
              </c:numCache>
            </c:numRef>
          </c:val>
          <c:smooth val="0"/>
        </c:ser>
        <c:ser>
          <c:idx val="3"/>
          <c:order val="3"/>
          <c:tx>
            <c:v>Hypo</c:v>
          </c:tx>
          <c:cat>
            <c:numRef>
              <c:f>FER!$B$17:$B$21</c:f>
              <c:numCache>
                <c:formatCode>mm/dd/yy;@</c:formatCode>
                <c:ptCount val="5"/>
                <c:pt idx="0">
                  <c:v>42365</c:v>
                </c:pt>
                <c:pt idx="1">
                  <c:v>42372</c:v>
                </c:pt>
                <c:pt idx="2">
                  <c:v>42379</c:v>
                </c:pt>
                <c:pt idx="3">
                  <c:v>42386</c:v>
                </c:pt>
                <c:pt idx="4">
                  <c:v>42393</c:v>
                </c:pt>
              </c:numCache>
            </c:numRef>
          </c:cat>
          <c:val>
            <c:numRef>
              <c:f>FER!$Y$17:$Y$21</c:f>
              <c:numCache>
                <c:formatCode>0</c:formatCode>
                <c:ptCount val="5"/>
                <c:pt idx="0">
                  <c:v>600</c:v>
                </c:pt>
                <c:pt idx="1">
                  <c:v>320</c:v>
                </c:pt>
                <c:pt idx="2">
                  <c:v>960</c:v>
                </c:pt>
                <c:pt idx="3">
                  <c:v>1020</c:v>
                </c:pt>
                <c:pt idx="4">
                  <c:v>950</c:v>
                </c:pt>
              </c:numCache>
            </c:numRef>
          </c:val>
          <c:smooth val="0"/>
        </c:ser>
        <c:dLbls>
          <c:showLegendKey val="0"/>
          <c:showVal val="0"/>
          <c:showCatName val="0"/>
          <c:showSerName val="0"/>
          <c:showPercent val="0"/>
          <c:showBubbleSize val="0"/>
        </c:dLbls>
        <c:marker val="1"/>
        <c:smooth val="0"/>
        <c:axId val="287404088"/>
        <c:axId val="222319040"/>
      </c:lineChart>
      <c:dateAx>
        <c:axId val="287404088"/>
        <c:scaling>
          <c:orientation val="minMax"/>
        </c:scaling>
        <c:delete val="0"/>
        <c:axPos val="b"/>
        <c:numFmt formatCode="mm/dd/yy;@" sourceLinked="0"/>
        <c:majorTickMark val="out"/>
        <c:minorTickMark val="none"/>
        <c:tickLblPos val="nextTo"/>
        <c:crossAx val="222319040"/>
        <c:crosses val="autoZero"/>
        <c:auto val="1"/>
        <c:lblOffset val="100"/>
        <c:baseTimeUnit val="days"/>
        <c:majorUnit val="7"/>
        <c:majorTimeUnit val="days"/>
      </c:dateAx>
      <c:valAx>
        <c:axId val="222319040"/>
        <c:scaling>
          <c:orientation val="minMax"/>
        </c:scaling>
        <c:delete val="0"/>
        <c:axPos val="l"/>
        <c:majorGridlines/>
        <c:title>
          <c:tx>
            <c:rich>
              <a:bodyPr rot="-5400000" vert="horz"/>
              <a:lstStyle/>
              <a:p>
                <a:pPr>
                  <a:defRPr/>
                </a:pPr>
                <a:r>
                  <a:rPr lang="en-US"/>
                  <a:t>gals/day</a:t>
                </a:r>
              </a:p>
            </c:rich>
          </c:tx>
          <c:overlay val="0"/>
        </c:title>
        <c:numFmt formatCode="0" sourceLinked="1"/>
        <c:majorTickMark val="out"/>
        <c:minorTickMark val="none"/>
        <c:tickLblPos val="nextTo"/>
        <c:crossAx val="287404088"/>
        <c:crosses val="autoZero"/>
        <c:crossBetween val="between"/>
      </c:valAx>
    </c:plotArea>
    <c:legend>
      <c:legendPos val="b"/>
      <c:overlay val="0"/>
    </c:legend>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BOWERY BAY WASTEWATER POLLUTION CONTROL</a:t>
            </a:r>
          </a:p>
        </c:rich>
      </c:tx>
      <c:layout>
        <c:manualLayout>
          <c:xMode val="edge"/>
          <c:yMode val="edge"/>
          <c:x val="0.31857663174087275"/>
          <c:y val="2.8880839895013125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5.2083377484959476E-2"/>
          <c:y val="0.24548736462094251"/>
          <c:w val="0.93663273843785466"/>
          <c:h val="0.65342960288811569"/>
        </c:manualLayout>
      </c:layout>
      <c:lineChart>
        <c:grouping val="standard"/>
        <c:varyColors val="0"/>
        <c:ser>
          <c:idx val="0"/>
          <c:order val="0"/>
          <c:tx>
            <c:v>EFF. SS.</c:v>
          </c:tx>
          <c:spPr>
            <a:ln w="25400">
              <a:solidFill>
                <a:srgbClr val="3366FF"/>
              </a:solidFill>
              <a:prstDash val="solid"/>
            </a:ln>
          </c:spPr>
          <c:marker>
            <c:symbol val="triangle"/>
            <c:size val="5"/>
            <c:spPr>
              <a:solidFill>
                <a:srgbClr val="800000"/>
              </a:solidFill>
              <a:ln>
                <a:solidFill>
                  <a:srgbClr val="000000"/>
                </a:solidFill>
                <a:prstDash val="solid"/>
              </a:ln>
            </c:spPr>
          </c:marker>
          <c:cat>
            <c:strRef>
              <c:f>AT_!$B$11:$B$41</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AT_!$K$11:$K$41</c:f>
              <c:numCache>
                <c:formatCode>0</c:formatCode>
                <c:ptCount val="31"/>
                <c:pt idx="0">
                  <c:v>3</c:v>
                </c:pt>
                <c:pt idx="1">
                  <c:v>3</c:v>
                </c:pt>
                <c:pt idx="2">
                  <c:v>3</c:v>
                </c:pt>
                <c:pt idx="3">
                  <c:v>5</c:v>
                </c:pt>
                <c:pt idx="4">
                  <c:v>0</c:v>
                </c:pt>
                <c:pt idx="5">
                  <c:v>4</c:v>
                </c:pt>
                <c:pt idx="6">
                  <c:v>4</c:v>
                </c:pt>
                <c:pt idx="7">
                  <c:v>4</c:v>
                </c:pt>
                <c:pt idx="8">
                  <c:v>8</c:v>
                </c:pt>
                <c:pt idx="9">
                  <c:v>18</c:v>
                </c:pt>
                <c:pt idx="10">
                  <c:v>6</c:v>
                </c:pt>
                <c:pt idx="11">
                  <c:v>5</c:v>
                </c:pt>
                <c:pt idx="12">
                  <c:v>21</c:v>
                </c:pt>
                <c:pt idx="13">
                  <c:v>24</c:v>
                </c:pt>
                <c:pt idx="14">
                  <c:v>19</c:v>
                </c:pt>
                <c:pt idx="15">
                  <c:v>52</c:v>
                </c:pt>
                <c:pt idx="16">
                  <c:v>17</c:v>
                </c:pt>
                <c:pt idx="17">
                  <c:v>28</c:v>
                </c:pt>
                <c:pt idx="18">
                  <c:v>17</c:v>
                </c:pt>
                <c:pt idx="19">
                  <c:v>16</c:v>
                </c:pt>
                <c:pt idx="20">
                  <c:v>10</c:v>
                </c:pt>
                <c:pt idx="21">
                  <c:v>10</c:v>
                </c:pt>
                <c:pt idx="22">
                  <c:v>90</c:v>
                </c:pt>
                <c:pt idx="23">
                  <c:v>22</c:v>
                </c:pt>
                <c:pt idx="24">
                  <c:v>9</c:v>
                </c:pt>
                <c:pt idx="25">
                  <c:v>17</c:v>
                </c:pt>
                <c:pt idx="26">
                  <c:v>13</c:v>
                </c:pt>
                <c:pt idx="27">
                  <c:v>9</c:v>
                </c:pt>
                <c:pt idx="28">
                  <c:v>8</c:v>
                </c:pt>
                <c:pt idx="29">
                  <c:v>8</c:v>
                </c:pt>
                <c:pt idx="30">
                  <c:v>12</c:v>
                </c:pt>
              </c:numCache>
            </c:numRef>
          </c:val>
          <c:smooth val="0"/>
        </c:ser>
        <c:ser>
          <c:idx val="1"/>
          <c:order val="1"/>
          <c:tx>
            <c:v>eff CBOD</c:v>
          </c:tx>
          <c:spPr>
            <a:ln w="25400">
              <a:solidFill>
                <a:srgbClr val="FF0000"/>
              </a:solidFill>
              <a:prstDash val="solid"/>
            </a:ln>
          </c:spPr>
          <c:marker>
            <c:symbol val="triangle"/>
            <c:size val="5"/>
            <c:spPr>
              <a:solidFill>
                <a:srgbClr val="0000FF"/>
              </a:solidFill>
              <a:ln>
                <a:solidFill>
                  <a:srgbClr val="000000"/>
                </a:solidFill>
                <a:prstDash val="solid"/>
              </a:ln>
            </c:spPr>
          </c:marker>
          <c:cat>
            <c:strRef>
              <c:f>AT_!$B$11:$B$41</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AT_!$AF$11:$AF$41</c:f>
              <c:numCache>
                <c:formatCode>0</c:formatCode>
                <c:ptCount val="31"/>
                <c:pt idx="0">
                  <c:v>2</c:v>
                </c:pt>
                <c:pt idx="1">
                  <c:v>2</c:v>
                </c:pt>
                <c:pt idx="2">
                  <c:v>2</c:v>
                </c:pt>
                <c:pt idx="3">
                  <c:v>2</c:v>
                </c:pt>
                <c:pt idx="4">
                  <c:v>0</c:v>
                </c:pt>
                <c:pt idx="5">
                  <c:v>3</c:v>
                </c:pt>
                <c:pt idx="6">
                  <c:v>2</c:v>
                </c:pt>
                <c:pt idx="7">
                  <c:v>3</c:v>
                </c:pt>
                <c:pt idx="8">
                  <c:v>4</c:v>
                </c:pt>
                <c:pt idx="9">
                  <c:v>12</c:v>
                </c:pt>
                <c:pt idx="10">
                  <c:v>3</c:v>
                </c:pt>
                <c:pt idx="11">
                  <c:v>2</c:v>
                </c:pt>
                <c:pt idx="12">
                  <c:v>6</c:v>
                </c:pt>
                <c:pt idx="13">
                  <c:v>8</c:v>
                </c:pt>
                <c:pt idx="14">
                  <c:v>6</c:v>
                </c:pt>
                <c:pt idx="15">
                  <c:v>12</c:v>
                </c:pt>
                <c:pt idx="16">
                  <c:v>7</c:v>
                </c:pt>
                <c:pt idx="17">
                  <c:v>9</c:v>
                </c:pt>
                <c:pt idx="18">
                  <c:v>8</c:v>
                </c:pt>
                <c:pt idx="19">
                  <c:v>8</c:v>
                </c:pt>
                <c:pt idx="20">
                  <c:v>5</c:v>
                </c:pt>
                <c:pt idx="21">
                  <c:v>4</c:v>
                </c:pt>
                <c:pt idx="22">
                  <c:v>33</c:v>
                </c:pt>
                <c:pt idx="23">
                  <c:v>16</c:v>
                </c:pt>
                <c:pt idx="24">
                  <c:v>6</c:v>
                </c:pt>
                <c:pt idx="25">
                  <c:v>10</c:v>
                </c:pt>
                <c:pt idx="26">
                  <c:v>8</c:v>
                </c:pt>
                <c:pt idx="27">
                  <c:v>8</c:v>
                </c:pt>
                <c:pt idx="28">
                  <c:v>5</c:v>
                </c:pt>
                <c:pt idx="29">
                  <c:v>4</c:v>
                </c:pt>
                <c:pt idx="30">
                  <c:v>8</c:v>
                </c:pt>
              </c:numCache>
            </c:numRef>
          </c:val>
          <c:smooth val="0"/>
        </c:ser>
        <c:dLbls>
          <c:showLegendKey val="0"/>
          <c:showVal val="0"/>
          <c:showCatName val="0"/>
          <c:showSerName val="0"/>
          <c:showPercent val="0"/>
          <c:showBubbleSize val="0"/>
        </c:dLbls>
        <c:marker val="1"/>
        <c:smooth val="0"/>
        <c:axId val="30657696"/>
        <c:axId val="30658088"/>
      </c:lineChart>
      <c:catAx>
        <c:axId val="30657696"/>
        <c:scaling>
          <c:orientation val="minMax"/>
        </c:scaling>
        <c:delete val="0"/>
        <c:axPos val="b"/>
        <c:majorGridlines>
          <c:spPr>
            <a:ln w="3175">
              <a:solidFill>
                <a:srgbClr val="000000"/>
              </a:solidFill>
              <a:prstDash val="solid"/>
            </a:ln>
          </c:spPr>
        </c:majorGridlines>
        <c:title>
          <c:tx>
            <c:strRef>
              <c:f>AT_!$B$11:$CE$41</c:f>
              <c:strCache>
                <c:ptCount val="25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116</c:v>
                </c:pt>
                <c:pt idx="32">
                  <c:v>114</c:v>
                </c:pt>
                <c:pt idx="33">
                  <c:v>130</c:v>
                </c:pt>
                <c:pt idx="34">
                  <c:v>133</c:v>
                </c:pt>
                <c:pt idx="35">
                  <c:v>132</c:v>
                </c:pt>
                <c:pt idx="36">
                  <c:v>238</c:v>
                </c:pt>
                <c:pt idx="37">
                  <c:v>152</c:v>
                </c:pt>
                <c:pt idx="38">
                  <c:v>166</c:v>
                </c:pt>
                <c:pt idx="39">
                  <c:v>192</c:v>
                </c:pt>
                <c:pt idx="40">
                  <c:v>120</c:v>
                </c:pt>
                <c:pt idx="41">
                  <c:v>116</c:v>
                </c:pt>
                <c:pt idx="42">
                  <c:v>106</c:v>
                </c:pt>
                <c:pt idx="43">
                  <c:v>130</c:v>
                </c:pt>
                <c:pt idx="44">
                  <c:v>120</c:v>
                </c:pt>
                <c:pt idx="45">
                  <c:v>140</c:v>
                </c:pt>
                <c:pt idx="46">
                  <c:v>128</c:v>
                </c:pt>
                <c:pt idx="47">
                  <c:v>136</c:v>
                </c:pt>
                <c:pt idx="48">
                  <c:v>148</c:v>
                </c:pt>
                <c:pt idx="49">
                  <c:v>120</c:v>
                </c:pt>
                <c:pt idx="50">
                  <c:v>122</c:v>
                </c:pt>
                <c:pt idx="51">
                  <c:v>156</c:v>
                </c:pt>
                <c:pt idx="52">
                  <c:v>126</c:v>
                </c:pt>
                <c:pt idx="53">
                  <c:v>164</c:v>
                </c:pt>
                <c:pt idx="54">
                  <c:v>132</c:v>
                </c:pt>
                <c:pt idx="55">
                  <c:v>146</c:v>
                </c:pt>
                <c:pt idx="56">
                  <c:v>256</c:v>
                </c:pt>
                <c:pt idx="57">
                  <c:v>148</c:v>
                </c:pt>
                <c:pt idx="58">
                  <c:v>108</c:v>
                </c:pt>
                <c:pt idx="59">
                  <c:v>176</c:v>
                </c:pt>
                <c:pt idx="60">
                  <c:v>142</c:v>
                </c:pt>
                <c:pt idx="61">
                  <c:v>132</c:v>
                </c:pt>
                <c:pt idx="65">
                  <c:v>83.5</c:v>
                </c:pt>
                <c:pt idx="67">
                  <c:v>80.7</c:v>
                </c:pt>
                <c:pt idx="72">
                  <c:v>77.6</c:v>
                </c:pt>
                <c:pt idx="74">
                  <c:v>78.5</c:v>
                </c:pt>
                <c:pt idx="79">
                  <c:v>83.8</c:v>
                </c:pt>
                <c:pt idx="81">
                  <c:v>78.7</c:v>
                </c:pt>
                <c:pt idx="86">
                  <c:v>82.2</c:v>
                </c:pt>
                <c:pt idx="88">
                  <c:v>85.1</c:v>
                </c:pt>
                <c:pt idx="93">
                  <c:v>120</c:v>
                </c:pt>
                <c:pt idx="94">
                  <c:v>116</c:v>
                </c:pt>
                <c:pt idx="95">
                  <c:v>132</c:v>
                </c:pt>
                <c:pt idx="96">
                  <c:v>152</c:v>
                </c:pt>
                <c:pt idx="97">
                  <c:v>126</c:v>
                </c:pt>
                <c:pt idx="98">
                  <c:v>184</c:v>
                </c:pt>
                <c:pt idx="99">
                  <c:v>148</c:v>
                </c:pt>
                <c:pt idx="100">
                  <c:v>136</c:v>
                </c:pt>
                <c:pt idx="101">
                  <c:v>140</c:v>
                </c:pt>
                <c:pt idx="102">
                  <c:v>84</c:v>
                </c:pt>
                <c:pt idx="103">
                  <c:v>115</c:v>
                </c:pt>
                <c:pt idx="104">
                  <c:v>116</c:v>
                </c:pt>
                <c:pt idx="105">
                  <c:v>148</c:v>
                </c:pt>
                <c:pt idx="106">
                  <c:v>116</c:v>
                </c:pt>
                <c:pt idx="107">
                  <c:v>162</c:v>
                </c:pt>
                <c:pt idx="108">
                  <c:v>120</c:v>
                </c:pt>
                <c:pt idx="109">
                  <c:v>144</c:v>
                </c:pt>
                <c:pt idx="110">
                  <c:v>132</c:v>
                </c:pt>
                <c:pt idx="111">
                  <c:v>124</c:v>
                </c:pt>
                <c:pt idx="112">
                  <c:v>116</c:v>
                </c:pt>
                <c:pt idx="113">
                  <c:v>160</c:v>
                </c:pt>
                <c:pt idx="114">
                  <c:v>145</c:v>
                </c:pt>
                <c:pt idx="115">
                  <c:v>132</c:v>
                </c:pt>
                <c:pt idx="116">
                  <c:v>128</c:v>
                </c:pt>
                <c:pt idx="117">
                  <c:v>144</c:v>
                </c:pt>
                <c:pt idx="118">
                  <c:v>140</c:v>
                </c:pt>
                <c:pt idx="119">
                  <c:v>98</c:v>
                </c:pt>
                <c:pt idx="120">
                  <c:v>110</c:v>
                </c:pt>
                <c:pt idx="121">
                  <c:v>124</c:v>
                </c:pt>
                <c:pt idx="122">
                  <c:v>124</c:v>
                </c:pt>
                <c:pt idx="123">
                  <c:v>130</c:v>
                </c:pt>
                <c:pt idx="127">
                  <c:v>84.2</c:v>
                </c:pt>
                <c:pt idx="129">
                  <c:v>80.4</c:v>
                </c:pt>
                <c:pt idx="134">
                  <c:v>82.7</c:v>
                </c:pt>
                <c:pt idx="136">
                  <c:v>83.8</c:v>
                </c:pt>
                <c:pt idx="141">
                  <c:v>81.8</c:v>
                </c:pt>
                <c:pt idx="143">
                  <c:v>82.8</c:v>
                </c:pt>
                <c:pt idx="148">
                  <c:v>83.3</c:v>
                </c:pt>
                <c:pt idx="150">
                  <c:v>78.6</c:v>
                </c:pt>
                <c:pt idx="155">
                  <c:v>117</c:v>
                </c:pt>
                <c:pt idx="156">
                  <c:v>115</c:v>
                </c:pt>
                <c:pt idx="157">
                  <c:v>131</c:v>
                </c:pt>
                <c:pt idx="158">
                  <c:v>140</c:v>
                </c:pt>
                <c:pt idx="159">
                  <c:v>130</c:v>
                </c:pt>
                <c:pt idx="160">
                  <c:v>219</c:v>
                </c:pt>
                <c:pt idx="161">
                  <c:v>151</c:v>
                </c:pt>
                <c:pt idx="162">
                  <c:v>156</c:v>
                </c:pt>
                <c:pt idx="163">
                  <c:v>174</c:v>
                </c:pt>
                <c:pt idx="164">
                  <c:v>107</c:v>
                </c:pt>
                <c:pt idx="165">
                  <c:v>116</c:v>
                </c:pt>
                <c:pt idx="166">
                  <c:v>110</c:v>
                </c:pt>
                <c:pt idx="167">
                  <c:v>136</c:v>
                </c:pt>
                <c:pt idx="168">
                  <c:v>119</c:v>
                </c:pt>
                <c:pt idx="169">
                  <c:v>148</c:v>
                </c:pt>
                <c:pt idx="170">
                  <c:v>125</c:v>
                </c:pt>
                <c:pt idx="171">
                  <c:v>139</c:v>
                </c:pt>
                <c:pt idx="172">
                  <c:v>142</c:v>
                </c:pt>
                <c:pt idx="173">
                  <c:v>121</c:v>
                </c:pt>
                <c:pt idx="174">
                  <c:v>120</c:v>
                </c:pt>
                <c:pt idx="175">
                  <c:v>157</c:v>
                </c:pt>
                <c:pt idx="176">
                  <c:v>133</c:v>
                </c:pt>
                <c:pt idx="177">
                  <c:v>153</c:v>
                </c:pt>
                <c:pt idx="178">
                  <c:v>131</c:v>
                </c:pt>
                <c:pt idx="179">
                  <c:v>145</c:v>
                </c:pt>
                <c:pt idx="180">
                  <c:v>215</c:v>
                </c:pt>
                <c:pt idx="181">
                  <c:v>131</c:v>
                </c:pt>
                <c:pt idx="182">
                  <c:v>109</c:v>
                </c:pt>
                <c:pt idx="183">
                  <c:v>158</c:v>
                </c:pt>
                <c:pt idx="184">
                  <c:v>136</c:v>
                </c:pt>
                <c:pt idx="185">
                  <c:v>131</c:v>
                </c:pt>
                <c:pt idx="189">
                  <c:v>83.7</c:v>
                </c:pt>
                <c:pt idx="191">
                  <c:v>80.6</c:v>
                </c:pt>
                <c:pt idx="196">
                  <c:v>79.4</c:v>
                </c:pt>
                <c:pt idx="198">
                  <c:v>80.4</c:v>
                </c:pt>
                <c:pt idx="203">
                  <c:v>83.1</c:v>
                </c:pt>
                <c:pt idx="205">
                  <c:v>80.1</c:v>
                </c:pt>
                <c:pt idx="210">
                  <c:v>82.6</c:v>
                </c:pt>
                <c:pt idx="212">
                  <c:v>82.8</c:v>
                </c:pt>
                <c:pt idx="219">
                  <c:v>72</c:v>
                </c:pt>
                <c:pt idx="220">
                  <c:v>68</c:v>
                </c:pt>
                <c:pt idx="221">
                  <c:v>48</c:v>
                </c:pt>
                <c:pt idx="222">
                  <c:v>48</c:v>
                </c:pt>
                <c:pt idx="223">
                  <c:v>63</c:v>
                </c:pt>
                <c:pt idx="226">
                  <c:v>122</c:v>
                </c:pt>
                <c:pt idx="227">
                  <c:v>64</c:v>
                </c:pt>
                <c:pt idx="228">
                  <c:v>80</c:v>
                </c:pt>
                <c:pt idx="229">
                  <c:v>54</c:v>
                </c:pt>
                <c:pt idx="230">
                  <c:v>64</c:v>
                </c:pt>
                <c:pt idx="234">
                  <c:v>72</c:v>
                </c:pt>
                <c:pt idx="235">
                  <c:v>46</c:v>
                </c:pt>
                <c:pt idx="236">
                  <c:v>50</c:v>
                </c:pt>
                <c:pt idx="237">
                  <c:v>52</c:v>
                </c:pt>
                <c:pt idx="240">
                  <c:v>84</c:v>
                </c:pt>
                <c:pt idx="241">
                  <c:v>82</c:v>
                </c:pt>
                <c:pt idx="242">
                  <c:v>54</c:v>
                </c:pt>
                <c:pt idx="243">
                  <c:v>96</c:v>
                </c:pt>
                <c:pt idx="244">
                  <c:v>72</c:v>
                </c:pt>
                <c:pt idx="247">
                  <c:v>60</c:v>
                </c:pt>
                <c:pt idx="250">
                  <c:v>70</c:v>
                </c:pt>
                <c:pt idx="251">
                  <c:v>86</c:v>
                </c:pt>
                <c:pt idx="252">
                  <c:v>82</c:v>
                </c:pt>
                <c:pt idx="253">
                  <c:v>108</c:v>
                </c:pt>
                <c:pt idx="254">
                  <c:v>60</c:v>
                </c:pt>
                <c:pt idx="257">
                  <c:v>114</c:v>
                </c:pt>
                <c:pt idx="258">
                  <c:v>80</c:v>
                </c:pt>
                <c:pt idx="259">
                  <c:v>82</c:v>
                </c:pt>
                <c:pt idx="260">
                  <c:v>62</c:v>
                </c:pt>
                <c:pt idx="261">
                  <c:v>76</c:v>
                </c:pt>
                <c:pt idx="265">
                  <c:v>76</c:v>
                </c:pt>
                <c:pt idx="266">
                  <c:v>84</c:v>
                </c:pt>
                <c:pt idx="267">
                  <c:v>82</c:v>
                </c:pt>
                <c:pt idx="268">
                  <c:v>88</c:v>
                </c:pt>
                <c:pt idx="271">
                  <c:v>110</c:v>
                </c:pt>
                <c:pt idx="272">
                  <c:v>116</c:v>
                </c:pt>
                <c:pt idx="273">
                  <c:v>138</c:v>
                </c:pt>
                <c:pt idx="274">
                  <c:v>68</c:v>
                </c:pt>
                <c:pt idx="275">
                  <c:v>84</c:v>
                </c:pt>
                <c:pt idx="278">
                  <c:v>72</c:v>
                </c:pt>
                <c:pt idx="279">
                  <c:v>3</c:v>
                </c:pt>
                <c:pt idx="280">
                  <c:v>3</c:v>
                </c:pt>
                <c:pt idx="281">
                  <c:v>3</c:v>
                </c:pt>
                <c:pt idx="282">
                  <c:v>5</c:v>
                </c:pt>
                <c:pt idx="283">
                  <c:v>5*</c:v>
                </c:pt>
                <c:pt idx="284">
                  <c:v>4</c:v>
                </c:pt>
                <c:pt idx="285">
                  <c:v>4</c:v>
                </c:pt>
                <c:pt idx="286">
                  <c:v>4</c:v>
                </c:pt>
                <c:pt idx="287">
                  <c:v>8</c:v>
                </c:pt>
                <c:pt idx="288">
                  <c:v>18</c:v>
                </c:pt>
                <c:pt idx="289">
                  <c:v>6</c:v>
                </c:pt>
                <c:pt idx="290">
                  <c:v>5</c:v>
                </c:pt>
                <c:pt idx="291">
                  <c:v>21</c:v>
                </c:pt>
                <c:pt idx="292">
                  <c:v>24</c:v>
                </c:pt>
                <c:pt idx="293">
                  <c:v>19</c:v>
                </c:pt>
                <c:pt idx="294">
                  <c:v>52</c:v>
                </c:pt>
                <c:pt idx="295">
                  <c:v>17</c:v>
                </c:pt>
                <c:pt idx="296">
                  <c:v>28</c:v>
                </c:pt>
                <c:pt idx="297">
                  <c:v>17</c:v>
                </c:pt>
                <c:pt idx="298">
                  <c:v>16</c:v>
                </c:pt>
                <c:pt idx="299">
                  <c:v>10</c:v>
                </c:pt>
                <c:pt idx="300">
                  <c:v>10</c:v>
                </c:pt>
                <c:pt idx="301">
                  <c:v>90</c:v>
                </c:pt>
                <c:pt idx="302">
                  <c:v>22</c:v>
                </c:pt>
                <c:pt idx="303">
                  <c:v>9</c:v>
                </c:pt>
                <c:pt idx="304">
                  <c:v>17</c:v>
                </c:pt>
                <c:pt idx="305">
                  <c:v>13</c:v>
                </c:pt>
                <c:pt idx="306">
                  <c:v>9</c:v>
                </c:pt>
                <c:pt idx="307">
                  <c:v>8</c:v>
                </c:pt>
                <c:pt idx="308">
                  <c:v>8</c:v>
                </c:pt>
                <c:pt idx="309">
                  <c:v>12</c:v>
                </c:pt>
                <c:pt idx="313">
                  <c:v>160</c:v>
                </c:pt>
                <c:pt idx="314">
                  <c:v>210</c:v>
                </c:pt>
                <c:pt idx="315">
                  <c:v>102</c:v>
                </c:pt>
                <c:pt idx="316">
                  <c:v>90</c:v>
                </c:pt>
                <c:pt idx="320">
                  <c:v>240</c:v>
                </c:pt>
                <c:pt idx="321">
                  <c:v>250</c:v>
                </c:pt>
                <c:pt idx="322">
                  <c:v>80</c:v>
                </c:pt>
                <c:pt idx="323">
                  <c:v>100</c:v>
                </c:pt>
                <c:pt idx="327">
                  <c:v>260</c:v>
                </c:pt>
                <c:pt idx="328">
                  <c:v>128</c:v>
                </c:pt>
                <c:pt idx="329">
                  <c:v>132</c:v>
                </c:pt>
                <c:pt idx="330">
                  <c:v>272</c:v>
                </c:pt>
                <c:pt idx="334">
                  <c:v>280</c:v>
                </c:pt>
                <c:pt idx="335">
                  <c:v>194</c:v>
                </c:pt>
                <c:pt idx="336">
                  <c:v>84</c:v>
                </c:pt>
                <c:pt idx="337">
                  <c:v>190</c:v>
                </c:pt>
                <c:pt idx="343">
                  <c:v>2700</c:v>
                </c:pt>
                <c:pt idx="344">
                  <c:v>3200</c:v>
                </c:pt>
                <c:pt idx="345">
                  <c:v>3100</c:v>
                </c:pt>
                <c:pt idx="346">
                  <c:v>3100</c:v>
                </c:pt>
                <c:pt idx="347">
                  <c:v>3400</c:v>
                </c:pt>
                <c:pt idx="350">
                  <c:v>1500</c:v>
                </c:pt>
                <c:pt idx="351">
                  <c:v>2100</c:v>
                </c:pt>
                <c:pt idx="352">
                  <c:v>2100</c:v>
                </c:pt>
                <c:pt idx="353">
                  <c:v>2200</c:v>
                </c:pt>
                <c:pt idx="354">
                  <c:v>1800</c:v>
                </c:pt>
                <c:pt idx="358">
                  <c:v>2200</c:v>
                </c:pt>
                <c:pt idx="359">
                  <c:v>1700</c:v>
                </c:pt>
                <c:pt idx="360">
                  <c:v>3400</c:v>
                </c:pt>
                <c:pt idx="361">
                  <c:v>2300</c:v>
                </c:pt>
                <c:pt idx="364">
                  <c:v>2400</c:v>
                </c:pt>
                <c:pt idx="365">
                  <c:v>1900</c:v>
                </c:pt>
                <c:pt idx="366">
                  <c:v>2800</c:v>
                </c:pt>
                <c:pt idx="367">
                  <c:v>2600</c:v>
                </c:pt>
                <c:pt idx="368">
                  <c:v>2300</c:v>
                </c:pt>
                <c:pt idx="371">
                  <c:v>2200</c:v>
                </c:pt>
                <c:pt idx="374">
                  <c:v>2600</c:v>
                </c:pt>
                <c:pt idx="375">
                  <c:v>2400</c:v>
                </c:pt>
                <c:pt idx="376">
                  <c:v>2500</c:v>
                </c:pt>
                <c:pt idx="377">
                  <c:v>2800</c:v>
                </c:pt>
                <c:pt idx="378">
                  <c:v>2000</c:v>
                </c:pt>
                <c:pt idx="381">
                  <c:v>2200</c:v>
                </c:pt>
                <c:pt idx="382">
                  <c:v>3200</c:v>
                </c:pt>
                <c:pt idx="383">
                  <c:v>3400</c:v>
                </c:pt>
                <c:pt idx="384">
                  <c:v>3400</c:v>
                </c:pt>
                <c:pt idx="385">
                  <c:v>3400</c:v>
                </c:pt>
                <c:pt idx="389">
                  <c:v>4100</c:v>
                </c:pt>
                <c:pt idx="390">
                  <c:v>3800</c:v>
                </c:pt>
                <c:pt idx="391">
                  <c:v>3700</c:v>
                </c:pt>
                <c:pt idx="392">
                  <c:v>4200</c:v>
                </c:pt>
                <c:pt idx="395">
                  <c:v>2900</c:v>
                </c:pt>
                <c:pt idx="396">
                  <c:v>2400</c:v>
                </c:pt>
                <c:pt idx="397">
                  <c:v>3000</c:v>
                </c:pt>
                <c:pt idx="398">
                  <c:v>2500</c:v>
                </c:pt>
                <c:pt idx="399">
                  <c:v>2100</c:v>
                </c:pt>
                <c:pt idx="402">
                  <c:v>2100</c:v>
                </c:pt>
                <c:pt idx="405">
                  <c:v>2900</c:v>
                </c:pt>
                <c:pt idx="406">
                  <c:v>4100</c:v>
                </c:pt>
                <c:pt idx="407">
                  <c:v>4300</c:v>
                </c:pt>
                <c:pt idx="408">
                  <c:v>3800</c:v>
                </c:pt>
                <c:pt idx="409">
                  <c:v>1800</c:v>
                </c:pt>
                <c:pt idx="412">
                  <c:v>2400</c:v>
                </c:pt>
                <c:pt idx="413">
                  <c:v>4100</c:v>
                </c:pt>
                <c:pt idx="414">
                  <c:v>4200</c:v>
                </c:pt>
                <c:pt idx="415">
                  <c:v>2100</c:v>
                </c:pt>
                <c:pt idx="416">
                  <c:v>1800</c:v>
                </c:pt>
                <c:pt idx="420">
                  <c:v>3600</c:v>
                </c:pt>
                <c:pt idx="421">
                  <c:v>2300</c:v>
                </c:pt>
                <c:pt idx="422">
                  <c:v>3300</c:v>
                </c:pt>
                <c:pt idx="423">
                  <c:v>2600</c:v>
                </c:pt>
                <c:pt idx="426">
                  <c:v>2600</c:v>
                </c:pt>
                <c:pt idx="427">
                  <c:v>2300</c:v>
                </c:pt>
                <c:pt idx="428">
                  <c:v>3800</c:v>
                </c:pt>
                <c:pt idx="429">
                  <c:v>4200</c:v>
                </c:pt>
                <c:pt idx="430">
                  <c:v>3100</c:v>
                </c:pt>
                <c:pt idx="433">
                  <c:v>2100</c:v>
                </c:pt>
                <c:pt idx="436">
                  <c:v>2400</c:v>
                </c:pt>
                <c:pt idx="437">
                  <c:v>3300</c:v>
                </c:pt>
                <c:pt idx="438">
                  <c:v>3400</c:v>
                </c:pt>
                <c:pt idx="439">
                  <c:v>3900</c:v>
                </c:pt>
                <c:pt idx="440">
                  <c:v>3100</c:v>
                </c:pt>
                <c:pt idx="443">
                  <c:v>2900</c:v>
                </c:pt>
                <c:pt idx="444">
                  <c:v>4300</c:v>
                </c:pt>
                <c:pt idx="445">
                  <c:v>5100</c:v>
                </c:pt>
                <c:pt idx="446">
                  <c:v>3400</c:v>
                </c:pt>
                <c:pt idx="447">
                  <c:v>3600</c:v>
                </c:pt>
                <c:pt idx="451">
                  <c:v>6100</c:v>
                </c:pt>
                <c:pt idx="452">
                  <c:v>5700</c:v>
                </c:pt>
                <c:pt idx="453">
                  <c:v>5100</c:v>
                </c:pt>
                <c:pt idx="454">
                  <c:v>5100</c:v>
                </c:pt>
                <c:pt idx="457">
                  <c:v>4900</c:v>
                </c:pt>
                <c:pt idx="458">
                  <c:v>4500</c:v>
                </c:pt>
                <c:pt idx="459">
                  <c:v>4000</c:v>
                </c:pt>
                <c:pt idx="460">
                  <c:v>5000</c:v>
                </c:pt>
                <c:pt idx="461">
                  <c:v>4100</c:v>
                </c:pt>
                <c:pt idx="464">
                  <c:v>2100</c:v>
                </c:pt>
                <c:pt idx="467">
                  <c:v>5360</c:v>
                </c:pt>
                <c:pt idx="468">
                  <c:v>5480</c:v>
                </c:pt>
                <c:pt idx="469">
                  <c:v>6160</c:v>
                </c:pt>
                <c:pt idx="470">
                  <c:v>5500</c:v>
                </c:pt>
                <c:pt idx="471">
                  <c:v>3920</c:v>
                </c:pt>
                <c:pt idx="474">
                  <c:v>5600</c:v>
                </c:pt>
                <c:pt idx="475">
                  <c:v>3280</c:v>
                </c:pt>
                <c:pt idx="476">
                  <c:v>3600</c:v>
                </c:pt>
                <c:pt idx="477">
                  <c:v>4300</c:v>
                </c:pt>
                <c:pt idx="478">
                  <c:v>3160</c:v>
                </c:pt>
                <c:pt idx="482">
                  <c:v>2980</c:v>
                </c:pt>
                <c:pt idx="483">
                  <c:v>3160</c:v>
                </c:pt>
                <c:pt idx="484">
                  <c:v>3020</c:v>
                </c:pt>
                <c:pt idx="485">
                  <c:v>3040</c:v>
                </c:pt>
                <c:pt idx="488">
                  <c:v>4600</c:v>
                </c:pt>
                <c:pt idx="489">
                  <c:v>3340</c:v>
                </c:pt>
                <c:pt idx="490">
                  <c:v>3520</c:v>
                </c:pt>
                <c:pt idx="491">
                  <c:v>5140</c:v>
                </c:pt>
                <c:pt idx="492">
                  <c:v>4560</c:v>
                </c:pt>
                <c:pt idx="495">
                  <c:v>4200</c:v>
                </c:pt>
                <c:pt idx="499">
                  <c:v>83.6</c:v>
                </c:pt>
                <c:pt idx="501">
                  <c:v>80.0</c:v>
                </c:pt>
                <c:pt idx="506">
                  <c:v>80.5</c:v>
                </c:pt>
                <c:pt idx="508">
                  <c:v>80.6</c:v>
                </c:pt>
                <c:pt idx="513">
                  <c:v>81.2</c:v>
                </c:pt>
                <c:pt idx="515">
                  <c:v>77.5</c:v>
                </c:pt>
                <c:pt idx="520">
                  <c:v>82.6</c:v>
                </c:pt>
                <c:pt idx="522">
                  <c:v>83.7</c:v>
                </c:pt>
                <c:pt idx="529">
                  <c:v>4340</c:v>
                </c:pt>
                <c:pt idx="530">
                  <c:v>5980</c:v>
                </c:pt>
                <c:pt idx="531">
                  <c:v>4740</c:v>
                </c:pt>
                <c:pt idx="532">
                  <c:v>5140</c:v>
                </c:pt>
                <c:pt idx="533">
                  <c:v>7750</c:v>
                </c:pt>
                <c:pt idx="536">
                  <c:v>10100</c:v>
                </c:pt>
                <c:pt idx="537">
                  <c:v>5860</c:v>
                </c:pt>
                <c:pt idx="538">
                  <c:v>8000</c:v>
                </c:pt>
                <c:pt idx="539">
                  <c:v>9550</c:v>
                </c:pt>
                <c:pt idx="540">
                  <c:v>8520</c:v>
                </c:pt>
                <c:pt idx="544">
                  <c:v>8940</c:v>
                </c:pt>
                <c:pt idx="545">
                  <c:v>7180</c:v>
                </c:pt>
                <c:pt idx="546">
                  <c:v>7460</c:v>
                </c:pt>
                <c:pt idx="547">
                  <c:v>8400</c:v>
                </c:pt>
                <c:pt idx="550">
                  <c:v>6620</c:v>
                </c:pt>
                <c:pt idx="551">
                  <c:v>5460</c:v>
                </c:pt>
                <c:pt idx="552">
                  <c:v>5920</c:v>
                </c:pt>
                <c:pt idx="553">
                  <c:v>6020</c:v>
                </c:pt>
                <c:pt idx="554">
                  <c:v>5540</c:v>
                </c:pt>
                <c:pt idx="557">
                  <c:v>6040</c:v>
                </c:pt>
                <c:pt idx="561">
                  <c:v>84.6</c:v>
                </c:pt>
                <c:pt idx="563">
                  <c:v>79.0</c:v>
                </c:pt>
                <c:pt idx="568">
                  <c:v>80.9</c:v>
                </c:pt>
                <c:pt idx="570">
                  <c:v>81.7</c:v>
                </c:pt>
                <c:pt idx="575">
                  <c:v>84.3</c:v>
                </c:pt>
                <c:pt idx="577">
                  <c:v>80.4</c:v>
                </c:pt>
                <c:pt idx="582">
                  <c:v>82.4</c:v>
                </c:pt>
                <c:pt idx="584">
                  <c:v>82.7</c:v>
                </c:pt>
                <c:pt idx="591">
                  <c:v>1.0</c:v>
                </c:pt>
                <c:pt idx="592">
                  <c:v>0.7</c:v>
                </c:pt>
                <c:pt idx="593">
                  <c:v>0.8</c:v>
                </c:pt>
                <c:pt idx="594">
                  <c:v>0.8</c:v>
                </c:pt>
                <c:pt idx="595">
                  <c:v>1.0</c:v>
                </c:pt>
                <c:pt idx="598">
                  <c:v>1.0</c:v>
                </c:pt>
                <c:pt idx="599">
                  <c:v>0.8</c:v>
                </c:pt>
                <c:pt idx="600">
                  <c:v>1.1</c:v>
                </c:pt>
                <c:pt idx="601">
                  <c:v>0.8</c:v>
                </c:pt>
                <c:pt idx="602">
                  <c:v>0.9</c:v>
                </c:pt>
                <c:pt idx="606">
                  <c:v>1.7</c:v>
                </c:pt>
                <c:pt idx="607">
                  <c:v>1.7</c:v>
                </c:pt>
                <c:pt idx="608">
                  <c:v>2.4</c:v>
                </c:pt>
                <c:pt idx="609">
                  <c:v>1.8</c:v>
                </c:pt>
                <c:pt idx="612">
                  <c:v>1.3</c:v>
                </c:pt>
                <c:pt idx="613">
                  <c:v>1.9</c:v>
                </c:pt>
                <c:pt idx="614">
                  <c:v>2.3</c:v>
                </c:pt>
                <c:pt idx="615">
                  <c:v>1.7</c:v>
                </c:pt>
                <c:pt idx="616">
                  <c:v>1.6</c:v>
                </c:pt>
                <c:pt idx="619">
                  <c:v>1.8</c:v>
                </c:pt>
                <c:pt idx="622">
                  <c:v>0.7</c:v>
                </c:pt>
                <c:pt idx="623">
                  <c:v>0.8</c:v>
                </c:pt>
                <c:pt idx="624">
                  <c:v>0.9</c:v>
                </c:pt>
                <c:pt idx="625">
                  <c:v>0.9</c:v>
                </c:pt>
                <c:pt idx="626">
                  <c:v>0.6</c:v>
                </c:pt>
                <c:pt idx="629">
                  <c:v>0.9</c:v>
                </c:pt>
                <c:pt idx="630">
                  <c:v>0.6</c:v>
                </c:pt>
                <c:pt idx="631">
                  <c:v>0.6</c:v>
                </c:pt>
                <c:pt idx="632">
                  <c:v>0.5</c:v>
                </c:pt>
                <c:pt idx="633">
                  <c:v>0.4</c:v>
                </c:pt>
                <c:pt idx="637">
                  <c:v>0.7</c:v>
                </c:pt>
                <c:pt idx="638">
                  <c:v>0.6</c:v>
                </c:pt>
                <c:pt idx="639">
                  <c:v>0.7</c:v>
                </c:pt>
                <c:pt idx="640">
                  <c:v>0.9</c:v>
                </c:pt>
                <c:pt idx="643">
                  <c:v>0.6</c:v>
                </c:pt>
                <c:pt idx="644">
                  <c:v>1.0</c:v>
                </c:pt>
                <c:pt idx="645">
                  <c:v>0.9</c:v>
                </c:pt>
                <c:pt idx="646">
                  <c:v>0.9</c:v>
                </c:pt>
                <c:pt idx="647">
                  <c:v>0.9</c:v>
                </c:pt>
                <c:pt idx="650">
                  <c:v>0.7</c:v>
                </c:pt>
                <c:pt idx="713">
                  <c:v>1</c:v>
                </c:pt>
                <c:pt idx="714">
                  <c:v>2</c:v>
                </c:pt>
                <c:pt idx="715">
                  <c:v>3</c:v>
                </c:pt>
                <c:pt idx="716">
                  <c:v>4</c:v>
                </c:pt>
                <c:pt idx="717">
                  <c:v>5</c:v>
                </c:pt>
                <c:pt idx="718">
                  <c:v>6</c:v>
                </c:pt>
                <c:pt idx="719">
                  <c:v>7</c:v>
                </c:pt>
                <c:pt idx="720">
                  <c:v>8</c:v>
                </c:pt>
                <c:pt idx="721">
                  <c:v>9</c:v>
                </c:pt>
                <c:pt idx="722">
                  <c:v>10</c:v>
                </c:pt>
                <c:pt idx="723">
                  <c:v>11</c:v>
                </c:pt>
                <c:pt idx="724">
                  <c:v>12</c:v>
                </c:pt>
                <c:pt idx="725">
                  <c:v>13</c:v>
                </c:pt>
                <c:pt idx="726">
                  <c:v>14</c:v>
                </c:pt>
                <c:pt idx="727">
                  <c:v>15</c:v>
                </c:pt>
                <c:pt idx="728">
                  <c:v>16</c:v>
                </c:pt>
                <c:pt idx="729">
                  <c:v>17</c:v>
                </c:pt>
                <c:pt idx="730">
                  <c:v>18</c:v>
                </c:pt>
                <c:pt idx="731">
                  <c:v>19</c:v>
                </c:pt>
                <c:pt idx="732">
                  <c:v>20</c:v>
                </c:pt>
                <c:pt idx="733">
                  <c:v>21</c:v>
                </c:pt>
                <c:pt idx="734">
                  <c:v>22</c:v>
                </c:pt>
                <c:pt idx="735">
                  <c:v>23</c:v>
                </c:pt>
                <c:pt idx="736">
                  <c:v>24</c:v>
                </c:pt>
                <c:pt idx="737">
                  <c:v>25</c:v>
                </c:pt>
                <c:pt idx="738">
                  <c:v>26</c:v>
                </c:pt>
                <c:pt idx="739">
                  <c:v>27</c:v>
                </c:pt>
                <c:pt idx="740">
                  <c:v>28</c:v>
                </c:pt>
                <c:pt idx="741">
                  <c:v>29</c:v>
                </c:pt>
                <c:pt idx="742">
                  <c:v>30</c:v>
                </c:pt>
                <c:pt idx="743">
                  <c:v>31</c:v>
                </c:pt>
                <c:pt idx="744">
                  <c:v>1</c:v>
                </c:pt>
                <c:pt idx="745">
                  <c:v>2</c:v>
                </c:pt>
                <c:pt idx="746">
                  <c:v>3</c:v>
                </c:pt>
                <c:pt idx="747">
                  <c:v>4</c:v>
                </c:pt>
                <c:pt idx="748">
                  <c:v>5</c:v>
                </c:pt>
                <c:pt idx="749">
                  <c:v>6</c:v>
                </c:pt>
                <c:pt idx="750">
                  <c:v>7</c:v>
                </c:pt>
                <c:pt idx="751">
                  <c:v>8</c:v>
                </c:pt>
                <c:pt idx="752">
                  <c:v>9</c:v>
                </c:pt>
                <c:pt idx="753">
                  <c:v>10</c:v>
                </c:pt>
                <c:pt idx="754">
                  <c:v>11</c:v>
                </c:pt>
                <c:pt idx="755">
                  <c:v>12</c:v>
                </c:pt>
                <c:pt idx="756">
                  <c:v>13</c:v>
                </c:pt>
                <c:pt idx="757">
                  <c:v>14</c:v>
                </c:pt>
                <c:pt idx="758">
                  <c:v>15</c:v>
                </c:pt>
                <c:pt idx="759">
                  <c:v>16</c:v>
                </c:pt>
                <c:pt idx="760">
                  <c:v>17</c:v>
                </c:pt>
                <c:pt idx="761">
                  <c:v>18</c:v>
                </c:pt>
                <c:pt idx="762">
                  <c:v>19</c:v>
                </c:pt>
                <c:pt idx="763">
                  <c:v>20</c:v>
                </c:pt>
                <c:pt idx="764">
                  <c:v>21</c:v>
                </c:pt>
                <c:pt idx="765">
                  <c:v>22</c:v>
                </c:pt>
                <c:pt idx="766">
                  <c:v>23</c:v>
                </c:pt>
                <c:pt idx="767">
                  <c:v>24</c:v>
                </c:pt>
                <c:pt idx="768">
                  <c:v>25</c:v>
                </c:pt>
                <c:pt idx="769">
                  <c:v>26</c:v>
                </c:pt>
                <c:pt idx="770">
                  <c:v>27</c:v>
                </c:pt>
                <c:pt idx="771">
                  <c:v>28</c:v>
                </c:pt>
                <c:pt idx="772">
                  <c:v>29</c:v>
                </c:pt>
                <c:pt idx="773">
                  <c:v>30</c:v>
                </c:pt>
                <c:pt idx="774">
                  <c:v>31</c:v>
                </c:pt>
                <c:pt idx="775">
                  <c:v>138</c:v>
                </c:pt>
                <c:pt idx="776">
                  <c:v>137</c:v>
                </c:pt>
                <c:pt idx="777">
                  <c:v>153</c:v>
                </c:pt>
                <c:pt idx="778">
                  <c:v>327</c:v>
                </c:pt>
                <c:pt idx="779">
                  <c:v>140</c:v>
                </c:pt>
                <c:pt idx="780">
                  <c:v>177</c:v>
                </c:pt>
                <c:pt idx="781">
                  <c:v>167</c:v>
                </c:pt>
                <c:pt idx="782">
                  <c:v>135</c:v>
                </c:pt>
                <c:pt idx="783">
                  <c:v>165</c:v>
                </c:pt>
                <c:pt idx="784">
                  <c:v>79</c:v>
                </c:pt>
                <c:pt idx="785">
                  <c:v>114</c:v>
                </c:pt>
                <c:pt idx="786">
                  <c:v>117</c:v>
                </c:pt>
                <c:pt idx="787">
                  <c:v>128</c:v>
                </c:pt>
                <c:pt idx="788">
                  <c:v>129</c:v>
                </c:pt>
                <c:pt idx="789">
                  <c:v>128</c:v>
                </c:pt>
                <c:pt idx="790">
                  <c:v>122</c:v>
                </c:pt>
                <c:pt idx="791">
                  <c:v>119</c:v>
                </c:pt>
                <c:pt idx="792">
                  <c:v>141</c:v>
                </c:pt>
                <c:pt idx="793">
                  <c:v>146</c:v>
                </c:pt>
                <c:pt idx="794">
                  <c:v>138</c:v>
                </c:pt>
                <c:pt idx="795">
                  <c:v>158</c:v>
                </c:pt>
                <c:pt idx="796">
                  <c:v>156</c:v>
                </c:pt>
                <c:pt idx="797">
                  <c:v>116</c:v>
                </c:pt>
                <c:pt idx="798">
                  <c:v>117</c:v>
                </c:pt>
                <c:pt idx="799">
                  <c:v>136</c:v>
                </c:pt>
                <c:pt idx="800">
                  <c:v>193</c:v>
                </c:pt>
                <c:pt idx="801">
                  <c:v>131</c:v>
                </c:pt>
                <c:pt idx="802">
                  <c:v>132</c:v>
                </c:pt>
                <c:pt idx="803">
                  <c:v>125</c:v>
                </c:pt>
                <c:pt idx="804">
                  <c:v>113</c:v>
                </c:pt>
                <c:pt idx="805">
                  <c:v>117</c:v>
                </c:pt>
                <c:pt idx="806">
                  <c:v>157</c:v>
                </c:pt>
                <c:pt idx="807">
                  <c:v>143</c:v>
                </c:pt>
                <c:pt idx="808">
                  <c:v>164</c:v>
                </c:pt>
                <c:pt idx="809">
                  <c:v>141</c:v>
                </c:pt>
                <c:pt idx="810">
                  <c:v>166</c:v>
                </c:pt>
                <c:pt idx="811">
                  <c:v>174</c:v>
                </c:pt>
                <c:pt idx="812">
                  <c:v>143</c:v>
                </c:pt>
                <c:pt idx="813">
                  <c:v>133</c:v>
                </c:pt>
                <c:pt idx="814">
                  <c:v>149</c:v>
                </c:pt>
                <c:pt idx="815">
                  <c:v>69</c:v>
                </c:pt>
                <c:pt idx="816">
                  <c:v>111</c:v>
                </c:pt>
                <c:pt idx="817">
                  <c:v>116</c:v>
                </c:pt>
                <c:pt idx="818">
                  <c:v>146</c:v>
                </c:pt>
                <c:pt idx="819">
                  <c:v>130</c:v>
                </c:pt>
                <c:pt idx="820">
                  <c:v>150</c:v>
                </c:pt>
                <c:pt idx="821">
                  <c:v>122</c:v>
                </c:pt>
                <c:pt idx="822">
                  <c:v>114</c:v>
                </c:pt>
                <c:pt idx="823">
                  <c:v>135</c:v>
                </c:pt>
                <c:pt idx="824">
                  <c:v>166</c:v>
                </c:pt>
                <c:pt idx="825">
                  <c:v>200</c:v>
                </c:pt>
                <c:pt idx="826">
                  <c:v>165</c:v>
                </c:pt>
                <c:pt idx="827">
                  <c:v>134</c:v>
                </c:pt>
                <c:pt idx="828">
                  <c:v>115</c:v>
                </c:pt>
                <c:pt idx="829">
                  <c:v>112</c:v>
                </c:pt>
                <c:pt idx="830">
                  <c:v>124</c:v>
                </c:pt>
                <c:pt idx="831">
                  <c:v>125</c:v>
                </c:pt>
                <c:pt idx="832">
                  <c:v>128</c:v>
                </c:pt>
                <c:pt idx="833">
                  <c:v>128</c:v>
                </c:pt>
                <c:pt idx="834">
                  <c:v>119</c:v>
                </c:pt>
                <c:pt idx="835">
                  <c:v>121</c:v>
                </c:pt>
                <c:pt idx="836">
                  <c:v>115</c:v>
                </c:pt>
                <c:pt idx="837">
                  <c:v>145</c:v>
                </c:pt>
                <c:pt idx="838">
                  <c:v>139</c:v>
                </c:pt>
                <c:pt idx="839">
                  <c:v>157</c:v>
                </c:pt>
                <c:pt idx="840">
                  <c:v>262</c:v>
                </c:pt>
                <c:pt idx="841">
                  <c:v>149</c:v>
                </c:pt>
                <c:pt idx="842">
                  <c:v>176</c:v>
                </c:pt>
                <c:pt idx="843">
                  <c:v>159</c:v>
                </c:pt>
                <c:pt idx="844">
                  <c:v>134</c:v>
                </c:pt>
                <c:pt idx="845">
                  <c:v>159</c:v>
                </c:pt>
                <c:pt idx="846">
                  <c:v>76</c:v>
                </c:pt>
                <c:pt idx="847">
                  <c:v>113</c:v>
                </c:pt>
                <c:pt idx="848">
                  <c:v>117</c:v>
                </c:pt>
                <c:pt idx="849">
                  <c:v>134</c:v>
                </c:pt>
                <c:pt idx="850">
                  <c:v>129</c:v>
                </c:pt>
                <c:pt idx="851">
                  <c:v>136</c:v>
                </c:pt>
                <c:pt idx="852">
                  <c:v>122</c:v>
                </c:pt>
                <c:pt idx="853">
                  <c:v>117</c:v>
                </c:pt>
                <c:pt idx="854">
                  <c:v>139</c:v>
                </c:pt>
                <c:pt idx="855">
                  <c:v>153</c:v>
                </c:pt>
                <c:pt idx="856">
                  <c:v>160</c:v>
                </c:pt>
                <c:pt idx="857">
                  <c:v>160</c:v>
                </c:pt>
                <c:pt idx="858">
                  <c:v>148</c:v>
                </c:pt>
                <c:pt idx="859">
                  <c:v>116</c:v>
                </c:pt>
                <c:pt idx="860">
                  <c:v>115</c:v>
                </c:pt>
                <c:pt idx="861">
                  <c:v>132</c:v>
                </c:pt>
                <c:pt idx="862">
                  <c:v>169</c:v>
                </c:pt>
                <c:pt idx="863">
                  <c:v>130</c:v>
                </c:pt>
                <c:pt idx="864">
                  <c:v>131</c:v>
                </c:pt>
                <c:pt idx="865">
                  <c:v>123</c:v>
                </c:pt>
                <c:pt idx="866">
                  <c:v>116</c:v>
                </c:pt>
                <c:pt idx="867">
                  <c:v>116</c:v>
                </c:pt>
                <c:pt idx="871">
                  <c:v>92</c:v>
                </c:pt>
                <c:pt idx="872">
                  <c:v>72</c:v>
                </c:pt>
                <c:pt idx="873">
                  <c:v>98</c:v>
                </c:pt>
                <c:pt idx="874">
                  <c:v>106</c:v>
                </c:pt>
                <c:pt idx="878">
                  <c:v>54</c:v>
                </c:pt>
                <c:pt idx="879">
                  <c:v>81</c:v>
                </c:pt>
                <c:pt idx="880">
                  <c:v>60</c:v>
                </c:pt>
                <c:pt idx="881">
                  <c:v>63</c:v>
                </c:pt>
                <c:pt idx="885">
                  <c:v>81</c:v>
                </c:pt>
                <c:pt idx="886">
                  <c:v>73</c:v>
                </c:pt>
                <c:pt idx="887">
                  <c:v>75</c:v>
                </c:pt>
                <c:pt idx="888">
                  <c:v>90</c:v>
                </c:pt>
                <c:pt idx="892">
                  <c:v>57</c:v>
                </c:pt>
                <c:pt idx="893">
                  <c:v>83</c:v>
                </c:pt>
                <c:pt idx="894">
                  <c:v>49</c:v>
                </c:pt>
                <c:pt idx="895">
                  <c:v>68</c:v>
                </c:pt>
                <c:pt idx="902">
                  <c:v>93</c:v>
                </c:pt>
                <c:pt idx="903">
                  <c:v>204</c:v>
                </c:pt>
                <c:pt idx="904">
                  <c:v>171</c:v>
                </c:pt>
                <c:pt idx="905">
                  <c:v>106</c:v>
                </c:pt>
                <c:pt idx="909">
                  <c:v>72</c:v>
                </c:pt>
                <c:pt idx="910">
                  <c:v>74</c:v>
                </c:pt>
                <c:pt idx="911">
                  <c:v>69</c:v>
                </c:pt>
                <c:pt idx="912">
                  <c:v>74</c:v>
                </c:pt>
                <c:pt idx="916">
                  <c:v>93</c:v>
                </c:pt>
                <c:pt idx="917">
                  <c:v>104</c:v>
                </c:pt>
                <c:pt idx="918">
                  <c:v>103</c:v>
                </c:pt>
                <c:pt idx="919">
                  <c:v>114</c:v>
                </c:pt>
                <c:pt idx="923">
                  <c:v>71</c:v>
                </c:pt>
                <c:pt idx="924">
                  <c:v>81</c:v>
                </c:pt>
                <c:pt idx="925">
                  <c:v>60</c:v>
                </c:pt>
                <c:pt idx="926">
                  <c:v>73</c:v>
                </c:pt>
                <c:pt idx="930">
                  <c:v>2</c:v>
                </c:pt>
                <c:pt idx="931">
                  <c:v>2</c:v>
                </c:pt>
                <c:pt idx="932">
                  <c:v>2</c:v>
                </c:pt>
                <c:pt idx="933">
                  <c:v>2</c:v>
                </c:pt>
                <c:pt idx="934">
                  <c:v>3*</c:v>
                </c:pt>
                <c:pt idx="935">
                  <c:v>3</c:v>
                </c:pt>
                <c:pt idx="936">
                  <c:v>2</c:v>
                </c:pt>
                <c:pt idx="937">
                  <c:v>3</c:v>
                </c:pt>
                <c:pt idx="938">
                  <c:v>4</c:v>
                </c:pt>
                <c:pt idx="939">
                  <c:v>12</c:v>
                </c:pt>
                <c:pt idx="940">
                  <c:v>3</c:v>
                </c:pt>
                <c:pt idx="941">
                  <c:v>2</c:v>
                </c:pt>
                <c:pt idx="942">
                  <c:v>6</c:v>
                </c:pt>
                <c:pt idx="943">
                  <c:v>8</c:v>
                </c:pt>
                <c:pt idx="944">
                  <c:v>6</c:v>
                </c:pt>
                <c:pt idx="945">
                  <c:v>12</c:v>
                </c:pt>
                <c:pt idx="946">
                  <c:v>7</c:v>
                </c:pt>
                <c:pt idx="947">
                  <c:v>9</c:v>
                </c:pt>
                <c:pt idx="948">
                  <c:v>8</c:v>
                </c:pt>
                <c:pt idx="949">
                  <c:v>8</c:v>
                </c:pt>
                <c:pt idx="950">
                  <c:v>5</c:v>
                </c:pt>
                <c:pt idx="951">
                  <c:v>4</c:v>
                </c:pt>
                <c:pt idx="952">
                  <c:v>33</c:v>
                </c:pt>
                <c:pt idx="953">
                  <c:v>16</c:v>
                </c:pt>
                <c:pt idx="954">
                  <c:v>6</c:v>
                </c:pt>
                <c:pt idx="955">
                  <c:v>10</c:v>
                </c:pt>
                <c:pt idx="956">
                  <c:v>8</c:v>
                </c:pt>
                <c:pt idx="957">
                  <c:v>8</c:v>
                </c:pt>
                <c:pt idx="958">
                  <c:v>5</c:v>
                </c:pt>
                <c:pt idx="959">
                  <c:v>4</c:v>
                </c:pt>
                <c:pt idx="960">
                  <c:v>8</c:v>
                </c:pt>
                <c:pt idx="964">
                  <c:v>3940</c:v>
                </c:pt>
                <c:pt idx="965">
                  <c:v>2200</c:v>
                </c:pt>
                <c:pt idx="966">
                  <c:v>1680</c:v>
                </c:pt>
                <c:pt idx="967">
                  <c:v>1150</c:v>
                </c:pt>
                <c:pt idx="971">
                  <c:v>840</c:v>
                </c:pt>
                <c:pt idx="972">
                  <c:v>1060</c:v>
                </c:pt>
                <c:pt idx="973">
                  <c:v>1850</c:v>
                </c:pt>
                <c:pt idx="974">
                  <c:v>1930</c:v>
                </c:pt>
                <c:pt idx="978">
                  <c:v>920</c:v>
                </c:pt>
                <c:pt idx="979">
                  <c:v>1720</c:v>
                </c:pt>
                <c:pt idx="980">
                  <c:v>1600</c:v>
                </c:pt>
                <c:pt idx="981">
                  <c:v>1850</c:v>
                </c:pt>
                <c:pt idx="985">
                  <c:v>2040</c:v>
                </c:pt>
                <c:pt idx="986">
                  <c:v>2620</c:v>
                </c:pt>
                <c:pt idx="987">
                  <c:v>2080</c:v>
                </c:pt>
                <c:pt idx="988">
                  <c:v>2900</c:v>
                </c:pt>
                <c:pt idx="995">
                  <c:v>2.8</c:v>
                </c:pt>
                <c:pt idx="996">
                  <c:v>2.9</c:v>
                </c:pt>
                <c:pt idx="997">
                  <c:v>2.8</c:v>
                </c:pt>
                <c:pt idx="998">
                  <c:v>2.9</c:v>
                </c:pt>
                <c:pt idx="1002">
                  <c:v>3.5</c:v>
                </c:pt>
                <c:pt idx="1003">
                  <c:v>3.5</c:v>
                </c:pt>
                <c:pt idx="1004">
                  <c:v>3.1</c:v>
                </c:pt>
                <c:pt idx="1005">
                  <c:v>3.1</c:v>
                </c:pt>
                <c:pt idx="1009">
                  <c:v>3.4</c:v>
                </c:pt>
                <c:pt idx="1010">
                  <c:v>3.3</c:v>
                </c:pt>
                <c:pt idx="1011">
                  <c:v>2.8</c:v>
                </c:pt>
                <c:pt idx="1012">
                  <c:v>3.0</c:v>
                </c:pt>
                <c:pt idx="1016">
                  <c:v>4.4</c:v>
                </c:pt>
                <c:pt idx="1017">
                  <c:v>3.9</c:v>
                </c:pt>
                <c:pt idx="1018">
                  <c:v>3.9</c:v>
                </c:pt>
                <c:pt idx="1019">
                  <c:v>3.8</c:v>
                </c:pt>
                <c:pt idx="1026">
                  <c:v>84.7</c:v>
                </c:pt>
                <c:pt idx="1027">
                  <c:v>84.9</c:v>
                </c:pt>
                <c:pt idx="1028">
                  <c:v>83.8</c:v>
                </c:pt>
                <c:pt idx="1029">
                  <c:v>85.9</c:v>
                </c:pt>
                <c:pt idx="1033">
                  <c:v>80.4</c:v>
                </c:pt>
                <c:pt idx="1034">
                  <c:v>81.4</c:v>
                </c:pt>
                <c:pt idx="1035">
                  <c:v>81.7</c:v>
                </c:pt>
                <c:pt idx="1036">
                  <c:v>83.7</c:v>
                </c:pt>
                <c:pt idx="1040">
                  <c:v>84.9</c:v>
                </c:pt>
                <c:pt idx="1041">
                  <c:v>85.2</c:v>
                </c:pt>
                <c:pt idx="1042">
                  <c:v>85.9</c:v>
                </c:pt>
                <c:pt idx="1043">
                  <c:v>85.1</c:v>
                </c:pt>
                <c:pt idx="1047">
                  <c:v>79.5</c:v>
                </c:pt>
                <c:pt idx="1048">
                  <c:v>81.3</c:v>
                </c:pt>
                <c:pt idx="1049">
                  <c:v>80.4</c:v>
                </c:pt>
                <c:pt idx="1050">
                  <c:v>80.0</c:v>
                </c:pt>
                <c:pt idx="1057">
                  <c:v>1.9</c:v>
                </c:pt>
                <c:pt idx="1058">
                  <c:v>1.7</c:v>
                </c:pt>
                <c:pt idx="1059">
                  <c:v>1.8</c:v>
                </c:pt>
                <c:pt idx="1060">
                  <c:v>1.8</c:v>
                </c:pt>
                <c:pt idx="1064">
                  <c:v>1.7</c:v>
                </c:pt>
                <c:pt idx="1065">
                  <c:v>1.7</c:v>
                </c:pt>
                <c:pt idx="1066">
                  <c:v>1.7</c:v>
                </c:pt>
                <c:pt idx="1067">
                  <c:v>1.8</c:v>
                </c:pt>
                <c:pt idx="1071">
                  <c:v>1.9</c:v>
                </c:pt>
                <c:pt idx="1072">
                  <c:v>1.7</c:v>
                </c:pt>
                <c:pt idx="1073">
                  <c:v>1.7</c:v>
                </c:pt>
                <c:pt idx="1074">
                  <c:v>1.6</c:v>
                </c:pt>
                <c:pt idx="1078">
                  <c:v>1.8</c:v>
                </c:pt>
                <c:pt idx="1079">
                  <c:v>1.7</c:v>
                </c:pt>
                <c:pt idx="1080">
                  <c:v>1.6</c:v>
                </c:pt>
                <c:pt idx="1081">
                  <c:v>1.6</c:v>
                </c:pt>
                <c:pt idx="1088">
                  <c:v>72.3</c:v>
                </c:pt>
                <c:pt idx="1089">
                  <c:v>73.8</c:v>
                </c:pt>
                <c:pt idx="1090">
                  <c:v>73.5</c:v>
                </c:pt>
                <c:pt idx="1091">
                  <c:v>73.3</c:v>
                </c:pt>
                <c:pt idx="1095">
                  <c:v>71.3</c:v>
                </c:pt>
                <c:pt idx="1096">
                  <c:v>70.8</c:v>
                </c:pt>
                <c:pt idx="1097">
                  <c:v>74.4</c:v>
                </c:pt>
                <c:pt idx="1098">
                  <c:v>69.6</c:v>
                </c:pt>
                <c:pt idx="1102">
                  <c:v>70.8</c:v>
                </c:pt>
                <c:pt idx="1103">
                  <c:v>72.1</c:v>
                </c:pt>
                <c:pt idx="1104">
                  <c:v>72.1</c:v>
                </c:pt>
                <c:pt idx="1105">
                  <c:v>72.5</c:v>
                </c:pt>
                <c:pt idx="1109">
                  <c:v>69.4</c:v>
                </c:pt>
                <c:pt idx="1110">
                  <c:v>67.4</c:v>
                </c:pt>
                <c:pt idx="1111">
                  <c:v>71.8</c:v>
                </c:pt>
                <c:pt idx="1112">
                  <c:v>67.4</c:v>
                </c:pt>
                <c:pt idx="1119">
                  <c:v>43%</c:v>
                </c:pt>
                <c:pt idx="1120">
                  <c:v>48%</c:v>
                </c:pt>
                <c:pt idx="1121">
                  <c:v>44%</c:v>
                </c:pt>
                <c:pt idx="1122">
                  <c:v>47%</c:v>
                </c:pt>
                <c:pt idx="1126">
                  <c:v>57%</c:v>
                </c:pt>
                <c:pt idx="1127">
                  <c:v>58%</c:v>
                </c:pt>
                <c:pt idx="1128">
                  <c:v>50%</c:v>
                </c:pt>
                <c:pt idx="1129">
                  <c:v>50%</c:v>
                </c:pt>
                <c:pt idx="1133">
                  <c:v>53%</c:v>
                </c:pt>
                <c:pt idx="1134">
                  <c:v>56%</c:v>
                </c:pt>
                <c:pt idx="1135">
                  <c:v>49%</c:v>
                </c:pt>
                <c:pt idx="1136">
                  <c:v>54%</c:v>
                </c:pt>
                <c:pt idx="1140">
                  <c:v>64%</c:v>
                </c:pt>
                <c:pt idx="1141">
                  <c:v>64%</c:v>
                </c:pt>
                <c:pt idx="1142">
                  <c:v>65%</c:v>
                </c:pt>
                <c:pt idx="1143">
                  <c:v>64%</c:v>
                </c:pt>
                <c:pt idx="1178">
                  <c:v>290</c:v>
                </c:pt>
                <c:pt idx="1179">
                  <c:v>350</c:v>
                </c:pt>
                <c:pt idx="1180">
                  <c:v>270</c:v>
                </c:pt>
                <c:pt idx="1181">
                  <c:v>490</c:v>
                </c:pt>
                <c:pt idx="1182">
                  <c:v>410</c:v>
                </c:pt>
                <c:pt idx="1183">
                  <c:v>370</c:v>
                </c:pt>
                <c:pt idx="1184">
                  <c:v>340</c:v>
                </c:pt>
                <c:pt idx="1185">
                  <c:v>280</c:v>
                </c:pt>
                <c:pt idx="1186">
                  <c:v>200</c:v>
                </c:pt>
                <c:pt idx="1187">
                  <c:v>150</c:v>
                </c:pt>
                <c:pt idx="1188">
                  <c:v>250</c:v>
                </c:pt>
                <c:pt idx="1189">
                  <c:v>190</c:v>
                </c:pt>
                <c:pt idx="1190">
                  <c:v>280</c:v>
                </c:pt>
                <c:pt idx="1191">
                  <c:v>200</c:v>
                </c:pt>
                <c:pt idx="1192">
                  <c:v>110</c:v>
                </c:pt>
                <c:pt idx="1193">
                  <c:v>95</c:v>
                </c:pt>
                <c:pt idx="1194">
                  <c:v>120</c:v>
                </c:pt>
                <c:pt idx="1195">
                  <c:v>130</c:v>
                </c:pt>
                <c:pt idx="1196">
                  <c:v>100</c:v>
                </c:pt>
                <c:pt idx="1197">
                  <c:v>140</c:v>
                </c:pt>
                <c:pt idx="1198">
                  <c:v>130</c:v>
                </c:pt>
                <c:pt idx="1199">
                  <c:v>140</c:v>
                </c:pt>
                <c:pt idx="1200">
                  <c:v>140</c:v>
                </c:pt>
                <c:pt idx="1201">
                  <c:v>180</c:v>
                </c:pt>
                <c:pt idx="1202">
                  <c:v>100</c:v>
                </c:pt>
                <c:pt idx="1203">
                  <c:v>120</c:v>
                </c:pt>
                <c:pt idx="1204">
                  <c:v>150</c:v>
                </c:pt>
                <c:pt idx="1205">
                  <c:v>140</c:v>
                </c:pt>
                <c:pt idx="1206">
                  <c:v>120</c:v>
                </c:pt>
                <c:pt idx="1207">
                  <c:v>110</c:v>
                </c:pt>
                <c:pt idx="1208">
                  <c:v>120</c:v>
                </c:pt>
                <c:pt idx="1209">
                  <c:v>400</c:v>
                </c:pt>
                <c:pt idx="1210">
                  <c:v>410</c:v>
                </c:pt>
                <c:pt idx="1211">
                  <c:v>400</c:v>
                </c:pt>
                <c:pt idx="1212">
                  <c:v>290</c:v>
                </c:pt>
                <c:pt idx="1213">
                  <c:v>270</c:v>
                </c:pt>
                <c:pt idx="1214">
                  <c:v>310</c:v>
                </c:pt>
                <c:pt idx="1215">
                  <c:v>320</c:v>
                </c:pt>
                <c:pt idx="1216">
                  <c:v>420</c:v>
                </c:pt>
                <c:pt idx="1217">
                  <c:v>380</c:v>
                </c:pt>
                <c:pt idx="1218">
                  <c:v>240</c:v>
                </c:pt>
                <c:pt idx="1219">
                  <c:v>540</c:v>
                </c:pt>
                <c:pt idx="1220">
                  <c:v>560</c:v>
                </c:pt>
                <c:pt idx="1221">
                  <c:v>730</c:v>
                </c:pt>
                <c:pt idx="1222">
                  <c:v>760</c:v>
                </c:pt>
                <c:pt idx="1223">
                  <c:v>540</c:v>
                </c:pt>
                <c:pt idx="1224">
                  <c:v>280</c:v>
                </c:pt>
                <c:pt idx="1225">
                  <c:v>240</c:v>
                </c:pt>
                <c:pt idx="1226">
                  <c:v>630</c:v>
                </c:pt>
                <c:pt idx="1227">
                  <c:v>590</c:v>
                </c:pt>
                <c:pt idx="1228">
                  <c:v>520</c:v>
                </c:pt>
                <c:pt idx="1229">
                  <c:v>460</c:v>
                </c:pt>
                <c:pt idx="1230">
                  <c:v>350</c:v>
                </c:pt>
                <c:pt idx="1231">
                  <c:v>360</c:v>
                </c:pt>
                <c:pt idx="1232">
                  <c:v>470</c:v>
                </c:pt>
                <c:pt idx="1233">
                  <c:v>230</c:v>
                </c:pt>
                <c:pt idx="1234">
                  <c:v>330</c:v>
                </c:pt>
                <c:pt idx="1235">
                  <c:v>270</c:v>
                </c:pt>
                <c:pt idx="1236">
                  <c:v>240</c:v>
                </c:pt>
                <c:pt idx="1237">
                  <c:v>270</c:v>
                </c:pt>
                <c:pt idx="1238">
                  <c:v>250</c:v>
                </c:pt>
                <c:pt idx="1239">
                  <c:v>320</c:v>
                </c:pt>
                <c:pt idx="1240">
                  <c:v>0.09</c:v>
                </c:pt>
                <c:pt idx="1241">
                  <c:v>0.10</c:v>
                </c:pt>
                <c:pt idx="1242">
                  <c:v>0.11</c:v>
                </c:pt>
                <c:pt idx="1243">
                  <c:v>0.09</c:v>
                </c:pt>
                <c:pt idx="1244">
                  <c:v>0.06</c:v>
                </c:pt>
                <c:pt idx="1245">
                  <c:v>0.10</c:v>
                </c:pt>
                <c:pt idx="1246">
                  <c:v>0.24</c:v>
                </c:pt>
                <c:pt idx="1247">
                  <c:v>0.09</c:v>
                </c:pt>
                <c:pt idx="1248">
                  <c:v>0.12</c:v>
                </c:pt>
                <c:pt idx="1249">
                  <c:v>0.24</c:v>
                </c:pt>
                <c:pt idx="1250">
                  <c:v>0.06</c:v>
                </c:pt>
                <c:pt idx="1251">
                  <c:v>0.09</c:v>
                </c:pt>
                <c:pt idx="1252">
                  <c:v>0.13</c:v>
                </c:pt>
                <c:pt idx="1253">
                  <c:v>0.15</c:v>
                </c:pt>
                <c:pt idx="1254">
                  <c:v>0.12</c:v>
                </c:pt>
                <c:pt idx="1255">
                  <c:v>0.12</c:v>
                </c:pt>
                <c:pt idx="1256">
                  <c:v>0.10</c:v>
                </c:pt>
                <c:pt idx="1257">
                  <c:v>0.09</c:v>
                </c:pt>
                <c:pt idx="1258">
                  <c:v>0.12</c:v>
                </c:pt>
                <c:pt idx="1259">
                  <c:v>0.09</c:v>
                </c:pt>
                <c:pt idx="1260">
                  <c:v>0.13</c:v>
                </c:pt>
                <c:pt idx="1261">
                  <c:v>0.09</c:v>
                </c:pt>
                <c:pt idx="1262">
                  <c:v>0.13</c:v>
                </c:pt>
                <c:pt idx="1263">
                  <c:v>0.15</c:v>
                </c:pt>
                <c:pt idx="1264">
                  <c:v>0.12</c:v>
                </c:pt>
                <c:pt idx="1265">
                  <c:v>0.16</c:v>
                </c:pt>
                <c:pt idx="1266">
                  <c:v>0.07</c:v>
                </c:pt>
                <c:pt idx="1267">
                  <c:v>0.10</c:v>
                </c:pt>
                <c:pt idx="1268">
                  <c:v>0.11</c:v>
                </c:pt>
                <c:pt idx="1269">
                  <c:v>0.11</c:v>
                </c:pt>
                <c:pt idx="1270">
                  <c:v>0.18</c:v>
                </c:pt>
                <c:pt idx="1271">
                  <c:v>0.09</c:v>
                </c:pt>
                <c:pt idx="1272">
                  <c:v>0.10</c:v>
                </c:pt>
                <c:pt idx="1273">
                  <c:v>0.17</c:v>
                </c:pt>
                <c:pt idx="1274">
                  <c:v>0.11</c:v>
                </c:pt>
                <c:pt idx="1275">
                  <c:v>0.23</c:v>
                </c:pt>
                <c:pt idx="1276">
                  <c:v>0.17</c:v>
                </c:pt>
                <c:pt idx="1277">
                  <c:v>0.14</c:v>
                </c:pt>
                <c:pt idx="1278">
                  <c:v>0.09</c:v>
                </c:pt>
                <c:pt idx="1279">
                  <c:v>0.12</c:v>
                </c:pt>
                <c:pt idx="1280">
                  <c:v>0.26</c:v>
                </c:pt>
                <c:pt idx="1281">
                  <c:v>0.07</c:v>
                </c:pt>
                <c:pt idx="1282">
                  <c:v>0.07</c:v>
                </c:pt>
                <c:pt idx="1283">
                  <c:v>0.09</c:v>
                </c:pt>
                <c:pt idx="1284">
                  <c:v>0.09</c:v>
                </c:pt>
                <c:pt idx="1285">
                  <c:v>0.12</c:v>
                </c:pt>
                <c:pt idx="1286">
                  <c:v>0.12</c:v>
                </c:pt>
                <c:pt idx="1287">
                  <c:v>0.10</c:v>
                </c:pt>
                <c:pt idx="1288">
                  <c:v>0.06</c:v>
                </c:pt>
                <c:pt idx="1289">
                  <c:v>0.07</c:v>
                </c:pt>
                <c:pt idx="1290">
                  <c:v>0.08</c:v>
                </c:pt>
                <c:pt idx="1291">
                  <c:v>0.09</c:v>
                </c:pt>
                <c:pt idx="1292">
                  <c:v>0.09</c:v>
                </c:pt>
                <c:pt idx="1293">
                  <c:v>0.13</c:v>
                </c:pt>
                <c:pt idx="1294">
                  <c:v>0.11</c:v>
                </c:pt>
                <c:pt idx="1295">
                  <c:v>0.07</c:v>
                </c:pt>
                <c:pt idx="1296">
                  <c:v>0.14</c:v>
                </c:pt>
                <c:pt idx="1297">
                  <c:v>0.07</c:v>
                </c:pt>
                <c:pt idx="1298">
                  <c:v>0.08</c:v>
                </c:pt>
                <c:pt idx="1299">
                  <c:v>0.11</c:v>
                </c:pt>
                <c:pt idx="1300">
                  <c:v>0.11</c:v>
                </c:pt>
                <c:pt idx="1301">
                  <c:v>0.23</c:v>
                </c:pt>
                <c:pt idx="1302">
                  <c:v>6.2</c:v>
                </c:pt>
                <c:pt idx="1303">
                  <c:v>6.2</c:v>
                </c:pt>
                <c:pt idx="1304">
                  <c:v>4.5</c:v>
                </c:pt>
                <c:pt idx="1305">
                  <c:v>6.2</c:v>
                </c:pt>
                <c:pt idx="1306">
                  <c:v>5.5</c:v>
                </c:pt>
                <c:pt idx="1307">
                  <c:v>5.8</c:v>
                </c:pt>
                <c:pt idx="1308">
                  <c:v>3.8</c:v>
                </c:pt>
                <c:pt idx="1309">
                  <c:v>6.1</c:v>
                </c:pt>
                <c:pt idx="1310">
                  <c:v>5.8</c:v>
                </c:pt>
                <c:pt idx="1311">
                  <c:v>3.0</c:v>
                </c:pt>
                <c:pt idx="1312">
                  <c:v>10.0</c:v>
                </c:pt>
                <c:pt idx="1313">
                  <c:v>7.9</c:v>
                </c:pt>
                <c:pt idx="1314">
                  <c:v>3.0</c:v>
                </c:pt>
                <c:pt idx="1315">
                  <c:v>3.3</c:v>
                </c:pt>
                <c:pt idx="1316">
                  <c:v>5.3</c:v>
                </c:pt>
                <c:pt idx="1317">
                  <c:v>4.2</c:v>
                </c:pt>
                <c:pt idx="1318">
                  <c:v>5.5</c:v>
                </c:pt>
                <c:pt idx="1319">
                  <c:v>7.8</c:v>
                </c:pt>
                <c:pt idx="1320">
                  <c:v>5.3</c:v>
                </c:pt>
                <c:pt idx="1321">
                  <c:v>8.0</c:v>
                </c:pt>
                <c:pt idx="1322">
                  <c:v>6.6</c:v>
                </c:pt>
                <c:pt idx="1323">
                  <c:v>5.8</c:v>
                </c:pt>
                <c:pt idx="1324">
                  <c:v>3.2</c:v>
                </c:pt>
                <c:pt idx="1325">
                  <c:v>4.0</c:v>
                </c:pt>
                <c:pt idx="1326">
                  <c:v>5.3</c:v>
                </c:pt>
                <c:pt idx="1327">
                  <c:v>7.1</c:v>
                </c:pt>
                <c:pt idx="1328">
                  <c:v>6.2</c:v>
                </c:pt>
                <c:pt idx="1329">
                  <c:v>5.4</c:v>
                </c:pt>
                <c:pt idx="1330">
                  <c:v>5.9</c:v>
                </c:pt>
                <c:pt idx="1331">
                  <c:v>5.9</c:v>
                </c:pt>
                <c:pt idx="1332">
                  <c:v>3.8</c:v>
                </c:pt>
                <c:pt idx="1333">
                  <c:v>3.3</c:v>
                </c:pt>
                <c:pt idx="1334">
                  <c:v>3.4</c:v>
                </c:pt>
                <c:pt idx="1335">
                  <c:v>3.1</c:v>
                </c:pt>
                <c:pt idx="1336">
                  <c:v>4.2</c:v>
                </c:pt>
                <c:pt idx="1337">
                  <c:v>30.3*</c:v>
                </c:pt>
                <c:pt idx="1338">
                  <c:v>19.7*</c:v>
                </c:pt>
                <c:pt idx="1339">
                  <c:v>10.2</c:v>
                </c:pt>
                <c:pt idx="1340">
                  <c:v>18.6*</c:v>
                </c:pt>
                <c:pt idx="1341">
                  <c:v>12.1</c:v>
                </c:pt>
                <c:pt idx="1342">
                  <c:v>5.1</c:v>
                </c:pt>
                <c:pt idx="1343">
                  <c:v>15.9</c:v>
                </c:pt>
                <c:pt idx="1344">
                  <c:v>14.8</c:v>
                </c:pt>
                <c:pt idx="1345">
                  <c:v>7.1</c:v>
                </c:pt>
                <c:pt idx="1346">
                  <c:v>8.1</c:v>
                </c:pt>
                <c:pt idx="1347">
                  <c:v>7.6</c:v>
                </c:pt>
                <c:pt idx="1348">
                  <c:v>6.6</c:v>
                </c:pt>
                <c:pt idx="1349">
                  <c:v>9.2</c:v>
                </c:pt>
                <c:pt idx="1350">
                  <c:v>10.2</c:v>
                </c:pt>
                <c:pt idx="1351">
                  <c:v>6.8</c:v>
                </c:pt>
                <c:pt idx="1352">
                  <c:v>4.8</c:v>
                </c:pt>
                <c:pt idx="1353">
                  <c:v>2.4</c:v>
                </c:pt>
                <c:pt idx="1354">
                  <c:v>3.5</c:v>
                </c:pt>
                <c:pt idx="1355">
                  <c:v>2.7</c:v>
                </c:pt>
                <c:pt idx="1356">
                  <c:v>5.3</c:v>
                </c:pt>
                <c:pt idx="1357">
                  <c:v>7.6</c:v>
                </c:pt>
                <c:pt idx="1358">
                  <c:v>4.7</c:v>
                </c:pt>
                <c:pt idx="1359">
                  <c:v>5.8</c:v>
                </c:pt>
                <c:pt idx="1360">
                  <c:v>5.3</c:v>
                </c:pt>
                <c:pt idx="1361">
                  <c:v>4.9</c:v>
                </c:pt>
                <c:pt idx="1362">
                  <c:v>5.6</c:v>
                </c:pt>
                <c:pt idx="1363">
                  <c:v>3.2</c:v>
                </c:pt>
                <c:pt idx="1364">
                  <c:v>1</c:v>
                </c:pt>
                <c:pt idx="1365">
                  <c:v>2</c:v>
                </c:pt>
                <c:pt idx="1366">
                  <c:v>3</c:v>
                </c:pt>
                <c:pt idx="1367">
                  <c:v>4</c:v>
                </c:pt>
                <c:pt idx="1368">
                  <c:v>5</c:v>
                </c:pt>
                <c:pt idx="1369">
                  <c:v>6</c:v>
                </c:pt>
                <c:pt idx="1370">
                  <c:v>7</c:v>
                </c:pt>
                <c:pt idx="1371">
                  <c:v>8</c:v>
                </c:pt>
                <c:pt idx="1372">
                  <c:v>9</c:v>
                </c:pt>
                <c:pt idx="1373">
                  <c:v>10</c:v>
                </c:pt>
                <c:pt idx="1374">
                  <c:v>11</c:v>
                </c:pt>
                <c:pt idx="1375">
                  <c:v>12</c:v>
                </c:pt>
                <c:pt idx="1376">
                  <c:v>13</c:v>
                </c:pt>
                <c:pt idx="1377">
                  <c:v>14</c:v>
                </c:pt>
                <c:pt idx="1378">
                  <c:v>15</c:v>
                </c:pt>
                <c:pt idx="1379">
                  <c:v>16</c:v>
                </c:pt>
                <c:pt idx="1380">
                  <c:v>17</c:v>
                </c:pt>
                <c:pt idx="1381">
                  <c:v>18</c:v>
                </c:pt>
                <c:pt idx="1382">
                  <c:v>19</c:v>
                </c:pt>
                <c:pt idx="1383">
                  <c:v>20</c:v>
                </c:pt>
                <c:pt idx="1384">
                  <c:v>21</c:v>
                </c:pt>
                <c:pt idx="1385">
                  <c:v>22</c:v>
                </c:pt>
                <c:pt idx="1386">
                  <c:v>23</c:v>
                </c:pt>
                <c:pt idx="1387">
                  <c:v>24</c:v>
                </c:pt>
                <c:pt idx="1388">
                  <c:v>25</c:v>
                </c:pt>
                <c:pt idx="1389">
                  <c:v>26</c:v>
                </c:pt>
                <c:pt idx="1390">
                  <c:v>27</c:v>
                </c:pt>
                <c:pt idx="1391">
                  <c:v>28</c:v>
                </c:pt>
                <c:pt idx="1392">
                  <c:v>29</c:v>
                </c:pt>
                <c:pt idx="1393">
                  <c:v>30</c:v>
                </c:pt>
                <c:pt idx="1394">
                  <c:v>31</c:v>
                </c:pt>
                <c:pt idx="1395">
                  <c:v>1</c:v>
                </c:pt>
                <c:pt idx="1396">
                  <c:v>2</c:v>
                </c:pt>
                <c:pt idx="1397">
                  <c:v>3</c:v>
                </c:pt>
                <c:pt idx="1398">
                  <c:v>4</c:v>
                </c:pt>
                <c:pt idx="1399">
                  <c:v>5</c:v>
                </c:pt>
                <c:pt idx="1400">
                  <c:v>6</c:v>
                </c:pt>
                <c:pt idx="1401">
                  <c:v>7</c:v>
                </c:pt>
                <c:pt idx="1402">
                  <c:v>8</c:v>
                </c:pt>
                <c:pt idx="1403">
                  <c:v>9</c:v>
                </c:pt>
                <c:pt idx="1404">
                  <c:v>10</c:v>
                </c:pt>
                <c:pt idx="1405">
                  <c:v>11</c:v>
                </c:pt>
                <c:pt idx="1406">
                  <c:v>12</c:v>
                </c:pt>
                <c:pt idx="1407">
                  <c:v>13</c:v>
                </c:pt>
                <c:pt idx="1408">
                  <c:v>14</c:v>
                </c:pt>
                <c:pt idx="1409">
                  <c:v>15</c:v>
                </c:pt>
                <c:pt idx="1410">
                  <c:v>16</c:v>
                </c:pt>
                <c:pt idx="1411">
                  <c:v>17</c:v>
                </c:pt>
                <c:pt idx="1412">
                  <c:v>18</c:v>
                </c:pt>
                <c:pt idx="1413">
                  <c:v>19</c:v>
                </c:pt>
                <c:pt idx="1414">
                  <c:v>20</c:v>
                </c:pt>
                <c:pt idx="1415">
                  <c:v>21</c:v>
                </c:pt>
                <c:pt idx="1416">
                  <c:v>22</c:v>
                </c:pt>
                <c:pt idx="1417">
                  <c:v>23</c:v>
                </c:pt>
                <c:pt idx="1418">
                  <c:v>24</c:v>
                </c:pt>
                <c:pt idx="1419">
                  <c:v>25</c:v>
                </c:pt>
                <c:pt idx="1420">
                  <c:v>26</c:v>
                </c:pt>
                <c:pt idx="1421">
                  <c:v>27</c:v>
                </c:pt>
                <c:pt idx="1422">
                  <c:v>28</c:v>
                </c:pt>
                <c:pt idx="1423">
                  <c:v>29</c:v>
                </c:pt>
                <c:pt idx="1424">
                  <c:v>30</c:v>
                </c:pt>
                <c:pt idx="1425">
                  <c:v>31</c:v>
                </c:pt>
                <c:pt idx="1429">
                  <c:v>150</c:v>
                </c:pt>
                <c:pt idx="1432">
                  <c:v>190</c:v>
                </c:pt>
                <c:pt idx="1436">
                  <c:v>130</c:v>
                </c:pt>
                <c:pt idx="1439">
                  <c:v>120</c:v>
                </c:pt>
                <c:pt idx="1443">
                  <c:v>520</c:v>
                </c:pt>
                <c:pt idx="1446">
                  <c:v>160</c:v>
                </c:pt>
                <c:pt idx="1450">
                  <c:v>160</c:v>
                </c:pt>
                <c:pt idx="1453">
                  <c:v>230</c:v>
                </c:pt>
                <c:pt idx="1491">
                  <c:v>240</c:v>
                </c:pt>
                <c:pt idx="1494">
                  <c:v>180</c:v>
                </c:pt>
                <c:pt idx="1498">
                  <c:v>180</c:v>
                </c:pt>
                <c:pt idx="1501">
                  <c:v>170</c:v>
                </c:pt>
                <c:pt idx="1505">
                  <c:v>130</c:v>
                </c:pt>
                <c:pt idx="1508">
                  <c:v>130</c:v>
                </c:pt>
                <c:pt idx="1512">
                  <c:v>150</c:v>
                </c:pt>
                <c:pt idx="1515">
                  <c:v>160</c:v>
                </c:pt>
                <c:pt idx="1522">
                  <c:v>180</c:v>
                </c:pt>
                <c:pt idx="1525">
                  <c:v>200</c:v>
                </c:pt>
                <c:pt idx="1529">
                  <c:v>110</c:v>
                </c:pt>
                <c:pt idx="1532">
                  <c:v>210</c:v>
                </c:pt>
                <c:pt idx="1536">
                  <c:v>110</c:v>
                </c:pt>
                <c:pt idx="1539">
                  <c:v>150</c:v>
                </c:pt>
                <c:pt idx="1543">
                  <c:v>130</c:v>
                </c:pt>
                <c:pt idx="1546">
                  <c:v>200</c:v>
                </c:pt>
                <c:pt idx="1553">
                  <c:v>100</c:v>
                </c:pt>
                <c:pt idx="1556">
                  <c:v>110</c:v>
                </c:pt>
                <c:pt idx="1560">
                  <c:v>140</c:v>
                </c:pt>
                <c:pt idx="1563">
                  <c:v>110</c:v>
                </c:pt>
                <c:pt idx="1567">
                  <c:v>150</c:v>
                </c:pt>
                <c:pt idx="1570">
                  <c:v>200</c:v>
                </c:pt>
                <c:pt idx="1574">
                  <c:v>120</c:v>
                </c:pt>
                <c:pt idx="1577">
                  <c:v>110</c:v>
                </c:pt>
                <c:pt idx="1584">
                  <c:v>2,500</c:v>
                </c:pt>
                <c:pt idx="1587">
                  <c:v>2,600</c:v>
                </c:pt>
                <c:pt idx="1591">
                  <c:v>2,700</c:v>
                </c:pt>
                <c:pt idx="1594">
                  <c:v>2,700</c:v>
                </c:pt>
                <c:pt idx="1598">
                  <c:v>2,500</c:v>
                </c:pt>
                <c:pt idx="1601">
                  <c:v>2,900</c:v>
                </c:pt>
                <c:pt idx="1605">
                  <c:v>3,000</c:v>
                </c:pt>
                <c:pt idx="1608">
                  <c:v>2,800</c:v>
                </c:pt>
                <c:pt idx="1646">
                  <c:v>2,400</c:v>
                </c:pt>
                <c:pt idx="1649">
                  <c:v>2,600</c:v>
                </c:pt>
                <c:pt idx="1653">
                  <c:v>2,400</c:v>
                </c:pt>
                <c:pt idx="1656">
                  <c:v>2,700</c:v>
                </c:pt>
                <c:pt idx="1660">
                  <c:v>3,000</c:v>
                </c:pt>
                <c:pt idx="1663">
                  <c:v>3,000</c:v>
                </c:pt>
                <c:pt idx="1667">
                  <c:v>3,400</c:v>
                </c:pt>
                <c:pt idx="1670">
                  <c:v>2,900</c:v>
                </c:pt>
                <c:pt idx="1677">
                  <c:v>2,600</c:v>
                </c:pt>
                <c:pt idx="1680">
                  <c:v>2,700</c:v>
                </c:pt>
                <c:pt idx="1684">
                  <c:v>2,800</c:v>
                </c:pt>
                <c:pt idx="1687">
                  <c:v>2,800</c:v>
                </c:pt>
                <c:pt idx="1691">
                  <c:v>3,100</c:v>
                </c:pt>
                <c:pt idx="1694">
                  <c:v>3,100</c:v>
                </c:pt>
                <c:pt idx="1698">
                  <c:v>3,200</c:v>
                </c:pt>
                <c:pt idx="1701">
                  <c:v>3,200</c:v>
                </c:pt>
                <c:pt idx="1708">
                  <c:v>2,700</c:v>
                </c:pt>
                <c:pt idx="1711">
                  <c:v>2,800</c:v>
                </c:pt>
                <c:pt idx="1715">
                  <c:v>2,900</c:v>
                </c:pt>
                <c:pt idx="1718">
                  <c:v>2,900</c:v>
                </c:pt>
                <c:pt idx="1722">
                  <c:v>2,900</c:v>
                </c:pt>
                <c:pt idx="1725">
                  <c:v>2,800</c:v>
                </c:pt>
                <c:pt idx="1729">
                  <c:v>3,200</c:v>
                </c:pt>
                <c:pt idx="1732">
                  <c:v>3,000</c:v>
                </c:pt>
                <c:pt idx="1739">
                  <c:v>7.0</c:v>
                </c:pt>
                <c:pt idx="1742">
                  <c:v>7.1</c:v>
                </c:pt>
                <c:pt idx="1746">
                  <c:v>7.1</c:v>
                </c:pt>
                <c:pt idx="1749">
                  <c:v>7.1</c:v>
                </c:pt>
                <c:pt idx="1753">
                  <c:v>7.1</c:v>
                </c:pt>
                <c:pt idx="1756">
                  <c:v>7.2</c:v>
                </c:pt>
                <c:pt idx="1760">
                  <c:v>6.9</c:v>
                </c:pt>
                <c:pt idx="1763">
                  <c:v>6.9</c:v>
                </c:pt>
                <c:pt idx="1801">
                  <c:v>6.9</c:v>
                </c:pt>
                <c:pt idx="1804">
                  <c:v>6.9</c:v>
                </c:pt>
                <c:pt idx="1808">
                  <c:v>6.9</c:v>
                </c:pt>
                <c:pt idx="1811">
                  <c:v>7.0</c:v>
                </c:pt>
                <c:pt idx="1815">
                  <c:v>7.1</c:v>
                </c:pt>
                <c:pt idx="1818">
                  <c:v>7.1</c:v>
                </c:pt>
                <c:pt idx="1822">
                  <c:v>7.0</c:v>
                </c:pt>
                <c:pt idx="1825">
                  <c:v>7.0</c:v>
                </c:pt>
                <c:pt idx="1832">
                  <c:v>7.0</c:v>
                </c:pt>
                <c:pt idx="1835">
                  <c:v>7.0</c:v>
                </c:pt>
                <c:pt idx="1839">
                  <c:v>7.1</c:v>
                </c:pt>
                <c:pt idx="1842">
                  <c:v>7.0</c:v>
                </c:pt>
                <c:pt idx="1846">
                  <c:v>7.1</c:v>
                </c:pt>
                <c:pt idx="1849">
                  <c:v>7.1</c:v>
                </c:pt>
                <c:pt idx="1853">
                  <c:v>6.9</c:v>
                </c:pt>
                <c:pt idx="1856">
                  <c:v>7.1</c:v>
                </c:pt>
                <c:pt idx="1863">
                  <c:v>7.1</c:v>
                </c:pt>
                <c:pt idx="1866">
                  <c:v>7.1</c:v>
                </c:pt>
                <c:pt idx="1870">
                  <c:v>7.1</c:v>
                </c:pt>
                <c:pt idx="1873">
                  <c:v>6.9</c:v>
                </c:pt>
                <c:pt idx="1877">
                  <c:v>7.1</c:v>
                </c:pt>
                <c:pt idx="1880">
                  <c:v>7.1</c:v>
                </c:pt>
                <c:pt idx="1884">
                  <c:v>6.8</c:v>
                </c:pt>
                <c:pt idx="1887">
                  <c:v>7.1</c:v>
                </c:pt>
                <c:pt idx="1891">
                  <c:v>5.7</c:v>
                </c:pt>
                <c:pt idx="1892">
                  <c:v>5.2</c:v>
                </c:pt>
                <c:pt idx="1893">
                  <c:v>4.1</c:v>
                </c:pt>
                <c:pt idx="1894">
                  <c:v>4.0</c:v>
                </c:pt>
                <c:pt idx="1895">
                  <c:v>4.8</c:v>
                </c:pt>
                <c:pt idx="1896">
                  <c:v>4.9</c:v>
                </c:pt>
                <c:pt idx="1897">
                  <c:v>4.5</c:v>
                </c:pt>
                <c:pt idx="1898">
                  <c:v>4.7</c:v>
                </c:pt>
                <c:pt idx="1899">
                  <c:v>5.8</c:v>
                </c:pt>
                <c:pt idx="1900">
                  <c:v>3.2</c:v>
                </c:pt>
                <c:pt idx="1901">
                  <c:v>6.6</c:v>
                </c:pt>
                <c:pt idx="1902">
                  <c:v>6.4</c:v>
                </c:pt>
                <c:pt idx="1903">
                  <c:v>5.7</c:v>
                </c:pt>
                <c:pt idx="1904">
                  <c:v>5.7</c:v>
                </c:pt>
                <c:pt idx="1905">
                  <c:v>5.6</c:v>
                </c:pt>
                <c:pt idx="1906">
                  <c:v>7.6</c:v>
                </c:pt>
                <c:pt idx="1907">
                  <c:v>5.8</c:v>
                </c:pt>
                <c:pt idx="1908">
                  <c:v>4.7</c:v>
                </c:pt>
                <c:pt idx="1909">
                  <c:v>4.9</c:v>
                </c:pt>
                <c:pt idx="1910">
                  <c:v>4.7</c:v>
                </c:pt>
                <c:pt idx="1911">
                  <c:v>4.3</c:v>
                </c:pt>
                <c:pt idx="1912">
                  <c:v>5.6</c:v>
                </c:pt>
                <c:pt idx="1913">
                  <c:v>4.4</c:v>
                </c:pt>
                <c:pt idx="1914">
                  <c:v>5.7</c:v>
                </c:pt>
                <c:pt idx="1915">
                  <c:v>5.7</c:v>
                </c:pt>
                <c:pt idx="1916">
                  <c:v>5.5</c:v>
                </c:pt>
                <c:pt idx="1917">
                  <c:v>6.9</c:v>
                </c:pt>
                <c:pt idx="1918">
                  <c:v>6.0</c:v>
                </c:pt>
                <c:pt idx="1919">
                  <c:v>4.8</c:v>
                </c:pt>
                <c:pt idx="1920">
                  <c:v>4.7</c:v>
                </c:pt>
                <c:pt idx="1921">
                  <c:v>4.4</c:v>
                </c:pt>
                <c:pt idx="1922">
                  <c:v>6.7</c:v>
                </c:pt>
                <c:pt idx="1923">
                  <c:v>4.7</c:v>
                </c:pt>
                <c:pt idx="1924">
                  <c:v>4.7</c:v>
                </c:pt>
                <c:pt idx="1925">
                  <c:v>4.7</c:v>
                </c:pt>
                <c:pt idx="1926">
                  <c:v>4.4</c:v>
                </c:pt>
                <c:pt idx="1927">
                  <c:v>5.1</c:v>
                </c:pt>
                <c:pt idx="1928">
                  <c:v>4.9</c:v>
                </c:pt>
                <c:pt idx="1929">
                  <c:v>4.9</c:v>
                </c:pt>
                <c:pt idx="1930">
                  <c:v>4.6</c:v>
                </c:pt>
                <c:pt idx="1931">
                  <c:v>7.4</c:v>
                </c:pt>
                <c:pt idx="1932">
                  <c:v>4.5</c:v>
                </c:pt>
                <c:pt idx="1933">
                  <c:v>5.7</c:v>
                </c:pt>
                <c:pt idx="1934">
                  <c:v>6.1</c:v>
                </c:pt>
                <c:pt idx="1935">
                  <c:v>8.4</c:v>
                </c:pt>
                <c:pt idx="1936">
                  <c:v>6.1</c:v>
                </c:pt>
                <c:pt idx="1937">
                  <c:v>7.8</c:v>
                </c:pt>
                <c:pt idx="1938">
                  <c:v>6.8</c:v>
                </c:pt>
                <c:pt idx="1939">
                  <c:v>5.1</c:v>
                </c:pt>
                <c:pt idx="1940">
                  <c:v>5.3</c:v>
                </c:pt>
                <c:pt idx="1941">
                  <c:v>6.0</c:v>
                </c:pt>
                <c:pt idx="1942">
                  <c:v>4.3</c:v>
                </c:pt>
                <c:pt idx="1943">
                  <c:v>4.5</c:v>
                </c:pt>
                <c:pt idx="1944">
                  <c:v>7.6</c:v>
                </c:pt>
                <c:pt idx="1945">
                  <c:v>5.8</c:v>
                </c:pt>
                <c:pt idx="1946">
                  <c:v>4.9</c:v>
                </c:pt>
                <c:pt idx="1947">
                  <c:v>5.3</c:v>
                </c:pt>
                <c:pt idx="1948">
                  <c:v>6.5</c:v>
                </c:pt>
                <c:pt idx="1949">
                  <c:v>5.1</c:v>
                </c:pt>
                <c:pt idx="1950">
                  <c:v>4.5</c:v>
                </c:pt>
                <c:pt idx="1951">
                  <c:v>4.3</c:v>
                </c:pt>
                <c:pt idx="1952">
                  <c:v>4.7</c:v>
                </c:pt>
                <c:pt idx="1953">
                  <c:v>5.9</c:v>
                </c:pt>
                <c:pt idx="1954">
                  <c:v>5.7</c:v>
                </c:pt>
                <c:pt idx="1955">
                  <c:v>4.5</c:v>
                </c:pt>
                <c:pt idx="1956">
                  <c:v>4.3</c:v>
                </c:pt>
                <c:pt idx="1957">
                  <c:v>4.9</c:v>
                </c:pt>
                <c:pt idx="1958">
                  <c:v>4.5</c:v>
                </c:pt>
                <c:pt idx="1959">
                  <c:v>3.6</c:v>
                </c:pt>
                <c:pt idx="1960">
                  <c:v>2.2</c:v>
                </c:pt>
                <c:pt idx="1961">
                  <c:v>3.9</c:v>
                </c:pt>
                <c:pt idx="1962">
                  <c:v>3.4</c:v>
                </c:pt>
                <c:pt idx="1963">
                  <c:v>4.6</c:v>
                </c:pt>
                <c:pt idx="1964">
                  <c:v>4.0</c:v>
                </c:pt>
                <c:pt idx="1965">
                  <c:v>4.8</c:v>
                </c:pt>
                <c:pt idx="1966">
                  <c:v>3.6</c:v>
                </c:pt>
                <c:pt idx="1967">
                  <c:v>4.2</c:v>
                </c:pt>
                <c:pt idx="1968">
                  <c:v>4.1</c:v>
                </c:pt>
                <c:pt idx="1969">
                  <c:v>3.9</c:v>
                </c:pt>
                <c:pt idx="1970">
                  <c:v>3.6</c:v>
                </c:pt>
                <c:pt idx="1971">
                  <c:v>3.6</c:v>
                </c:pt>
                <c:pt idx="1972">
                  <c:v>4.6</c:v>
                </c:pt>
                <c:pt idx="1973">
                  <c:v>4.4</c:v>
                </c:pt>
                <c:pt idx="1974">
                  <c:v>4.6</c:v>
                </c:pt>
                <c:pt idx="1975">
                  <c:v>4.7</c:v>
                </c:pt>
                <c:pt idx="1976">
                  <c:v>8.4</c:v>
                </c:pt>
                <c:pt idx="1977">
                  <c:v>6.5</c:v>
                </c:pt>
                <c:pt idx="1978">
                  <c:v>7.1</c:v>
                </c:pt>
                <c:pt idx="1979">
                  <c:v>9.1</c:v>
                </c:pt>
                <c:pt idx="1980">
                  <c:v>6.9</c:v>
                </c:pt>
                <c:pt idx="1981">
                  <c:v>5.3</c:v>
                </c:pt>
                <c:pt idx="1982">
                  <c:v>5.6</c:v>
                </c:pt>
                <c:pt idx="1983">
                  <c:v>4.1</c:v>
                </c:pt>
                <c:pt idx="1984">
                  <c:v>5.7</c:v>
                </c:pt>
                <c:pt idx="1985">
                  <c:v>5.4</c:v>
                </c:pt>
                <c:pt idx="1986">
                  <c:v>5.1</c:v>
                </c:pt>
                <c:pt idx="1987">
                  <c:v>5.3</c:v>
                </c:pt>
                <c:pt idx="1988">
                  <c:v>7.0</c:v>
                </c:pt>
                <c:pt idx="1989">
                  <c:v>4.7</c:v>
                </c:pt>
                <c:pt idx="1990">
                  <c:v>3.7</c:v>
                </c:pt>
                <c:pt idx="1991">
                  <c:v>4.1</c:v>
                </c:pt>
                <c:pt idx="1992">
                  <c:v>3.4</c:v>
                </c:pt>
                <c:pt idx="1993">
                  <c:v>7.0</c:v>
                </c:pt>
                <c:pt idx="1994">
                  <c:v>3.3</c:v>
                </c:pt>
                <c:pt idx="1995">
                  <c:v>3.7</c:v>
                </c:pt>
                <c:pt idx="1996">
                  <c:v>4.8</c:v>
                </c:pt>
                <c:pt idx="1997">
                  <c:v>3.7</c:v>
                </c:pt>
                <c:pt idx="1998">
                  <c:v>2.7</c:v>
                </c:pt>
                <c:pt idx="1999">
                  <c:v>5.2</c:v>
                </c:pt>
                <c:pt idx="2000">
                  <c:v>4.6</c:v>
                </c:pt>
                <c:pt idx="2001">
                  <c:v>4.4</c:v>
                </c:pt>
                <c:pt idx="2002">
                  <c:v>5.0</c:v>
                </c:pt>
                <c:pt idx="2003">
                  <c:v>5.0</c:v>
                </c:pt>
                <c:pt idx="2004">
                  <c:v>4.5</c:v>
                </c:pt>
                <c:pt idx="2005">
                  <c:v>4.6</c:v>
                </c:pt>
                <c:pt idx="2006">
                  <c:v>4.4</c:v>
                </c:pt>
                <c:pt idx="2007">
                  <c:v>7.6</c:v>
                </c:pt>
                <c:pt idx="2008">
                  <c:v>5.9</c:v>
                </c:pt>
                <c:pt idx="2009">
                  <c:v>7.0</c:v>
                </c:pt>
                <c:pt idx="2010">
                  <c:v>7.9</c:v>
                </c:pt>
                <c:pt idx="2011">
                  <c:v>6.2</c:v>
                </c:pt>
                <c:pt idx="2012">
                  <c:v>2.8</c:v>
                </c:pt>
                <c:pt idx="2013">
                  <c:v>3.6</c:v>
                </c:pt>
                <c:pt idx="2014">
                  <c:v>4.4</c:v>
                </c:pt>
                <c:pt idx="2015">
                  <c:v>4.5</c:v>
                </c:pt>
                <c:pt idx="2016">
                  <c:v>4.2</c:v>
                </c:pt>
                <c:pt idx="2017">
                  <c:v>5.1</c:v>
                </c:pt>
                <c:pt idx="2018">
                  <c:v>5.9</c:v>
                </c:pt>
                <c:pt idx="2019">
                  <c:v>5.1</c:v>
                </c:pt>
                <c:pt idx="2020">
                  <c:v>5.7</c:v>
                </c:pt>
                <c:pt idx="2021">
                  <c:v>4.7</c:v>
                </c:pt>
                <c:pt idx="2022">
                  <c:v>4.6</c:v>
                </c:pt>
                <c:pt idx="2023">
                  <c:v>4.9</c:v>
                </c:pt>
                <c:pt idx="2024">
                  <c:v>4.1</c:v>
                </c:pt>
                <c:pt idx="2025">
                  <c:v>5.0</c:v>
                </c:pt>
                <c:pt idx="2026">
                  <c:v>4.7</c:v>
                </c:pt>
                <c:pt idx="2027">
                  <c:v>4.6</c:v>
                </c:pt>
                <c:pt idx="2028">
                  <c:v>6.5</c:v>
                </c:pt>
                <c:pt idx="2029">
                  <c:v>4.4</c:v>
                </c:pt>
                <c:pt idx="2030">
                  <c:v>4.8</c:v>
                </c:pt>
                <c:pt idx="2031">
                  <c:v>4.8</c:v>
                </c:pt>
                <c:pt idx="2032">
                  <c:v>4.5</c:v>
                </c:pt>
                <c:pt idx="2033">
                  <c:v>4.7</c:v>
                </c:pt>
                <c:pt idx="2034">
                  <c:v>4.7</c:v>
                </c:pt>
                <c:pt idx="2035">
                  <c:v>4.6</c:v>
                </c:pt>
                <c:pt idx="2036">
                  <c:v>4.7</c:v>
                </c:pt>
                <c:pt idx="2037">
                  <c:v>4.4</c:v>
                </c:pt>
                <c:pt idx="2038">
                  <c:v>6.7</c:v>
                </c:pt>
                <c:pt idx="2039">
                  <c:v>4.8</c:v>
                </c:pt>
                <c:pt idx="2040">
                  <c:v>4.6</c:v>
                </c:pt>
                <c:pt idx="2041">
                  <c:v>5.9</c:v>
                </c:pt>
                <c:pt idx="2042">
                  <c:v>4.8</c:v>
                </c:pt>
                <c:pt idx="2043">
                  <c:v>3.9</c:v>
                </c:pt>
                <c:pt idx="2044">
                  <c:v>4.1</c:v>
                </c:pt>
                <c:pt idx="2045">
                  <c:v>4.6</c:v>
                </c:pt>
                <c:pt idx="2050">
                  <c:v>92</c:v>
                </c:pt>
                <c:pt idx="2057">
                  <c:v>312</c:v>
                </c:pt>
                <c:pt idx="2064">
                  <c:v>94</c:v>
                </c:pt>
                <c:pt idx="2071">
                  <c:v>1550</c:v>
                </c:pt>
                <c:pt idx="2081">
                  <c:v>191</c:v>
                </c:pt>
                <c:pt idx="2088">
                  <c:v>389</c:v>
                </c:pt>
                <c:pt idx="2095">
                  <c:v>122</c:v>
                </c:pt>
                <c:pt idx="2102">
                  <c:v>1510</c:v>
                </c:pt>
                <c:pt idx="2112">
                  <c:v>130</c:v>
                </c:pt>
                <c:pt idx="2119">
                  <c:v>340</c:v>
                </c:pt>
                <c:pt idx="2126">
                  <c:v>100</c:v>
                </c:pt>
                <c:pt idx="2133">
                  <c:v>1540</c:v>
                </c:pt>
                <c:pt idx="2139">
                  <c:v>19</c:v>
                </c:pt>
                <c:pt idx="2140">
                  <c:v>19</c:v>
                </c:pt>
                <c:pt idx="2141">
                  <c:v>19</c:v>
                </c:pt>
                <c:pt idx="2142">
                  <c:v>19</c:v>
                </c:pt>
                <c:pt idx="2143">
                  <c:v>18</c:v>
                </c:pt>
                <c:pt idx="2144">
                  <c:v>19</c:v>
                </c:pt>
                <c:pt idx="2145">
                  <c:v>19</c:v>
                </c:pt>
                <c:pt idx="2146">
                  <c:v>19</c:v>
                </c:pt>
                <c:pt idx="2147">
                  <c:v>19</c:v>
                </c:pt>
                <c:pt idx="2148">
                  <c:v>19</c:v>
                </c:pt>
                <c:pt idx="2149">
                  <c:v>16</c:v>
                </c:pt>
                <c:pt idx="2150">
                  <c:v>16</c:v>
                </c:pt>
                <c:pt idx="2151">
                  <c:v>17</c:v>
                </c:pt>
                <c:pt idx="2152">
                  <c:v>18</c:v>
                </c:pt>
                <c:pt idx="2153">
                  <c:v>18</c:v>
                </c:pt>
                <c:pt idx="2154">
                  <c:v>15</c:v>
                </c:pt>
                <c:pt idx="2155">
                  <c:v>17</c:v>
                </c:pt>
                <c:pt idx="2156">
                  <c:v>17</c:v>
                </c:pt>
                <c:pt idx="2157">
                  <c:v>17</c:v>
                </c:pt>
                <c:pt idx="2158">
                  <c:v>18</c:v>
                </c:pt>
                <c:pt idx="2159">
                  <c:v>17</c:v>
                </c:pt>
                <c:pt idx="2160">
                  <c:v>17</c:v>
                </c:pt>
                <c:pt idx="2161">
                  <c:v>12</c:v>
                </c:pt>
                <c:pt idx="2162">
                  <c:v>14</c:v>
                </c:pt>
                <c:pt idx="2163">
                  <c:v>17</c:v>
                </c:pt>
                <c:pt idx="2164">
                  <c:v>17</c:v>
                </c:pt>
                <c:pt idx="2165">
                  <c:v>13</c:v>
                </c:pt>
                <c:pt idx="2166">
                  <c:v>15</c:v>
                </c:pt>
                <c:pt idx="2167">
                  <c:v>16</c:v>
                </c:pt>
                <c:pt idx="2168">
                  <c:v>16</c:v>
                </c:pt>
                <c:pt idx="2169">
                  <c:v>17</c:v>
                </c:pt>
                <c:pt idx="2170">
                  <c:v>7.1</c:v>
                </c:pt>
                <c:pt idx="2171">
                  <c:v>7.0</c:v>
                </c:pt>
                <c:pt idx="2172">
                  <c:v>7.0</c:v>
                </c:pt>
                <c:pt idx="2173">
                  <c:v>7.0</c:v>
                </c:pt>
                <c:pt idx="2174">
                  <c:v>7.1</c:v>
                </c:pt>
                <c:pt idx="2175">
                  <c:v>7.2</c:v>
                </c:pt>
                <c:pt idx="2176">
                  <c:v>7.4</c:v>
                </c:pt>
                <c:pt idx="2177">
                  <c:v>7.5</c:v>
                </c:pt>
                <c:pt idx="2178">
                  <c:v>7.3</c:v>
                </c:pt>
                <c:pt idx="2179">
                  <c:v>6.8</c:v>
                </c:pt>
                <c:pt idx="2180">
                  <c:v>7.4</c:v>
                </c:pt>
                <c:pt idx="2181">
                  <c:v>7.0</c:v>
                </c:pt>
                <c:pt idx="2182">
                  <c:v>7.2</c:v>
                </c:pt>
                <c:pt idx="2183">
                  <c:v>7.1</c:v>
                </c:pt>
                <c:pt idx="2184">
                  <c:v>7.3</c:v>
                </c:pt>
                <c:pt idx="2185">
                  <c:v>7.2</c:v>
                </c:pt>
                <c:pt idx="2186">
                  <c:v>7.1</c:v>
                </c:pt>
                <c:pt idx="2187">
                  <c:v>7.3</c:v>
                </c:pt>
                <c:pt idx="2188">
                  <c:v>7.1</c:v>
                </c:pt>
                <c:pt idx="2189">
                  <c:v>7.0</c:v>
                </c:pt>
                <c:pt idx="2190">
                  <c:v>7.1</c:v>
                </c:pt>
                <c:pt idx="2191">
                  <c:v>7.0</c:v>
                </c:pt>
                <c:pt idx="2192">
                  <c:v>7.0</c:v>
                </c:pt>
                <c:pt idx="2193">
                  <c:v>7.0</c:v>
                </c:pt>
                <c:pt idx="2194">
                  <c:v>7.1</c:v>
                </c:pt>
                <c:pt idx="2195">
                  <c:v>7.1</c:v>
                </c:pt>
                <c:pt idx="2196">
                  <c:v>6.9</c:v>
                </c:pt>
                <c:pt idx="2197">
                  <c:v>6.9</c:v>
                </c:pt>
                <c:pt idx="2198">
                  <c:v>7.1</c:v>
                </c:pt>
                <c:pt idx="2199">
                  <c:v>7.0</c:v>
                </c:pt>
                <c:pt idx="2200">
                  <c:v>7.1</c:v>
                </c:pt>
                <c:pt idx="2201">
                  <c:v>6.7</c:v>
                </c:pt>
                <c:pt idx="2202">
                  <c:v>6.6</c:v>
                </c:pt>
                <c:pt idx="2203">
                  <c:v>6.6</c:v>
                </c:pt>
                <c:pt idx="2204">
                  <c:v>6.6</c:v>
                </c:pt>
                <c:pt idx="2205">
                  <c:v>6.6</c:v>
                </c:pt>
                <c:pt idx="2206">
                  <c:v>6.6</c:v>
                </c:pt>
                <c:pt idx="2207">
                  <c:v>6.6</c:v>
                </c:pt>
                <c:pt idx="2208">
                  <c:v>6.7</c:v>
                </c:pt>
                <c:pt idx="2209">
                  <c:v>6.7</c:v>
                </c:pt>
                <c:pt idx="2210">
                  <c:v>6.3</c:v>
                </c:pt>
                <c:pt idx="2211">
                  <c:v>6.6</c:v>
                </c:pt>
                <c:pt idx="2212">
                  <c:v>6.2</c:v>
                </c:pt>
                <c:pt idx="2213">
                  <c:v>6.7</c:v>
                </c:pt>
                <c:pt idx="2214">
                  <c:v>6.4</c:v>
                </c:pt>
                <c:pt idx="2215">
                  <c:v>6.7</c:v>
                </c:pt>
                <c:pt idx="2216">
                  <c:v>6.7</c:v>
                </c:pt>
                <c:pt idx="2217">
                  <c:v>6.6</c:v>
                </c:pt>
                <c:pt idx="2218">
                  <c:v>6.6</c:v>
                </c:pt>
                <c:pt idx="2219">
                  <c:v>6.5</c:v>
                </c:pt>
                <c:pt idx="2220">
                  <c:v>6.5</c:v>
                </c:pt>
                <c:pt idx="2221">
                  <c:v>6.6</c:v>
                </c:pt>
                <c:pt idx="2222">
                  <c:v>6.6</c:v>
                </c:pt>
                <c:pt idx="2223">
                  <c:v>6.7</c:v>
                </c:pt>
                <c:pt idx="2224">
                  <c:v>6.7</c:v>
                </c:pt>
                <c:pt idx="2225">
                  <c:v>6.7</c:v>
                </c:pt>
                <c:pt idx="2226">
                  <c:v>6.7</c:v>
                </c:pt>
                <c:pt idx="2227">
                  <c:v>6.4</c:v>
                </c:pt>
                <c:pt idx="2228">
                  <c:v>6.6</c:v>
                </c:pt>
                <c:pt idx="2229">
                  <c:v>6.3</c:v>
                </c:pt>
                <c:pt idx="2230">
                  <c:v>6.4</c:v>
                </c:pt>
                <c:pt idx="2231">
                  <c:v>6.6</c:v>
                </c:pt>
                <c:pt idx="2232">
                  <c:v>6.8</c:v>
                </c:pt>
                <c:pt idx="2233">
                  <c:v>6.8</c:v>
                </c:pt>
                <c:pt idx="2234">
                  <c:v>6.8</c:v>
                </c:pt>
                <c:pt idx="2235">
                  <c:v>6.8</c:v>
                </c:pt>
                <c:pt idx="2236">
                  <c:v>6.9</c:v>
                </c:pt>
                <c:pt idx="2237">
                  <c:v>6.9</c:v>
                </c:pt>
                <c:pt idx="2238">
                  <c:v>6.8</c:v>
                </c:pt>
                <c:pt idx="2239">
                  <c:v>7.0</c:v>
                </c:pt>
                <c:pt idx="2240">
                  <c:v>6.9</c:v>
                </c:pt>
                <c:pt idx="2241">
                  <c:v>6.7</c:v>
                </c:pt>
                <c:pt idx="2242">
                  <c:v>6.9</c:v>
                </c:pt>
                <c:pt idx="2243">
                  <c:v>6.8</c:v>
                </c:pt>
                <c:pt idx="2244">
                  <c:v>6.9</c:v>
                </c:pt>
                <c:pt idx="2245">
                  <c:v>6.7</c:v>
                </c:pt>
                <c:pt idx="2246">
                  <c:v>6.9</c:v>
                </c:pt>
                <c:pt idx="2247">
                  <c:v>6.9</c:v>
                </c:pt>
                <c:pt idx="2248">
                  <c:v>6.9</c:v>
                </c:pt>
                <c:pt idx="2249">
                  <c:v>6.9</c:v>
                </c:pt>
                <c:pt idx="2250">
                  <c:v>6.8</c:v>
                </c:pt>
                <c:pt idx="2251">
                  <c:v>6.8</c:v>
                </c:pt>
                <c:pt idx="2252">
                  <c:v>6.7</c:v>
                </c:pt>
                <c:pt idx="2253">
                  <c:v>6.8</c:v>
                </c:pt>
                <c:pt idx="2254">
                  <c:v>6.8</c:v>
                </c:pt>
                <c:pt idx="2255">
                  <c:v>6.8</c:v>
                </c:pt>
                <c:pt idx="2256">
                  <c:v>7.0</c:v>
                </c:pt>
                <c:pt idx="2257">
                  <c:v>7.0</c:v>
                </c:pt>
                <c:pt idx="2258">
                  <c:v>6.7</c:v>
                </c:pt>
                <c:pt idx="2259">
                  <c:v>6.8</c:v>
                </c:pt>
                <c:pt idx="2260">
                  <c:v>6.6</c:v>
                </c:pt>
                <c:pt idx="2261">
                  <c:v>6.6</c:v>
                </c:pt>
                <c:pt idx="2262">
                  <c:v>6.9</c:v>
                </c:pt>
                <c:pt idx="2263">
                  <c:v>6.7</c:v>
                </c:pt>
                <c:pt idx="2264">
                  <c:v>6.9</c:v>
                </c:pt>
                <c:pt idx="2265">
                  <c:v>6.8</c:v>
                </c:pt>
                <c:pt idx="2266">
                  <c:v>6.7</c:v>
                </c:pt>
                <c:pt idx="2267">
                  <c:v>7.0</c:v>
                </c:pt>
                <c:pt idx="2268">
                  <c:v>6.7</c:v>
                </c:pt>
                <c:pt idx="2269">
                  <c:v>6.6</c:v>
                </c:pt>
                <c:pt idx="2270">
                  <c:v>6.7</c:v>
                </c:pt>
                <c:pt idx="2271">
                  <c:v>7.1</c:v>
                </c:pt>
                <c:pt idx="2272">
                  <c:v>6.7</c:v>
                </c:pt>
                <c:pt idx="2273">
                  <c:v>6.7</c:v>
                </c:pt>
                <c:pt idx="2274">
                  <c:v>6.6</c:v>
                </c:pt>
                <c:pt idx="2275">
                  <c:v>6.7</c:v>
                </c:pt>
                <c:pt idx="2276">
                  <c:v>7.0</c:v>
                </c:pt>
                <c:pt idx="2277">
                  <c:v>6.7</c:v>
                </c:pt>
                <c:pt idx="2278">
                  <c:v>6.7</c:v>
                </c:pt>
                <c:pt idx="2279">
                  <c:v>6.8</c:v>
                </c:pt>
                <c:pt idx="2280">
                  <c:v>6.8</c:v>
                </c:pt>
                <c:pt idx="2281">
                  <c:v>7.1</c:v>
                </c:pt>
                <c:pt idx="2282">
                  <c:v>6.8</c:v>
                </c:pt>
                <c:pt idx="2283">
                  <c:v>7.1</c:v>
                </c:pt>
                <c:pt idx="2284">
                  <c:v>6.7</c:v>
                </c:pt>
                <c:pt idx="2285">
                  <c:v>6.8</c:v>
                </c:pt>
                <c:pt idx="2286">
                  <c:v>6.9</c:v>
                </c:pt>
                <c:pt idx="2287">
                  <c:v>6.9</c:v>
                </c:pt>
                <c:pt idx="2288">
                  <c:v>6.8</c:v>
                </c:pt>
                <c:pt idx="2289">
                  <c:v>6.9</c:v>
                </c:pt>
                <c:pt idx="2290">
                  <c:v>6.6</c:v>
                </c:pt>
                <c:pt idx="2291">
                  <c:v>6.5</c:v>
                </c:pt>
                <c:pt idx="2292">
                  <c:v>6.8</c:v>
                </c:pt>
                <c:pt idx="2293">
                  <c:v>7.0</c:v>
                </c:pt>
                <c:pt idx="2294">
                  <c:v>6.5</c:v>
                </c:pt>
                <c:pt idx="2295">
                  <c:v>6.6</c:v>
                </c:pt>
                <c:pt idx="2296">
                  <c:v>6.5</c:v>
                </c:pt>
                <c:pt idx="2297">
                  <c:v>6.4</c:v>
                </c:pt>
                <c:pt idx="2298">
                  <c:v>6.3</c:v>
                </c:pt>
                <c:pt idx="2299">
                  <c:v>6.5</c:v>
                </c:pt>
                <c:pt idx="2300">
                  <c:v>6.3</c:v>
                </c:pt>
                <c:pt idx="2301">
                  <c:v>6.4</c:v>
                </c:pt>
                <c:pt idx="2302">
                  <c:v>6.4</c:v>
                </c:pt>
                <c:pt idx="2303">
                  <c:v>6.3</c:v>
                </c:pt>
                <c:pt idx="2304">
                  <c:v>6.1</c:v>
                </c:pt>
                <c:pt idx="2305">
                  <c:v>6.3</c:v>
                </c:pt>
                <c:pt idx="2306">
                  <c:v>6.3</c:v>
                </c:pt>
                <c:pt idx="2307">
                  <c:v>6.3</c:v>
                </c:pt>
                <c:pt idx="2308">
                  <c:v>6.4</c:v>
                </c:pt>
                <c:pt idx="2309">
                  <c:v>6.5</c:v>
                </c:pt>
                <c:pt idx="2310">
                  <c:v>6.6</c:v>
                </c:pt>
                <c:pt idx="2311">
                  <c:v>6.6</c:v>
                </c:pt>
                <c:pt idx="2312">
                  <c:v>6.0</c:v>
                </c:pt>
                <c:pt idx="2313">
                  <c:v>6.2</c:v>
                </c:pt>
                <c:pt idx="2314">
                  <c:v>6.3</c:v>
                </c:pt>
                <c:pt idx="2315">
                  <c:v>6.3</c:v>
                </c:pt>
                <c:pt idx="2316">
                  <c:v>6.6</c:v>
                </c:pt>
                <c:pt idx="2317">
                  <c:v>6.6</c:v>
                </c:pt>
                <c:pt idx="2318">
                  <c:v>6.5</c:v>
                </c:pt>
                <c:pt idx="2319">
                  <c:v>6.4</c:v>
                </c:pt>
                <c:pt idx="2320">
                  <c:v>6.2</c:v>
                </c:pt>
                <c:pt idx="2321">
                  <c:v>6.3</c:v>
                </c:pt>
                <c:pt idx="2322">
                  <c:v>6.3</c:v>
                </c:pt>
                <c:pt idx="2323">
                  <c:v>6.3</c:v>
                </c:pt>
                <c:pt idx="2324">
                  <c:v>6.6</c:v>
                </c:pt>
                <c:pt idx="2325">
                  <c:v>6.6</c:v>
                </c:pt>
                <c:pt idx="2326">
                  <c:v>6.7</c:v>
                </c:pt>
                <c:pt idx="2327">
                  <c:v>6.7</c:v>
                </c:pt>
                <c:pt idx="2328">
                  <c:v>6.5</c:v>
                </c:pt>
                <c:pt idx="2329">
                  <c:v>6.5</c:v>
                </c:pt>
                <c:pt idx="2330">
                  <c:v>6.6</c:v>
                </c:pt>
                <c:pt idx="2331">
                  <c:v>6.5</c:v>
                </c:pt>
                <c:pt idx="2332">
                  <c:v>6.6</c:v>
                </c:pt>
                <c:pt idx="2333">
                  <c:v>6.7</c:v>
                </c:pt>
                <c:pt idx="2334">
                  <c:v>6.5</c:v>
                </c:pt>
                <c:pt idx="2335">
                  <c:v>6.5</c:v>
                </c:pt>
                <c:pt idx="2336">
                  <c:v>6.5</c:v>
                </c:pt>
                <c:pt idx="2337">
                  <c:v>6.5</c:v>
                </c:pt>
                <c:pt idx="2338">
                  <c:v>6.6</c:v>
                </c:pt>
                <c:pt idx="2339">
                  <c:v>6.5</c:v>
                </c:pt>
                <c:pt idx="2340">
                  <c:v>6.6</c:v>
                </c:pt>
                <c:pt idx="2341">
                  <c:v>6.7</c:v>
                </c:pt>
                <c:pt idx="2342">
                  <c:v>6.7</c:v>
                </c:pt>
                <c:pt idx="2343">
                  <c:v>6.6</c:v>
                </c:pt>
                <c:pt idx="2344">
                  <c:v>6.5</c:v>
                </c:pt>
                <c:pt idx="2345">
                  <c:v>6.5</c:v>
                </c:pt>
                <c:pt idx="2346">
                  <c:v>6.5</c:v>
                </c:pt>
                <c:pt idx="2347">
                  <c:v>6.7</c:v>
                </c:pt>
                <c:pt idx="2348">
                  <c:v>6.7</c:v>
                </c:pt>
                <c:pt idx="2349">
                  <c:v>6.7</c:v>
                </c:pt>
                <c:pt idx="2350">
                  <c:v>6.6</c:v>
                </c:pt>
                <c:pt idx="2351">
                  <c:v>6.5</c:v>
                </c:pt>
                <c:pt idx="2352">
                  <c:v>6.4</c:v>
                </c:pt>
                <c:pt idx="2353">
                  <c:v>6.3</c:v>
                </c:pt>
                <c:pt idx="2354">
                  <c:v>6.6</c:v>
                </c:pt>
                <c:pt idx="2355">
                  <c:v>6.8</c:v>
                </c:pt>
                <c:pt idx="2356">
                  <c:v>0.48</c:v>
                </c:pt>
                <c:pt idx="2357">
                  <c:v>0.46</c:v>
                </c:pt>
                <c:pt idx="2358">
                  <c:v>0.54</c:v>
                </c:pt>
                <c:pt idx="2359">
                  <c:v>0.42</c:v>
                </c:pt>
                <c:pt idx="2360">
                  <c:v>0.53</c:v>
                </c:pt>
                <c:pt idx="2361">
                  <c:v>0.34</c:v>
                </c:pt>
                <c:pt idx="2362">
                  <c:v>0.34</c:v>
                </c:pt>
                <c:pt idx="2363">
                  <c:v>0.34</c:v>
                </c:pt>
                <c:pt idx="2364">
                  <c:v>0.42</c:v>
                </c:pt>
                <c:pt idx="2365">
                  <c:v>0.55</c:v>
                </c:pt>
                <c:pt idx="2366">
                  <c:v>0.53</c:v>
                </c:pt>
                <c:pt idx="2367">
                  <c:v>0.45</c:v>
                </c:pt>
                <c:pt idx="2368">
                  <c:v>0.53</c:v>
                </c:pt>
                <c:pt idx="2369">
                  <c:v>0.40</c:v>
                </c:pt>
                <c:pt idx="2370">
                  <c:v>0.30</c:v>
                </c:pt>
                <c:pt idx="2371">
                  <c:v>0.54</c:v>
                </c:pt>
                <c:pt idx="2372">
                  <c:v>0.60</c:v>
                </c:pt>
                <c:pt idx="2373">
                  <c:v>0.51</c:v>
                </c:pt>
                <c:pt idx="2374">
                  <c:v>0.49</c:v>
                </c:pt>
                <c:pt idx="2375">
                  <c:v>0.26</c:v>
                </c:pt>
                <c:pt idx="2376">
                  <c:v>0.41</c:v>
                </c:pt>
                <c:pt idx="2377">
                  <c:v>0.48</c:v>
                </c:pt>
                <c:pt idx="2379">
                  <c:v>0.50</c:v>
                </c:pt>
                <c:pt idx="2380">
                  <c:v>0.38</c:v>
                </c:pt>
                <c:pt idx="2381">
                  <c:v>0.42</c:v>
                </c:pt>
                <c:pt idx="2382">
                  <c:v>0.53</c:v>
                </c:pt>
                <c:pt idx="2383">
                  <c:v>0.38</c:v>
                </c:pt>
                <c:pt idx="2384">
                  <c:v>0.48</c:v>
                </c:pt>
                <c:pt idx="2385">
                  <c:v>0.32</c:v>
                </c:pt>
                <c:pt idx="2386">
                  <c:v>0.49</c:v>
                </c:pt>
                <c:pt idx="2416">
                  <c:v>&gt;</c:v>
                </c:pt>
                <c:pt idx="2418">
                  <c:v>16</c:v>
                </c:pt>
                <c:pt idx="2419">
                  <c:v>1</c:v>
                </c:pt>
                <c:pt idx="2420">
                  <c:v>98</c:v>
                </c:pt>
                <c:pt idx="2421">
                  <c:v>3</c:v>
                </c:pt>
                <c:pt idx="2422">
                  <c:v>3</c:v>
                </c:pt>
                <c:pt idx="2423">
                  <c:v>27</c:v>
                </c:pt>
                <c:pt idx="2424">
                  <c:v>54</c:v>
                </c:pt>
                <c:pt idx="2425">
                  <c:v>36</c:v>
                </c:pt>
                <c:pt idx="2426">
                  <c:v>38</c:v>
                </c:pt>
                <c:pt idx="2427">
                  <c:v>232</c:v>
                </c:pt>
                <c:pt idx="2428">
                  <c:v>13</c:v>
                </c:pt>
                <c:pt idx="2429">
                  <c:v>2</c:v>
                </c:pt>
                <c:pt idx="2430">
                  <c:v>12</c:v>
                </c:pt>
                <c:pt idx="2431">
                  <c:v>13</c:v>
                </c:pt>
                <c:pt idx="2432">
                  <c:v>44</c:v>
                </c:pt>
                <c:pt idx="2433">
                  <c:v>44</c:v>
                </c:pt>
                <c:pt idx="2434">
                  <c:v>14</c:v>
                </c:pt>
                <c:pt idx="2435">
                  <c:v>13</c:v>
                </c:pt>
                <c:pt idx="2436">
                  <c:v>13</c:v>
                </c:pt>
                <c:pt idx="2437">
                  <c:v>73</c:v>
                </c:pt>
                <c:pt idx="2438">
                  <c:v>39</c:v>
                </c:pt>
                <c:pt idx="2439">
                  <c:v>40</c:v>
                </c:pt>
                <c:pt idx="2441">
                  <c:v>25</c:v>
                </c:pt>
                <c:pt idx="2442">
                  <c:v>31</c:v>
                </c:pt>
                <c:pt idx="2443">
                  <c:v>72</c:v>
                </c:pt>
                <c:pt idx="2444">
                  <c:v>56</c:v>
                </c:pt>
                <c:pt idx="2445">
                  <c:v>20</c:v>
                </c:pt>
                <c:pt idx="2446">
                  <c:v>372</c:v>
                </c:pt>
                <c:pt idx="2447">
                  <c:v>4000</c:v>
                </c:pt>
                <c:pt idx="2448">
                  <c:v>21</c:v>
                </c:pt>
                <c:pt idx="2449">
                  <c:v>1</c:v>
                </c:pt>
                <c:pt idx="2450">
                  <c:v>2</c:v>
                </c:pt>
                <c:pt idx="2451">
                  <c:v>3</c:v>
                </c:pt>
                <c:pt idx="2452">
                  <c:v>4</c:v>
                </c:pt>
                <c:pt idx="2453">
                  <c:v>5</c:v>
                </c:pt>
                <c:pt idx="2454">
                  <c:v>6</c:v>
                </c:pt>
                <c:pt idx="2455">
                  <c:v>7</c:v>
                </c:pt>
                <c:pt idx="2456">
                  <c:v>8</c:v>
                </c:pt>
                <c:pt idx="2457">
                  <c:v>9</c:v>
                </c:pt>
                <c:pt idx="2458">
                  <c:v>10</c:v>
                </c:pt>
                <c:pt idx="2459">
                  <c:v>11</c:v>
                </c:pt>
                <c:pt idx="2460">
                  <c:v>12</c:v>
                </c:pt>
                <c:pt idx="2461">
                  <c:v>13</c:v>
                </c:pt>
                <c:pt idx="2462">
                  <c:v>14</c:v>
                </c:pt>
                <c:pt idx="2463">
                  <c:v>15</c:v>
                </c:pt>
                <c:pt idx="2464">
                  <c:v>16</c:v>
                </c:pt>
                <c:pt idx="2465">
                  <c:v>17</c:v>
                </c:pt>
                <c:pt idx="2466">
                  <c:v>18</c:v>
                </c:pt>
                <c:pt idx="2467">
                  <c:v>19</c:v>
                </c:pt>
                <c:pt idx="2468">
                  <c:v>20</c:v>
                </c:pt>
                <c:pt idx="2469">
                  <c:v>21</c:v>
                </c:pt>
                <c:pt idx="2470">
                  <c:v>22</c:v>
                </c:pt>
                <c:pt idx="2471">
                  <c:v>23</c:v>
                </c:pt>
                <c:pt idx="2472">
                  <c:v>24</c:v>
                </c:pt>
                <c:pt idx="2473">
                  <c:v>25</c:v>
                </c:pt>
                <c:pt idx="2474">
                  <c:v>26</c:v>
                </c:pt>
                <c:pt idx="2475">
                  <c:v>27</c:v>
                </c:pt>
                <c:pt idx="2476">
                  <c:v>28</c:v>
                </c:pt>
                <c:pt idx="2477">
                  <c:v>29</c:v>
                </c:pt>
                <c:pt idx="2478">
                  <c:v>30</c:v>
                </c:pt>
                <c:pt idx="2479">
                  <c:v>31</c:v>
                </c:pt>
                <c:pt idx="2511">
                  <c:v>1</c:v>
                </c:pt>
                <c:pt idx="2512">
                  <c:v>2</c:v>
                </c:pt>
                <c:pt idx="2513">
                  <c:v>3</c:v>
                </c:pt>
                <c:pt idx="2514">
                  <c:v>4</c:v>
                </c:pt>
                <c:pt idx="2515">
                  <c:v>5</c:v>
                </c:pt>
                <c:pt idx="2516">
                  <c:v>6</c:v>
                </c:pt>
                <c:pt idx="2517">
                  <c:v>7</c:v>
                </c:pt>
                <c:pt idx="2518">
                  <c:v>8</c:v>
                </c:pt>
                <c:pt idx="2519">
                  <c:v>9</c:v>
                </c:pt>
                <c:pt idx="2520">
                  <c:v>10</c:v>
                </c:pt>
                <c:pt idx="2521">
                  <c:v>11</c:v>
                </c:pt>
                <c:pt idx="2522">
                  <c:v>12</c:v>
                </c:pt>
                <c:pt idx="2523">
                  <c:v>13</c:v>
                </c:pt>
                <c:pt idx="2524">
                  <c:v>14</c:v>
                </c:pt>
                <c:pt idx="2525">
                  <c:v>15</c:v>
                </c:pt>
                <c:pt idx="2526">
                  <c:v>16</c:v>
                </c:pt>
                <c:pt idx="2527">
                  <c:v>17</c:v>
                </c:pt>
                <c:pt idx="2528">
                  <c:v>18</c:v>
                </c:pt>
                <c:pt idx="2529">
                  <c:v>19</c:v>
                </c:pt>
                <c:pt idx="2530">
                  <c:v>20</c:v>
                </c:pt>
                <c:pt idx="2531">
                  <c:v>21</c:v>
                </c:pt>
                <c:pt idx="2532">
                  <c:v>22</c:v>
                </c:pt>
                <c:pt idx="2533">
                  <c:v>23</c:v>
                </c:pt>
                <c:pt idx="2534">
                  <c:v>24</c:v>
                </c:pt>
                <c:pt idx="2535">
                  <c:v>25</c:v>
                </c:pt>
                <c:pt idx="2536">
                  <c:v>26</c:v>
                </c:pt>
                <c:pt idx="2537">
                  <c:v>27</c:v>
                </c:pt>
                <c:pt idx="2538">
                  <c:v>28</c:v>
                </c:pt>
                <c:pt idx="2539">
                  <c:v>29</c:v>
                </c:pt>
                <c:pt idx="2540">
                  <c:v>30</c:v>
                </c:pt>
                <c:pt idx="2541">
                  <c:v>31</c:v>
                </c:pt>
              </c:strCache>
            </c:strRef>
          </c:tx>
          <c:layout>
            <c:manualLayout>
              <c:xMode val="edge"/>
              <c:yMode val="edge"/>
              <c:x val="0.39670171217195344"/>
              <c:y val="0.95487370078740152"/>
            </c:manualLayout>
          </c:layout>
          <c:overlay val="0"/>
          <c:spPr>
            <a:noFill/>
            <a:ln w="25400">
              <a:noFill/>
            </a:ln>
          </c:spPr>
          <c:txPr>
            <a:bodyPr/>
            <a:lstStyle/>
            <a:p>
              <a:pPr>
                <a:defRPr sz="100" b="0" i="0" u="none" strike="noStrike" baseline="0">
                  <a:solidFill>
                    <a:srgbClr val="FFFFFF"/>
                  </a:solidFill>
                  <a:latin typeface="Arial"/>
                  <a:ea typeface="Arial"/>
                  <a:cs typeface="Arial"/>
                </a:defRPr>
              </a:pPr>
              <a:endParaRPr lang="en-US"/>
            </a:p>
          </c:txPr>
        </c:title>
        <c:numFmt formatCode="General" sourceLinked="1"/>
        <c:majorTickMark val="in"/>
        <c:minorTickMark val="in"/>
        <c:tickLblPos val="low"/>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30658088"/>
        <c:crossesAt val="0"/>
        <c:auto val="0"/>
        <c:lblAlgn val="ctr"/>
        <c:lblOffset val="100"/>
        <c:tickLblSkip val="1"/>
        <c:tickMarkSkip val="1"/>
        <c:noMultiLvlLbl val="0"/>
      </c:catAx>
      <c:valAx>
        <c:axId val="30658088"/>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PLANT EFF.  SS. &amp; B.O.D (mg/L)</a:t>
                </a:r>
              </a:p>
            </c:rich>
          </c:tx>
          <c:layout>
            <c:manualLayout>
              <c:xMode val="edge"/>
              <c:yMode val="edge"/>
              <c:x val="4.3402556436431764E-3"/>
              <c:y val="0.3483754330708661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30657696"/>
        <c:crosses val="autoZero"/>
        <c:crossBetween val="between"/>
      </c:valAx>
      <c:spPr>
        <a:noFill/>
        <a:ln w="12700">
          <a:solidFill>
            <a:srgbClr val="000000"/>
          </a:solidFill>
          <a:prstDash val="solid"/>
        </a:ln>
      </c:spPr>
    </c:plotArea>
    <c:legend>
      <c:legendPos val="r"/>
      <c:layout>
        <c:manualLayout>
          <c:xMode val="edge"/>
          <c:yMode val="edge"/>
          <c:x val="0.30267201776516817"/>
          <c:y val="0.14876535433070867"/>
          <c:w val="0.24744856151817962"/>
          <c:h val="6.6007139107611551E-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en-US"/>
        </a:p>
      </c:txPr>
    </c:legend>
    <c:plotVisOnly val="0"/>
    <c:dispBlanksAs val="gap"/>
    <c:showDLblsOverMax val="0"/>
  </c:chart>
  <c:spPr>
    <a:noFill/>
    <a:ln w="12700">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printSettings>
    <c:headerFooter alignWithMargins="0"/>
    <c:pageMargins b="1" l="0.75000000000001299" r="0.75000000000001299"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BOWERY BAY WASTEWATER POLLUTION CONTROL
PROCESS QUALITY CONTROL</a:t>
            </a:r>
          </a:p>
        </c:rich>
      </c:tx>
      <c:layout>
        <c:manualLayout>
          <c:xMode val="edge"/>
          <c:yMode val="edge"/>
          <c:x val="0.32616514876616587"/>
          <c:y val="2.7777812633978521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0035894828677133E-2"/>
          <c:y val="0.17156890122182294"/>
          <c:w val="0.92921228264683653"/>
          <c:h val="0.72875933280890648"/>
        </c:manualLayout>
      </c:layout>
      <c:lineChart>
        <c:grouping val="standard"/>
        <c:varyColors val="0"/>
        <c:ser>
          <c:idx val="0"/>
          <c:order val="0"/>
          <c:tx>
            <c:v>DAILY FLOW</c:v>
          </c:tx>
          <c:spPr>
            <a:ln w="25400">
              <a:solidFill>
                <a:srgbClr val="FF0000"/>
              </a:solidFill>
              <a:prstDash val="solid"/>
            </a:ln>
          </c:spPr>
          <c:marker>
            <c:symbol val="triangle"/>
            <c:size val="5"/>
            <c:spPr>
              <a:solidFill>
                <a:srgbClr val="800000"/>
              </a:solidFill>
              <a:ln>
                <a:solidFill>
                  <a:srgbClr val="000000"/>
                </a:solidFill>
                <a:prstDash val="solid"/>
              </a:ln>
            </c:spPr>
          </c:marker>
          <c:val>
            <c:numRef>
              <c:f>AT_!$CF$11:$CF$41</c:f>
              <c:numCache>
                <c:formatCode>0</c:formatCode>
                <c:ptCount val="31"/>
                <c:pt idx="0">
                  <c:v>87</c:v>
                </c:pt>
                <c:pt idx="1">
                  <c:v>91</c:v>
                </c:pt>
                <c:pt idx="2">
                  <c:v>93</c:v>
                </c:pt>
                <c:pt idx="3">
                  <c:v>86</c:v>
                </c:pt>
                <c:pt idx="4">
                  <c:v>87</c:v>
                </c:pt>
                <c:pt idx="5">
                  <c:v>88</c:v>
                </c:pt>
                <c:pt idx="6">
                  <c:v>91</c:v>
                </c:pt>
                <c:pt idx="7">
                  <c:v>87</c:v>
                </c:pt>
                <c:pt idx="8">
                  <c:v>115</c:v>
                </c:pt>
                <c:pt idx="9">
                  <c:v>172</c:v>
                </c:pt>
                <c:pt idx="10">
                  <c:v>96</c:v>
                </c:pt>
                <c:pt idx="11">
                  <c:v>94</c:v>
                </c:pt>
                <c:pt idx="12">
                  <c:v>90</c:v>
                </c:pt>
                <c:pt idx="13">
                  <c:v>87</c:v>
                </c:pt>
                <c:pt idx="14">
                  <c:v>116</c:v>
                </c:pt>
                <c:pt idx="15">
                  <c:v>110</c:v>
                </c:pt>
                <c:pt idx="16">
                  <c:v>96</c:v>
                </c:pt>
                <c:pt idx="17">
                  <c:v>93</c:v>
                </c:pt>
                <c:pt idx="18">
                  <c:v>89</c:v>
                </c:pt>
                <c:pt idx="19">
                  <c:v>87</c:v>
                </c:pt>
                <c:pt idx="20">
                  <c:v>87</c:v>
                </c:pt>
                <c:pt idx="21">
                  <c:v>89</c:v>
                </c:pt>
                <c:pt idx="22">
                  <c:v>124</c:v>
                </c:pt>
                <c:pt idx="23">
                  <c:v>120</c:v>
                </c:pt>
                <c:pt idx="24">
                  <c:v>106</c:v>
                </c:pt>
                <c:pt idx="25">
                  <c:v>161</c:v>
                </c:pt>
                <c:pt idx="26">
                  <c:v>140</c:v>
                </c:pt>
                <c:pt idx="27">
                  <c:v>107</c:v>
                </c:pt>
                <c:pt idx="28">
                  <c:v>101</c:v>
                </c:pt>
                <c:pt idx="29">
                  <c:v>100</c:v>
                </c:pt>
                <c:pt idx="30">
                  <c:v>113</c:v>
                </c:pt>
              </c:numCache>
            </c:numRef>
          </c:val>
          <c:smooth val="0"/>
        </c:ser>
        <c:ser>
          <c:idx val="1"/>
          <c:order val="1"/>
          <c:tx>
            <c:v>DRY FLOW</c:v>
          </c:tx>
          <c:spPr>
            <a:ln w="25400">
              <a:solidFill>
                <a:srgbClr val="800000"/>
              </a:solidFill>
              <a:prstDash val="solid"/>
            </a:ln>
          </c:spPr>
          <c:marker>
            <c:symbol val="diamond"/>
            <c:size val="5"/>
            <c:spPr>
              <a:solidFill>
                <a:srgbClr val="3366FF"/>
              </a:solidFill>
              <a:ln>
                <a:solidFill>
                  <a:srgbClr val="000000"/>
                </a:solidFill>
                <a:prstDash val="solid"/>
              </a:ln>
            </c:spPr>
          </c:marker>
          <c:val>
            <c:numRef>
              <c:f>AT_!$CG$11:$CG$41</c:f>
              <c:numCache>
                <c:formatCode>0</c:formatCode>
                <c:ptCount val="31"/>
                <c:pt idx="0">
                  <c:v>87</c:v>
                </c:pt>
                <c:pt idx="1">
                  <c:v>91</c:v>
                </c:pt>
                <c:pt idx="2">
                  <c:v>93</c:v>
                </c:pt>
                <c:pt idx="3">
                  <c:v>86</c:v>
                </c:pt>
                <c:pt idx="4">
                  <c:v>87</c:v>
                </c:pt>
                <c:pt idx="5">
                  <c:v>88</c:v>
                </c:pt>
                <c:pt idx="6">
                  <c:v>91</c:v>
                </c:pt>
                <c:pt idx="7">
                  <c:v>87</c:v>
                </c:pt>
                <c:pt idx="8">
                  <c:v>104</c:v>
                </c:pt>
                <c:pt idx="9">
                  <c:v>96</c:v>
                </c:pt>
                <c:pt idx="10">
                  <c:v>96</c:v>
                </c:pt>
                <c:pt idx="11">
                  <c:v>94</c:v>
                </c:pt>
                <c:pt idx="12">
                  <c:v>90</c:v>
                </c:pt>
                <c:pt idx="13">
                  <c:v>87</c:v>
                </c:pt>
                <c:pt idx="14">
                  <c:v>93</c:v>
                </c:pt>
                <c:pt idx="15">
                  <c:v>95</c:v>
                </c:pt>
                <c:pt idx="16">
                  <c:v>96</c:v>
                </c:pt>
                <c:pt idx="17">
                  <c:v>93</c:v>
                </c:pt>
                <c:pt idx="18">
                  <c:v>89</c:v>
                </c:pt>
                <c:pt idx="19">
                  <c:v>87</c:v>
                </c:pt>
                <c:pt idx="20">
                  <c:v>87</c:v>
                </c:pt>
                <c:pt idx="21">
                  <c:v>89</c:v>
                </c:pt>
                <c:pt idx="22">
                  <c:v>97</c:v>
                </c:pt>
                <c:pt idx="23">
                  <c:v>98</c:v>
                </c:pt>
                <c:pt idx="24">
                  <c:v>106</c:v>
                </c:pt>
                <c:pt idx="25">
                  <c:v>98</c:v>
                </c:pt>
                <c:pt idx="26">
                  <c:v>95</c:v>
                </c:pt>
                <c:pt idx="27">
                  <c:v>98</c:v>
                </c:pt>
                <c:pt idx="28">
                  <c:v>101</c:v>
                </c:pt>
                <c:pt idx="29">
                  <c:v>100</c:v>
                </c:pt>
                <c:pt idx="30">
                  <c:v>96</c:v>
                </c:pt>
              </c:numCache>
            </c:numRef>
          </c:val>
          <c:smooth val="0"/>
        </c:ser>
        <c:ser>
          <c:idx val="2"/>
          <c:order val="2"/>
          <c:tx>
            <c:v>DAILY MAX. </c:v>
          </c:tx>
          <c:spPr>
            <a:ln w="25400">
              <a:solidFill>
                <a:srgbClr val="0000FF"/>
              </a:solidFill>
              <a:prstDash val="solid"/>
            </a:ln>
          </c:spPr>
          <c:marker>
            <c:symbol val="circle"/>
            <c:size val="5"/>
            <c:spPr>
              <a:solidFill>
                <a:srgbClr val="0000FF"/>
              </a:solidFill>
              <a:ln>
                <a:solidFill>
                  <a:srgbClr val="000000"/>
                </a:solidFill>
                <a:prstDash val="solid"/>
              </a:ln>
            </c:spPr>
          </c:marker>
          <c:val>
            <c:numRef>
              <c:f>AT_!$CH$11:$CH$41</c:f>
              <c:numCache>
                <c:formatCode>0</c:formatCode>
                <c:ptCount val="31"/>
                <c:pt idx="0">
                  <c:v>126</c:v>
                </c:pt>
                <c:pt idx="1">
                  <c:v>118</c:v>
                </c:pt>
                <c:pt idx="2">
                  <c:v>120</c:v>
                </c:pt>
                <c:pt idx="3">
                  <c:v>114</c:v>
                </c:pt>
                <c:pt idx="4">
                  <c:v>113</c:v>
                </c:pt>
                <c:pt idx="5">
                  <c:v>158</c:v>
                </c:pt>
                <c:pt idx="6">
                  <c:v>109</c:v>
                </c:pt>
                <c:pt idx="7">
                  <c:v>112</c:v>
                </c:pt>
                <c:pt idx="8">
                  <c:v>210</c:v>
                </c:pt>
                <c:pt idx="9">
                  <c:v>224</c:v>
                </c:pt>
                <c:pt idx="10">
                  <c:v>128</c:v>
                </c:pt>
                <c:pt idx="11">
                  <c:v>115</c:v>
                </c:pt>
                <c:pt idx="12">
                  <c:v>117</c:v>
                </c:pt>
                <c:pt idx="13">
                  <c:v>114</c:v>
                </c:pt>
                <c:pt idx="14">
                  <c:v>212</c:v>
                </c:pt>
                <c:pt idx="15">
                  <c:v>187</c:v>
                </c:pt>
                <c:pt idx="16">
                  <c:v>134</c:v>
                </c:pt>
                <c:pt idx="17">
                  <c:v>124</c:v>
                </c:pt>
                <c:pt idx="18">
                  <c:v>110</c:v>
                </c:pt>
                <c:pt idx="19">
                  <c:v>112</c:v>
                </c:pt>
                <c:pt idx="20">
                  <c:v>113</c:v>
                </c:pt>
                <c:pt idx="21">
                  <c:v>112</c:v>
                </c:pt>
                <c:pt idx="22">
                  <c:v>220</c:v>
                </c:pt>
                <c:pt idx="23">
                  <c:v>178</c:v>
                </c:pt>
                <c:pt idx="24">
                  <c:v>127</c:v>
                </c:pt>
                <c:pt idx="25">
                  <c:v>213</c:v>
                </c:pt>
                <c:pt idx="26">
                  <c:v>195</c:v>
                </c:pt>
                <c:pt idx="27">
                  <c:v>143</c:v>
                </c:pt>
                <c:pt idx="28">
                  <c:v>120</c:v>
                </c:pt>
                <c:pt idx="29">
                  <c:v>126</c:v>
                </c:pt>
                <c:pt idx="30">
                  <c:v>161</c:v>
                </c:pt>
              </c:numCache>
            </c:numRef>
          </c:val>
          <c:smooth val="0"/>
        </c:ser>
        <c:ser>
          <c:idx val="3"/>
          <c:order val="3"/>
          <c:tx>
            <c:v>DAILY MIN.</c:v>
          </c:tx>
          <c:spPr>
            <a:ln w="25400">
              <a:solidFill>
                <a:srgbClr val="99CC00"/>
              </a:solidFill>
              <a:prstDash val="solid"/>
            </a:ln>
          </c:spPr>
          <c:marker>
            <c:symbol val="star"/>
            <c:size val="5"/>
            <c:spPr>
              <a:noFill/>
              <a:ln>
                <a:solidFill>
                  <a:srgbClr val="000000"/>
                </a:solidFill>
                <a:prstDash val="solid"/>
              </a:ln>
            </c:spPr>
          </c:marker>
          <c:val>
            <c:numRef>
              <c:f>AT_!$CI$11:$CI$41</c:f>
              <c:numCache>
                <c:formatCode>0</c:formatCode>
                <c:ptCount val="31"/>
                <c:pt idx="0">
                  <c:v>63</c:v>
                </c:pt>
                <c:pt idx="1">
                  <c:v>59</c:v>
                </c:pt>
                <c:pt idx="2">
                  <c:v>57</c:v>
                </c:pt>
                <c:pt idx="3">
                  <c:v>59</c:v>
                </c:pt>
                <c:pt idx="4">
                  <c:v>59</c:v>
                </c:pt>
                <c:pt idx="5">
                  <c:v>40</c:v>
                </c:pt>
                <c:pt idx="6">
                  <c:v>54</c:v>
                </c:pt>
                <c:pt idx="7">
                  <c:v>61</c:v>
                </c:pt>
                <c:pt idx="8">
                  <c:v>59</c:v>
                </c:pt>
                <c:pt idx="9">
                  <c:v>69</c:v>
                </c:pt>
                <c:pt idx="10">
                  <c:v>59</c:v>
                </c:pt>
                <c:pt idx="11">
                  <c:v>64</c:v>
                </c:pt>
                <c:pt idx="12">
                  <c:v>41</c:v>
                </c:pt>
                <c:pt idx="13">
                  <c:v>56</c:v>
                </c:pt>
                <c:pt idx="14">
                  <c:v>59</c:v>
                </c:pt>
                <c:pt idx="15">
                  <c:v>60</c:v>
                </c:pt>
                <c:pt idx="16">
                  <c:v>58</c:v>
                </c:pt>
                <c:pt idx="17">
                  <c:v>57</c:v>
                </c:pt>
                <c:pt idx="18">
                  <c:v>57</c:v>
                </c:pt>
                <c:pt idx="19">
                  <c:v>60</c:v>
                </c:pt>
                <c:pt idx="20">
                  <c:v>36</c:v>
                </c:pt>
                <c:pt idx="21">
                  <c:v>46</c:v>
                </c:pt>
                <c:pt idx="22">
                  <c:v>53</c:v>
                </c:pt>
                <c:pt idx="23">
                  <c:v>72</c:v>
                </c:pt>
                <c:pt idx="24">
                  <c:v>73</c:v>
                </c:pt>
                <c:pt idx="25">
                  <c:v>76</c:v>
                </c:pt>
                <c:pt idx="26">
                  <c:v>58</c:v>
                </c:pt>
                <c:pt idx="27">
                  <c:v>59</c:v>
                </c:pt>
                <c:pt idx="28">
                  <c:v>58</c:v>
                </c:pt>
                <c:pt idx="29">
                  <c:v>57</c:v>
                </c:pt>
                <c:pt idx="30">
                  <c:v>62</c:v>
                </c:pt>
              </c:numCache>
            </c:numRef>
          </c:val>
          <c:smooth val="0"/>
        </c:ser>
        <c:dLbls>
          <c:showLegendKey val="0"/>
          <c:showVal val="0"/>
          <c:showCatName val="0"/>
          <c:showSerName val="0"/>
          <c:showPercent val="0"/>
          <c:showBubbleSize val="0"/>
        </c:dLbls>
        <c:marker val="1"/>
        <c:smooth val="0"/>
        <c:axId val="30658480"/>
        <c:axId val="30658872"/>
      </c:lineChart>
      <c:catAx>
        <c:axId val="30658480"/>
        <c:scaling>
          <c:orientation val="minMax"/>
        </c:scaling>
        <c:delete val="0"/>
        <c:axPos val="b"/>
        <c:majorGridlines>
          <c:spPr>
            <a:ln w="3175">
              <a:solidFill>
                <a:srgbClr val="000000"/>
              </a:solidFill>
              <a:prstDash val="solid"/>
            </a:ln>
          </c:spPr>
        </c:majorGridlines>
        <c:title>
          <c:tx>
            <c:strRef>
              <c:f>AT_!$B$11:$B$41</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tx>
          <c:layout>
            <c:manualLayout>
              <c:xMode val="edge"/>
              <c:yMode val="edge"/>
              <c:x val="0.47759900614012352"/>
              <c:y val="0.95751775052022881"/>
            </c:manualLayout>
          </c:layout>
          <c:overlay val="0"/>
          <c:spPr>
            <a:noFill/>
            <a:ln w="25400">
              <a:noFill/>
            </a:ln>
          </c:spPr>
          <c:txPr>
            <a:bodyPr/>
            <a:lstStyle/>
            <a:p>
              <a:pPr>
                <a:defRPr sz="100" b="0" i="0" u="none" strike="noStrike" baseline="0">
                  <a:solidFill>
                    <a:srgbClr val="FFFFFF"/>
                  </a:solidFill>
                  <a:latin typeface="Arial"/>
                  <a:ea typeface="Arial"/>
                  <a:cs typeface="Arial"/>
                </a:defRPr>
              </a:pPr>
              <a:endParaRPr lang="en-US"/>
            </a:p>
          </c:txPr>
        </c:title>
        <c:numFmt formatCode="General" sourceLinked="1"/>
        <c:majorTickMark val="in"/>
        <c:minorTickMark val="in"/>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0658872"/>
        <c:crossesAt val="0"/>
        <c:auto val="0"/>
        <c:lblAlgn val="ctr"/>
        <c:lblOffset val="100"/>
        <c:tickLblSkip val="1"/>
        <c:tickMarkSkip val="1"/>
        <c:noMultiLvlLbl val="0"/>
      </c:catAx>
      <c:valAx>
        <c:axId val="30658872"/>
        <c:scaling>
          <c:orientation val="minMax"/>
          <c:min val="0"/>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PLANT FLOW  (MGD)</a:t>
                </a:r>
              </a:p>
            </c:rich>
          </c:tx>
          <c:layout>
            <c:manualLayout>
              <c:xMode val="edge"/>
              <c:yMode val="edge"/>
              <c:x val="5.3763767610773968E-3"/>
              <c:y val="0.410131442733005"/>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30658480"/>
        <c:crosses val="autoZero"/>
        <c:crossBetween val="between"/>
        <c:majorUnit val="50"/>
        <c:minorUnit val="10"/>
      </c:valAx>
      <c:spPr>
        <a:solidFill>
          <a:srgbClr val="CCFFFF"/>
        </a:solidFill>
        <a:ln w="12700">
          <a:solidFill>
            <a:srgbClr val="000000"/>
          </a:solidFill>
          <a:prstDash val="solid"/>
        </a:ln>
      </c:spPr>
    </c:plotArea>
    <c:legend>
      <c:legendPos val="r"/>
      <c:layout>
        <c:manualLayout>
          <c:xMode val="edge"/>
          <c:yMode val="edge"/>
          <c:x val="0.67418341719770836"/>
          <c:y val="0.20261484246740075"/>
          <c:w val="0.21560217004656479"/>
          <c:h val="0.11705764867041024"/>
        </c:manualLayout>
      </c:layout>
      <c:overlay val="0"/>
      <c:spPr>
        <a:solidFill>
          <a:schemeClr val="bg1"/>
        </a:solidFill>
        <a:ln w="3175">
          <a:solidFill>
            <a:srgbClr val="000000"/>
          </a:solidFill>
          <a:prstDash val="solid"/>
        </a:ln>
      </c:spPr>
      <c:txPr>
        <a:bodyPr/>
        <a:lstStyle/>
        <a:p>
          <a:pPr>
            <a:defRPr sz="700" b="1" i="0" u="none" strike="noStrike" baseline="0">
              <a:solidFill>
                <a:srgbClr val="000000"/>
              </a:solidFill>
              <a:latin typeface="Arial"/>
              <a:ea typeface="Arial"/>
              <a:cs typeface="Arial"/>
            </a:defRPr>
          </a:pPr>
          <a:endParaRPr lang="en-US"/>
        </a:p>
      </c:txPr>
    </c:legend>
    <c:plotVisOnly val="0"/>
    <c:dispBlanksAs val="gap"/>
    <c:showDLblsOverMax val="0"/>
  </c:chart>
  <c:spPr>
    <a:noFill/>
    <a:ln w="12700">
      <a:solidFill>
        <a:srgbClr val="0000FF"/>
      </a:solidFill>
      <a:prstDash val="solid"/>
    </a:ln>
  </c:spPr>
  <c:txPr>
    <a:bodyPr/>
    <a:lstStyle/>
    <a:p>
      <a:pPr>
        <a:defRPr sz="1100" b="1" i="0" u="none" strike="noStrike" baseline="0">
          <a:solidFill>
            <a:srgbClr val="000000"/>
          </a:solidFill>
          <a:latin typeface="Arial"/>
          <a:ea typeface="Arial"/>
          <a:cs typeface="Arial"/>
        </a:defRPr>
      </a:pPr>
      <a:endParaRPr lang="en-US"/>
    </a:p>
  </c:txPr>
  <c:printSettings>
    <c:headerFooter alignWithMargins="0"/>
    <c:pageMargins b="1" l="0.75000000000001299" r="0.7500000000000129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BOWERY BAY WASTEWATER POLLUTION CONTROL
EFFLUENT QUALITY CONTROL</a:t>
            </a:r>
          </a:p>
        </c:rich>
      </c:tx>
      <c:layout>
        <c:manualLayout>
          <c:xMode val="edge"/>
          <c:yMode val="edge"/>
          <c:x val="0.31822156780003413"/>
          <c:y val="2.9906411101002811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5.3231321150968708E-2"/>
          <c:y val="0.14141878582363665"/>
          <c:w val="0.8734223560173604"/>
          <c:h val="0.7206748559217091"/>
        </c:manualLayout>
      </c:layout>
      <c:barChart>
        <c:barDir val="col"/>
        <c:grouping val="stacked"/>
        <c:varyColors val="0"/>
        <c:ser>
          <c:idx val="3"/>
          <c:order val="3"/>
          <c:tx>
            <c:strRef>
              <c:f>DMREZ!$DB$10</c:f>
              <c:strCache>
                <c:ptCount val="1"/>
                <c:pt idx="0">
                  <c:v>Effluent (lbs/day)</c:v>
                </c:pt>
              </c:strCache>
            </c:strRef>
          </c:tx>
          <c:invertIfNegative val="0"/>
          <c:val>
            <c:numRef>
              <c:f>DMREZ!$DB$11:$DB$41</c:f>
              <c:numCache>
                <c:formatCode>#,##0.0000</c:formatCode>
                <c:ptCount val="31"/>
                <c:pt idx="0">
                  <c:v>9940.4459999999999</c:v>
                </c:pt>
                <c:pt idx="1">
                  <c:v>11459.994000000001</c:v>
                </c:pt>
                <c:pt idx="2">
                  <c:v>11479.175999999999</c:v>
                </c:pt>
                <c:pt idx="3">
                  <c:v>10615.152</c:v>
                </c:pt>
                <c:pt idx="4">
                  <c:v>10085.562</c:v>
                </c:pt>
                <c:pt idx="5">
                  <c:v>10128.096</c:v>
                </c:pt>
                <c:pt idx="6">
                  <c:v>11156.418</c:v>
                </c:pt>
                <c:pt idx="7">
                  <c:v>10158.119999999999</c:v>
                </c:pt>
                <c:pt idx="8">
                  <c:v>15441.51</c:v>
                </c:pt>
                <c:pt idx="9">
                  <c:v>16209.624000000002</c:v>
                </c:pt>
                <c:pt idx="10">
                  <c:v>10648.511999999999</c:v>
                </c:pt>
                <c:pt idx="11">
                  <c:v>13405.716</c:v>
                </c:pt>
                <c:pt idx="12">
                  <c:v>15237.179999999998</c:v>
                </c:pt>
                <c:pt idx="13">
                  <c:v>15817.644</c:v>
                </c:pt>
                <c:pt idx="14">
                  <c:v>20993.447999999997</c:v>
                </c:pt>
                <c:pt idx="15">
                  <c:v>19173.66</c:v>
                </c:pt>
                <c:pt idx="16">
                  <c:v>15932.735999999997</c:v>
                </c:pt>
                <c:pt idx="17">
                  <c:v>16365.582000000002</c:v>
                </c:pt>
                <c:pt idx="18">
                  <c:v>14993.651999999998</c:v>
                </c:pt>
                <c:pt idx="19">
                  <c:v>15599.97</c:v>
                </c:pt>
                <c:pt idx="20">
                  <c:v>15164.621999999999</c:v>
                </c:pt>
                <c:pt idx="21">
                  <c:v>15513.233999999999</c:v>
                </c:pt>
                <c:pt idx="22">
                  <c:v>26060.831999999999</c:v>
                </c:pt>
                <c:pt idx="23">
                  <c:v>22017.599999999999</c:v>
                </c:pt>
                <c:pt idx="24">
                  <c:v>14586.659999999998</c:v>
                </c:pt>
                <c:pt idx="25">
                  <c:v>21886.662</c:v>
                </c:pt>
                <c:pt idx="26">
                  <c:v>16112.88</c:v>
                </c:pt>
                <c:pt idx="27">
                  <c:v>13831.890000000001</c:v>
                </c:pt>
                <c:pt idx="28">
                  <c:v>13982.844000000001</c:v>
                </c:pt>
                <c:pt idx="29">
                  <c:v>14261.4</c:v>
                </c:pt>
                <c:pt idx="30">
                  <c:v>17623.254000000001</c:v>
                </c:pt>
              </c:numCache>
            </c:numRef>
          </c:val>
        </c:ser>
        <c:dLbls>
          <c:showLegendKey val="0"/>
          <c:showVal val="0"/>
          <c:showCatName val="0"/>
          <c:showSerName val="0"/>
          <c:showPercent val="0"/>
          <c:showBubbleSize val="0"/>
        </c:dLbls>
        <c:gapWidth val="150"/>
        <c:overlap val="100"/>
        <c:axId val="30659656"/>
        <c:axId val="30660048"/>
      </c:barChart>
      <c:lineChart>
        <c:grouping val="standard"/>
        <c:varyColors val="0"/>
        <c:ser>
          <c:idx val="0"/>
          <c:order val="0"/>
          <c:tx>
            <c:v>NH3</c:v>
          </c:tx>
          <c:spPr>
            <a:ln w="28575">
              <a:solidFill>
                <a:srgbClr val="1DC1FB"/>
              </a:solidFill>
              <a:prstDash val="solid"/>
            </a:ln>
          </c:spPr>
          <c:marker>
            <c:symbol val="diamond"/>
            <c:size val="5"/>
            <c:spPr>
              <a:solidFill>
                <a:srgbClr val="FF0000"/>
              </a:solidFill>
              <a:ln>
                <a:solidFill>
                  <a:srgbClr val="000000"/>
                </a:solidFill>
                <a:prstDash val="solid"/>
              </a:ln>
            </c:spPr>
          </c:marker>
          <c:val>
            <c:numRef>
              <c:f>AT_!$FU$11:$FU$41</c:f>
              <c:numCache>
                <c:formatCode>0.0</c:formatCode>
                <c:ptCount val="31"/>
                <c:pt idx="0">
                  <c:v>9</c:v>
                </c:pt>
                <c:pt idx="1">
                  <c:v>8.4</c:v>
                </c:pt>
                <c:pt idx="2">
                  <c:v>9.1</c:v>
                </c:pt>
                <c:pt idx="3">
                  <c:v>8.5</c:v>
                </c:pt>
                <c:pt idx="4">
                  <c:v>6.9</c:v>
                </c:pt>
                <c:pt idx="5">
                  <c:v>7.1</c:v>
                </c:pt>
                <c:pt idx="6">
                  <c:v>9.3000000000000007</c:v>
                </c:pt>
                <c:pt idx="7">
                  <c:v>8.6</c:v>
                </c:pt>
                <c:pt idx="8">
                  <c:v>10.199999999999999</c:v>
                </c:pt>
                <c:pt idx="9">
                  <c:v>5.5</c:v>
                </c:pt>
                <c:pt idx="10">
                  <c:v>7.9</c:v>
                </c:pt>
                <c:pt idx="11">
                  <c:v>10.7</c:v>
                </c:pt>
                <c:pt idx="12">
                  <c:v>13.3</c:v>
                </c:pt>
                <c:pt idx="13">
                  <c:v>12.4</c:v>
                </c:pt>
                <c:pt idx="14">
                  <c:v>13.3</c:v>
                </c:pt>
                <c:pt idx="15">
                  <c:v>11.9</c:v>
                </c:pt>
                <c:pt idx="16">
                  <c:v>13.6</c:v>
                </c:pt>
                <c:pt idx="17">
                  <c:v>15.1</c:v>
                </c:pt>
                <c:pt idx="18">
                  <c:v>12.8</c:v>
                </c:pt>
                <c:pt idx="19">
                  <c:v>14.5</c:v>
                </c:pt>
                <c:pt idx="20">
                  <c:v>14.1</c:v>
                </c:pt>
                <c:pt idx="21">
                  <c:v>13.6</c:v>
                </c:pt>
                <c:pt idx="22">
                  <c:v>16.600000000000001</c:v>
                </c:pt>
                <c:pt idx="23">
                  <c:v>13.5</c:v>
                </c:pt>
                <c:pt idx="24">
                  <c:v>10</c:v>
                </c:pt>
                <c:pt idx="25">
                  <c:v>10.1</c:v>
                </c:pt>
                <c:pt idx="26">
                  <c:v>7.9</c:v>
                </c:pt>
                <c:pt idx="27">
                  <c:v>10.8</c:v>
                </c:pt>
                <c:pt idx="28">
                  <c:v>10.7</c:v>
                </c:pt>
                <c:pt idx="29">
                  <c:v>11.6</c:v>
                </c:pt>
                <c:pt idx="30">
                  <c:v>14.2</c:v>
                </c:pt>
              </c:numCache>
            </c:numRef>
          </c:val>
          <c:smooth val="0"/>
        </c:ser>
        <c:ser>
          <c:idx val="1"/>
          <c:order val="1"/>
          <c:tx>
            <c:v>TKN</c:v>
          </c:tx>
          <c:spPr>
            <a:ln w="25400">
              <a:solidFill>
                <a:srgbClr val="800000"/>
              </a:solidFill>
              <a:prstDash val="solid"/>
            </a:ln>
          </c:spPr>
          <c:marker>
            <c:symbol val="triangle"/>
            <c:size val="5"/>
            <c:spPr>
              <a:solidFill>
                <a:srgbClr val="FF8080"/>
              </a:solidFill>
              <a:ln>
                <a:solidFill>
                  <a:srgbClr val="000000"/>
                </a:solidFill>
                <a:prstDash val="solid"/>
              </a:ln>
            </c:spPr>
          </c:marker>
          <c:val>
            <c:numRef>
              <c:f>AT_!$FV$11:$FV$41</c:f>
              <c:numCache>
                <c:formatCode>0.0</c:formatCode>
                <c:ptCount val="31"/>
                <c:pt idx="0">
                  <c:v>9.8000000000000007</c:v>
                </c:pt>
                <c:pt idx="1">
                  <c:v>9.8000000000000007</c:v>
                </c:pt>
                <c:pt idx="2">
                  <c:v>10.8</c:v>
                </c:pt>
                <c:pt idx="3">
                  <c:v>10.7</c:v>
                </c:pt>
                <c:pt idx="4">
                  <c:v>8.6</c:v>
                </c:pt>
                <c:pt idx="5">
                  <c:v>8.6999999999999993</c:v>
                </c:pt>
                <c:pt idx="6">
                  <c:v>10.7</c:v>
                </c:pt>
                <c:pt idx="7">
                  <c:v>9.8000000000000007</c:v>
                </c:pt>
                <c:pt idx="8">
                  <c:v>12.3</c:v>
                </c:pt>
                <c:pt idx="9">
                  <c:v>8.1999999999999993</c:v>
                </c:pt>
                <c:pt idx="10">
                  <c:v>9.4</c:v>
                </c:pt>
                <c:pt idx="11">
                  <c:v>12.9</c:v>
                </c:pt>
                <c:pt idx="12">
                  <c:v>16.100000000000001</c:v>
                </c:pt>
                <c:pt idx="13">
                  <c:v>16.899999999999999</c:v>
                </c:pt>
                <c:pt idx="14">
                  <c:v>17</c:v>
                </c:pt>
                <c:pt idx="15">
                  <c:v>18.100000000000001</c:v>
                </c:pt>
                <c:pt idx="16">
                  <c:v>16.399999999999999</c:v>
                </c:pt>
                <c:pt idx="17">
                  <c:v>17.600000000000001</c:v>
                </c:pt>
                <c:pt idx="18">
                  <c:v>16</c:v>
                </c:pt>
                <c:pt idx="19">
                  <c:v>17.3</c:v>
                </c:pt>
                <c:pt idx="20">
                  <c:v>16.5</c:v>
                </c:pt>
                <c:pt idx="21">
                  <c:v>16.3</c:v>
                </c:pt>
                <c:pt idx="22">
                  <c:v>22.3</c:v>
                </c:pt>
                <c:pt idx="23">
                  <c:v>18.2</c:v>
                </c:pt>
                <c:pt idx="24">
                  <c:v>12.1</c:v>
                </c:pt>
                <c:pt idx="25">
                  <c:v>12.9</c:v>
                </c:pt>
                <c:pt idx="26">
                  <c:v>10.6</c:v>
                </c:pt>
                <c:pt idx="27">
                  <c:v>12.7</c:v>
                </c:pt>
                <c:pt idx="28">
                  <c:v>13.3</c:v>
                </c:pt>
                <c:pt idx="29">
                  <c:v>13.6</c:v>
                </c:pt>
                <c:pt idx="30">
                  <c:v>16.100000000000001</c:v>
                </c:pt>
              </c:numCache>
            </c:numRef>
          </c:val>
          <c:smooth val="0"/>
        </c:ser>
        <c:ser>
          <c:idx val="2"/>
          <c:order val="2"/>
          <c:tx>
            <c:strRef>
              <c:f>DMREZ!$AR$10</c:f>
              <c:strCache>
                <c:ptCount val="1"/>
                <c:pt idx="0">
                  <c:v>NO3 (as N)</c:v>
                </c:pt>
              </c:strCache>
            </c:strRef>
          </c:tx>
          <c:val>
            <c:numRef>
              <c:f>DMREZ!$AR$11:$AR$41</c:f>
              <c:numCache>
                <c:formatCode>0.00</c:formatCode>
                <c:ptCount val="31"/>
                <c:pt idx="0">
                  <c:v>3.25</c:v>
                </c:pt>
                <c:pt idx="1">
                  <c:v>4.51</c:v>
                </c:pt>
                <c:pt idx="2">
                  <c:v>3.37</c:v>
                </c:pt>
                <c:pt idx="3">
                  <c:v>3.47</c:v>
                </c:pt>
                <c:pt idx="4">
                  <c:v>4.55</c:v>
                </c:pt>
                <c:pt idx="5">
                  <c:v>4.43</c:v>
                </c:pt>
                <c:pt idx="6">
                  <c:v>3.33</c:v>
                </c:pt>
                <c:pt idx="7">
                  <c:v>3.61</c:v>
                </c:pt>
                <c:pt idx="8">
                  <c:v>3.24</c:v>
                </c:pt>
                <c:pt idx="9">
                  <c:v>2.7</c:v>
                </c:pt>
                <c:pt idx="10">
                  <c:v>3.35</c:v>
                </c:pt>
                <c:pt idx="11">
                  <c:v>3.61</c:v>
                </c:pt>
                <c:pt idx="12">
                  <c:v>3.65</c:v>
                </c:pt>
                <c:pt idx="13">
                  <c:v>4.29</c:v>
                </c:pt>
                <c:pt idx="14">
                  <c:v>4.09</c:v>
                </c:pt>
                <c:pt idx="15">
                  <c:v>2.4300000000000002</c:v>
                </c:pt>
                <c:pt idx="16">
                  <c:v>2.94</c:v>
                </c:pt>
                <c:pt idx="17">
                  <c:v>3.03</c:v>
                </c:pt>
                <c:pt idx="18">
                  <c:v>3.57</c:v>
                </c:pt>
                <c:pt idx="19">
                  <c:v>3.48</c:v>
                </c:pt>
                <c:pt idx="20">
                  <c:v>3.73</c:v>
                </c:pt>
                <c:pt idx="21">
                  <c:v>3.9</c:v>
                </c:pt>
                <c:pt idx="22">
                  <c:v>2.3199999999999998</c:v>
                </c:pt>
                <c:pt idx="23">
                  <c:v>2.86</c:v>
                </c:pt>
                <c:pt idx="24">
                  <c:v>3.37</c:v>
                </c:pt>
                <c:pt idx="25">
                  <c:v>2.4</c:v>
                </c:pt>
                <c:pt idx="26">
                  <c:v>2.38</c:v>
                </c:pt>
                <c:pt idx="27">
                  <c:v>2.11</c:v>
                </c:pt>
                <c:pt idx="28">
                  <c:v>2.5</c:v>
                </c:pt>
                <c:pt idx="29">
                  <c:v>2.8</c:v>
                </c:pt>
                <c:pt idx="30">
                  <c:v>2.0099999999999998</c:v>
                </c:pt>
              </c:numCache>
            </c:numRef>
          </c:val>
          <c:smooth val="0"/>
        </c:ser>
        <c:dLbls>
          <c:showLegendKey val="0"/>
          <c:showVal val="0"/>
          <c:showCatName val="0"/>
          <c:showSerName val="0"/>
          <c:showPercent val="0"/>
          <c:showBubbleSize val="0"/>
        </c:dLbls>
        <c:marker val="1"/>
        <c:smooth val="0"/>
        <c:axId val="327893600"/>
        <c:axId val="30659264"/>
      </c:lineChart>
      <c:catAx>
        <c:axId val="327893600"/>
        <c:scaling>
          <c:orientation val="minMax"/>
        </c:scaling>
        <c:delete val="0"/>
        <c:axPos val="b"/>
        <c:majorGridlines>
          <c:spPr>
            <a:ln w="3175">
              <a:solidFill>
                <a:schemeClr val="tx1">
                  <a:lumMod val="50000"/>
                  <a:lumOff val="50000"/>
                </a:schemeClr>
              </a:solidFill>
              <a:prstDash val="solid"/>
            </a:ln>
          </c:spPr>
        </c:majorGridlines>
        <c:title>
          <c:tx>
            <c:strRef>
              <c:f>AT_!$B$11:$CE$41</c:f>
              <c:strCache>
                <c:ptCount val="25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116</c:v>
                </c:pt>
                <c:pt idx="32">
                  <c:v>114</c:v>
                </c:pt>
                <c:pt idx="33">
                  <c:v>130</c:v>
                </c:pt>
                <c:pt idx="34">
                  <c:v>133</c:v>
                </c:pt>
                <c:pt idx="35">
                  <c:v>132</c:v>
                </c:pt>
                <c:pt idx="36">
                  <c:v>238</c:v>
                </c:pt>
                <c:pt idx="37">
                  <c:v>152</c:v>
                </c:pt>
                <c:pt idx="38">
                  <c:v>166</c:v>
                </c:pt>
                <c:pt idx="39">
                  <c:v>192</c:v>
                </c:pt>
                <c:pt idx="40">
                  <c:v>120</c:v>
                </c:pt>
                <c:pt idx="41">
                  <c:v>116</c:v>
                </c:pt>
                <c:pt idx="42">
                  <c:v>106</c:v>
                </c:pt>
                <c:pt idx="43">
                  <c:v>130</c:v>
                </c:pt>
                <c:pt idx="44">
                  <c:v>120</c:v>
                </c:pt>
                <c:pt idx="45">
                  <c:v>140</c:v>
                </c:pt>
                <c:pt idx="46">
                  <c:v>128</c:v>
                </c:pt>
                <c:pt idx="47">
                  <c:v>136</c:v>
                </c:pt>
                <c:pt idx="48">
                  <c:v>148</c:v>
                </c:pt>
                <c:pt idx="49">
                  <c:v>120</c:v>
                </c:pt>
                <c:pt idx="50">
                  <c:v>122</c:v>
                </c:pt>
                <c:pt idx="51">
                  <c:v>156</c:v>
                </c:pt>
                <c:pt idx="52">
                  <c:v>126</c:v>
                </c:pt>
                <c:pt idx="53">
                  <c:v>164</c:v>
                </c:pt>
                <c:pt idx="54">
                  <c:v>132</c:v>
                </c:pt>
                <c:pt idx="55">
                  <c:v>146</c:v>
                </c:pt>
                <c:pt idx="56">
                  <c:v>256</c:v>
                </c:pt>
                <c:pt idx="57">
                  <c:v>148</c:v>
                </c:pt>
                <c:pt idx="58">
                  <c:v>108</c:v>
                </c:pt>
                <c:pt idx="59">
                  <c:v>176</c:v>
                </c:pt>
                <c:pt idx="60">
                  <c:v>142</c:v>
                </c:pt>
                <c:pt idx="61">
                  <c:v>132</c:v>
                </c:pt>
                <c:pt idx="65">
                  <c:v>83.5</c:v>
                </c:pt>
                <c:pt idx="67">
                  <c:v>80.7</c:v>
                </c:pt>
                <c:pt idx="72">
                  <c:v>77.6</c:v>
                </c:pt>
                <c:pt idx="74">
                  <c:v>78.5</c:v>
                </c:pt>
                <c:pt idx="79">
                  <c:v>83.8</c:v>
                </c:pt>
                <c:pt idx="81">
                  <c:v>78.7</c:v>
                </c:pt>
                <c:pt idx="86">
                  <c:v>82.2</c:v>
                </c:pt>
                <c:pt idx="88">
                  <c:v>85.1</c:v>
                </c:pt>
                <c:pt idx="93">
                  <c:v>120</c:v>
                </c:pt>
                <c:pt idx="94">
                  <c:v>116</c:v>
                </c:pt>
                <c:pt idx="95">
                  <c:v>132</c:v>
                </c:pt>
                <c:pt idx="96">
                  <c:v>152</c:v>
                </c:pt>
                <c:pt idx="97">
                  <c:v>126</c:v>
                </c:pt>
                <c:pt idx="98">
                  <c:v>184</c:v>
                </c:pt>
                <c:pt idx="99">
                  <c:v>148</c:v>
                </c:pt>
                <c:pt idx="100">
                  <c:v>136</c:v>
                </c:pt>
                <c:pt idx="101">
                  <c:v>140</c:v>
                </c:pt>
                <c:pt idx="102">
                  <c:v>84</c:v>
                </c:pt>
                <c:pt idx="103">
                  <c:v>115</c:v>
                </c:pt>
                <c:pt idx="104">
                  <c:v>116</c:v>
                </c:pt>
                <c:pt idx="105">
                  <c:v>148</c:v>
                </c:pt>
                <c:pt idx="106">
                  <c:v>116</c:v>
                </c:pt>
                <c:pt idx="107">
                  <c:v>162</c:v>
                </c:pt>
                <c:pt idx="108">
                  <c:v>120</c:v>
                </c:pt>
                <c:pt idx="109">
                  <c:v>144</c:v>
                </c:pt>
                <c:pt idx="110">
                  <c:v>132</c:v>
                </c:pt>
                <c:pt idx="111">
                  <c:v>124</c:v>
                </c:pt>
                <c:pt idx="112">
                  <c:v>116</c:v>
                </c:pt>
                <c:pt idx="113">
                  <c:v>160</c:v>
                </c:pt>
                <c:pt idx="114">
                  <c:v>145</c:v>
                </c:pt>
                <c:pt idx="115">
                  <c:v>132</c:v>
                </c:pt>
                <c:pt idx="116">
                  <c:v>128</c:v>
                </c:pt>
                <c:pt idx="117">
                  <c:v>144</c:v>
                </c:pt>
                <c:pt idx="118">
                  <c:v>140</c:v>
                </c:pt>
                <c:pt idx="119">
                  <c:v>98</c:v>
                </c:pt>
                <c:pt idx="120">
                  <c:v>110</c:v>
                </c:pt>
                <c:pt idx="121">
                  <c:v>124</c:v>
                </c:pt>
                <c:pt idx="122">
                  <c:v>124</c:v>
                </c:pt>
                <c:pt idx="123">
                  <c:v>130</c:v>
                </c:pt>
                <c:pt idx="127">
                  <c:v>84.2</c:v>
                </c:pt>
                <c:pt idx="129">
                  <c:v>80.4</c:v>
                </c:pt>
                <c:pt idx="134">
                  <c:v>82.7</c:v>
                </c:pt>
                <c:pt idx="136">
                  <c:v>83.8</c:v>
                </c:pt>
                <c:pt idx="141">
                  <c:v>81.8</c:v>
                </c:pt>
                <c:pt idx="143">
                  <c:v>82.8</c:v>
                </c:pt>
                <c:pt idx="148">
                  <c:v>83.3</c:v>
                </c:pt>
                <c:pt idx="150">
                  <c:v>78.6</c:v>
                </c:pt>
                <c:pt idx="155">
                  <c:v>117</c:v>
                </c:pt>
                <c:pt idx="156">
                  <c:v>115</c:v>
                </c:pt>
                <c:pt idx="157">
                  <c:v>131</c:v>
                </c:pt>
                <c:pt idx="158">
                  <c:v>140</c:v>
                </c:pt>
                <c:pt idx="159">
                  <c:v>130</c:v>
                </c:pt>
                <c:pt idx="160">
                  <c:v>219</c:v>
                </c:pt>
                <c:pt idx="161">
                  <c:v>151</c:v>
                </c:pt>
                <c:pt idx="162">
                  <c:v>156</c:v>
                </c:pt>
                <c:pt idx="163">
                  <c:v>174</c:v>
                </c:pt>
                <c:pt idx="164">
                  <c:v>107</c:v>
                </c:pt>
                <c:pt idx="165">
                  <c:v>116</c:v>
                </c:pt>
                <c:pt idx="166">
                  <c:v>110</c:v>
                </c:pt>
                <c:pt idx="167">
                  <c:v>136</c:v>
                </c:pt>
                <c:pt idx="168">
                  <c:v>119</c:v>
                </c:pt>
                <c:pt idx="169">
                  <c:v>148</c:v>
                </c:pt>
                <c:pt idx="170">
                  <c:v>125</c:v>
                </c:pt>
                <c:pt idx="171">
                  <c:v>139</c:v>
                </c:pt>
                <c:pt idx="172">
                  <c:v>142</c:v>
                </c:pt>
                <c:pt idx="173">
                  <c:v>121</c:v>
                </c:pt>
                <c:pt idx="174">
                  <c:v>120</c:v>
                </c:pt>
                <c:pt idx="175">
                  <c:v>157</c:v>
                </c:pt>
                <c:pt idx="176">
                  <c:v>133</c:v>
                </c:pt>
                <c:pt idx="177">
                  <c:v>153</c:v>
                </c:pt>
                <c:pt idx="178">
                  <c:v>131</c:v>
                </c:pt>
                <c:pt idx="179">
                  <c:v>145</c:v>
                </c:pt>
                <c:pt idx="180">
                  <c:v>215</c:v>
                </c:pt>
                <c:pt idx="181">
                  <c:v>131</c:v>
                </c:pt>
                <c:pt idx="182">
                  <c:v>109</c:v>
                </c:pt>
                <c:pt idx="183">
                  <c:v>158</c:v>
                </c:pt>
                <c:pt idx="184">
                  <c:v>136</c:v>
                </c:pt>
                <c:pt idx="185">
                  <c:v>131</c:v>
                </c:pt>
                <c:pt idx="189">
                  <c:v>83.7</c:v>
                </c:pt>
                <c:pt idx="191">
                  <c:v>80.6</c:v>
                </c:pt>
                <c:pt idx="196">
                  <c:v>79.4</c:v>
                </c:pt>
                <c:pt idx="198">
                  <c:v>80.4</c:v>
                </c:pt>
                <c:pt idx="203">
                  <c:v>83.1</c:v>
                </c:pt>
                <c:pt idx="205">
                  <c:v>80.1</c:v>
                </c:pt>
                <c:pt idx="210">
                  <c:v>82.6</c:v>
                </c:pt>
                <c:pt idx="212">
                  <c:v>82.8</c:v>
                </c:pt>
                <c:pt idx="219">
                  <c:v>72</c:v>
                </c:pt>
                <c:pt idx="220">
                  <c:v>68</c:v>
                </c:pt>
                <c:pt idx="221">
                  <c:v>48</c:v>
                </c:pt>
                <c:pt idx="222">
                  <c:v>48</c:v>
                </c:pt>
                <c:pt idx="223">
                  <c:v>63</c:v>
                </c:pt>
                <c:pt idx="226">
                  <c:v>122</c:v>
                </c:pt>
                <c:pt idx="227">
                  <c:v>64</c:v>
                </c:pt>
                <c:pt idx="228">
                  <c:v>80</c:v>
                </c:pt>
                <c:pt idx="229">
                  <c:v>54</c:v>
                </c:pt>
                <c:pt idx="230">
                  <c:v>64</c:v>
                </c:pt>
                <c:pt idx="234">
                  <c:v>72</c:v>
                </c:pt>
                <c:pt idx="235">
                  <c:v>46</c:v>
                </c:pt>
                <c:pt idx="236">
                  <c:v>50</c:v>
                </c:pt>
                <c:pt idx="237">
                  <c:v>52</c:v>
                </c:pt>
                <c:pt idx="240">
                  <c:v>84</c:v>
                </c:pt>
                <c:pt idx="241">
                  <c:v>82</c:v>
                </c:pt>
                <c:pt idx="242">
                  <c:v>54</c:v>
                </c:pt>
                <c:pt idx="243">
                  <c:v>96</c:v>
                </c:pt>
                <c:pt idx="244">
                  <c:v>72</c:v>
                </c:pt>
                <c:pt idx="247">
                  <c:v>60</c:v>
                </c:pt>
                <c:pt idx="250">
                  <c:v>70</c:v>
                </c:pt>
                <c:pt idx="251">
                  <c:v>86</c:v>
                </c:pt>
                <c:pt idx="252">
                  <c:v>82</c:v>
                </c:pt>
                <c:pt idx="253">
                  <c:v>108</c:v>
                </c:pt>
                <c:pt idx="254">
                  <c:v>60</c:v>
                </c:pt>
                <c:pt idx="257">
                  <c:v>114</c:v>
                </c:pt>
                <c:pt idx="258">
                  <c:v>80</c:v>
                </c:pt>
                <c:pt idx="259">
                  <c:v>82</c:v>
                </c:pt>
                <c:pt idx="260">
                  <c:v>62</c:v>
                </c:pt>
                <c:pt idx="261">
                  <c:v>76</c:v>
                </c:pt>
                <c:pt idx="265">
                  <c:v>76</c:v>
                </c:pt>
                <c:pt idx="266">
                  <c:v>84</c:v>
                </c:pt>
                <c:pt idx="267">
                  <c:v>82</c:v>
                </c:pt>
                <c:pt idx="268">
                  <c:v>88</c:v>
                </c:pt>
                <c:pt idx="271">
                  <c:v>110</c:v>
                </c:pt>
                <c:pt idx="272">
                  <c:v>116</c:v>
                </c:pt>
                <c:pt idx="273">
                  <c:v>138</c:v>
                </c:pt>
                <c:pt idx="274">
                  <c:v>68</c:v>
                </c:pt>
                <c:pt idx="275">
                  <c:v>84</c:v>
                </c:pt>
                <c:pt idx="278">
                  <c:v>72</c:v>
                </c:pt>
                <c:pt idx="279">
                  <c:v>3</c:v>
                </c:pt>
                <c:pt idx="280">
                  <c:v>3</c:v>
                </c:pt>
                <c:pt idx="281">
                  <c:v>3</c:v>
                </c:pt>
                <c:pt idx="282">
                  <c:v>5</c:v>
                </c:pt>
                <c:pt idx="283">
                  <c:v>5*</c:v>
                </c:pt>
                <c:pt idx="284">
                  <c:v>4</c:v>
                </c:pt>
                <c:pt idx="285">
                  <c:v>4</c:v>
                </c:pt>
                <c:pt idx="286">
                  <c:v>4</c:v>
                </c:pt>
                <c:pt idx="287">
                  <c:v>8</c:v>
                </c:pt>
                <c:pt idx="288">
                  <c:v>18</c:v>
                </c:pt>
                <c:pt idx="289">
                  <c:v>6</c:v>
                </c:pt>
                <c:pt idx="290">
                  <c:v>5</c:v>
                </c:pt>
                <c:pt idx="291">
                  <c:v>21</c:v>
                </c:pt>
                <c:pt idx="292">
                  <c:v>24</c:v>
                </c:pt>
                <c:pt idx="293">
                  <c:v>19</c:v>
                </c:pt>
                <c:pt idx="294">
                  <c:v>52</c:v>
                </c:pt>
                <c:pt idx="295">
                  <c:v>17</c:v>
                </c:pt>
                <c:pt idx="296">
                  <c:v>28</c:v>
                </c:pt>
                <c:pt idx="297">
                  <c:v>17</c:v>
                </c:pt>
                <c:pt idx="298">
                  <c:v>16</c:v>
                </c:pt>
                <c:pt idx="299">
                  <c:v>10</c:v>
                </c:pt>
                <c:pt idx="300">
                  <c:v>10</c:v>
                </c:pt>
                <c:pt idx="301">
                  <c:v>90</c:v>
                </c:pt>
                <c:pt idx="302">
                  <c:v>22</c:v>
                </c:pt>
                <c:pt idx="303">
                  <c:v>9</c:v>
                </c:pt>
                <c:pt idx="304">
                  <c:v>17</c:v>
                </c:pt>
                <c:pt idx="305">
                  <c:v>13</c:v>
                </c:pt>
                <c:pt idx="306">
                  <c:v>9</c:v>
                </c:pt>
                <c:pt idx="307">
                  <c:v>8</c:v>
                </c:pt>
                <c:pt idx="308">
                  <c:v>8</c:v>
                </c:pt>
                <c:pt idx="309">
                  <c:v>12</c:v>
                </c:pt>
                <c:pt idx="313">
                  <c:v>160</c:v>
                </c:pt>
                <c:pt idx="314">
                  <c:v>210</c:v>
                </c:pt>
                <c:pt idx="315">
                  <c:v>102</c:v>
                </c:pt>
                <c:pt idx="316">
                  <c:v>90</c:v>
                </c:pt>
                <c:pt idx="320">
                  <c:v>240</c:v>
                </c:pt>
                <c:pt idx="321">
                  <c:v>250</c:v>
                </c:pt>
                <c:pt idx="322">
                  <c:v>80</c:v>
                </c:pt>
                <c:pt idx="323">
                  <c:v>100</c:v>
                </c:pt>
                <c:pt idx="327">
                  <c:v>260</c:v>
                </c:pt>
                <c:pt idx="328">
                  <c:v>128</c:v>
                </c:pt>
                <c:pt idx="329">
                  <c:v>132</c:v>
                </c:pt>
                <c:pt idx="330">
                  <c:v>272</c:v>
                </c:pt>
                <c:pt idx="334">
                  <c:v>280</c:v>
                </c:pt>
                <c:pt idx="335">
                  <c:v>194</c:v>
                </c:pt>
                <c:pt idx="336">
                  <c:v>84</c:v>
                </c:pt>
                <c:pt idx="337">
                  <c:v>190</c:v>
                </c:pt>
                <c:pt idx="343">
                  <c:v>2700</c:v>
                </c:pt>
                <c:pt idx="344">
                  <c:v>3200</c:v>
                </c:pt>
                <c:pt idx="345">
                  <c:v>3100</c:v>
                </c:pt>
                <c:pt idx="346">
                  <c:v>3100</c:v>
                </c:pt>
                <c:pt idx="347">
                  <c:v>3400</c:v>
                </c:pt>
                <c:pt idx="350">
                  <c:v>1500</c:v>
                </c:pt>
                <c:pt idx="351">
                  <c:v>2100</c:v>
                </c:pt>
                <c:pt idx="352">
                  <c:v>2100</c:v>
                </c:pt>
                <c:pt idx="353">
                  <c:v>2200</c:v>
                </c:pt>
                <c:pt idx="354">
                  <c:v>1800</c:v>
                </c:pt>
                <c:pt idx="358">
                  <c:v>2200</c:v>
                </c:pt>
                <c:pt idx="359">
                  <c:v>1700</c:v>
                </c:pt>
                <c:pt idx="360">
                  <c:v>3400</c:v>
                </c:pt>
                <c:pt idx="361">
                  <c:v>2300</c:v>
                </c:pt>
                <c:pt idx="364">
                  <c:v>2400</c:v>
                </c:pt>
                <c:pt idx="365">
                  <c:v>1900</c:v>
                </c:pt>
                <c:pt idx="366">
                  <c:v>2800</c:v>
                </c:pt>
                <c:pt idx="367">
                  <c:v>2600</c:v>
                </c:pt>
                <c:pt idx="368">
                  <c:v>2300</c:v>
                </c:pt>
                <c:pt idx="371">
                  <c:v>2200</c:v>
                </c:pt>
                <c:pt idx="374">
                  <c:v>2600</c:v>
                </c:pt>
                <c:pt idx="375">
                  <c:v>2400</c:v>
                </c:pt>
                <c:pt idx="376">
                  <c:v>2500</c:v>
                </c:pt>
                <c:pt idx="377">
                  <c:v>2800</c:v>
                </c:pt>
                <c:pt idx="378">
                  <c:v>2000</c:v>
                </c:pt>
                <c:pt idx="381">
                  <c:v>2200</c:v>
                </c:pt>
                <c:pt idx="382">
                  <c:v>3200</c:v>
                </c:pt>
                <c:pt idx="383">
                  <c:v>3400</c:v>
                </c:pt>
                <c:pt idx="384">
                  <c:v>3400</c:v>
                </c:pt>
                <c:pt idx="385">
                  <c:v>3400</c:v>
                </c:pt>
                <c:pt idx="389">
                  <c:v>4100</c:v>
                </c:pt>
                <c:pt idx="390">
                  <c:v>3800</c:v>
                </c:pt>
                <c:pt idx="391">
                  <c:v>3700</c:v>
                </c:pt>
                <c:pt idx="392">
                  <c:v>4200</c:v>
                </c:pt>
                <c:pt idx="395">
                  <c:v>2900</c:v>
                </c:pt>
                <c:pt idx="396">
                  <c:v>2400</c:v>
                </c:pt>
                <c:pt idx="397">
                  <c:v>3000</c:v>
                </c:pt>
                <c:pt idx="398">
                  <c:v>2500</c:v>
                </c:pt>
                <c:pt idx="399">
                  <c:v>2100</c:v>
                </c:pt>
                <c:pt idx="402">
                  <c:v>2100</c:v>
                </c:pt>
                <c:pt idx="405">
                  <c:v>2900</c:v>
                </c:pt>
                <c:pt idx="406">
                  <c:v>4100</c:v>
                </c:pt>
                <c:pt idx="407">
                  <c:v>4300</c:v>
                </c:pt>
                <c:pt idx="408">
                  <c:v>3800</c:v>
                </c:pt>
                <c:pt idx="409">
                  <c:v>1800</c:v>
                </c:pt>
                <c:pt idx="412">
                  <c:v>2400</c:v>
                </c:pt>
                <c:pt idx="413">
                  <c:v>4100</c:v>
                </c:pt>
                <c:pt idx="414">
                  <c:v>4200</c:v>
                </c:pt>
                <c:pt idx="415">
                  <c:v>2100</c:v>
                </c:pt>
                <c:pt idx="416">
                  <c:v>1800</c:v>
                </c:pt>
                <c:pt idx="420">
                  <c:v>3600</c:v>
                </c:pt>
                <c:pt idx="421">
                  <c:v>2300</c:v>
                </c:pt>
                <c:pt idx="422">
                  <c:v>3300</c:v>
                </c:pt>
                <c:pt idx="423">
                  <c:v>2600</c:v>
                </c:pt>
                <c:pt idx="426">
                  <c:v>2600</c:v>
                </c:pt>
                <c:pt idx="427">
                  <c:v>2300</c:v>
                </c:pt>
                <c:pt idx="428">
                  <c:v>3800</c:v>
                </c:pt>
                <c:pt idx="429">
                  <c:v>4200</c:v>
                </c:pt>
                <c:pt idx="430">
                  <c:v>3100</c:v>
                </c:pt>
                <c:pt idx="433">
                  <c:v>2100</c:v>
                </c:pt>
                <c:pt idx="436">
                  <c:v>2400</c:v>
                </c:pt>
                <c:pt idx="437">
                  <c:v>3300</c:v>
                </c:pt>
                <c:pt idx="438">
                  <c:v>3400</c:v>
                </c:pt>
                <c:pt idx="439">
                  <c:v>3900</c:v>
                </c:pt>
                <c:pt idx="440">
                  <c:v>3100</c:v>
                </c:pt>
                <c:pt idx="443">
                  <c:v>2900</c:v>
                </c:pt>
                <c:pt idx="444">
                  <c:v>4300</c:v>
                </c:pt>
                <c:pt idx="445">
                  <c:v>5100</c:v>
                </c:pt>
                <c:pt idx="446">
                  <c:v>3400</c:v>
                </c:pt>
                <c:pt idx="447">
                  <c:v>3600</c:v>
                </c:pt>
                <c:pt idx="451">
                  <c:v>6100</c:v>
                </c:pt>
                <c:pt idx="452">
                  <c:v>5700</c:v>
                </c:pt>
                <c:pt idx="453">
                  <c:v>5100</c:v>
                </c:pt>
                <c:pt idx="454">
                  <c:v>5100</c:v>
                </c:pt>
                <c:pt idx="457">
                  <c:v>4900</c:v>
                </c:pt>
                <c:pt idx="458">
                  <c:v>4500</c:v>
                </c:pt>
                <c:pt idx="459">
                  <c:v>4000</c:v>
                </c:pt>
                <c:pt idx="460">
                  <c:v>5000</c:v>
                </c:pt>
                <c:pt idx="461">
                  <c:v>4100</c:v>
                </c:pt>
                <c:pt idx="464">
                  <c:v>2100</c:v>
                </c:pt>
                <c:pt idx="467">
                  <c:v>5360</c:v>
                </c:pt>
                <c:pt idx="468">
                  <c:v>5480</c:v>
                </c:pt>
                <c:pt idx="469">
                  <c:v>6160</c:v>
                </c:pt>
                <c:pt idx="470">
                  <c:v>5500</c:v>
                </c:pt>
                <c:pt idx="471">
                  <c:v>3920</c:v>
                </c:pt>
                <c:pt idx="474">
                  <c:v>5600</c:v>
                </c:pt>
                <c:pt idx="475">
                  <c:v>3280</c:v>
                </c:pt>
                <c:pt idx="476">
                  <c:v>3600</c:v>
                </c:pt>
                <c:pt idx="477">
                  <c:v>4300</c:v>
                </c:pt>
                <c:pt idx="478">
                  <c:v>3160</c:v>
                </c:pt>
                <c:pt idx="482">
                  <c:v>2980</c:v>
                </c:pt>
                <c:pt idx="483">
                  <c:v>3160</c:v>
                </c:pt>
                <c:pt idx="484">
                  <c:v>3020</c:v>
                </c:pt>
                <c:pt idx="485">
                  <c:v>3040</c:v>
                </c:pt>
                <c:pt idx="488">
                  <c:v>4600</c:v>
                </c:pt>
                <c:pt idx="489">
                  <c:v>3340</c:v>
                </c:pt>
                <c:pt idx="490">
                  <c:v>3520</c:v>
                </c:pt>
                <c:pt idx="491">
                  <c:v>5140</c:v>
                </c:pt>
                <c:pt idx="492">
                  <c:v>4560</c:v>
                </c:pt>
                <c:pt idx="495">
                  <c:v>4200</c:v>
                </c:pt>
                <c:pt idx="499">
                  <c:v>83.6</c:v>
                </c:pt>
                <c:pt idx="501">
                  <c:v>80.0</c:v>
                </c:pt>
                <c:pt idx="506">
                  <c:v>80.5</c:v>
                </c:pt>
                <c:pt idx="508">
                  <c:v>80.6</c:v>
                </c:pt>
                <c:pt idx="513">
                  <c:v>81.2</c:v>
                </c:pt>
                <c:pt idx="515">
                  <c:v>77.5</c:v>
                </c:pt>
                <c:pt idx="520">
                  <c:v>82.6</c:v>
                </c:pt>
                <c:pt idx="522">
                  <c:v>83.7</c:v>
                </c:pt>
                <c:pt idx="529">
                  <c:v>4340</c:v>
                </c:pt>
                <c:pt idx="530">
                  <c:v>5980</c:v>
                </c:pt>
                <c:pt idx="531">
                  <c:v>4740</c:v>
                </c:pt>
                <c:pt idx="532">
                  <c:v>5140</c:v>
                </c:pt>
                <c:pt idx="533">
                  <c:v>7750</c:v>
                </c:pt>
                <c:pt idx="536">
                  <c:v>10100</c:v>
                </c:pt>
                <c:pt idx="537">
                  <c:v>5860</c:v>
                </c:pt>
                <c:pt idx="538">
                  <c:v>8000</c:v>
                </c:pt>
                <c:pt idx="539">
                  <c:v>9550</c:v>
                </c:pt>
                <c:pt idx="540">
                  <c:v>8520</c:v>
                </c:pt>
                <c:pt idx="544">
                  <c:v>8940</c:v>
                </c:pt>
                <c:pt idx="545">
                  <c:v>7180</c:v>
                </c:pt>
                <c:pt idx="546">
                  <c:v>7460</c:v>
                </c:pt>
                <c:pt idx="547">
                  <c:v>8400</c:v>
                </c:pt>
                <c:pt idx="550">
                  <c:v>6620</c:v>
                </c:pt>
                <c:pt idx="551">
                  <c:v>5460</c:v>
                </c:pt>
                <c:pt idx="552">
                  <c:v>5920</c:v>
                </c:pt>
                <c:pt idx="553">
                  <c:v>6020</c:v>
                </c:pt>
                <c:pt idx="554">
                  <c:v>5540</c:v>
                </c:pt>
                <c:pt idx="557">
                  <c:v>6040</c:v>
                </c:pt>
                <c:pt idx="561">
                  <c:v>84.6</c:v>
                </c:pt>
                <c:pt idx="563">
                  <c:v>79.0</c:v>
                </c:pt>
                <c:pt idx="568">
                  <c:v>80.9</c:v>
                </c:pt>
                <c:pt idx="570">
                  <c:v>81.7</c:v>
                </c:pt>
                <c:pt idx="575">
                  <c:v>84.3</c:v>
                </c:pt>
                <c:pt idx="577">
                  <c:v>80.4</c:v>
                </c:pt>
                <c:pt idx="582">
                  <c:v>82.4</c:v>
                </c:pt>
                <c:pt idx="584">
                  <c:v>82.7</c:v>
                </c:pt>
                <c:pt idx="591">
                  <c:v>1.0</c:v>
                </c:pt>
                <c:pt idx="592">
                  <c:v>0.7</c:v>
                </c:pt>
                <c:pt idx="593">
                  <c:v>0.8</c:v>
                </c:pt>
                <c:pt idx="594">
                  <c:v>0.8</c:v>
                </c:pt>
                <c:pt idx="595">
                  <c:v>1.0</c:v>
                </c:pt>
                <c:pt idx="598">
                  <c:v>1.0</c:v>
                </c:pt>
                <c:pt idx="599">
                  <c:v>0.8</c:v>
                </c:pt>
                <c:pt idx="600">
                  <c:v>1.1</c:v>
                </c:pt>
                <c:pt idx="601">
                  <c:v>0.8</c:v>
                </c:pt>
                <c:pt idx="602">
                  <c:v>0.9</c:v>
                </c:pt>
                <c:pt idx="606">
                  <c:v>1.7</c:v>
                </c:pt>
                <c:pt idx="607">
                  <c:v>1.7</c:v>
                </c:pt>
                <c:pt idx="608">
                  <c:v>2.4</c:v>
                </c:pt>
                <c:pt idx="609">
                  <c:v>1.8</c:v>
                </c:pt>
                <c:pt idx="612">
                  <c:v>1.3</c:v>
                </c:pt>
                <c:pt idx="613">
                  <c:v>1.9</c:v>
                </c:pt>
                <c:pt idx="614">
                  <c:v>2.3</c:v>
                </c:pt>
                <c:pt idx="615">
                  <c:v>1.7</c:v>
                </c:pt>
                <c:pt idx="616">
                  <c:v>1.6</c:v>
                </c:pt>
                <c:pt idx="619">
                  <c:v>1.8</c:v>
                </c:pt>
                <c:pt idx="622">
                  <c:v>0.7</c:v>
                </c:pt>
                <c:pt idx="623">
                  <c:v>0.8</c:v>
                </c:pt>
                <c:pt idx="624">
                  <c:v>0.9</c:v>
                </c:pt>
                <c:pt idx="625">
                  <c:v>0.9</c:v>
                </c:pt>
                <c:pt idx="626">
                  <c:v>0.6</c:v>
                </c:pt>
                <c:pt idx="629">
                  <c:v>0.9</c:v>
                </c:pt>
                <c:pt idx="630">
                  <c:v>0.6</c:v>
                </c:pt>
                <c:pt idx="631">
                  <c:v>0.6</c:v>
                </c:pt>
                <c:pt idx="632">
                  <c:v>0.5</c:v>
                </c:pt>
                <c:pt idx="633">
                  <c:v>0.4</c:v>
                </c:pt>
                <c:pt idx="637">
                  <c:v>0.7</c:v>
                </c:pt>
                <c:pt idx="638">
                  <c:v>0.6</c:v>
                </c:pt>
                <c:pt idx="639">
                  <c:v>0.7</c:v>
                </c:pt>
                <c:pt idx="640">
                  <c:v>0.9</c:v>
                </c:pt>
                <c:pt idx="643">
                  <c:v>0.6</c:v>
                </c:pt>
                <c:pt idx="644">
                  <c:v>1.0</c:v>
                </c:pt>
                <c:pt idx="645">
                  <c:v>0.9</c:v>
                </c:pt>
                <c:pt idx="646">
                  <c:v>0.9</c:v>
                </c:pt>
                <c:pt idx="647">
                  <c:v>0.9</c:v>
                </c:pt>
                <c:pt idx="650">
                  <c:v>0.7</c:v>
                </c:pt>
                <c:pt idx="713">
                  <c:v>1</c:v>
                </c:pt>
                <c:pt idx="714">
                  <c:v>2</c:v>
                </c:pt>
                <c:pt idx="715">
                  <c:v>3</c:v>
                </c:pt>
                <c:pt idx="716">
                  <c:v>4</c:v>
                </c:pt>
                <c:pt idx="717">
                  <c:v>5</c:v>
                </c:pt>
                <c:pt idx="718">
                  <c:v>6</c:v>
                </c:pt>
                <c:pt idx="719">
                  <c:v>7</c:v>
                </c:pt>
                <c:pt idx="720">
                  <c:v>8</c:v>
                </c:pt>
                <c:pt idx="721">
                  <c:v>9</c:v>
                </c:pt>
                <c:pt idx="722">
                  <c:v>10</c:v>
                </c:pt>
                <c:pt idx="723">
                  <c:v>11</c:v>
                </c:pt>
                <c:pt idx="724">
                  <c:v>12</c:v>
                </c:pt>
                <c:pt idx="725">
                  <c:v>13</c:v>
                </c:pt>
                <c:pt idx="726">
                  <c:v>14</c:v>
                </c:pt>
                <c:pt idx="727">
                  <c:v>15</c:v>
                </c:pt>
                <c:pt idx="728">
                  <c:v>16</c:v>
                </c:pt>
                <c:pt idx="729">
                  <c:v>17</c:v>
                </c:pt>
                <c:pt idx="730">
                  <c:v>18</c:v>
                </c:pt>
                <c:pt idx="731">
                  <c:v>19</c:v>
                </c:pt>
                <c:pt idx="732">
                  <c:v>20</c:v>
                </c:pt>
                <c:pt idx="733">
                  <c:v>21</c:v>
                </c:pt>
                <c:pt idx="734">
                  <c:v>22</c:v>
                </c:pt>
                <c:pt idx="735">
                  <c:v>23</c:v>
                </c:pt>
                <c:pt idx="736">
                  <c:v>24</c:v>
                </c:pt>
                <c:pt idx="737">
                  <c:v>25</c:v>
                </c:pt>
                <c:pt idx="738">
                  <c:v>26</c:v>
                </c:pt>
                <c:pt idx="739">
                  <c:v>27</c:v>
                </c:pt>
                <c:pt idx="740">
                  <c:v>28</c:v>
                </c:pt>
                <c:pt idx="741">
                  <c:v>29</c:v>
                </c:pt>
                <c:pt idx="742">
                  <c:v>30</c:v>
                </c:pt>
                <c:pt idx="743">
                  <c:v>31</c:v>
                </c:pt>
                <c:pt idx="744">
                  <c:v>1</c:v>
                </c:pt>
                <c:pt idx="745">
                  <c:v>2</c:v>
                </c:pt>
                <c:pt idx="746">
                  <c:v>3</c:v>
                </c:pt>
                <c:pt idx="747">
                  <c:v>4</c:v>
                </c:pt>
                <c:pt idx="748">
                  <c:v>5</c:v>
                </c:pt>
                <c:pt idx="749">
                  <c:v>6</c:v>
                </c:pt>
                <c:pt idx="750">
                  <c:v>7</c:v>
                </c:pt>
                <c:pt idx="751">
                  <c:v>8</c:v>
                </c:pt>
                <c:pt idx="752">
                  <c:v>9</c:v>
                </c:pt>
                <c:pt idx="753">
                  <c:v>10</c:v>
                </c:pt>
                <c:pt idx="754">
                  <c:v>11</c:v>
                </c:pt>
                <c:pt idx="755">
                  <c:v>12</c:v>
                </c:pt>
                <c:pt idx="756">
                  <c:v>13</c:v>
                </c:pt>
                <c:pt idx="757">
                  <c:v>14</c:v>
                </c:pt>
                <c:pt idx="758">
                  <c:v>15</c:v>
                </c:pt>
                <c:pt idx="759">
                  <c:v>16</c:v>
                </c:pt>
                <c:pt idx="760">
                  <c:v>17</c:v>
                </c:pt>
                <c:pt idx="761">
                  <c:v>18</c:v>
                </c:pt>
                <c:pt idx="762">
                  <c:v>19</c:v>
                </c:pt>
                <c:pt idx="763">
                  <c:v>20</c:v>
                </c:pt>
                <c:pt idx="764">
                  <c:v>21</c:v>
                </c:pt>
                <c:pt idx="765">
                  <c:v>22</c:v>
                </c:pt>
                <c:pt idx="766">
                  <c:v>23</c:v>
                </c:pt>
                <c:pt idx="767">
                  <c:v>24</c:v>
                </c:pt>
                <c:pt idx="768">
                  <c:v>25</c:v>
                </c:pt>
                <c:pt idx="769">
                  <c:v>26</c:v>
                </c:pt>
                <c:pt idx="770">
                  <c:v>27</c:v>
                </c:pt>
                <c:pt idx="771">
                  <c:v>28</c:v>
                </c:pt>
                <c:pt idx="772">
                  <c:v>29</c:v>
                </c:pt>
                <c:pt idx="773">
                  <c:v>30</c:v>
                </c:pt>
                <c:pt idx="774">
                  <c:v>31</c:v>
                </c:pt>
                <c:pt idx="775">
                  <c:v>138</c:v>
                </c:pt>
                <c:pt idx="776">
                  <c:v>137</c:v>
                </c:pt>
                <c:pt idx="777">
                  <c:v>153</c:v>
                </c:pt>
                <c:pt idx="778">
                  <c:v>327</c:v>
                </c:pt>
                <c:pt idx="779">
                  <c:v>140</c:v>
                </c:pt>
                <c:pt idx="780">
                  <c:v>177</c:v>
                </c:pt>
                <c:pt idx="781">
                  <c:v>167</c:v>
                </c:pt>
                <c:pt idx="782">
                  <c:v>135</c:v>
                </c:pt>
                <c:pt idx="783">
                  <c:v>165</c:v>
                </c:pt>
                <c:pt idx="784">
                  <c:v>79</c:v>
                </c:pt>
                <c:pt idx="785">
                  <c:v>114</c:v>
                </c:pt>
                <c:pt idx="786">
                  <c:v>117</c:v>
                </c:pt>
                <c:pt idx="787">
                  <c:v>128</c:v>
                </c:pt>
                <c:pt idx="788">
                  <c:v>129</c:v>
                </c:pt>
                <c:pt idx="789">
                  <c:v>128</c:v>
                </c:pt>
                <c:pt idx="790">
                  <c:v>122</c:v>
                </c:pt>
                <c:pt idx="791">
                  <c:v>119</c:v>
                </c:pt>
                <c:pt idx="792">
                  <c:v>141</c:v>
                </c:pt>
                <c:pt idx="793">
                  <c:v>146</c:v>
                </c:pt>
                <c:pt idx="794">
                  <c:v>138</c:v>
                </c:pt>
                <c:pt idx="795">
                  <c:v>158</c:v>
                </c:pt>
                <c:pt idx="796">
                  <c:v>156</c:v>
                </c:pt>
                <c:pt idx="797">
                  <c:v>116</c:v>
                </c:pt>
                <c:pt idx="798">
                  <c:v>117</c:v>
                </c:pt>
                <c:pt idx="799">
                  <c:v>136</c:v>
                </c:pt>
                <c:pt idx="800">
                  <c:v>193</c:v>
                </c:pt>
                <c:pt idx="801">
                  <c:v>131</c:v>
                </c:pt>
                <c:pt idx="802">
                  <c:v>132</c:v>
                </c:pt>
                <c:pt idx="803">
                  <c:v>125</c:v>
                </c:pt>
                <c:pt idx="804">
                  <c:v>113</c:v>
                </c:pt>
                <c:pt idx="805">
                  <c:v>117</c:v>
                </c:pt>
                <c:pt idx="806">
                  <c:v>157</c:v>
                </c:pt>
                <c:pt idx="807">
                  <c:v>143</c:v>
                </c:pt>
                <c:pt idx="808">
                  <c:v>164</c:v>
                </c:pt>
                <c:pt idx="809">
                  <c:v>141</c:v>
                </c:pt>
                <c:pt idx="810">
                  <c:v>166</c:v>
                </c:pt>
                <c:pt idx="811">
                  <c:v>174</c:v>
                </c:pt>
                <c:pt idx="812">
                  <c:v>143</c:v>
                </c:pt>
                <c:pt idx="813">
                  <c:v>133</c:v>
                </c:pt>
                <c:pt idx="814">
                  <c:v>149</c:v>
                </c:pt>
                <c:pt idx="815">
                  <c:v>69</c:v>
                </c:pt>
                <c:pt idx="816">
                  <c:v>111</c:v>
                </c:pt>
                <c:pt idx="817">
                  <c:v>116</c:v>
                </c:pt>
                <c:pt idx="818">
                  <c:v>146</c:v>
                </c:pt>
                <c:pt idx="819">
                  <c:v>130</c:v>
                </c:pt>
                <c:pt idx="820">
                  <c:v>150</c:v>
                </c:pt>
                <c:pt idx="821">
                  <c:v>122</c:v>
                </c:pt>
                <c:pt idx="822">
                  <c:v>114</c:v>
                </c:pt>
                <c:pt idx="823">
                  <c:v>135</c:v>
                </c:pt>
                <c:pt idx="824">
                  <c:v>166</c:v>
                </c:pt>
                <c:pt idx="825">
                  <c:v>200</c:v>
                </c:pt>
                <c:pt idx="826">
                  <c:v>165</c:v>
                </c:pt>
                <c:pt idx="827">
                  <c:v>134</c:v>
                </c:pt>
                <c:pt idx="828">
                  <c:v>115</c:v>
                </c:pt>
                <c:pt idx="829">
                  <c:v>112</c:v>
                </c:pt>
                <c:pt idx="830">
                  <c:v>124</c:v>
                </c:pt>
                <c:pt idx="831">
                  <c:v>125</c:v>
                </c:pt>
                <c:pt idx="832">
                  <c:v>128</c:v>
                </c:pt>
                <c:pt idx="833">
                  <c:v>128</c:v>
                </c:pt>
                <c:pt idx="834">
                  <c:v>119</c:v>
                </c:pt>
                <c:pt idx="835">
                  <c:v>121</c:v>
                </c:pt>
                <c:pt idx="836">
                  <c:v>115</c:v>
                </c:pt>
                <c:pt idx="837">
                  <c:v>145</c:v>
                </c:pt>
                <c:pt idx="838">
                  <c:v>139</c:v>
                </c:pt>
                <c:pt idx="839">
                  <c:v>157</c:v>
                </c:pt>
                <c:pt idx="840">
                  <c:v>262</c:v>
                </c:pt>
                <c:pt idx="841">
                  <c:v>149</c:v>
                </c:pt>
                <c:pt idx="842">
                  <c:v>176</c:v>
                </c:pt>
                <c:pt idx="843">
                  <c:v>159</c:v>
                </c:pt>
                <c:pt idx="844">
                  <c:v>134</c:v>
                </c:pt>
                <c:pt idx="845">
                  <c:v>159</c:v>
                </c:pt>
                <c:pt idx="846">
                  <c:v>76</c:v>
                </c:pt>
                <c:pt idx="847">
                  <c:v>113</c:v>
                </c:pt>
                <c:pt idx="848">
                  <c:v>117</c:v>
                </c:pt>
                <c:pt idx="849">
                  <c:v>134</c:v>
                </c:pt>
                <c:pt idx="850">
                  <c:v>129</c:v>
                </c:pt>
                <c:pt idx="851">
                  <c:v>136</c:v>
                </c:pt>
                <c:pt idx="852">
                  <c:v>122</c:v>
                </c:pt>
                <c:pt idx="853">
                  <c:v>117</c:v>
                </c:pt>
                <c:pt idx="854">
                  <c:v>139</c:v>
                </c:pt>
                <c:pt idx="855">
                  <c:v>153</c:v>
                </c:pt>
                <c:pt idx="856">
                  <c:v>160</c:v>
                </c:pt>
                <c:pt idx="857">
                  <c:v>160</c:v>
                </c:pt>
                <c:pt idx="858">
                  <c:v>148</c:v>
                </c:pt>
                <c:pt idx="859">
                  <c:v>116</c:v>
                </c:pt>
                <c:pt idx="860">
                  <c:v>115</c:v>
                </c:pt>
                <c:pt idx="861">
                  <c:v>132</c:v>
                </c:pt>
                <c:pt idx="862">
                  <c:v>169</c:v>
                </c:pt>
                <c:pt idx="863">
                  <c:v>130</c:v>
                </c:pt>
                <c:pt idx="864">
                  <c:v>131</c:v>
                </c:pt>
                <c:pt idx="865">
                  <c:v>123</c:v>
                </c:pt>
                <c:pt idx="866">
                  <c:v>116</c:v>
                </c:pt>
                <c:pt idx="867">
                  <c:v>116</c:v>
                </c:pt>
                <c:pt idx="871">
                  <c:v>92</c:v>
                </c:pt>
                <c:pt idx="872">
                  <c:v>72</c:v>
                </c:pt>
                <c:pt idx="873">
                  <c:v>98</c:v>
                </c:pt>
                <c:pt idx="874">
                  <c:v>106</c:v>
                </c:pt>
                <c:pt idx="878">
                  <c:v>54</c:v>
                </c:pt>
                <c:pt idx="879">
                  <c:v>81</c:v>
                </c:pt>
                <c:pt idx="880">
                  <c:v>60</c:v>
                </c:pt>
                <c:pt idx="881">
                  <c:v>63</c:v>
                </c:pt>
                <c:pt idx="885">
                  <c:v>81</c:v>
                </c:pt>
                <c:pt idx="886">
                  <c:v>73</c:v>
                </c:pt>
                <c:pt idx="887">
                  <c:v>75</c:v>
                </c:pt>
                <c:pt idx="888">
                  <c:v>90</c:v>
                </c:pt>
                <c:pt idx="892">
                  <c:v>57</c:v>
                </c:pt>
                <c:pt idx="893">
                  <c:v>83</c:v>
                </c:pt>
                <c:pt idx="894">
                  <c:v>49</c:v>
                </c:pt>
                <c:pt idx="895">
                  <c:v>68</c:v>
                </c:pt>
                <c:pt idx="902">
                  <c:v>93</c:v>
                </c:pt>
                <c:pt idx="903">
                  <c:v>204</c:v>
                </c:pt>
                <c:pt idx="904">
                  <c:v>171</c:v>
                </c:pt>
                <c:pt idx="905">
                  <c:v>106</c:v>
                </c:pt>
                <c:pt idx="909">
                  <c:v>72</c:v>
                </c:pt>
                <c:pt idx="910">
                  <c:v>74</c:v>
                </c:pt>
                <c:pt idx="911">
                  <c:v>69</c:v>
                </c:pt>
                <c:pt idx="912">
                  <c:v>74</c:v>
                </c:pt>
                <c:pt idx="916">
                  <c:v>93</c:v>
                </c:pt>
                <c:pt idx="917">
                  <c:v>104</c:v>
                </c:pt>
                <c:pt idx="918">
                  <c:v>103</c:v>
                </c:pt>
                <c:pt idx="919">
                  <c:v>114</c:v>
                </c:pt>
                <c:pt idx="923">
                  <c:v>71</c:v>
                </c:pt>
                <c:pt idx="924">
                  <c:v>81</c:v>
                </c:pt>
                <c:pt idx="925">
                  <c:v>60</c:v>
                </c:pt>
                <c:pt idx="926">
                  <c:v>73</c:v>
                </c:pt>
                <c:pt idx="930">
                  <c:v>2</c:v>
                </c:pt>
                <c:pt idx="931">
                  <c:v>2</c:v>
                </c:pt>
                <c:pt idx="932">
                  <c:v>2</c:v>
                </c:pt>
                <c:pt idx="933">
                  <c:v>2</c:v>
                </c:pt>
                <c:pt idx="934">
                  <c:v>3*</c:v>
                </c:pt>
                <c:pt idx="935">
                  <c:v>3</c:v>
                </c:pt>
                <c:pt idx="936">
                  <c:v>2</c:v>
                </c:pt>
                <c:pt idx="937">
                  <c:v>3</c:v>
                </c:pt>
                <c:pt idx="938">
                  <c:v>4</c:v>
                </c:pt>
                <c:pt idx="939">
                  <c:v>12</c:v>
                </c:pt>
                <c:pt idx="940">
                  <c:v>3</c:v>
                </c:pt>
                <c:pt idx="941">
                  <c:v>2</c:v>
                </c:pt>
                <c:pt idx="942">
                  <c:v>6</c:v>
                </c:pt>
                <c:pt idx="943">
                  <c:v>8</c:v>
                </c:pt>
                <c:pt idx="944">
                  <c:v>6</c:v>
                </c:pt>
                <c:pt idx="945">
                  <c:v>12</c:v>
                </c:pt>
                <c:pt idx="946">
                  <c:v>7</c:v>
                </c:pt>
                <c:pt idx="947">
                  <c:v>9</c:v>
                </c:pt>
                <c:pt idx="948">
                  <c:v>8</c:v>
                </c:pt>
                <c:pt idx="949">
                  <c:v>8</c:v>
                </c:pt>
                <c:pt idx="950">
                  <c:v>5</c:v>
                </c:pt>
                <c:pt idx="951">
                  <c:v>4</c:v>
                </c:pt>
                <c:pt idx="952">
                  <c:v>33</c:v>
                </c:pt>
                <c:pt idx="953">
                  <c:v>16</c:v>
                </c:pt>
                <c:pt idx="954">
                  <c:v>6</c:v>
                </c:pt>
                <c:pt idx="955">
                  <c:v>10</c:v>
                </c:pt>
                <c:pt idx="956">
                  <c:v>8</c:v>
                </c:pt>
                <c:pt idx="957">
                  <c:v>8</c:v>
                </c:pt>
                <c:pt idx="958">
                  <c:v>5</c:v>
                </c:pt>
                <c:pt idx="959">
                  <c:v>4</c:v>
                </c:pt>
                <c:pt idx="960">
                  <c:v>8</c:v>
                </c:pt>
                <c:pt idx="964">
                  <c:v>3940</c:v>
                </c:pt>
                <c:pt idx="965">
                  <c:v>2200</c:v>
                </c:pt>
                <c:pt idx="966">
                  <c:v>1680</c:v>
                </c:pt>
                <c:pt idx="967">
                  <c:v>1150</c:v>
                </c:pt>
                <c:pt idx="971">
                  <c:v>840</c:v>
                </c:pt>
                <c:pt idx="972">
                  <c:v>1060</c:v>
                </c:pt>
                <c:pt idx="973">
                  <c:v>1850</c:v>
                </c:pt>
                <c:pt idx="974">
                  <c:v>1930</c:v>
                </c:pt>
                <c:pt idx="978">
                  <c:v>920</c:v>
                </c:pt>
                <c:pt idx="979">
                  <c:v>1720</c:v>
                </c:pt>
                <c:pt idx="980">
                  <c:v>1600</c:v>
                </c:pt>
                <c:pt idx="981">
                  <c:v>1850</c:v>
                </c:pt>
                <c:pt idx="985">
                  <c:v>2040</c:v>
                </c:pt>
                <c:pt idx="986">
                  <c:v>2620</c:v>
                </c:pt>
                <c:pt idx="987">
                  <c:v>2080</c:v>
                </c:pt>
                <c:pt idx="988">
                  <c:v>2900</c:v>
                </c:pt>
                <c:pt idx="995">
                  <c:v>2.8</c:v>
                </c:pt>
                <c:pt idx="996">
                  <c:v>2.9</c:v>
                </c:pt>
                <c:pt idx="997">
                  <c:v>2.8</c:v>
                </c:pt>
                <c:pt idx="998">
                  <c:v>2.9</c:v>
                </c:pt>
                <c:pt idx="1002">
                  <c:v>3.5</c:v>
                </c:pt>
                <c:pt idx="1003">
                  <c:v>3.5</c:v>
                </c:pt>
                <c:pt idx="1004">
                  <c:v>3.1</c:v>
                </c:pt>
                <c:pt idx="1005">
                  <c:v>3.1</c:v>
                </c:pt>
                <c:pt idx="1009">
                  <c:v>3.4</c:v>
                </c:pt>
                <c:pt idx="1010">
                  <c:v>3.3</c:v>
                </c:pt>
                <c:pt idx="1011">
                  <c:v>2.8</c:v>
                </c:pt>
                <c:pt idx="1012">
                  <c:v>3.0</c:v>
                </c:pt>
                <c:pt idx="1016">
                  <c:v>4.4</c:v>
                </c:pt>
                <c:pt idx="1017">
                  <c:v>3.9</c:v>
                </c:pt>
                <c:pt idx="1018">
                  <c:v>3.9</c:v>
                </c:pt>
                <c:pt idx="1019">
                  <c:v>3.8</c:v>
                </c:pt>
                <c:pt idx="1026">
                  <c:v>84.7</c:v>
                </c:pt>
                <c:pt idx="1027">
                  <c:v>84.9</c:v>
                </c:pt>
                <c:pt idx="1028">
                  <c:v>83.8</c:v>
                </c:pt>
                <c:pt idx="1029">
                  <c:v>85.9</c:v>
                </c:pt>
                <c:pt idx="1033">
                  <c:v>80.4</c:v>
                </c:pt>
                <c:pt idx="1034">
                  <c:v>81.4</c:v>
                </c:pt>
                <c:pt idx="1035">
                  <c:v>81.7</c:v>
                </c:pt>
                <c:pt idx="1036">
                  <c:v>83.7</c:v>
                </c:pt>
                <c:pt idx="1040">
                  <c:v>84.9</c:v>
                </c:pt>
                <c:pt idx="1041">
                  <c:v>85.2</c:v>
                </c:pt>
                <c:pt idx="1042">
                  <c:v>85.9</c:v>
                </c:pt>
                <c:pt idx="1043">
                  <c:v>85.1</c:v>
                </c:pt>
                <c:pt idx="1047">
                  <c:v>79.5</c:v>
                </c:pt>
                <c:pt idx="1048">
                  <c:v>81.3</c:v>
                </c:pt>
                <c:pt idx="1049">
                  <c:v>80.4</c:v>
                </c:pt>
                <c:pt idx="1050">
                  <c:v>80.0</c:v>
                </c:pt>
                <c:pt idx="1057">
                  <c:v>1.9</c:v>
                </c:pt>
                <c:pt idx="1058">
                  <c:v>1.7</c:v>
                </c:pt>
                <c:pt idx="1059">
                  <c:v>1.8</c:v>
                </c:pt>
                <c:pt idx="1060">
                  <c:v>1.8</c:v>
                </c:pt>
                <c:pt idx="1064">
                  <c:v>1.7</c:v>
                </c:pt>
                <c:pt idx="1065">
                  <c:v>1.7</c:v>
                </c:pt>
                <c:pt idx="1066">
                  <c:v>1.7</c:v>
                </c:pt>
                <c:pt idx="1067">
                  <c:v>1.8</c:v>
                </c:pt>
                <c:pt idx="1071">
                  <c:v>1.9</c:v>
                </c:pt>
                <c:pt idx="1072">
                  <c:v>1.7</c:v>
                </c:pt>
                <c:pt idx="1073">
                  <c:v>1.7</c:v>
                </c:pt>
                <c:pt idx="1074">
                  <c:v>1.6</c:v>
                </c:pt>
                <c:pt idx="1078">
                  <c:v>1.8</c:v>
                </c:pt>
                <c:pt idx="1079">
                  <c:v>1.7</c:v>
                </c:pt>
                <c:pt idx="1080">
                  <c:v>1.6</c:v>
                </c:pt>
                <c:pt idx="1081">
                  <c:v>1.6</c:v>
                </c:pt>
                <c:pt idx="1088">
                  <c:v>72.3</c:v>
                </c:pt>
                <c:pt idx="1089">
                  <c:v>73.8</c:v>
                </c:pt>
                <c:pt idx="1090">
                  <c:v>73.5</c:v>
                </c:pt>
                <c:pt idx="1091">
                  <c:v>73.3</c:v>
                </c:pt>
                <c:pt idx="1095">
                  <c:v>71.3</c:v>
                </c:pt>
                <c:pt idx="1096">
                  <c:v>70.8</c:v>
                </c:pt>
                <c:pt idx="1097">
                  <c:v>74.4</c:v>
                </c:pt>
                <c:pt idx="1098">
                  <c:v>69.6</c:v>
                </c:pt>
                <c:pt idx="1102">
                  <c:v>70.8</c:v>
                </c:pt>
                <c:pt idx="1103">
                  <c:v>72.1</c:v>
                </c:pt>
                <c:pt idx="1104">
                  <c:v>72.1</c:v>
                </c:pt>
                <c:pt idx="1105">
                  <c:v>72.5</c:v>
                </c:pt>
                <c:pt idx="1109">
                  <c:v>69.4</c:v>
                </c:pt>
                <c:pt idx="1110">
                  <c:v>67.4</c:v>
                </c:pt>
                <c:pt idx="1111">
                  <c:v>71.8</c:v>
                </c:pt>
                <c:pt idx="1112">
                  <c:v>67.4</c:v>
                </c:pt>
                <c:pt idx="1119">
                  <c:v>43%</c:v>
                </c:pt>
                <c:pt idx="1120">
                  <c:v>48%</c:v>
                </c:pt>
                <c:pt idx="1121">
                  <c:v>44%</c:v>
                </c:pt>
                <c:pt idx="1122">
                  <c:v>47%</c:v>
                </c:pt>
                <c:pt idx="1126">
                  <c:v>57%</c:v>
                </c:pt>
                <c:pt idx="1127">
                  <c:v>58%</c:v>
                </c:pt>
                <c:pt idx="1128">
                  <c:v>50%</c:v>
                </c:pt>
                <c:pt idx="1129">
                  <c:v>50%</c:v>
                </c:pt>
                <c:pt idx="1133">
                  <c:v>53%</c:v>
                </c:pt>
                <c:pt idx="1134">
                  <c:v>56%</c:v>
                </c:pt>
                <c:pt idx="1135">
                  <c:v>49%</c:v>
                </c:pt>
                <c:pt idx="1136">
                  <c:v>54%</c:v>
                </c:pt>
                <c:pt idx="1140">
                  <c:v>64%</c:v>
                </c:pt>
                <c:pt idx="1141">
                  <c:v>64%</c:v>
                </c:pt>
                <c:pt idx="1142">
                  <c:v>65%</c:v>
                </c:pt>
                <c:pt idx="1143">
                  <c:v>64%</c:v>
                </c:pt>
                <c:pt idx="1178">
                  <c:v>290</c:v>
                </c:pt>
                <c:pt idx="1179">
                  <c:v>350</c:v>
                </c:pt>
                <c:pt idx="1180">
                  <c:v>270</c:v>
                </c:pt>
                <c:pt idx="1181">
                  <c:v>490</c:v>
                </c:pt>
                <c:pt idx="1182">
                  <c:v>410</c:v>
                </c:pt>
                <c:pt idx="1183">
                  <c:v>370</c:v>
                </c:pt>
                <c:pt idx="1184">
                  <c:v>340</c:v>
                </c:pt>
                <c:pt idx="1185">
                  <c:v>280</c:v>
                </c:pt>
                <c:pt idx="1186">
                  <c:v>200</c:v>
                </c:pt>
                <c:pt idx="1187">
                  <c:v>150</c:v>
                </c:pt>
                <c:pt idx="1188">
                  <c:v>250</c:v>
                </c:pt>
                <c:pt idx="1189">
                  <c:v>190</c:v>
                </c:pt>
                <c:pt idx="1190">
                  <c:v>280</c:v>
                </c:pt>
                <c:pt idx="1191">
                  <c:v>200</c:v>
                </c:pt>
                <c:pt idx="1192">
                  <c:v>110</c:v>
                </c:pt>
                <c:pt idx="1193">
                  <c:v>95</c:v>
                </c:pt>
                <c:pt idx="1194">
                  <c:v>120</c:v>
                </c:pt>
                <c:pt idx="1195">
                  <c:v>130</c:v>
                </c:pt>
                <c:pt idx="1196">
                  <c:v>100</c:v>
                </c:pt>
                <c:pt idx="1197">
                  <c:v>140</c:v>
                </c:pt>
                <c:pt idx="1198">
                  <c:v>130</c:v>
                </c:pt>
                <c:pt idx="1199">
                  <c:v>140</c:v>
                </c:pt>
                <c:pt idx="1200">
                  <c:v>140</c:v>
                </c:pt>
                <c:pt idx="1201">
                  <c:v>180</c:v>
                </c:pt>
                <c:pt idx="1202">
                  <c:v>100</c:v>
                </c:pt>
                <c:pt idx="1203">
                  <c:v>120</c:v>
                </c:pt>
                <c:pt idx="1204">
                  <c:v>150</c:v>
                </c:pt>
                <c:pt idx="1205">
                  <c:v>140</c:v>
                </c:pt>
                <c:pt idx="1206">
                  <c:v>120</c:v>
                </c:pt>
                <c:pt idx="1207">
                  <c:v>110</c:v>
                </c:pt>
                <c:pt idx="1208">
                  <c:v>120</c:v>
                </c:pt>
                <c:pt idx="1209">
                  <c:v>400</c:v>
                </c:pt>
                <c:pt idx="1210">
                  <c:v>410</c:v>
                </c:pt>
                <c:pt idx="1211">
                  <c:v>400</c:v>
                </c:pt>
                <c:pt idx="1212">
                  <c:v>290</c:v>
                </c:pt>
                <c:pt idx="1213">
                  <c:v>270</c:v>
                </c:pt>
                <c:pt idx="1214">
                  <c:v>310</c:v>
                </c:pt>
                <c:pt idx="1215">
                  <c:v>320</c:v>
                </c:pt>
                <c:pt idx="1216">
                  <c:v>420</c:v>
                </c:pt>
                <c:pt idx="1217">
                  <c:v>380</c:v>
                </c:pt>
                <c:pt idx="1218">
                  <c:v>240</c:v>
                </c:pt>
                <c:pt idx="1219">
                  <c:v>540</c:v>
                </c:pt>
                <c:pt idx="1220">
                  <c:v>560</c:v>
                </c:pt>
                <c:pt idx="1221">
                  <c:v>730</c:v>
                </c:pt>
                <c:pt idx="1222">
                  <c:v>760</c:v>
                </c:pt>
                <c:pt idx="1223">
                  <c:v>540</c:v>
                </c:pt>
                <c:pt idx="1224">
                  <c:v>280</c:v>
                </c:pt>
                <c:pt idx="1225">
                  <c:v>240</c:v>
                </c:pt>
                <c:pt idx="1226">
                  <c:v>630</c:v>
                </c:pt>
                <c:pt idx="1227">
                  <c:v>590</c:v>
                </c:pt>
                <c:pt idx="1228">
                  <c:v>520</c:v>
                </c:pt>
                <c:pt idx="1229">
                  <c:v>460</c:v>
                </c:pt>
                <c:pt idx="1230">
                  <c:v>350</c:v>
                </c:pt>
                <c:pt idx="1231">
                  <c:v>360</c:v>
                </c:pt>
                <c:pt idx="1232">
                  <c:v>470</c:v>
                </c:pt>
                <c:pt idx="1233">
                  <c:v>230</c:v>
                </c:pt>
                <c:pt idx="1234">
                  <c:v>330</c:v>
                </c:pt>
                <c:pt idx="1235">
                  <c:v>270</c:v>
                </c:pt>
                <c:pt idx="1236">
                  <c:v>240</c:v>
                </c:pt>
                <c:pt idx="1237">
                  <c:v>270</c:v>
                </c:pt>
                <c:pt idx="1238">
                  <c:v>250</c:v>
                </c:pt>
                <c:pt idx="1239">
                  <c:v>320</c:v>
                </c:pt>
                <c:pt idx="1240">
                  <c:v>0.09</c:v>
                </c:pt>
                <c:pt idx="1241">
                  <c:v>0.10</c:v>
                </c:pt>
                <c:pt idx="1242">
                  <c:v>0.11</c:v>
                </c:pt>
                <c:pt idx="1243">
                  <c:v>0.09</c:v>
                </c:pt>
                <c:pt idx="1244">
                  <c:v>0.06</c:v>
                </c:pt>
                <c:pt idx="1245">
                  <c:v>0.10</c:v>
                </c:pt>
                <c:pt idx="1246">
                  <c:v>0.24</c:v>
                </c:pt>
                <c:pt idx="1247">
                  <c:v>0.09</c:v>
                </c:pt>
                <c:pt idx="1248">
                  <c:v>0.12</c:v>
                </c:pt>
                <c:pt idx="1249">
                  <c:v>0.24</c:v>
                </c:pt>
                <c:pt idx="1250">
                  <c:v>0.06</c:v>
                </c:pt>
                <c:pt idx="1251">
                  <c:v>0.09</c:v>
                </c:pt>
                <c:pt idx="1252">
                  <c:v>0.13</c:v>
                </c:pt>
                <c:pt idx="1253">
                  <c:v>0.15</c:v>
                </c:pt>
                <c:pt idx="1254">
                  <c:v>0.12</c:v>
                </c:pt>
                <c:pt idx="1255">
                  <c:v>0.12</c:v>
                </c:pt>
                <c:pt idx="1256">
                  <c:v>0.10</c:v>
                </c:pt>
                <c:pt idx="1257">
                  <c:v>0.09</c:v>
                </c:pt>
                <c:pt idx="1258">
                  <c:v>0.12</c:v>
                </c:pt>
                <c:pt idx="1259">
                  <c:v>0.09</c:v>
                </c:pt>
                <c:pt idx="1260">
                  <c:v>0.13</c:v>
                </c:pt>
                <c:pt idx="1261">
                  <c:v>0.09</c:v>
                </c:pt>
                <c:pt idx="1262">
                  <c:v>0.13</c:v>
                </c:pt>
                <c:pt idx="1263">
                  <c:v>0.15</c:v>
                </c:pt>
                <c:pt idx="1264">
                  <c:v>0.12</c:v>
                </c:pt>
                <c:pt idx="1265">
                  <c:v>0.16</c:v>
                </c:pt>
                <c:pt idx="1266">
                  <c:v>0.07</c:v>
                </c:pt>
                <c:pt idx="1267">
                  <c:v>0.10</c:v>
                </c:pt>
                <c:pt idx="1268">
                  <c:v>0.11</c:v>
                </c:pt>
                <c:pt idx="1269">
                  <c:v>0.11</c:v>
                </c:pt>
                <c:pt idx="1270">
                  <c:v>0.18</c:v>
                </c:pt>
                <c:pt idx="1271">
                  <c:v>0.09</c:v>
                </c:pt>
                <c:pt idx="1272">
                  <c:v>0.10</c:v>
                </c:pt>
                <c:pt idx="1273">
                  <c:v>0.17</c:v>
                </c:pt>
                <c:pt idx="1274">
                  <c:v>0.11</c:v>
                </c:pt>
                <c:pt idx="1275">
                  <c:v>0.23</c:v>
                </c:pt>
                <c:pt idx="1276">
                  <c:v>0.17</c:v>
                </c:pt>
                <c:pt idx="1277">
                  <c:v>0.14</c:v>
                </c:pt>
                <c:pt idx="1278">
                  <c:v>0.09</c:v>
                </c:pt>
                <c:pt idx="1279">
                  <c:v>0.12</c:v>
                </c:pt>
                <c:pt idx="1280">
                  <c:v>0.26</c:v>
                </c:pt>
                <c:pt idx="1281">
                  <c:v>0.07</c:v>
                </c:pt>
                <c:pt idx="1282">
                  <c:v>0.07</c:v>
                </c:pt>
                <c:pt idx="1283">
                  <c:v>0.09</c:v>
                </c:pt>
                <c:pt idx="1284">
                  <c:v>0.09</c:v>
                </c:pt>
                <c:pt idx="1285">
                  <c:v>0.12</c:v>
                </c:pt>
                <c:pt idx="1286">
                  <c:v>0.12</c:v>
                </c:pt>
                <c:pt idx="1287">
                  <c:v>0.10</c:v>
                </c:pt>
                <c:pt idx="1288">
                  <c:v>0.06</c:v>
                </c:pt>
                <c:pt idx="1289">
                  <c:v>0.07</c:v>
                </c:pt>
                <c:pt idx="1290">
                  <c:v>0.08</c:v>
                </c:pt>
                <c:pt idx="1291">
                  <c:v>0.09</c:v>
                </c:pt>
                <c:pt idx="1292">
                  <c:v>0.09</c:v>
                </c:pt>
                <c:pt idx="1293">
                  <c:v>0.13</c:v>
                </c:pt>
                <c:pt idx="1294">
                  <c:v>0.11</c:v>
                </c:pt>
                <c:pt idx="1295">
                  <c:v>0.07</c:v>
                </c:pt>
                <c:pt idx="1296">
                  <c:v>0.14</c:v>
                </c:pt>
                <c:pt idx="1297">
                  <c:v>0.07</c:v>
                </c:pt>
                <c:pt idx="1298">
                  <c:v>0.08</c:v>
                </c:pt>
                <c:pt idx="1299">
                  <c:v>0.11</c:v>
                </c:pt>
                <c:pt idx="1300">
                  <c:v>0.11</c:v>
                </c:pt>
                <c:pt idx="1301">
                  <c:v>0.23</c:v>
                </c:pt>
                <c:pt idx="1302">
                  <c:v>6.2</c:v>
                </c:pt>
                <c:pt idx="1303">
                  <c:v>6.2</c:v>
                </c:pt>
                <c:pt idx="1304">
                  <c:v>4.5</c:v>
                </c:pt>
                <c:pt idx="1305">
                  <c:v>6.2</c:v>
                </c:pt>
                <c:pt idx="1306">
                  <c:v>5.5</c:v>
                </c:pt>
                <c:pt idx="1307">
                  <c:v>5.8</c:v>
                </c:pt>
                <c:pt idx="1308">
                  <c:v>3.8</c:v>
                </c:pt>
                <c:pt idx="1309">
                  <c:v>6.1</c:v>
                </c:pt>
                <c:pt idx="1310">
                  <c:v>5.8</c:v>
                </c:pt>
                <c:pt idx="1311">
                  <c:v>3.0</c:v>
                </c:pt>
                <c:pt idx="1312">
                  <c:v>10.0</c:v>
                </c:pt>
                <c:pt idx="1313">
                  <c:v>7.9</c:v>
                </c:pt>
                <c:pt idx="1314">
                  <c:v>3.0</c:v>
                </c:pt>
                <c:pt idx="1315">
                  <c:v>3.3</c:v>
                </c:pt>
                <c:pt idx="1316">
                  <c:v>5.3</c:v>
                </c:pt>
                <c:pt idx="1317">
                  <c:v>4.2</c:v>
                </c:pt>
                <c:pt idx="1318">
                  <c:v>5.5</c:v>
                </c:pt>
                <c:pt idx="1319">
                  <c:v>7.8</c:v>
                </c:pt>
                <c:pt idx="1320">
                  <c:v>5.3</c:v>
                </c:pt>
                <c:pt idx="1321">
                  <c:v>8.0</c:v>
                </c:pt>
                <c:pt idx="1322">
                  <c:v>6.6</c:v>
                </c:pt>
                <c:pt idx="1323">
                  <c:v>5.8</c:v>
                </c:pt>
                <c:pt idx="1324">
                  <c:v>3.2</c:v>
                </c:pt>
                <c:pt idx="1325">
                  <c:v>4.0</c:v>
                </c:pt>
                <c:pt idx="1326">
                  <c:v>5.3</c:v>
                </c:pt>
                <c:pt idx="1327">
                  <c:v>7.1</c:v>
                </c:pt>
                <c:pt idx="1328">
                  <c:v>6.2</c:v>
                </c:pt>
                <c:pt idx="1329">
                  <c:v>5.4</c:v>
                </c:pt>
                <c:pt idx="1330">
                  <c:v>5.9</c:v>
                </c:pt>
                <c:pt idx="1331">
                  <c:v>5.9</c:v>
                </c:pt>
                <c:pt idx="1332">
                  <c:v>3.8</c:v>
                </c:pt>
                <c:pt idx="1333">
                  <c:v>3.3</c:v>
                </c:pt>
                <c:pt idx="1334">
                  <c:v>3.4</c:v>
                </c:pt>
                <c:pt idx="1335">
                  <c:v>3.1</c:v>
                </c:pt>
                <c:pt idx="1336">
                  <c:v>4.2</c:v>
                </c:pt>
                <c:pt idx="1337">
                  <c:v>30.3*</c:v>
                </c:pt>
                <c:pt idx="1338">
                  <c:v>19.7*</c:v>
                </c:pt>
                <c:pt idx="1339">
                  <c:v>10.2</c:v>
                </c:pt>
                <c:pt idx="1340">
                  <c:v>18.6*</c:v>
                </c:pt>
                <c:pt idx="1341">
                  <c:v>12.1</c:v>
                </c:pt>
                <c:pt idx="1342">
                  <c:v>5.1</c:v>
                </c:pt>
                <c:pt idx="1343">
                  <c:v>15.9</c:v>
                </c:pt>
                <c:pt idx="1344">
                  <c:v>14.8</c:v>
                </c:pt>
                <c:pt idx="1345">
                  <c:v>7.1</c:v>
                </c:pt>
                <c:pt idx="1346">
                  <c:v>8.1</c:v>
                </c:pt>
                <c:pt idx="1347">
                  <c:v>7.6</c:v>
                </c:pt>
                <c:pt idx="1348">
                  <c:v>6.6</c:v>
                </c:pt>
                <c:pt idx="1349">
                  <c:v>9.2</c:v>
                </c:pt>
                <c:pt idx="1350">
                  <c:v>10.2</c:v>
                </c:pt>
                <c:pt idx="1351">
                  <c:v>6.8</c:v>
                </c:pt>
                <c:pt idx="1352">
                  <c:v>4.8</c:v>
                </c:pt>
                <c:pt idx="1353">
                  <c:v>2.4</c:v>
                </c:pt>
                <c:pt idx="1354">
                  <c:v>3.5</c:v>
                </c:pt>
                <c:pt idx="1355">
                  <c:v>2.7</c:v>
                </c:pt>
                <c:pt idx="1356">
                  <c:v>5.3</c:v>
                </c:pt>
                <c:pt idx="1357">
                  <c:v>7.6</c:v>
                </c:pt>
                <c:pt idx="1358">
                  <c:v>4.7</c:v>
                </c:pt>
                <c:pt idx="1359">
                  <c:v>5.8</c:v>
                </c:pt>
                <c:pt idx="1360">
                  <c:v>5.3</c:v>
                </c:pt>
                <c:pt idx="1361">
                  <c:v>4.9</c:v>
                </c:pt>
                <c:pt idx="1362">
                  <c:v>5.6</c:v>
                </c:pt>
                <c:pt idx="1363">
                  <c:v>3.2</c:v>
                </c:pt>
                <c:pt idx="1364">
                  <c:v>1</c:v>
                </c:pt>
                <c:pt idx="1365">
                  <c:v>2</c:v>
                </c:pt>
                <c:pt idx="1366">
                  <c:v>3</c:v>
                </c:pt>
                <c:pt idx="1367">
                  <c:v>4</c:v>
                </c:pt>
                <c:pt idx="1368">
                  <c:v>5</c:v>
                </c:pt>
                <c:pt idx="1369">
                  <c:v>6</c:v>
                </c:pt>
                <c:pt idx="1370">
                  <c:v>7</c:v>
                </c:pt>
                <c:pt idx="1371">
                  <c:v>8</c:v>
                </c:pt>
                <c:pt idx="1372">
                  <c:v>9</c:v>
                </c:pt>
                <c:pt idx="1373">
                  <c:v>10</c:v>
                </c:pt>
                <c:pt idx="1374">
                  <c:v>11</c:v>
                </c:pt>
                <c:pt idx="1375">
                  <c:v>12</c:v>
                </c:pt>
                <c:pt idx="1376">
                  <c:v>13</c:v>
                </c:pt>
                <c:pt idx="1377">
                  <c:v>14</c:v>
                </c:pt>
                <c:pt idx="1378">
                  <c:v>15</c:v>
                </c:pt>
                <c:pt idx="1379">
                  <c:v>16</c:v>
                </c:pt>
                <c:pt idx="1380">
                  <c:v>17</c:v>
                </c:pt>
                <c:pt idx="1381">
                  <c:v>18</c:v>
                </c:pt>
                <c:pt idx="1382">
                  <c:v>19</c:v>
                </c:pt>
                <c:pt idx="1383">
                  <c:v>20</c:v>
                </c:pt>
                <c:pt idx="1384">
                  <c:v>21</c:v>
                </c:pt>
                <c:pt idx="1385">
                  <c:v>22</c:v>
                </c:pt>
                <c:pt idx="1386">
                  <c:v>23</c:v>
                </c:pt>
                <c:pt idx="1387">
                  <c:v>24</c:v>
                </c:pt>
                <c:pt idx="1388">
                  <c:v>25</c:v>
                </c:pt>
                <c:pt idx="1389">
                  <c:v>26</c:v>
                </c:pt>
                <c:pt idx="1390">
                  <c:v>27</c:v>
                </c:pt>
                <c:pt idx="1391">
                  <c:v>28</c:v>
                </c:pt>
                <c:pt idx="1392">
                  <c:v>29</c:v>
                </c:pt>
                <c:pt idx="1393">
                  <c:v>30</c:v>
                </c:pt>
                <c:pt idx="1394">
                  <c:v>31</c:v>
                </c:pt>
                <c:pt idx="1395">
                  <c:v>1</c:v>
                </c:pt>
                <c:pt idx="1396">
                  <c:v>2</c:v>
                </c:pt>
                <c:pt idx="1397">
                  <c:v>3</c:v>
                </c:pt>
                <c:pt idx="1398">
                  <c:v>4</c:v>
                </c:pt>
                <c:pt idx="1399">
                  <c:v>5</c:v>
                </c:pt>
                <c:pt idx="1400">
                  <c:v>6</c:v>
                </c:pt>
                <c:pt idx="1401">
                  <c:v>7</c:v>
                </c:pt>
                <c:pt idx="1402">
                  <c:v>8</c:v>
                </c:pt>
                <c:pt idx="1403">
                  <c:v>9</c:v>
                </c:pt>
                <c:pt idx="1404">
                  <c:v>10</c:v>
                </c:pt>
                <c:pt idx="1405">
                  <c:v>11</c:v>
                </c:pt>
                <c:pt idx="1406">
                  <c:v>12</c:v>
                </c:pt>
                <c:pt idx="1407">
                  <c:v>13</c:v>
                </c:pt>
                <c:pt idx="1408">
                  <c:v>14</c:v>
                </c:pt>
                <c:pt idx="1409">
                  <c:v>15</c:v>
                </c:pt>
                <c:pt idx="1410">
                  <c:v>16</c:v>
                </c:pt>
                <c:pt idx="1411">
                  <c:v>17</c:v>
                </c:pt>
                <c:pt idx="1412">
                  <c:v>18</c:v>
                </c:pt>
                <c:pt idx="1413">
                  <c:v>19</c:v>
                </c:pt>
                <c:pt idx="1414">
                  <c:v>20</c:v>
                </c:pt>
                <c:pt idx="1415">
                  <c:v>21</c:v>
                </c:pt>
                <c:pt idx="1416">
                  <c:v>22</c:v>
                </c:pt>
                <c:pt idx="1417">
                  <c:v>23</c:v>
                </c:pt>
                <c:pt idx="1418">
                  <c:v>24</c:v>
                </c:pt>
                <c:pt idx="1419">
                  <c:v>25</c:v>
                </c:pt>
                <c:pt idx="1420">
                  <c:v>26</c:v>
                </c:pt>
                <c:pt idx="1421">
                  <c:v>27</c:v>
                </c:pt>
                <c:pt idx="1422">
                  <c:v>28</c:v>
                </c:pt>
                <c:pt idx="1423">
                  <c:v>29</c:v>
                </c:pt>
                <c:pt idx="1424">
                  <c:v>30</c:v>
                </c:pt>
                <c:pt idx="1425">
                  <c:v>31</c:v>
                </c:pt>
                <c:pt idx="1429">
                  <c:v>150</c:v>
                </c:pt>
                <c:pt idx="1432">
                  <c:v>190</c:v>
                </c:pt>
                <c:pt idx="1436">
                  <c:v>130</c:v>
                </c:pt>
                <c:pt idx="1439">
                  <c:v>120</c:v>
                </c:pt>
                <c:pt idx="1443">
                  <c:v>520</c:v>
                </c:pt>
                <c:pt idx="1446">
                  <c:v>160</c:v>
                </c:pt>
                <c:pt idx="1450">
                  <c:v>160</c:v>
                </c:pt>
                <c:pt idx="1453">
                  <c:v>230</c:v>
                </c:pt>
                <c:pt idx="1491">
                  <c:v>240</c:v>
                </c:pt>
                <c:pt idx="1494">
                  <c:v>180</c:v>
                </c:pt>
                <c:pt idx="1498">
                  <c:v>180</c:v>
                </c:pt>
                <c:pt idx="1501">
                  <c:v>170</c:v>
                </c:pt>
                <c:pt idx="1505">
                  <c:v>130</c:v>
                </c:pt>
                <c:pt idx="1508">
                  <c:v>130</c:v>
                </c:pt>
                <c:pt idx="1512">
                  <c:v>150</c:v>
                </c:pt>
                <c:pt idx="1515">
                  <c:v>160</c:v>
                </c:pt>
                <c:pt idx="1522">
                  <c:v>180</c:v>
                </c:pt>
                <c:pt idx="1525">
                  <c:v>200</c:v>
                </c:pt>
                <c:pt idx="1529">
                  <c:v>110</c:v>
                </c:pt>
                <c:pt idx="1532">
                  <c:v>210</c:v>
                </c:pt>
                <c:pt idx="1536">
                  <c:v>110</c:v>
                </c:pt>
                <c:pt idx="1539">
                  <c:v>150</c:v>
                </c:pt>
                <c:pt idx="1543">
                  <c:v>130</c:v>
                </c:pt>
                <c:pt idx="1546">
                  <c:v>200</c:v>
                </c:pt>
                <c:pt idx="1553">
                  <c:v>100</c:v>
                </c:pt>
                <c:pt idx="1556">
                  <c:v>110</c:v>
                </c:pt>
                <c:pt idx="1560">
                  <c:v>140</c:v>
                </c:pt>
                <c:pt idx="1563">
                  <c:v>110</c:v>
                </c:pt>
                <c:pt idx="1567">
                  <c:v>150</c:v>
                </c:pt>
                <c:pt idx="1570">
                  <c:v>200</c:v>
                </c:pt>
                <c:pt idx="1574">
                  <c:v>120</c:v>
                </c:pt>
                <c:pt idx="1577">
                  <c:v>110</c:v>
                </c:pt>
                <c:pt idx="1584">
                  <c:v>2,500</c:v>
                </c:pt>
                <c:pt idx="1587">
                  <c:v>2,600</c:v>
                </c:pt>
                <c:pt idx="1591">
                  <c:v>2,700</c:v>
                </c:pt>
                <c:pt idx="1594">
                  <c:v>2,700</c:v>
                </c:pt>
                <c:pt idx="1598">
                  <c:v>2,500</c:v>
                </c:pt>
                <c:pt idx="1601">
                  <c:v>2,900</c:v>
                </c:pt>
                <c:pt idx="1605">
                  <c:v>3,000</c:v>
                </c:pt>
                <c:pt idx="1608">
                  <c:v>2,800</c:v>
                </c:pt>
                <c:pt idx="1646">
                  <c:v>2,400</c:v>
                </c:pt>
                <c:pt idx="1649">
                  <c:v>2,600</c:v>
                </c:pt>
                <c:pt idx="1653">
                  <c:v>2,400</c:v>
                </c:pt>
                <c:pt idx="1656">
                  <c:v>2,700</c:v>
                </c:pt>
                <c:pt idx="1660">
                  <c:v>3,000</c:v>
                </c:pt>
                <c:pt idx="1663">
                  <c:v>3,000</c:v>
                </c:pt>
                <c:pt idx="1667">
                  <c:v>3,400</c:v>
                </c:pt>
                <c:pt idx="1670">
                  <c:v>2,900</c:v>
                </c:pt>
                <c:pt idx="1677">
                  <c:v>2,600</c:v>
                </c:pt>
                <c:pt idx="1680">
                  <c:v>2,700</c:v>
                </c:pt>
                <c:pt idx="1684">
                  <c:v>2,800</c:v>
                </c:pt>
                <c:pt idx="1687">
                  <c:v>2,800</c:v>
                </c:pt>
                <c:pt idx="1691">
                  <c:v>3,100</c:v>
                </c:pt>
                <c:pt idx="1694">
                  <c:v>3,100</c:v>
                </c:pt>
                <c:pt idx="1698">
                  <c:v>3,200</c:v>
                </c:pt>
                <c:pt idx="1701">
                  <c:v>3,200</c:v>
                </c:pt>
                <c:pt idx="1708">
                  <c:v>2,700</c:v>
                </c:pt>
                <c:pt idx="1711">
                  <c:v>2,800</c:v>
                </c:pt>
                <c:pt idx="1715">
                  <c:v>2,900</c:v>
                </c:pt>
                <c:pt idx="1718">
                  <c:v>2,900</c:v>
                </c:pt>
                <c:pt idx="1722">
                  <c:v>2,900</c:v>
                </c:pt>
                <c:pt idx="1725">
                  <c:v>2,800</c:v>
                </c:pt>
                <c:pt idx="1729">
                  <c:v>3,200</c:v>
                </c:pt>
                <c:pt idx="1732">
                  <c:v>3,000</c:v>
                </c:pt>
                <c:pt idx="1739">
                  <c:v>7.0</c:v>
                </c:pt>
                <c:pt idx="1742">
                  <c:v>7.1</c:v>
                </c:pt>
                <c:pt idx="1746">
                  <c:v>7.1</c:v>
                </c:pt>
                <c:pt idx="1749">
                  <c:v>7.1</c:v>
                </c:pt>
                <c:pt idx="1753">
                  <c:v>7.1</c:v>
                </c:pt>
                <c:pt idx="1756">
                  <c:v>7.2</c:v>
                </c:pt>
                <c:pt idx="1760">
                  <c:v>6.9</c:v>
                </c:pt>
                <c:pt idx="1763">
                  <c:v>6.9</c:v>
                </c:pt>
                <c:pt idx="1801">
                  <c:v>6.9</c:v>
                </c:pt>
                <c:pt idx="1804">
                  <c:v>6.9</c:v>
                </c:pt>
                <c:pt idx="1808">
                  <c:v>6.9</c:v>
                </c:pt>
                <c:pt idx="1811">
                  <c:v>7.0</c:v>
                </c:pt>
                <c:pt idx="1815">
                  <c:v>7.1</c:v>
                </c:pt>
                <c:pt idx="1818">
                  <c:v>7.1</c:v>
                </c:pt>
                <c:pt idx="1822">
                  <c:v>7.0</c:v>
                </c:pt>
                <c:pt idx="1825">
                  <c:v>7.0</c:v>
                </c:pt>
                <c:pt idx="1832">
                  <c:v>7.0</c:v>
                </c:pt>
                <c:pt idx="1835">
                  <c:v>7.0</c:v>
                </c:pt>
                <c:pt idx="1839">
                  <c:v>7.1</c:v>
                </c:pt>
                <c:pt idx="1842">
                  <c:v>7.0</c:v>
                </c:pt>
                <c:pt idx="1846">
                  <c:v>7.1</c:v>
                </c:pt>
                <c:pt idx="1849">
                  <c:v>7.1</c:v>
                </c:pt>
                <c:pt idx="1853">
                  <c:v>6.9</c:v>
                </c:pt>
                <c:pt idx="1856">
                  <c:v>7.1</c:v>
                </c:pt>
                <c:pt idx="1863">
                  <c:v>7.1</c:v>
                </c:pt>
                <c:pt idx="1866">
                  <c:v>7.1</c:v>
                </c:pt>
                <c:pt idx="1870">
                  <c:v>7.1</c:v>
                </c:pt>
                <c:pt idx="1873">
                  <c:v>6.9</c:v>
                </c:pt>
                <c:pt idx="1877">
                  <c:v>7.1</c:v>
                </c:pt>
                <c:pt idx="1880">
                  <c:v>7.1</c:v>
                </c:pt>
                <c:pt idx="1884">
                  <c:v>6.8</c:v>
                </c:pt>
                <c:pt idx="1887">
                  <c:v>7.1</c:v>
                </c:pt>
                <c:pt idx="1891">
                  <c:v>5.7</c:v>
                </c:pt>
                <c:pt idx="1892">
                  <c:v>5.2</c:v>
                </c:pt>
                <c:pt idx="1893">
                  <c:v>4.1</c:v>
                </c:pt>
                <c:pt idx="1894">
                  <c:v>4.0</c:v>
                </c:pt>
                <c:pt idx="1895">
                  <c:v>4.8</c:v>
                </c:pt>
                <c:pt idx="1896">
                  <c:v>4.9</c:v>
                </c:pt>
                <c:pt idx="1897">
                  <c:v>4.5</c:v>
                </c:pt>
                <c:pt idx="1898">
                  <c:v>4.7</c:v>
                </c:pt>
                <c:pt idx="1899">
                  <c:v>5.8</c:v>
                </c:pt>
                <c:pt idx="1900">
                  <c:v>3.2</c:v>
                </c:pt>
                <c:pt idx="1901">
                  <c:v>6.6</c:v>
                </c:pt>
                <c:pt idx="1902">
                  <c:v>6.4</c:v>
                </c:pt>
                <c:pt idx="1903">
                  <c:v>5.7</c:v>
                </c:pt>
                <c:pt idx="1904">
                  <c:v>5.7</c:v>
                </c:pt>
                <c:pt idx="1905">
                  <c:v>5.6</c:v>
                </c:pt>
                <c:pt idx="1906">
                  <c:v>7.6</c:v>
                </c:pt>
                <c:pt idx="1907">
                  <c:v>5.8</c:v>
                </c:pt>
                <c:pt idx="1908">
                  <c:v>4.7</c:v>
                </c:pt>
                <c:pt idx="1909">
                  <c:v>4.9</c:v>
                </c:pt>
                <c:pt idx="1910">
                  <c:v>4.7</c:v>
                </c:pt>
                <c:pt idx="1911">
                  <c:v>4.3</c:v>
                </c:pt>
                <c:pt idx="1912">
                  <c:v>5.6</c:v>
                </c:pt>
                <c:pt idx="1913">
                  <c:v>4.4</c:v>
                </c:pt>
                <c:pt idx="1914">
                  <c:v>5.7</c:v>
                </c:pt>
                <c:pt idx="1915">
                  <c:v>5.7</c:v>
                </c:pt>
                <c:pt idx="1916">
                  <c:v>5.5</c:v>
                </c:pt>
                <c:pt idx="1917">
                  <c:v>6.9</c:v>
                </c:pt>
                <c:pt idx="1918">
                  <c:v>6.0</c:v>
                </c:pt>
                <c:pt idx="1919">
                  <c:v>4.8</c:v>
                </c:pt>
                <c:pt idx="1920">
                  <c:v>4.7</c:v>
                </c:pt>
                <c:pt idx="1921">
                  <c:v>4.4</c:v>
                </c:pt>
                <c:pt idx="1922">
                  <c:v>6.7</c:v>
                </c:pt>
                <c:pt idx="1923">
                  <c:v>4.7</c:v>
                </c:pt>
                <c:pt idx="1924">
                  <c:v>4.7</c:v>
                </c:pt>
                <c:pt idx="1925">
                  <c:v>4.7</c:v>
                </c:pt>
                <c:pt idx="1926">
                  <c:v>4.4</c:v>
                </c:pt>
                <c:pt idx="1927">
                  <c:v>5.1</c:v>
                </c:pt>
                <c:pt idx="1928">
                  <c:v>4.9</c:v>
                </c:pt>
                <c:pt idx="1929">
                  <c:v>4.9</c:v>
                </c:pt>
                <c:pt idx="1930">
                  <c:v>4.6</c:v>
                </c:pt>
                <c:pt idx="1931">
                  <c:v>7.4</c:v>
                </c:pt>
                <c:pt idx="1932">
                  <c:v>4.5</c:v>
                </c:pt>
                <c:pt idx="1933">
                  <c:v>5.7</c:v>
                </c:pt>
                <c:pt idx="1934">
                  <c:v>6.1</c:v>
                </c:pt>
                <c:pt idx="1935">
                  <c:v>8.4</c:v>
                </c:pt>
                <c:pt idx="1936">
                  <c:v>6.1</c:v>
                </c:pt>
                <c:pt idx="1937">
                  <c:v>7.8</c:v>
                </c:pt>
                <c:pt idx="1938">
                  <c:v>6.8</c:v>
                </c:pt>
                <c:pt idx="1939">
                  <c:v>5.1</c:v>
                </c:pt>
                <c:pt idx="1940">
                  <c:v>5.3</c:v>
                </c:pt>
                <c:pt idx="1941">
                  <c:v>6.0</c:v>
                </c:pt>
                <c:pt idx="1942">
                  <c:v>4.3</c:v>
                </c:pt>
                <c:pt idx="1943">
                  <c:v>4.5</c:v>
                </c:pt>
                <c:pt idx="1944">
                  <c:v>7.6</c:v>
                </c:pt>
                <c:pt idx="1945">
                  <c:v>5.8</c:v>
                </c:pt>
                <c:pt idx="1946">
                  <c:v>4.9</c:v>
                </c:pt>
                <c:pt idx="1947">
                  <c:v>5.3</c:v>
                </c:pt>
                <c:pt idx="1948">
                  <c:v>6.5</c:v>
                </c:pt>
                <c:pt idx="1949">
                  <c:v>5.1</c:v>
                </c:pt>
                <c:pt idx="1950">
                  <c:v>4.5</c:v>
                </c:pt>
                <c:pt idx="1951">
                  <c:v>4.3</c:v>
                </c:pt>
                <c:pt idx="1952">
                  <c:v>4.7</c:v>
                </c:pt>
                <c:pt idx="1953">
                  <c:v>5.9</c:v>
                </c:pt>
                <c:pt idx="1954">
                  <c:v>5.7</c:v>
                </c:pt>
                <c:pt idx="1955">
                  <c:v>4.5</c:v>
                </c:pt>
                <c:pt idx="1956">
                  <c:v>4.3</c:v>
                </c:pt>
                <c:pt idx="1957">
                  <c:v>4.9</c:v>
                </c:pt>
                <c:pt idx="1958">
                  <c:v>4.5</c:v>
                </c:pt>
                <c:pt idx="1959">
                  <c:v>3.6</c:v>
                </c:pt>
                <c:pt idx="1960">
                  <c:v>2.2</c:v>
                </c:pt>
                <c:pt idx="1961">
                  <c:v>3.9</c:v>
                </c:pt>
                <c:pt idx="1962">
                  <c:v>3.4</c:v>
                </c:pt>
                <c:pt idx="1963">
                  <c:v>4.6</c:v>
                </c:pt>
                <c:pt idx="1964">
                  <c:v>4.0</c:v>
                </c:pt>
                <c:pt idx="1965">
                  <c:v>4.8</c:v>
                </c:pt>
                <c:pt idx="1966">
                  <c:v>3.6</c:v>
                </c:pt>
                <c:pt idx="1967">
                  <c:v>4.2</c:v>
                </c:pt>
                <c:pt idx="1968">
                  <c:v>4.1</c:v>
                </c:pt>
                <c:pt idx="1969">
                  <c:v>3.9</c:v>
                </c:pt>
                <c:pt idx="1970">
                  <c:v>3.6</c:v>
                </c:pt>
                <c:pt idx="1971">
                  <c:v>3.6</c:v>
                </c:pt>
                <c:pt idx="1972">
                  <c:v>4.6</c:v>
                </c:pt>
                <c:pt idx="1973">
                  <c:v>4.4</c:v>
                </c:pt>
                <c:pt idx="1974">
                  <c:v>4.6</c:v>
                </c:pt>
                <c:pt idx="1975">
                  <c:v>4.7</c:v>
                </c:pt>
                <c:pt idx="1976">
                  <c:v>8.4</c:v>
                </c:pt>
                <c:pt idx="1977">
                  <c:v>6.5</c:v>
                </c:pt>
                <c:pt idx="1978">
                  <c:v>7.1</c:v>
                </c:pt>
                <c:pt idx="1979">
                  <c:v>9.1</c:v>
                </c:pt>
                <c:pt idx="1980">
                  <c:v>6.9</c:v>
                </c:pt>
                <c:pt idx="1981">
                  <c:v>5.3</c:v>
                </c:pt>
                <c:pt idx="1982">
                  <c:v>5.6</c:v>
                </c:pt>
                <c:pt idx="1983">
                  <c:v>4.1</c:v>
                </c:pt>
                <c:pt idx="1984">
                  <c:v>5.7</c:v>
                </c:pt>
                <c:pt idx="1985">
                  <c:v>5.4</c:v>
                </c:pt>
                <c:pt idx="1986">
                  <c:v>5.1</c:v>
                </c:pt>
                <c:pt idx="1987">
                  <c:v>5.3</c:v>
                </c:pt>
                <c:pt idx="1988">
                  <c:v>7.0</c:v>
                </c:pt>
                <c:pt idx="1989">
                  <c:v>4.7</c:v>
                </c:pt>
                <c:pt idx="1990">
                  <c:v>3.7</c:v>
                </c:pt>
                <c:pt idx="1991">
                  <c:v>4.1</c:v>
                </c:pt>
                <c:pt idx="1992">
                  <c:v>3.4</c:v>
                </c:pt>
                <c:pt idx="1993">
                  <c:v>7.0</c:v>
                </c:pt>
                <c:pt idx="1994">
                  <c:v>3.3</c:v>
                </c:pt>
                <c:pt idx="1995">
                  <c:v>3.7</c:v>
                </c:pt>
                <c:pt idx="1996">
                  <c:v>4.8</c:v>
                </c:pt>
                <c:pt idx="1997">
                  <c:v>3.7</c:v>
                </c:pt>
                <c:pt idx="1998">
                  <c:v>2.7</c:v>
                </c:pt>
                <c:pt idx="1999">
                  <c:v>5.2</c:v>
                </c:pt>
                <c:pt idx="2000">
                  <c:v>4.6</c:v>
                </c:pt>
                <c:pt idx="2001">
                  <c:v>4.4</c:v>
                </c:pt>
                <c:pt idx="2002">
                  <c:v>5.0</c:v>
                </c:pt>
                <c:pt idx="2003">
                  <c:v>5.0</c:v>
                </c:pt>
                <c:pt idx="2004">
                  <c:v>4.5</c:v>
                </c:pt>
                <c:pt idx="2005">
                  <c:v>4.6</c:v>
                </c:pt>
                <c:pt idx="2006">
                  <c:v>4.4</c:v>
                </c:pt>
                <c:pt idx="2007">
                  <c:v>7.6</c:v>
                </c:pt>
                <c:pt idx="2008">
                  <c:v>5.9</c:v>
                </c:pt>
                <c:pt idx="2009">
                  <c:v>7.0</c:v>
                </c:pt>
                <c:pt idx="2010">
                  <c:v>7.9</c:v>
                </c:pt>
                <c:pt idx="2011">
                  <c:v>6.2</c:v>
                </c:pt>
                <c:pt idx="2012">
                  <c:v>2.8</c:v>
                </c:pt>
                <c:pt idx="2013">
                  <c:v>3.6</c:v>
                </c:pt>
                <c:pt idx="2014">
                  <c:v>4.4</c:v>
                </c:pt>
                <c:pt idx="2015">
                  <c:v>4.5</c:v>
                </c:pt>
                <c:pt idx="2016">
                  <c:v>4.2</c:v>
                </c:pt>
                <c:pt idx="2017">
                  <c:v>5.1</c:v>
                </c:pt>
                <c:pt idx="2018">
                  <c:v>5.9</c:v>
                </c:pt>
                <c:pt idx="2019">
                  <c:v>5.1</c:v>
                </c:pt>
                <c:pt idx="2020">
                  <c:v>5.7</c:v>
                </c:pt>
                <c:pt idx="2021">
                  <c:v>4.7</c:v>
                </c:pt>
                <c:pt idx="2022">
                  <c:v>4.6</c:v>
                </c:pt>
                <c:pt idx="2023">
                  <c:v>4.9</c:v>
                </c:pt>
                <c:pt idx="2024">
                  <c:v>4.1</c:v>
                </c:pt>
                <c:pt idx="2025">
                  <c:v>5.0</c:v>
                </c:pt>
                <c:pt idx="2026">
                  <c:v>4.7</c:v>
                </c:pt>
                <c:pt idx="2027">
                  <c:v>4.6</c:v>
                </c:pt>
                <c:pt idx="2028">
                  <c:v>6.5</c:v>
                </c:pt>
                <c:pt idx="2029">
                  <c:v>4.4</c:v>
                </c:pt>
                <c:pt idx="2030">
                  <c:v>4.8</c:v>
                </c:pt>
                <c:pt idx="2031">
                  <c:v>4.8</c:v>
                </c:pt>
                <c:pt idx="2032">
                  <c:v>4.5</c:v>
                </c:pt>
                <c:pt idx="2033">
                  <c:v>4.7</c:v>
                </c:pt>
                <c:pt idx="2034">
                  <c:v>4.7</c:v>
                </c:pt>
                <c:pt idx="2035">
                  <c:v>4.6</c:v>
                </c:pt>
                <c:pt idx="2036">
                  <c:v>4.7</c:v>
                </c:pt>
                <c:pt idx="2037">
                  <c:v>4.4</c:v>
                </c:pt>
                <c:pt idx="2038">
                  <c:v>6.7</c:v>
                </c:pt>
                <c:pt idx="2039">
                  <c:v>4.8</c:v>
                </c:pt>
                <c:pt idx="2040">
                  <c:v>4.6</c:v>
                </c:pt>
                <c:pt idx="2041">
                  <c:v>5.9</c:v>
                </c:pt>
                <c:pt idx="2042">
                  <c:v>4.8</c:v>
                </c:pt>
                <c:pt idx="2043">
                  <c:v>3.9</c:v>
                </c:pt>
                <c:pt idx="2044">
                  <c:v>4.1</c:v>
                </c:pt>
                <c:pt idx="2045">
                  <c:v>4.6</c:v>
                </c:pt>
                <c:pt idx="2050">
                  <c:v>92</c:v>
                </c:pt>
                <c:pt idx="2057">
                  <c:v>312</c:v>
                </c:pt>
                <c:pt idx="2064">
                  <c:v>94</c:v>
                </c:pt>
                <c:pt idx="2071">
                  <c:v>1550</c:v>
                </c:pt>
                <c:pt idx="2081">
                  <c:v>191</c:v>
                </c:pt>
                <c:pt idx="2088">
                  <c:v>389</c:v>
                </c:pt>
                <c:pt idx="2095">
                  <c:v>122</c:v>
                </c:pt>
                <c:pt idx="2102">
                  <c:v>1510</c:v>
                </c:pt>
                <c:pt idx="2112">
                  <c:v>130</c:v>
                </c:pt>
                <c:pt idx="2119">
                  <c:v>340</c:v>
                </c:pt>
                <c:pt idx="2126">
                  <c:v>100</c:v>
                </c:pt>
                <c:pt idx="2133">
                  <c:v>1540</c:v>
                </c:pt>
                <c:pt idx="2139">
                  <c:v>19</c:v>
                </c:pt>
                <c:pt idx="2140">
                  <c:v>19</c:v>
                </c:pt>
                <c:pt idx="2141">
                  <c:v>19</c:v>
                </c:pt>
                <c:pt idx="2142">
                  <c:v>19</c:v>
                </c:pt>
                <c:pt idx="2143">
                  <c:v>18</c:v>
                </c:pt>
                <c:pt idx="2144">
                  <c:v>19</c:v>
                </c:pt>
                <c:pt idx="2145">
                  <c:v>19</c:v>
                </c:pt>
                <c:pt idx="2146">
                  <c:v>19</c:v>
                </c:pt>
                <c:pt idx="2147">
                  <c:v>19</c:v>
                </c:pt>
                <c:pt idx="2148">
                  <c:v>19</c:v>
                </c:pt>
                <c:pt idx="2149">
                  <c:v>16</c:v>
                </c:pt>
                <c:pt idx="2150">
                  <c:v>16</c:v>
                </c:pt>
                <c:pt idx="2151">
                  <c:v>17</c:v>
                </c:pt>
                <c:pt idx="2152">
                  <c:v>18</c:v>
                </c:pt>
                <c:pt idx="2153">
                  <c:v>18</c:v>
                </c:pt>
                <c:pt idx="2154">
                  <c:v>15</c:v>
                </c:pt>
                <c:pt idx="2155">
                  <c:v>17</c:v>
                </c:pt>
                <c:pt idx="2156">
                  <c:v>17</c:v>
                </c:pt>
                <c:pt idx="2157">
                  <c:v>17</c:v>
                </c:pt>
                <c:pt idx="2158">
                  <c:v>18</c:v>
                </c:pt>
                <c:pt idx="2159">
                  <c:v>17</c:v>
                </c:pt>
                <c:pt idx="2160">
                  <c:v>17</c:v>
                </c:pt>
                <c:pt idx="2161">
                  <c:v>12</c:v>
                </c:pt>
                <c:pt idx="2162">
                  <c:v>14</c:v>
                </c:pt>
                <c:pt idx="2163">
                  <c:v>17</c:v>
                </c:pt>
                <c:pt idx="2164">
                  <c:v>17</c:v>
                </c:pt>
                <c:pt idx="2165">
                  <c:v>13</c:v>
                </c:pt>
                <c:pt idx="2166">
                  <c:v>15</c:v>
                </c:pt>
                <c:pt idx="2167">
                  <c:v>16</c:v>
                </c:pt>
                <c:pt idx="2168">
                  <c:v>16</c:v>
                </c:pt>
                <c:pt idx="2169">
                  <c:v>17</c:v>
                </c:pt>
                <c:pt idx="2170">
                  <c:v>7.1</c:v>
                </c:pt>
                <c:pt idx="2171">
                  <c:v>7.0</c:v>
                </c:pt>
                <c:pt idx="2172">
                  <c:v>7.0</c:v>
                </c:pt>
                <c:pt idx="2173">
                  <c:v>7.0</c:v>
                </c:pt>
                <c:pt idx="2174">
                  <c:v>7.1</c:v>
                </c:pt>
                <c:pt idx="2175">
                  <c:v>7.2</c:v>
                </c:pt>
                <c:pt idx="2176">
                  <c:v>7.4</c:v>
                </c:pt>
                <c:pt idx="2177">
                  <c:v>7.5</c:v>
                </c:pt>
                <c:pt idx="2178">
                  <c:v>7.3</c:v>
                </c:pt>
                <c:pt idx="2179">
                  <c:v>6.8</c:v>
                </c:pt>
                <c:pt idx="2180">
                  <c:v>7.4</c:v>
                </c:pt>
                <c:pt idx="2181">
                  <c:v>7.0</c:v>
                </c:pt>
                <c:pt idx="2182">
                  <c:v>7.2</c:v>
                </c:pt>
                <c:pt idx="2183">
                  <c:v>7.1</c:v>
                </c:pt>
                <c:pt idx="2184">
                  <c:v>7.3</c:v>
                </c:pt>
                <c:pt idx="2185">
                  <c:v>7.2</c:v>
                </c:pt>
                <c:pt idx="2186">
                  <c:v>7.1</c:v>
                </c:pt>
                <c:pt idx="2187">
                  <c:v>7.3</c:v>
                </c:pt>
                <c:pt idx="2188">
                  <c:v>7.1</c:v>
                </c:pt>
                <c:pt idx="2189">
                  <c:v>7.0</c:v>
                </c:pt>
                <c:pt idx="2190">
                  <c:v>7.1</c:v>
                </c:pt>
                <c:pt idx="2191">
                  <c:v>7.0</c:v>
                </c:pt>
                <c:pt idx="2192">
                  <c:v>7.0</c:v>
                </c:pt>
                <c:pt idx="2193">
                  <c:v>7.0</c:v>
                </c:pt>
                <c:pt idx="2194">
                  <c:v>7.1</c:v>
                </c:pt>
                <c:pt idx="2195">
                  <c:v>7.1</c:v>
                </c:pt>
                <c:pt idx="2196">
                  <c:v>6.9</c:v>
                </c:pt>
                <c:pt idx="2197">
                  <c:v>6.9</c:v>
                </c:pt>
                <c:pt idx="2198">
                  <c:v>7.1</c:v>
                </c:pt>
                <c:pt idx="2199">
                  <c:v>7.0</c:v>
                </c:pt>
                <c:pt idx="2200">
                  <c:v>7.1</c:v>
                </c:pt>
                <c:pt idx="2201">
                  <c:v>6.7</c:v>
                </c:pt>
                <c:pt idx="2202">
                  <c:v>6.6</c:v>
                </c:pt>
                <c:pt idx="2203">
                  <c:v>6.6</c:v>
                </c:pt>
                <c:pt idx="2204">
                  <c:v>6.6</c:v>
                </c:pt>
                <c:pt idx="2205">
                  <c:v>6.6</c:v>
                </c:pt>
                <c:pt idx="2206">
                  <c:v>6.6</c:v>
                </c:pt>
                <c:pt idx="2207">
                  <c:v>6.6</c:v>
                </c:pt>
                <c:pt idx="2208">
                  <c:v>6.7</c:v>
                </c:pt>
                <c:pt idx="2209">
                  <c:v>6.7</c:v>
                </c:pt>
                <c:pt idx="2210">
                  <c:v>6.3</c:v>
                </c:pt>
                <c:pt idx="2211">
                  <c:v>6.6</c:v>
                </c:pt>
                <c:pt idx="2212">
                  <c:v>6.2</c:v>
                </c:pt>
                <c:pt idx="2213">
                  <c:v>6.7</c:v>
                </c:pt>
                <c:pt idx="2214">
                  <c:v>6.4</c:v>
                </c:pt>
                <c:pt idx="2215">
                  <c:v>6.7</c:v>
                </c:pt>
                <c:pt idx="2216">
                  <c:v>6.7</c:v>
                </c:pt>
                <c:pt idx="2217">
                  <c:v>6.6</c:v>
                </c:pt>
                <c:pt idx="2218">
                  <c:v>6.6</c:v>
                </c:pt>
                <c:pt idx="2219">
                  <c:v>6.5</c:v>
                </c:pt>
                <c:pt idx="2220">
                  <c:v>6.5</c:v>
                </c:pt>
                <c:pt idx="2221">
                  <c:v>6.6</c:v>
                </c:pt>
                <c:pt idx="2222">
                  <c:v>6.6</c:v>
                </c:pt>
                <c:pt idx="2223">
                  <c:v>6.7</c:v>
                </c:pt>
                <c:pt idx="2224">
                  <c:v>6.7</c:v>
                </c:pt>
                <c:pt idx="2225">
                  <c:v>6.7</c:v>
                </c:pt>
                <c:pt idx="2226">
                  <c:v>6.7</c:v>
                </c:pt>
                <c:pt idx="2227">
                  <c:v>6.4</c:v>
                </c:pt>
                <c:pt idx="2228">
                  <c:v>6.6</c:v>
                </c:pt>
                <c:pt idx="2229">
                  <c:v>6.3</c:v>
                </c:pt>
                <c:pt idx="2230">
                  <c:v>6.4</c:v>
                </c:pt>
                <c:pt idx="2231">
                  <c:v>6.6</c:v>
                </c:pt>
                <c:pt idx="2232">
                  <c:v>6.8</c:v>
                </c:pt>
                <c:pt idx="2233">
                  <c:v>6.8</c:v>
                </c:pt>
                <c:pt idx="2234">
                  <c:v>6.8</c:v>
                </c:pt>
                <c:pt idx="2235">
                  <c:v>6.8</c:v>
                </c:pt>
                <c:pt idx="2236">
                  <c:v>6.9</c:v>
                </c:pt>
                <c:pt idx="2237">
                  <c:v>6.9</c:v>
                </c:pt>
                <c:pt idx="2238">
                  <c:v>6.8</c:v>
                </c:pt>
                <c:pt idx="2239">
                  <c:v>7.0</c:v>
                </c:pt>
                <c:pt idx="2240">
                  <c:v>6.9</c:v>
                </c:pt>
                <c:pt idx="2241">
                  <c:v>6.7</c:v>
                </c:pt>
                <c:pt idx="2242">
                  <c:v>6.9</c:v>
                </c:pt>
                <c:pt idx="2243">
                  <c:v>6.8</c:v>
                </c:pt>
                <c:pt idx="2244">
                  <c:v>6.9</c:v>
                </c:pt>
                <c:pt idx="2245">
                  <c:v>6.7</c:v>
                </c:pt>
                <c:pt idx="2246">
                  <c:v>6.9</c:v>
                </c:pt>
                <c:pt idx="2247">
                  <c:v>6.9</c:v>
                </c:pt>
                <c:pt idx="2248">
                  <c:v>6.9</c:v>
                </c:pt>
                <c:pt idx="2249">
                  <c:v>6.9</c:v>
                </c:pt>
                <c:pt idx="2250">
                  <c:v>6.8</c:v>
                </c:pt>
                <c:pt idx="2251">
                  <c:v>6.8</c:v>
                </c:pt>
                <c:pt idx="2252">
                  <c:v>6.7</c:v>
                </c:pt>
                <c:pt idx="2253">
                  <c:v>6.8</c:v>
                </c:pt>
                <c:pt idx="2254">
                  <c:v>6.8</c:v>
                </c:pt>
                <c:pt idx="2255">
                  <c:v>6.8</c:v>
                </c:pt>
                <c:pt idx="2256">
                  <c:v>7.0</c:v>
                </c:pt>
                <c:pt idx="2257">
                  <c:v>7.0</c:v>
                </c:pt>
                <c:pt idx="2258">
                  <c:v>6.7</c:v>
                </c:pt>
                <c:pt idx="2259">
                  <c:v>6.8</c:v>
                </c:pt>
                <c:pt idx="2260">
                  <c:v>6.6</c:v>
                </c:pt>
                <c:pt idx="2261">
                  <c:v>6.6</c:v>
                </c:pt>
                <c:pt idx="2262">
                  <c:v>6.9</c:v>
                </c:pt>
                <c:pt idx="2263">
                  <c:v>6.7</c:v>
                </c:pt>
                <c:pt idx="2264">
                  <c:v>6.9</c:v>
                </c:pt>
                <c:pt idx="2265">
                  <c:v>6.8</c:v>
                </c:pt>
                <c:pt idx="2266">
                  <c:v>6.7</c:v>
                </c:pt>
                <c:pt idx="2267">
                  <c:v>7.0</c:v>
                </c:pt>
                <c:pt idx="2268">
                  <c:v>6.7</c:v>
                </c:pt>
                <c:pt idx="2269">
                  <c:v>6.6</c:v>
                </c:pt>
                <c:pt idx="2270">
                  <c:v>6.7</c:v>
                </c:pt>
                <c:pt idx="2271">
                  <c:v>7.1</c:v>
                </c:pt>
                <c:pt idx="2272">
                  <c:v>6.7</c:v>
                </c:pt>
                <c:pt idx="2273">
                  <c:v>6.7</c:v>
                </c:pt>
                <c:pt idx="2274">
                  <c:v>6.6</c:v>
                </c:pt>
                <c:pt idx="2275">
                  <c:v>6.7</c:v>
                </c:pt>
                <c:pt idx="2276">
                  <c:v>7.0</c:v>
                </c:pt>
                <c:pt idx="2277">
                  <c:v>6.7</c:v>
                </c:pt>
                <c:pt idx="2278">
                  <c:v>6.7</c:v>
                </c:pt>
                <c:pt idx="2279">
                  <c:v>6.8</c:v>
                </c:pt>
                <c:pt idx="2280">
                  <c:v>6.8</c:v>
                </c:pt>
                <c:pt idx="2281">
                  <c:v>7.1</c:v>
                </c:pt>
                <c:pt idx="2282">
                  <c:v>6.8</c:v>
                </c:pt>
                <c:pt idx="2283">
                  <c:v>7.1</c:v>
                </c:pt>
                <c:pt idx="2284">
                  <c:v>6.7</c:v>
                </c:pt>
                <c:pt idx="2285">
                  <c:v>6.8</c:v>
                </c:pt>
                <c:pt idx="2286">
                  <c:v>6.9</c:v>
                </c:pt>
                <c:pt idx="2287">
                  <c:v>6.9</c:v>
                </c:pt>
                <c:pt idx="2288">
                  <c:v>6.8</c:v>
                </c:pt>
                <c:pt idx="2289">
                  <c:v>6.9</c:v>
                </c:pt>
                <c:pt idx="2290">
                  <c:v>6.6</c:v>
                </c:pt>
                <c:pt idx="2291">
                  <c:v>6.5</c:v>
                </c:pt>
                <c:pt idx="2292">
                  <c:v>6.8</c:v>
                </c:pt>
                <c:pt idx="2293">
                  <c:v>7.0</c:v>
                </c:pt>
                <c:pt idx="2294">
                  <c:v>6.5</c:v>
                </c:pt>
                <c:pt idx="2295">
                  <c:v>6.6</c:v>
                </c:pt>
                <c:pt idx="2296">
                  <c:v>6.5</c:v>
                </c:pt>
                <c:pt idx="2297">
                  <c:v>6.4</c:v>
                </c:pt>
                <c:pt idx="2298">
                  <c:v>6.3</c:v>
                </c:pt>
                <c:pt idx="2299">
                  <c:v>6.5</c:v>
                </c:pt>
                <c:pt idx="2300">
                  <c:v>6.3</c:v>
                </c:pt>
                <c:pt idx="2301">
                  <c:v>6.4</c:v>
                </c:pt>
                <c:pt idx="2302">
                  <c:v>6.4</c:v>
                </c:pt>
                <c:pt idx="2303">
                  <c:v>6.3</c:v>
                </c:pt>
                <c:pt idx="2304">
                  <c:v>6.1</c:v>
                </c:pt>
                <c:pt idx="2305">
                  <c:v>6.3</c:v>
                </c:pt>
                <c:pt idx="2306">
                  <c:v>6.3</c:v>
                </c:pt>
                <c:pt idx="2307">
                  <c:v>6.3</c:v>
                </c:pt>
                <c:pt idx="2308">
                  <c:v>6.4</c:v>
                </c:pt>
                <c:pt idx="2309">
                  <c:v>6.5</c:v>
                </c:pt>
                <c:pt idx="2310">
                  <c:v>6.6</c:v>
                </c:pt>
                <c:pt idx="2311">
                  <c:v>6.6</c:v>
                </c:pt>
                <c:pt idx="2312">
                  <c:v>6.0</c:v>
                </c:pt>
                <c:pt idx="2313">
                  <c:v>6.2</c:v>
                </c:pt>
                <c:pt idx="2314">
                  <c:v>6.3</c:v>
                </c:pt>
                <c:pt idx="2315">
                  <c:v>6.3</c:v>
                </c:pt>
                <c:pt idx="2316">
                  <c:v>6.6</c:v>
                </c:pt>
                <c:pt idx="2317">
                  <c:v>6.6</c:v>
                </c:pt>
                <c:pt idx="2318">
                  <c:v>6.5</c:v>
                </c:pt>
                <c:pt idx="2319">
                  <c:v>6.4</c:v>
                </c:pt>
                <c:pt idx="2320">
                  <c:v>6.2</c:v>
                </c:pt>
                <c:pt idx="2321">
                  <c:v>6.3</c:v>
                </c:pt>
                <c:pt idx="2322">
                  <c:v>6.3</c:v>
                </c:pt>
                <c:pt idx="2323">
                  <c:v>6.3</c:v>
                </c:pt>
                <c:pt idx="2324">
                  <c:v>6.6</c:v>
                </c:pt>
                <c:pt idx="2325">
                  <c:v>6.6</c:v>
                </c:pt>
                <c:pt idx="2326">
                  <c:v>6.7</c:v>
                </c:pt>
                <c:pt idx="2327">
                  <c:v>6.7</c:v>
                </c:pt>
                <c:pt idx="2328">
                  <c:v>6.5</c:v>
                </c:pt>
                <c:pt idx="2329">
                  <c:v>6.5</c:v>
                </c:pt>
                <c:pt idx="2330">
                  <c:v>6.6</c:v>
                </c:pt>
                <c:pt idx="2331">
                  <c:v>6.5</c:v>
                </c:pt>
                <c:pt idx="2332">
                  <c:v>6.6</c:v>
                </c:pt>
                <c:pt idx="2333">
                  <c:v>6.7</c:v>
                </c:pt>
                <c:pt idx="2334">
                  <c:v>6.5</c:v>
                </c:pt>
                <c:pt idx="2335">
                  <c:v>6.5</c:v>
                </c:pt>
                <c:pt idx="2336">
                  <c:v>6.5</c:v>
                </c:pt>
                <c:pt idx="2337">
                  <c:v>6.5</c:v>
                </c:pt>
                <c:pt idx="2338">
                  <c:v>6.6</c:v>
                </c:pt>
                <c:pt idx="2339">
                  <c:v>6.5</c:v>
                </c:pt>
                <c:pt idx="2340">
                  <c:v>6.6</c:v>
                </c:pt>
                <c:pt idx="2341">
                  <c:v>6.7</c:v>
                </c:pt>
                <c:pt idx="2342">
                  <c:v>6.7</c:v>
                </c:pt>
                <c:pt idx="2343">
                  <c:v>6.6</c:v>
                </c:pt>
                <c:pt idx="2344">
                  <c:v>6.5</c:v>
                </c:pt>
                <c:pt idx="2345">
                  <c:v>6.5</c:v>
                </c:pt>
                <c:pt idx="2346">
                  <c:v>6.5</c:v>
                </c:pt>
                <c:pt idx="2347">
                  <c:v>6.7</c:v>
                </c:pt>
                <c:pt idx="2348">
                  <c:v>6.7</c:v>
                </c:pt>
                <c:pt idx="2349">
                  <c:v>6.7</c:v>
                </c:pt>
                <c:pt idx="2350">
                  <c:v>6.6</c:v>
                </c:pt>
                <c:pt idx="2351">
                  <c:v>6.5</c:v>
                </c:pt>
                <c:pt idx="2352">
                  <c:v>6.4</c:v>
                </c:pt>
                <c:pt idx="2353">
                  <c:v>6.3</c:v>
                </c:pt>
                <c:pt idx="2354">
                  <c:v>6.6</c:v>
                </c:pt>
                <c:pt idx="2355">
                  <c:v>6.8</c:v>
                </c:pt>
                <c:pt idx="2356">
                  <c:v>0.48</c:v>
                </c:pt>
                <c:pt idx="2357">
                  <c:v>0.46</c:v>
                </c:pt>
                <c:pt idx="2358">
                  <c:v>0.54</c:v>
                </c:pt>
                <c:pt idx="2359">
                  <c:v>0.42</c:v>
                </c:pt>
                <c:pt idx="2360">
                  <c:v>0.53</c:v>
                </c:pt>
                <c:pt idx="2361">
                  <c:v>0.34</c:v>
                </c:pt>
                <c:pt idx="2362">
                  <c:v>0.34</c:v>
                </c:pt>
                <c:pt idx="2363">
                  <c:v>0.34</c:v>
                </c:pt>
                <c:pt idx="2364">
                  <c:v>0.42</c:v>
                </c:pt>
                <c:pt idx="2365">
                  <c:v>0.55</c:v>
                </c:pt>
                <c:pt idx="2366">
                  <c:v>0.53</c:v>
                </c:pt>
                <c:pt idx="2367">
                  <c:v>0.45</c:v>
                </c:pt>
                <c:pt idx="2368">
                  <c:v>0.53</c:v>
                </c:pt>
                <c:pt idx="2369">
                  <c:v>0.40</c:v>
                </c:pt>
                <c:pt idx="2370">
                  <c:v>0.30</c:v>
                </c:pt>
                <c:pt idx="2371">
                  <c:v>0.54</c:v>
                </c:pt>
                <c:pt idx="2372">
                  <c:v>0.60</c:v>
                </c:pt>
                <c:pt idx="2373">
                  <c:v>0.51</c:v>
                </c:pt>
                <c:pt idx="2374">
                  <c:v>0.49</c:v>
                </c:pt>
                <c:pt idx="2375">
                  <c:v>0.26</c:v>
                </c:pt>
                <c:pt idx="2376">
                  <c:v>0.41</c:v>
                </c:pt>
                <c:pt idx="2377">
                  <c:v>0.48</c:v>
                </c:pt>
                <c:pt idx="2379">
                  <c:v>0.50</c:v>
                </c:pt>
                <c:pt idx="2380">
                  <c:v>0.38</c:v>
                </c:pt>
                <c:pt idx="2381">
                  <c:v>0.42</c:v>
                </c:pt>
                <c:pt idx="2382">
                  <c:v>0.53</c:v>
                </c:pt>
                <c:pt idx="2383">
                  <c:v>0.38</c:v>
                </c:pt>
                <c:pt idx="2384">
                  <c:v>0.48</c:v>
                </c:pt>
                <c:pt idx="2385">
                  <c:v>0.32</c:v>
                </c:pt>
                <c:pt idx="2386">
                  <c:v>0.49</c:v>
                </c:pt>
                <c:pt idx="2416">
                  <c:v>&gt;</c:v>
                </c:pt>
                <c:pt idx="2418">
                  <c:v>16</c:v>
                </c:pt>
                <c:pt idx="2419">
                  <c:v>1</c:v>
                </c:pt>
                <c:pt idx="2420">
                  <c:v>98</c:v>
                </c:pt>
                <c:pt idx="2421">
                  <c:v>3</c:v>
                </c:pt>
                <c:pt idx="2422">
                  <c:v>3</c:v>
                </c:pt>
                <c:pt idx="2423">
                  <c:v>27</c:v>
                </c:pt>
                <c:pt idx="2424">
                  <c:v>54</c:v>
                </c:pt>
                <c:pt idx="2425">
                  <c:v>36</c:v>
                </c:pt>
                <c:pt idx="2426">
                  <c:v>38</c:v>
                </c:pt>
                <c:pt idx="2427">
                  <c:v>232</c:v>
                </c:pt>
                <c:pt idx="2428">
                  <c:v>13</c:v>
                </c:pt>
                <c:pt idx="2429">
                  <c:v>2</c:v>
                </c:pt>
                <c:pt idx="2430">
                  <c:v>12</c:v>
                </c:pt>
                <c:pt idx="2431">
                  <c:v>13</c:v>
                </c:pt>
                <c:pt idx="2432">
                  <c:v>44</c:v>
                </c:pt>
                <c:pt idx="2433">
                  <c:v>44</c:v>
                </c:pt>
                <c:pt idx="2434">
                  <c:v>14</c:v>
                </c:pt>
                <c:pt idx="2435">
                  <c:v>13</c:v>
                </c:pt>
                <c:pt idx="2436">
                  <c:v>13</c:v>
                </c:pt>
                <c:pt idx="2437">
                  <c:v>73</c:v>
                </c:pt>
                <c:pt idx="2438">
                  <c:v>39</c:v>
                </c:pt>
                <c:pt idx="2439">
                  <c:v>40</c:v>
                </c:pt>
                <c:pt idx="2441">
                  <c:v>25</c:v>
                </c:pt>
                <c:pt idx="2442">
                  <c:v>31</c:v>
                </c:pt>
                <c:pt idx="2443">
                  <c:v>72</c:v>
                </c:pt>
                <c:pt idx="2444">
                  <c:v>56</c:v>
                </c:pt>
                <c:pt idx="2445">
                  <c:v>20</c:v>
                </c:pt>
                <c:pt idx="2446">
                  <c:v>372</c:v>
                </c:pt>
                <c:pt idx="2447">
                  <c:v>4000</c:v>
                </c:pt>
                <c:pt idx="2448">
                  <c:v>21</c:v>
                </c:pt>
                <c:pt idx="2449">
                  <c:v>1</c:v>
                </c:pt>
                <c:pt idx="2450">
                  <c:v>2</c:v>
                </c:pt>
                <c:pt idx="2451">
                  <c:v>3</c:v>
                </c:pt>
                <c:pt idx="2452">
                  <c:v>4</c:v>
                </c:pt>
                <c:pt idx="2453">
                  <c:v>5</c:v>
                </c:pt>
                <c:pt idx="2454">
                  <c:v>6</c:v>
                </c:pt>
                <c:pt idx="2455">
                  <c:v>7</c:v>
                </c:pt>
                <c:pt idx="2456">
                  <c:v>8</c:v>
                </c:pt>
                <c:pt idx="2457">
                  <c:v>9</c:v>
                </c:pt>
                <c:pt idx="2458">
                  <c:v>10</c:v>
                </c:pt>
                <c:pt idx="2459">
                  <c:v>11</c:v>
                </c:pt>
                <c:pt idx="2460">
                  <c:v>12</c:v>
                </c:pt>
                <c:pt idx="2461">
                  <c:v>13</c:v>
                </c:pt>
                <c:pt idx="2462">
                  <c:v>14</c:v>
                </c:pt>
                <c:pt idx="2463">
                  <c:v>15</c:v>
                </c:pt>
                <c:pt idx="2464">
                  <c:v>16</c:v>
                </c:pt>
                <c:pt idx="2465">
                  <c:v>17</c:v>
                </c:pt>
                <c:pt idx="2466">
                  <c:v>18</c:v>
                </c:pt>
                <c:pt idx="2467">
                  <c:v>19</c:v>
                </c:pt>
                <c:pt idx="2468">
                  <c:v>20</c:v>
                </c:pt>
                <c:pt idx="2469">
                  <c:v>21</c:v>
                </c:pt>
                <c:pt idx="2470">
                  <c:v>22</c:v>
                </c:pt>
                <c:pt idx="2471">
                  <c:v>23</c:v>
                </c:pt>
                <c:pt idx="2472">
                  <c:v>24</c:v>
                </c:pt>
                <c:pt idx="2473">
                  <c:v>25</c:v>
                </c:pt>
                <c:pt idx="2474">
                  <c:v>26</c:v>
                </c:pt>
                <c:pt idx="2475">
                  <c:v>27</c:v>
                </c:pt>
                <c:pt idx="2476">
                  <c:v>28</c:v>
                </c:pt>
                <c:pt idx="2477">
                  <c:v>29</c:v>
                </c:pt>
                <c:pt idx="2478">
                  <c:v>30</c:v>
                </c:pt>
                <c:pt idx="2479">
                  <c:v>31</c:v>
                </c:pt>
                <c:pt idx="2511">
                  <c:v>1</c:v>
                </c:pt>
                <c:pt idx="2512">
                  <c:v>2</c:v>
                </c:pt>
                <c:pt idx="2513">
                  <c:v>3</c:v>
                </c:pt>
                <c:pt idx="2514">
                  <c:v>4</c:v>
                </c:pt>
                <c:pt idx="2515">
                  <c:v>5</c:v>
                </c:pt>
                <c:pt idx="2516">
                  <c:v>6</c:v>
                </c:pt>
                <c:pt idx="2517">
                  <c:v>7</c:v>
                </c:pt>
                <c:pt idx="2518">
                  <c:v>8</c:v>
                </c:pt>
                <c:pt idx="2519">
                  <c:v>9</c:v>
                </c:pt>
                <c:pt idx="2520">
                  <c:v>10</c:v>
                </c:pt>
                <c:pt idx="2521">
                  <c:v>11</c:v>
                </c:pt>
                <c:pt idx="2522">
                  <c:v>12</c:v>
                </c:pt>
                <c:pt idx="2523">
                  <c:v>13</c:v>
                </c:pt>
                <c:pt idx="2524">
                  <c:v>14</c:v>
                </c:pt>
                <c:pt idx="2525">
                  <c:v>15</c:v>
                </c:pt>
                <c:pt idx="2526">
                  <c:v>16</c:v>
                </c:pt>
                <c:pt idx="2527">
                  <c:v>17</c:v>
                </c:pt>
                <c:pt idx="2528">
                  <c:v>18</c:v>
                </c:pt>
                <c:pt idx="2529">
                  <c:v>19</c:v>
                </c:pt>
                <c:pt idx="2530">
                  <c:v>20</c:v>
                </c:pt>
                <c:pt idx="2531">
                  <c:v>21</c:v>
                </c:pt>
                <c:pt idx="2532">
                  <c:v>22</c:v>
                </c:pt>
                <c:pt idx="2533">
                  <c:v>23</c:v>
                </c:pt>
                <c:pt idx="2534">
                  <c:v>24</c:v>
                </c:pt>
                <c:pt idx="2535">
                  <c:v>25</c:v>
                </c:pt>
                <c:pt idx="2536">
                  <c:v>26</c:v>
                </c:pt>
                <c:pt idx="2537">
                  <c:v>27</c:v>
                </c:pt>
                <c:pt idx="2538">
                  <c:v>28</c:v>
                </c:pt>
                <c:pt idx="2539">
                  <c:v>29</c:v>
                </c:pt>
                <c:pt idx="2540">
                  <c:v>30</c:v>
                </c:pt>
                <c:pt idx="2541">
                  <c:v>31</c:v>
                </c:pt>
              </c:strCache>
            </c:strRef>
          </c:tx>
          <c:layout>
            <c:manualLayout>
              <c:xMode val="edge"/>
              <c:yMode val="edge"/>
              <c:x val="0.39319991500492307"/>
              <c:y val="0.94205686440589342"/>
            </c:manualLayout>
          </c:layout>
          <c:overlay val="0"/>
          <c:spPr>
            <a:noFill/>
            <a:ln w="25400">
              <a:noFill/>
            </a:ln>
          </c:spPr>
          <c:txPr>
            <a:bodyPr/>
            <a:lstStyle/>
            <a:p>
              <a:pPr>
                <a:defRPr sz="100" b="0" i="0" u="none" strike="noStrike" baseline="0">
                  <a:solidFill>
                    <a:srgbClr val="FFFFFF"/>
                  </a:solidFill>
                  <a:latin typeface="Arial"/>
                  <a:ea typeface="Arial"/>
                  <a:cs typeface="Arial"/>
                </a:defRPr>
              </a:pPr>
              <a:endParaRPr lang="en-US"/>
            </a:p>
          </c:txPr>
        </c:title>
        <c:numFmt formatCode="General" sourceLinked="1"/>
        <c:majorTickMark val="in"/>
        <c:minorTickMark val="in"/>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0659264"/>
        <c:crossesAt val="0"/>
        <c:auto val="0"/>
        <c:lblAlgn val="ctr"/>
        <c:lblOffset val="100"/>
        <c:tickLblSkip val="1"/>
        <c:tickMarkSkip val="1"/>
        <c:noMultiLvlLbl val="0"/>
      </c:catAx>
      <c:valAx>
        <c:axId val="30659264"/>
        <c:scaling>
          <c:orientation val="minMax"/>
          <c:min val="0"/>
        </c:scaling>
        <c:delete val="0"/>
        <c:axPos val="l"/>
        <c:majorGridlines>
          <c:spPr>
            <a:ln w="3175">
              <a:solidFill>
                <a:schemeClr val="tx1"/>
              </a:solidFill>
              <a:prstDash val="solid"/>
            </a:ln>
          </c:spPr>
        </c:majorGridlines>
        <c:minorGridlines>
          <c:spPr>
            <a:ln w="12700">
              <a:solidFill>
                <a:srgbClr val="00FF0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a:t>PLANT EFF.  NH3 &amp; TKN  (mg/L)</a:t>
                </a:r>
              </a:p>
            </c:rich>
          </c:tx>
          <c:layout>
            <c:manualLayout>
              <c:xMode val="edge"/>
              <c:yMode val="edge"/>
              <c:x val="4.3591700410310743E-3"/>
              <c:y val="0.31588794428584871"/>
            </c:manualLayout>
          </c:layout>
          <c:overlay val="0"/>
          <c:spPr>
            <a:noFill/>
            <a:ln w="25400">
              <a:noFill/>
            </a:ln>
          </c:spPr>
        </c:title>
        <c:numFmt formatCode="General" sourceLinked="0"/>
        <c:majorTickMark val="out"/>
        <c:minorTickMark val="cross"/>
        <c:tickLblPos val="low"/>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327893600"/>
        <c:crosses val="autoZero"/>
        <c:crossBetween val="between"/>
        <c:minorUnit val="1"/>
      </c:valAx>
      <c:catAx>
        <c:axId val="30659656"/>
        <c:scaling>
          <c:orientation val="minMax"/>
        </c:scaling>
        <c:delete val="1"/>
        <c:axPos val="b"/>
        <c:majorTickMark val="out"/>
        <c:minorTickMark val="none"/>
        <c:tickLblPos val="nextTo"/>
        <c:crossAx val="30660048"/>
        <c:crosses val="autoZero"/>
        <c:auto val="1"/>
        <c:lblAlgn val="ctr"/>
        <c:lblOffset val="100"/>
        <c:noMultiLvlLbl val="0"/>
      </c:catAx>
      <c:valAx>
        <c:axId val="30660048"/>
        <c:scaling>
          <c:orientation val="minMax"/>
        </c:scaling>
        <c:delete val="0"/>
        <c:axPos val="r"/>
        <c:numFmt formatCode="#,##0" sourceLinked="0"/>
        <c:majorTickMark val="out"/>
        <c:minorTickMark val="none"/>
        <c:tickLblPos val="nextTo"/>
        <c:crossAx val="30659656"/>
        <c:crosses val="max"/>
        <c:crossBetween val="between"/>
      </c:valAx>
      <c:spPr>
        <a:noFill/>
        <a:ln w="12700">
          <a:solidFill>
            <a:srgbClr val="000000"/>
          </a:solidFill>
          <a:prstDash val="solid"/>
        </a:ln>
      </c:spPr>
    </c:plotArea>
    <c:legend>
      <c:legendPos val="r"/>
      <c:layout>
        <c:manualLayout>
          <c:xMode val="edge"/>
          <c:yMode val="edge"/>
          <c:x val="0.74639121079078341"/>
          <c:y val="0.18035783375683617"/>
          <c:w val="0.15034360157659876"/>
          <c:h val="0.16292520207882383"/>
        </c:manualLayout>
      </c:layout>
      <c:overlay val="0"/>
      <c:spPr>
        <a:solidFill>
          <a:srgbClr val="FFFFFF"/>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0"/>
    <c:dispBlanksAs val="gap"/>
    <c:showDLblsOverMax val="0"/>
  </c:chart>
  <c:spPr>
    <a:ln w="12700">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printSettings>
    <c:headerFooter alignWithMargins="0"/>
    <c:pageMargins b="1" l="0.75000000000001299" r="0.75000000000001299" t="1" header="0.5" footer="0.5"/>
    <c:pageSetup orientation="landscape"/>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26</xdr:col>
      <xdr:colOff>504825</xdr:colOff>
      <xdr:row>14</xdr:row>
      <xdr:rowOff>28575</xdr:rowOff>
    </xdr:from>
    <xdr:to>
      <xdr:col>26</xdr:col>
      <xdr:colOff>523875</xdr:colOff>
      <xdr:row>14</xdr:row>
      <xdr:rowOff>28575</xdr:rowOff>
    </xdr:to>
    <xdr:sp macro="" textlink="">
      <xdr:nvSpPr>
        <xdr:cNvPr id="1649" name="Line 1"/>
        <xdr:cNvSpPr>
          <a:spLocks noChangeShapeType="1"/>
        </xdr:cNvSpPr>
      </xdr:nvSpPr>
      <xdr:spPr bwMode="auto">
        <a:xfrm flipH="1">
          <a:off x="20021550" y="4095750"/>
          <a:ext cx="190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514350</xdr:colOff>
      <xdr:row>14</xdr:row>
      <xdr:rowOff>0</xdr:rowOff>
    </xdr:from>
    <xdr:to>
      <xdr:col>6</xdr:col>
      <xdr:colOff>581025</xdr:colOff>
      <xdr:row>14</xdr:row>
      <xdr:rowOff>0</xdr:rowOff>
    </xdr:to>
    <xdr:sp macro="" textlink="">
      <xdr:nvSpPr>
        <xdr:cNvPr id="1650" name="Line 2"/>
        <xdr:cNvSpPr>
          <a:spLocks noChangeShapeType="1"/>
        </xdr:cNvSpPr>
      </xdr:nvSpPr>
      <xdr:spPr bwMode="auto">
        <a:xfrm flipH="1">
          <a:off x="5143500" y="4067175"/>
          <a:ext cx="666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676275</xdr:colOff>
      <xdr:row>14</xdr:row>
      <xdr:rowOff>0</xdr:rowOff>
    </xdr:from>
    <xdr:to>
      <xdr:col>10</xdr:col>
      <xdr:colOff>733425</xdr:colOff>
      <xdr:row>14</xdr:row>
      <xdr:rowOff>0</xdr:rowOff>
    </xdr:to>
    <xdr:sp macro="" textlink="">
      <xdr:nvSpPr>
        <xdr:cNvPr id="1651" name="Line 3"/>
        <xdr:cNvSpPr>
          <a:spLocks noChangeShapeType="1"/>
        </xdr:cNvSpPr>
      </xdr:nvSpPr>
      <xdr:spPr bwMode="auto">
        <a:xfrm flipH="1">
          <a:off x="8305800" y="4067175"/>
          <a:ext cx="57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12</xdr:row>
      <xdr:rowOff>228600</xdr:rowOff>
    </xdr:from>
    <xdr:to>
      <xdr:col>11</xdr:col>
      <xdr:colOff>28575</xdr:colOff>
      <xdr:row>12</xdr:row>
      <xdr:rowOff>257175</xdr:rowOff>
    </xdr:to>
    <xdr:sp macro="" textlink="">
      <xdr:nvSpPr>
        <xdr:cNvPr id="1652" name="Line 4"/>
        <xdr:cNvSpPr>
          <a:spLocks noChangeShapeType="1"/>
        </xdr:cNvSpPr>
      </xdr:nvSpPr>
      <xdr:spPr bwMode="auto">
        <a:xfrm>
          <a:off x="8401050" y="3667125"/>
          <a:ext cx="0" cy="285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104775</xdr:colOff>
      <xdr:row>14</xdr:row>
      <xdr:rowOff>28575</xdr:rowOff>
    </xdr:from>
    <xdr:to>
      <xdr:col>12</xdr:col>
      <xdr:colOff>133350</xdr:colOff>
      <xdr:row>14</xdr:row>
      <xdr:rowOff>28575</xdr:rowOff>
    </xdr:to>
    <xdr:sp macro="" textlink="">
      <xdr:nvSpPr>
        <xdr:cNvPr id="1653" name="Line 5"/>
        <xdr:cNvSpPr>
          <a:spLocks noChangeShapeType="1"/>
        </xdr:cNvSpPr>
      </xdr:nvSpPr>
      <xdr:spPr bwMode="auto">
        <a:xfrm flipH="1">
          <a:off x="9305925" y="4095750"/>
          <a:ext cx="285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12</xdr:row>
      <xdr:rowOff>38100</xdr:rowOff>
    </xdr:from>
    <xdr:to>
      <xdr:col>13</xdr:col>
      <xdr:colOff>0</xdr:colOff>
      <xdr:row>12</xdr:row>
      <xdr:rowOff>114300</xdr:rowOff>
    </xdr:to>
    <xdr:sp macro="" textlink="">
      <xdr:nvSpPr>
        <xdr:cNvPr id="1654" name="Line 6"/>
        <xdr:cNvSpPr>
          <a:spLocks noChangeShapeType="1"/>
        </xdr:cNvSpPr>
      </xdr:nvSpPr>
      <xdr:spPr bwMode="auto">
        <a:xfrm flipV="1">
          <a:off x="9858375" y="3476625"/>
          <a:ext cx="0" cy="76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390525</xdr:colOff>
      <xdr:row>14</xdr:row>
      <xdr:rowOff>0</xdr:rowOff>
    </xdr:from>
    <xdr:to>
      <xdr:col>16</xdr:col>
      <xdr:colOff>457200</xdr:colOff>
      <xdr:row>14</xdr:row>
      <xdr:rowOff>0</xdr:rowOff>
    </xdr:to>
    <xdr:sp macro="" textlink="">
      <xdr:nvSpPr>
        <xdr:cNvPr id="1655" name="Line 7"/>
        <xdr:cNvSpPr>
          <a:spLocks noChangeShapeType="1"/>
        </xdr:cNvSpPr>
      </xdr:nvSpPr>
      <xdr:spPr bwMode="auto">
        <a:xfrm flipH="1">
          <a:off x="12563475" y="4067175"/>
          <a:ext cx="666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733425</xdr:colOff>
      <xdr:row>9</xdr:row>
      <xdr:rowOff>9525</xdr:rowOff>
    </xdr:from>
    <xdr:to>
      <xdr:col>21</xdr:col>
      <xdr:colOff>771525</xdr:colOff>
      <xdr:row>9</xdr:row>
      <xdr:rowOff>9525</xdr:rowOff>
    </xdr:to>
    <xdr:sp macro="" textlink="">
      <xdr:nvSpPr>
        <xdr:cNvPr id="1656" name="Line 8"/>
        <xdr:cNvSpPr>
          <a:spLocks noChangeShapeType="1"/>
        </xdr:cNvSpPr>
      </xdr:nvSpPr>
      <xdr:spPr bwMode="auto">
        <a:xfrm flipH="1">
          <a:off x="16621125" y="2505075"/>
          <a:ext cx="381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361950</xdr:colOff>
      <xdr:row>14</xdr:row>
      <xdr:rowOff>0</xdr:rowOff>
    </xdr:from>
    <xdr:to>
      <xdr:col>21</xdr:col>
      <xdr:colOff>476250</xdr:colOff>
      <xdr:row>14</xdr:row>
      <xdr:rowOff>0</xdr:rowOff>
    </xdr:to>
    <xdr:sp macro="" textlink="">
      <xdr:nvSpPr>
        <xdr:cNvPr id="1657" name="Line 9"/>
        <xdr:cNvSpPr>
          <a:spLocks noChangeShapeType="1"/>
        </xdr:cNvSpPr>
      </xdr:nvSpPr>
      <xdr:spPr bwMode="auto">
        <a:xfrm flipH="1">
          <a:off x="16249650" y="4067175"/>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11</xdr:row>
      <xdr:rowOff>200025</xdr:rowOff>
    </xdr:from>
    <xdr:to>
      <xdr:col>24</xdr:col>
      <xdr:colOff>19050</xdr:colOff>
      <xdr:row>12</xdr:row>
      <xdr:rowOff>0</xdr:rowOff>
    </xdr:to>
    <xdr:sp macro="" textlink="">
      <xdr:nvSpPr>
        <xdr:cNvPr id="1658" name="Line 10"/>
        <xdr:cNvSpPr>
          <a:spLocks noChangeShapeType="1"/>
        </xdr:cNvSpPr>
      </xdr:nvSpPr>
      <xdr:spPr bwMode="auto">
        <a:xfrm flipV="1">
          <a:off x="18288000" y="3324225"/>
          <a:ext cx="19050" cy="114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133350</xdr:colOff>
      <xdr:row>8</xdr:row>
      <xdr:rowOff>0</xdr:rowOff>
    </xdr:from>
    <xdr:to>
      <xdr:col>19</xdr:col>
      <xdr:colOff>171450</xdr:colOff>
      <xdr:row>8</xdr:row>
      <xdr:rowOff>0</xdr:rowOff>
    </xdr:to>
    <xdr:sp macro="" textlink="">
      <xdr:nvSpPr>
        <xdr:cNvPr id="1659" name="Line 11"/>
        <xdr:cNvSpPr>
          <a:spLocks noChangeShapeType="1"/>
        </xdr:cNvSpPr>
      </xdr:nvSpPr>
      <xdr:spPr bwMode="auto">
        <a:xfrm flipH="1">
          <a:off x="14535150" y="2181225"/>
          <a:ext cx="381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20</xdr:row>
      <xdr:rowOff>0</xdr:rowOff>
    </xdr:from>
    <xdr:to>
      <xdr:col>10</xdr:col>
      <xdr:colOff>57150</xdr:colOff>
      <xdr:row>20</xdr:row>
      <xdr:rowOff>0</xdr:rowOff>
    </xdr:to>
    <xdr:sp macro="" textlink="">
      <xdr:nvSpPr>
        <xdr:cNvPr id="1660" name="Line 12"/>
        <xdr:cNvSpPr>
          <a:spLocks noChangeShapeType="1"/>
        </xdr:cNvSpPr>
      </xdr:nvSpPr>
      <xdr:spPr bwMode="auto">
        <a:xfrm flipH="1">
          <a:off x="7515225" y="5953125"/>
          <a:ext cx="1714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24</xdr:row>
      <xdr:rowOff>123825</xdr:rowOff>
    </xdr:from>
    <xdr:to>
      <xdr:col>17</xdr:col>
      <xdr:colOff>9525</xdr:colOff>
      <xdr:row>24</xdr:row>
      <xdr:rowOff>228600</xdr:rowOff>
    </xdr:to>
    <xdr:sp macro="" textlink="">
      <xdr:nvSpPr>
        <xdr:cNvPr id="1661" name="Line 13"/>
        <xdr:cNvSpPr>
          <a:spLocks noChangeShapeType="1"/>
        </xdr:cNvSpPr>
      </xdr:nvSpPr>
      <xdr:spPr bwMode="auto">
        <a:xfrm flipH="1" flipV="1">
          <a:off x="13001625" y="7334250"/>
          <a:ext cx="9525" cy="104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30</xdr:row>
      <xdr:rowOff>66675</xdr:rowOff>
    </xdr:from>
    <xdr:to>
      <xdr:col>12</xdr:col>
      <xdr:colOff>0</xdr:colOff>
      <xdr:row>30</xdr:row>
      <xdr:rowOff>104775</xdr:rowOff>
    </xdr:to>
    <xdr:sp macro="" textlink="">
      <xdr:nvSpPr>
        <xdr:cNvPr id="1662" name="Line 14"/>
        <xdr:cNvSpPr>
          <a:spLocks noChangeShapeType="1"/>
        </xdr:cNvSpPr>
      </xdr:nvSpPr>
      <xdr:spPr bwMode="auto">
        <a:xfrm flipV="1">
          <a:off x="9201150" y="9163050"/>
          <a:ext cx="0" cy="381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409575</xdr:colOff>
      <xdr:row>27</xdr:row>
      <xdr:rowOff>0</xdr:rowOff>
    </xdr:from>
    <xdr:to>
      <xdr:col>10</xdr:col>
      <xdr:colOff>438150</xdr:colOff>
      <xdr:row>27</xdr:row>
      <xdr:rowOff>0</xdr:rowOff>
    </xdr:to>
    <xdr:sp macro="" textlink="">
      <xdr:nvSpPr>
        <xdr:cNvPr id="1663" name="Line 15"/>
        <xdr:cNvSpPr>
          <a:spLocks noChangeShapeType="1"/>
        </xdr:cNvSpPr>
      </xdr:nvSpPr>
      <xdr:spPr bwMode="auto">
        <a:xfrm>
          <a:off x="8039100" y="8153400"/>
          <a:ext cx="285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790575</xdr:colOff>
      <xdr:row>32</xdr:row>
      <xdr:rowOff>0</xdr:rowOff>
    </xdr:from>
    <xdr:to>
      <xdr:col>16</xdr:col>
      <xdr:colOff>38100</xdr:colOff>
      <xdr:row>32</xdr:row>
      <xdr:rowOff>0</xdr:rowOff>
    </xdr:to>
    <xdr:sp macro="" textlink="">
      <xdr:nvSpPr>
        <xdr:cNvPr id="1664" name="Line 16"/>
        <xdr:cNvSpPr>
          <a:spLocks noChangeShapeType="1"/>
        </xdr:cNvSpPr>
      </xdr:nvSpPr>
      <xdr:spPr bwMode="auto">
        <a:xfrm flipH="1">
          <a:off x="12134850" y="9725025"/>
          <a:ext cx="76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200025</xdr:colOff>
      <xdr:row>27</xdr:row>
      <xdr:rowOff>9525</xdr:rowOff>
    </xdr:from>
    <xdr:to>
      <xdr:col>6</xdr:col>
      <xdr:colOff>285750</xdr:colOff>
      <xdr:row>27</xdr:row>
      <xdr:rowOff>9525</xdr:rowOff>
    </xdr:to>
    <xdr:sp macro="" textlink="">
      <xdr:nvSpPr>
        <xdr:cNvPr id="1665" name="Line 17"/>
        <xdr:cNvSpPr>
          <a:spLocks noChangeShapeType="1"/>
        </xdr:cNvSpPr>
      </xdr:nvSpPr>
      <xdr:spPr bwMode="auto">
        <a:xfrm>
          <a:off x="4829175" y="8162925"/>
          <a:ext cx="85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504825</xdr:colOff>
      <xdr:row>27</xdr:row>
      <xdr:rowOff>0</xdr:rowOff>
    </xdr:from>
    <xdr:to>
      <xdr:col>2</xdr:col>
      <xdr:colOff>533400</xdr:colOff>
      <xdr:row>27</xdr:row>
      <xdr:rowOff>0</xdr:rowOff>
    </xdr:to>
    <xdr:sp macro="" textlink="">
      <xdr:nvSpPr>
        <xdr:cNvPr id="1666" name="Line 18"/>
        <xdr:cNvSpPr>
          <a:spLocks noChangeShapeType="1"/>
        </xdr:cNvSpPr>
      </xdr:nvSpPr>
      <xdr:spPr bwMode="auto">
        <a:xfrm>
          <a:off x="1990725" y="8153400"/>
          <a:ext cx="285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276225</xdr:colOff>
      <xdr:row>14</xdr:row>
      <xdr:rowOff>0</xdr:rowOff>
    </xdr:from>
    <xdr:to>
      <xdr:col>2</xdr:col>
      <xdr:colOff>323850</xdr:colOff>
      <xdr:row>14</xdr:row>
      <xdr:rowOff>0</xdr:rowOff>
    </xdr:to>
    <xdr:sp macro="" textlink="">
      <xdr:nvSpPr>
        <xdr:cNvPr id="1667" name="Line 19"/>
        <xdr:cNvSpPr>
          <a:spLocks noChangeShapeType="1"/>
        </xdr:cNvSpPr>
      </xdr:nvSpPr>
      <xdr:spPr bwMode="auto">
        <a:xfrm flipH="1">
          <a:off x="1762125" y="4067175"/>
          <a:ext cx="476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180975</xdr:colOff>
      <xdr:row>27</xdr:row>
      <xdr:rowOff>0</xdr:rowOff>
    </xdr:from>
    <xdr:to>
      <xdr:col>14</xdr:col>
      <xdr:colOff>209550</xdr:colOff>
      <xdr:row>27</xdr:row>
      <xdr:rowOff>0</xdr:rowOff>
    </xdr:to>
    <xdr:sp macro="" textlink="">
      <xdr:nvSpPr>
        <xdr:cNvPr id="1668" name="Line 20"/>
        <xdr:cNvSpPr>
          <a:spLocks noChangeShapeType="1"/>
        </xdr:cNvSpPr>
      </xdr:nvSpPr>
      <xdr:spPr bwMode="auto">
        <a:xfrm>
          <a:off x="10868025" y="8153400"/>
          <a:ext cx="285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33</xdr:row>
      <xdr:rowOff>304800</xdr:rowOff>
    </xdr:from>
    <xdr:to>
      <xdr:col>2</xdr:col>
      <xdr:colOff>381000</xdr:colOff>
      <xdr:row>34</xdr:row>
      <xdr:rowOff>0</xdr:rowOff>
    </xdr:to>
    <xdr:sp macro="" textlink="">
      <xdr:nvSpPr>
        <xdr:cNvPr id="1669" name="Line 21"/>
        <xdr:cNvSpPr>
          <a:spLocks noChangeShapeType="1"/>
        </xdr:cNvSpPr>
      </xdr:nvSpPr>
      <xdr:spPr bwMode="auto">
        <a:xfrm flipH="1" flipV="1">
          <a:off x="1800225" y="10344150"/>
          <a:ext cx="66675"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38100</xdr:colOff>
      <xdr:row>33</xdr:row>
      <xdr:rowOff>304800</xdr:rowOff>
    </xdr:from>
    <xdr:to>
      <xdr:col>7</xdr:col>
      <xdr:colOff>66675</xdr:colOff>
      <xdr:row>33</xdr:row>
      <xdr:rowOff>304800</xdr:rowOff>
    </xdr:to>
    <xdr:sp macro="" textlink="">
      <xdr:nvSpPr>
        <xdr:cNvPr id="1670" name="Line 22"/>
        <xdr:cNvSpPr>
          <a:spLocks noChangeShapeType="1"/>
        </xdr:cNvSpPr>
      </xdr:nvSpPr>
      <xdr:spPr bwMode="auto">
        <a:xfrm flipH="1">
          <a:off x="5410200" y="10344150"/>
          <a:ext cx="285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36</xdr:row>
      <xdr:rowOff>238125</xdr:rowOff>
    </xdr:from>
    <xdr:to>
      <xdr:col>4</xdr:col>
      <xdr:colOff>0</xdr:colOff>
      <xdr:row>36</xdr:row>
      <xdr:rowOff>266700</xdr:rowOff>
    </xdr:to>
    <xdr:sp macro="" textlink="">
      <xdr:nvSpPr>
        <xdr:cNvPr id="1671" name="Line 23"/>
        <xdr:cNvSpPr>
          <a:spLocks noChangeShapeType="1"/>
        </xdr:cNvSpPr>
      </xdr:nvSpPr>
      <xdr:spPr bwMode="auto">
        <a:xfrm flipV="1">
          <a:off x="3057525" y="11220450"/>
          <a:ext cx="0" cy="285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12</xdr:row>
      <xdr:rowOff>85725</xdr:rowOff>
    </xdr:from>
    <xdr:to>
      <xdr:col>6</xdr:col>
      <xdr:colOff>9525</xdr:colOff>
      <xdr:row>12</xdr:row>
      <xdr:rowOff>190500</xdr:rowOff>
    </xdr:to>
    <xdr:sp macro="" textlink="">
      <xdr:nvSpPr>
        <xdr:cNvPr id="1672" name="Line 24"/>
        <xdr:cNvSpPr>
          <a:spLocks noChangeShapeType="1"/>
        </xdr:cNvSpPr>
      </xdr:nvSpPr>
      <xdr:spPr bwMode="auto">
        <a:xfrm flipH="1" flipV="1">
          <a:off x="4629150" y="3524250"/>
          <a:ext cx="9525" cy="1047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619125</xdr:colOff>
      <xdr:row>21</xdr:row>
      <xdr:rowOff>0</xdr:rowOff>
    </xdr:from>
    <xdr:to>
      <xdr:col>13</xdr:col>
      <xdr:colOff>714375</xdr:colOff>
      <xdr:row>21</xdr:row>
      <xdr:rowOff>9525</xdr:rowOff>
    </xdr:to>
    <xdr:sp macro="" textlink="">
      <xdr:nvSpPr>
        <xdr:cNvPr id="1673" name="Line 25"/>
        <xdr:cNvSpPr>
          <a:spLocks noChangeShapeType="1"/>
        </xdr:cNvSpPr>
      </xdr:nvSpPr>
      <xdr:spPr bwMode="auto">
        <a:xfrm flipH="1" flipV="1">
          <a:off x="10477500" y="6267450"/>
          <a:ext cx="9525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85725</xdr:colOff>
      <xdr:row>6</xdr:row>
      <xdr:rowOff>0</xdr:rowOff>
    </xdr:from>
    <xdr:to>
      <xdr:col>27</xdr:col>
      <xdr:colOff>180975</xdr:colOff>
      <xdr:row>6</xdr:row>
      <xdr:rowOff>9525</xdr:rowOff>
    </xdr:to>
    <xdr:sp macro="" textlink="">
      <xdr:nvSpPr>
        <xdr:cNvPr id="1674" name="Line 26"/>
        <xdr:cNvSpPr>
          <a:spLocks noChangeShapeType="1"/>
        </xdr:cNvSpPr>
      </xdr:nvSpPr>
      <xdr:spPr bwMode="auto">
        <a:xfrm flipV="1">
          <a:off x="20173950" y="1552575"/>
          <a:ext cx="9525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0</xdr:colOff>
      <xdr:row>19</xdr:row>
      <xdr:rowOff>228600</xdr:rowOff>
    </xdr:from>
    <xdr:to>
      <xdr:col>29</xdr:col>
      <xdr:colOff>0</xdr:colOff>
      <xdr:row>19</xdr:row>
      <xdr:rowOff>238125</xdr:rowOff>
    </xdr:to>
    <xdr:sp macro="" textlink="">
      <xdr:nvSpPr>
        <xdr:cNvPr id="1675" name="Line 27"/>
        <xdr:cNvSpPr>
          <a:spLocks noChangeShapeType="1"/>
        </xdr:cNvSpPr>
      </xdr:nvSpPr>
      <xdr:spPr bwMode="auto">
        <a:xfrm>
          <a:off x="21059775" y="5867400"/>
          <a:ext cx="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15</xdr:row>
      <xdr:rowOff>276225</xdr:rowOff>
    </xdr:from>
    <xdr:to>
      <xdr:col>18</xdr:col>
      <xdr:colOff>9525</xdr:colOff>
      <xdr:row>16</xdr:row>
      <xdr:rowOff>28575</xdr:rowOff>
    </xdr:to>
    <xdr:sp macro="" textlink="">
      <xdr:nvSpPr>
        <xdr:cNvPr id="1676" name="Line 28"/>
        <xdr:cNvSpPr>
          <a:spLocks noChangeShapeType="1"/>
        </xdr:cNvSpPr>
      </xdr:nvSpPr>
      <xdr:spPr bwMode="auto">
        <a:xfrm flipH="1" flipV="1">
          <a:off x="13830300" y="4657725"/>
          <a:ext cx="9525" cy="666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13</xdr:row>
      <xdr:rowOff>295275</xdr:rowOff>
    </xdr:from>
    <xdr:to>
      <xdr:col>2</xdr:col>
      <xdr:colOff>476250</xdr:colOff>
      <xdr:row>13</xdr:row>
      <xdr:rowOff>295275</xdr:rowOff>
    </xdr:to>
    <xdr:sp macro="" textlink="">
      <xdr:nvSpPr>
        <xdr:cNvPr id="1677" name="Line 7"/>
        <xdr:cNvSpPr>
          <a:spLocks noChangeShapeType="1"/>
        </xdr:cNvSpPr>
      </xdr:nvSpPr>
      <xdr:spPr bwMode="auto">
        <a:xfrm>
          <a:off x="1962150" y="4048125"/>
          <a:ext cx="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14</xdr:row>
      <xdr:rowOff>0</xdr:rowOff>
    </xdr:from>
    <xdr:to>
      <xdr:col>2</xdr:col>
      <xdr:colOff>800100</xdr:colOff>
      <xdr:row>14</xdr:row>
      <xdr:rowOff>0</xdr:rowOff>
    </xdr:to>
    <xdr:sp macro="" textlink="">
      <xdr:nvSpPr>
        <xdr:cNvPr id="1678" name="Line 9"/>
        <xdr:cNvSpPr>
          <a:spLocks noChangeShapeType="1"/>
        </xdr:cNvSpPr>
      </xdr:nvSpPr>
      <xdr:spPr bwMode="auto">
        <a:xfrm>
          <a:off x="1495425" y="4067175"/>
          <a:ext cx="7905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257175</xdr:colOff>
      <xdr:row>21</xdr:row>
      <xdr:rowOff>0</xdr:rowOff>
    </xdr:from>
    <xdr:to>
      <xdr:col>14</xdr:col>
      <xdr:colOff>533400</xdr:colOff>
      <xdr:row>21</xdr:row>
      <xdr:rowOff>9525</xdr:rowOff>
    </xdr:to>
    <xdr:cxnSp macro="">
      <xdr:nvCxnSpPr>
        <xdr:cNvPr id="1679" name="Straight Arrow Connector 31"/>
        <xdr:cNvCxnSpPr>
          <a:cxnSpLocks noChangeShapeType="1"/>
        </xdr:cNvCxnSpPr>
      </xdr:nvCxnSpPr>
      <xdr:spPr bwMode="auto">
        <a:xfrm>
          <a:off x="10115550" y="6267450"/>
          <a:ext cx="1104900"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15</xdr:col>
      <xdr:colOff>295275</xdr:colOff>
      <xdr:row>14</xdr:row>
      <xdr:rowOff>0</xdr:rowOff>
    </xdr:from>
    <xdr:to>
      <xdr:col>16</xdr:col>
      <xdr:colOff>571500</xdr:colOff>
      <xdr:row>14</xdr:row>
      <xdr:rowOff>9525</xdr:rowOff>
    </xdr:to>
    <xdr:cxnSp macro="">
      <xdr:nvCxnSpPr>
        <xdr:cNvPr id="1680" name="Straight Arrow Connector 32"/>
        <xdr:cNvCxnSpPr>
          <a:cxnSpLocks noChangeShapeType="1"/>
        </xdr:cNvCxnSpPr>
      </xdr:nvCxnSpPr>
      <xdr:spPr bwMode="auto">
        <a:xfrm>
          <a:off x="11639550" y="4067175"/>
          <a:ext cx="1104900"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20</xdr:col>
      <xdr:colOff>276225</xdr:colOff>
      <xdr:row>14</xdr:row>
      <xdr:rowOff>0</xdr:rowOff>
    </xdr:from>
    <xdr:to>
      <xdr:col>21</xdr:col>
      <xdr:colOff>542925</xdr:colOff>
      <xdr:row>14</xdr:row>
      <xdr:rowOff>9525</xdr:rowOff>
    </xdr:to>
    <xdr:cxnSp macro="">
      <xdr:nvCxnSpPr>
        <xdr:cNvPr id="1681" name="Straight Arrow Connector 33"/>
        <xdr:cNvCxnSpPr>
          <a:cxnSpLocks noChangeShapeType="1"/>
        </xdr:cNvCxnSpPr>
      </xdr:nvCxnSpPr>
      <xdr:spPr bwMode="auto">
        <a:xfrm>
          <a:off x="15335250" y="4067175"/>
          <a:ext cx="1095375"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17</xdr:col>
      <xdr:colOff>819150</xdr:colOff>
      <xdr:row>16</xdr:row>
      <xdr:rowOff>66675</xdr:rowOff>
    </xdr:from>
    <xdr:to>
      <xdr:col>17</xdr:col>
      <xdr:colOff>819150</xdr:colOff>
      <xdr:row>18</xdr:row>
      <xdr:rowOff>247650</xdr:rowOff>
    </xdr:to>
    <xdr:cxnSp macro="">
      <xdr:nvCxnSpPr>
        <xdr:cNvPr id="1682" name="Straight Arrow Connector 34"/>
        <xdr:cNvCxnSpPr>
          <a:cxnSpLocks noChangeShapeType="1"/>
        </xdr:cNvCxnSpPr>
      </xdr:nvCxnSpPr>
      <xdr:spPr bwMode="auto">
        <a:xfrm>
          <a:off x="13820775" y="4762500"/>
          <a:ext cx="0" cy="8096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17</xdr:col>
      <xdr:colOff>9525</xdr:colOff>
      <xdr:row>22</xdr:row>
      <xdr:rowOff>285750</xdr:rowOff>
    </xdr:from>
    <xdr:to>
      <xdr:col>17</xdr:col>
      <xdr:colOff>9525</xdr:colOff>
      <xdr:row>25</xdr:row>
      <xdr:rowOff>152400</xdr:rowOff>
    </xdr:to>
    <xdr:cxnSp macro="">
      <xdr:nvCxnSpPr>
        <xdr:cNvPr id="1683" name="Straight Arrow Connector 35"/>
        <xdr:cNvCxnSpPr>
          <a:cxnSpLocks noChangeShapeType="1"/>
        </xdr:cNvCxnSpPr>
      </xdr:nvCxnSpPr>
      <xdr:spPr bwMode="auto">
        <a:xfrm>
          <a:off x="13011150" y="6867525"/>
          <a:ext cx="0" cy="8096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9525</xdr:colOff>
      <xdr:row>29</xdr:row>
      <xdr:rowOff>85725</xdr:rowOff>
    </xdr:from>
    <xdr:to>
      <xdr:col>12</xdr:col>
      <xdr:colOff>9525</xdr:colOff>
      <xdr:row>31</xdr:row>
      <xdr:rowOff>257175</xdr:rowOff>
    </xdr:to>
    <xdr:cxnSp macro="">
      <xdr:nvCxnSpPr>
        <xdr:cNvPr id="1684" name="Straight Arrow Connector 36"/>
        <xdr:cNvCxnSpPr>
          <a:cxnSpLocks noChangeShapeType="1"/>
        </xdr:cNvCxnSpPr>
      </xdr:nvCxnSpPr>
      <xdr:spPr bwMode="auto">
        <a:xfrm>
          <a:off x="9210675" y="8867775"/>
          <a:ext cx="0" cy="80010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17</xdr:col>
      <xdr:colOff>819150</xdr:colOff>
      <xdr:row>9</xdr:row>
      <xdr:rowOff>295275</xdr:rowOff>
    </xdr:from>
    <xdr:to>
      <xdr:col>17</xdr:col>
      <xdr:colOff>819150</xdr:colOff>
      <xdr:row>11</xdr:row>
      <xdr:rowOff>276225</xdr:rowOff>
    </xdr:to>
    <xdr:cxnSp macro="">
      <xdr:nvCxnSpPr>
        <xdr:cNvPr id="1685" name="Straight Arrow Connector 37"/>
        <xdr:cNvCxnSpPr>
          <a:cxnSpLocks noChangeShapeType="1"/>
        </xdr:cNvCxnSpPr>
      </xdr:nvCxnSpPr>
      <xdr:spPr bwMode="auto">
        <a:xfrm flipV="1">
          <a:off x="13820775" y="2790825"/>
          <a:ext cx="0" cy="60960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15</xdr:col>
      <xdr:colOff>200025</xdr:colOff>
      <xdr:row>9</xdr:row>
      <xdr:rowOff>0</xdr:rowOff>
    </xdr:from>
    <xdr:to>
      <xdr:col>16</xdr:col>
      <xdr:colOff>257175</xdr:colOff>
      <xdr:row>9</xdr:row>
      <xdr:rowOff>9525</xdr:rowOff>
    </xdr:to>
    <xdr:cxnSp macro="">
      <xdr:nvCxnSpPr>
        <xdr:cNvPr id="1686" name="Straight Arrow Connector 38"/>
        <xdr:cNvCxnSpPr>
          <a:cxnSpLocks noChangeShapeType="1"/>
        </xdr:cNvCxnSpPr>
      </xdr:nvCxnSpPr>
      <xdr:spPr bwMode="auto">
        <a:xfrm flipH="1" flipV="1">
          <a:off x="11544300" y="2495550"/>
          <a:ext cx="885825"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323850</xdr:colOff>
      <xdr:row>22</xdr:row>
      <xdr:rowOff>0</xdr:rowOff>
    </xdr:from>
    <xdr:to>
      <xdr:col>14</xdr:col>
      <xdr:colOff>419100</xdr:colOff>
      <xdr:row>22</xdr:row>
      <xdr:rowOff>0</xdr:rowOff>
    </xdr:to>
    <xdr:cxnSp macro="">
      <xdr:nvCxnSpPr>
        <xdr:cNvPr id="1687" name="Straight Arrow Connector 39"/>
        <xdr:cNvCxnSpPr>
          <a:cxnSpLocks noChangeShapeType="1"/>
        </xdr:cNvCxnSpPr>
      </xdr:nvCxnSpPr>
      <xdr:spPr bwMode="auto">
        <a:xfrm>
          <a:off x="9525000" y="6581775"/>
          <a:ext cx="1581150" cy="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0</xdr:colOff>
      <xdr:row>8</xdr:row>
      <xdr:rowOff>200025</xdr:rowOff>
    </xdr:from>
    <xdr:to>
      <xdr:col>11</xdr:col>
      <xdr:colOff>9525</xdr:colOff>
      <xdr:row>11</xdr:row>
      <xdr:rowOff>57150</xdr:rowOff>
    </xdr:to>
    <xdr:cxnSp macro="">
      <xdr:nvCxnSpPr>
        <xdr:cNvPr id="1688" name="Straight Arrow Connector 40"/>
        <xdr:cNvCxnSpPr>
          <a:cxnSpLocks noChangeShapeType="1"/>
        </xdr:cNvCxnSpPr>
      </xdr:nvCxnSpPr>
      <xdr:spPr bwMode="auto">
        <a:xfrm flipV="1">
          <a:off x="8372475" y="2381250"/>
          <a:ext cx="9525" cy="80010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0</xdr:colOff>
      <xdr:row>7</xdr:row>
      <xdr:rowOff>161925</xdr:rowOff>
    </xdr:from>
    <xdr:to>
      <xdr:col>6</xdr:col>
      <xdr:colOff>9525</xdr:colOff>
      <xdr:row>12</xdr:row>
      <xdr:rowOff>228600</xdr:rowOff>
    </xdr:to>
    <xdr:cxnSp macro="">
      <xdr:nvCxnSpPr>
        <xdr:cNvPr id="1689" name="Straight Arrow Connector 42"/>
        <xdr:cNvCxnSpPr>
          <a:cxnSpLocks noChangeShapeType="1"/>
        </xdr:cNvCxnSpPr>
      </xdr:nvCxnSpPr>
      <xdr:spPr bwMode="auto">
        <a:xfrm>
          <a:off x="4629150" y="2028825"/>
          <a:ext cx="9525" cy="163830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13</xdr:col>
      <xdr:colOff>95250</xdr:colOff>
      <xdr:row>6</xdr:row>
      <xdr:rowOff>0</xdr:rowOff>
    </xdr:from>
    <xdr:to>
      <xdr:col>16</xdr:col>
      <xdr:colOff>85725</xdr:colOff>
      <xdr:row>6</xdr:row>
      <xdr:rowOff>0</xdr:rowOff>
    </xdr:to>
    <xdr:cxnSp macro="">
      <xdr:nvCxnSpPr>
        <xdr:cNvPr id="1690" name="Straight Arrow Connector 44"/>
        <xdr:cNvCxnSpPr>
          <a:cxnSpLocks noChangeShapeType="1"/>
        </xdr:cNvCxnSpPr>
      </xdr:nvCxnSpPr>
      <xdr:spPr bwMode="auto">
        <a:xfrm flipH="1">
          <a:off x="9953625" y="1552575"/>
          <a:ext cx="2305050" cy="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21</xdr:col>
      <xdr:colOff>314325</xdr:colOff>
      <xdr:row>9</xdr:row>
      <xdr:rowOff>0</xdr:rowOff>
    </xdr:from>
    <xdr:to>
      <xdr:col>22</xdr:col>
      <xdr:colOff>247650</xdr:colOff>
      <xdr:row>9</xdr:row>
      <xdr:rowOff>9525</xdr:rowOff>
    </xdr:to>
    <xdr:cxnSp macro="">
      <xdr:nvCxnSpPr>
        <xdr:cNvPr id="1691" name="Straight Arrow Connector 46"/>
        <xdr:cNvCxnSpPr>
          <a:cxnSpLocks noChangeShapeType="1"/>
        </xdr:cNvCxnSpPr>
      </xdr:nvCxnSpPr>
      <xdr:spPr bwMode="auto">
        <a:xfrm>
          <a:off x="16202025" y="2495550"/>
          <a:ext cx="762000"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24</xdr:col>
      <xdr:colOff>0</xdr:colOff>
      <xdr:row>9</xdr:row>
      <xdr:rowOff>295275</xdr:rowOff>
    </xdr:from>
    <xdr:to>
      <xdr:col>24</xdr:col>
      <xdr:colOff>28575</xdr:colOff>
      <xdr:row>12</xdr:row>
      <xdr:rowOff>85725</xdr:rowOff>
    </xdr:to>
    <xdr:cxnSp macro="">
      <xdr:nvCxnSpPr>
        <xdr:cNvPr id="1692" name="Straight Arrow Connector 48"/>
        <xdr:cNvCxnSpPr>
          <a:cxnSpLocks noChangeShapeType="1"/>
        </xdr:cNvCxnSpPr>
      </xdr:nvCxnSpPr>
      <xdr:spPr bwMode="auto">
        <a:xfrm>
          <a:off x="18288000" y="2790825"/>
          <a:ext cx="28575" cy="7334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352425</xdr:colOff>
      <xdr:row>19</xdr:row>
      <xdr:rowOff>295275</xdr:rowOff>
    </xdr:from>
    <xdr:to>
      <xdr:col>11</xdr:col>
      <xdr:colOff>228600</xdr:colOff>
      <xdr:row>20</xdr:row>
      <xdr:rowOff>0</xdr:rowOff>
    </xdr:to>
    <xdr:cxnSp macro="">
      <xdr:nvCxnSpPr>
        <xdr:cNvPr id="1693" name="Straight Arrow Connector 50"/>
        <xdr:cNvCxnSpPr>
          <a:cxnSpLocks noChangeShapeType="1"/>
        </xdr:cNvCxnSpPr>
      </xdr:nvCxnSpPr>
      <xdr:spPr bwMode="auto">
        <a:xfrm>
          <a:off x="7296150" y="5934075"/>
          <a:ext cx="1304925" cy="1905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13</xdr:col>
      <xdr:colOff>542925</xdr:colOff>
      <xdr:row>27</xdr:row>
      <xdr:rowOff>0</xdr:rowOff>
    </xdr:from>
    <xdr:to>
      <xdr:col>15</xdr:col>
      <xdr:colOff>285750</xdr:colOff>
      <xdr:row>27</xdr:row>
      <xdr:rowOff>0</xdr:rowOff>
    </xdr:to>
    <xdr:cxnSp macro="">
      <xdr:nvCxnSpPr>
        <xdr:cNvPr id="1694" name="Straight Arrow Connector 52"/>
        <xdr:cNvCxnSpPr>
          <a:cxnSpLocks noChangeShapeType="1"/>
        </xdr:cNvCxnSpPr>
      </xdr:nvCxnSpPr>
      <xdr:spPr bwMode="auto">
        <a:xfrm flipH="1">
          <a:off x="10401300" y="8153400"/>
          <a:ext cx="1228725" cy="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485775</xdr:colOff>
      <xdr:row>26</xdr:row>
      <xdr:rowOff>295275</xdr:rowOff>
    </xdr:from>
    <xdr:to>
      <xdr:col>10</xdr:col>
      <xdr:colOff>533400</xdr:colOff>
      <xdr:row>26</xdr:row>
      <xdr:rowOff>295275</xdr:rowOff>
    </xdr:to>
    <xdr:cxnSp macro="">
      <xdr:nvCxnSpPr>
        <xdr:cNvPr id="1695" name="Straight Arrow Connector 56"/>
        <xdr:cNvCxnSpPr>
          <a:cxnSpLocks noChangeShapeType="1"/>
        </xdr:cNvCxnSpPr>
      </xdr:nvCxnSpPr>
      <xdr:spPr bwMode="auto">
        <a:xfrm flipH="1">
          <a:off x="7429500" y="8134350"/>
          <a:ext cx="733425" cy="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342900</xdr:colOff>
      <xdr:row>27</xdr:row>
      <xdr:rowOff>0</xdr:rowOff>
    </xdr:from>
    <xdr:to>
      <xdr:col>6</xdr:col>
      <xdr:colOff>514350</xdr:colOff>
      <xdr:row>27</xdr:row>
      <xdr:rowOff>9525</xdr:rowOff>
    </xdr:to>
    <xdr:cxnSp macro="">
      <xdr:nvCxnSpPr>
        <xdr:cNvPr id="1696" name="Straight Arrow Connector 58"/>
        <xdr:cNvCxnSpPr>
          <a:cxnSpLocks noChangeShapeType="1"/>
        </xdr:cNvCxnSpPr>
      </xdr:nvCxnSpPr>
      <xdr:spPr bwMode="auto">
        <a:xfrm flipH="1">
          <a:off x="4229100" y="8153400"/>
          <a:ext cx="914400"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xdr:col>
      <xdr:colOff>9525</xdr:colOff>
      <xdr:row>29</xdr:row>
      <xdr:rowOff>104775</xdr:rowOff>
    </xdr:from>
    <xdr:to>
      <xdr:col>2</xdr:col>
      <xdr:colOff>9525</xdr:colOff>
      <xdr:row>32</xdr:row>
      <xdr:rowOff>133350</xdr:rowOff>
    </xdr:to>
    <xdr:cxnSp macro="">
      <xdr:nvCxnSpPr>
        <xdr:cNvPr id="1697" name="Straight Arrow Connector 60"/>
        <xdr:cNvCxnSpPr>
          <a:cxnSpLocks noChangeShapeType="1"/>
        </xdr:cNvCxnSpPr>
      </xdr:nvCxnSpPr>
      <xdr:spPr bwMode="auto">
        <a:xfrm>
          <a:off x="1495425" y="8886825"/>
          <a:ext cx="0" cy="97155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323850</xdr:colOff>
      <xdr:row>34</xdr:row>
      <xdr:rowOff>0</xdr:rowOff>
    </xdr:from>
    <xdr:to>
      <xdr:col>6</xdr:col>
      <xdr:colOff>542925</xdr:colOff>
      <xdr:row>34</xdr:row>
      <xdr:rowOff>9525</xdr:rowOff>
    </xdr:to>
    <xdr:cxnSp macro="">
      <xdr:nvCxnSpPr>
        <xdr:cNvPr id="1698" name="Straight Arrow Connector 62"/>
        <xdr:cNvCxnSpPr>
          <a:cxnSpLocks noChangeShapeType="1"/>
        </xdr:cNvCxnSpPr>
      </xdr:nvCxnSpPr>
      <xdr:spPr bwMode="auto">
        <a:xfrm>
          <a:off x="4210050" y="10353675"/>
          <a:ext cx="962025" cy="9525"/>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xdr:col>
      <xdr:colOff>733425</xdr:colOff>
      <xdr:row>35</xdr:row>
      <xdr:rowOff>104775</xdr:rowOff>
    </xdr:from>
    <xdr:to>
      <xdr:col>4</xdr:col>
      <xdr:colOff>0</xdr:colOff>
      <xdr:row>39</xdr:row>
      <xdr:rowOff>123825</xdr:rowOff>
    </xdr:to>
    <xdr:cxnSp macro="">
      <xdr:nvCxnSpPr>
        <xdr:cNvPr id="1699" name="Straight Arrow Connector 66"/>
        <xdr:cNvCxnSpPr>
          <a:cxnSpLocks noChangeShapeType="1"/>
        </xdr:cNvCxnSpPr>
      </xdr:nvCxnSpPr>
      <xdr:spPr bwMode="auto">
        <a:xfrm flipH="1">
          <a:off x="3048000" y="10772775"/>
          <a:ext cx="9525" cy="127635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16</xdr:col>
      <xdr:colOff>514350</xdr:colOff>
      <xdr:row>32</xdr:row>
      <xdr:rowOff>0</xdr:rowOff>
    </xdr:from>
    <xdr:to>
      <xdr:col>19</xdr:col>
      <xdr:colOff>609600</xdr:colOff>
      <xdr:row>32</xdr:row>
      <xdr:rowOff>0</xdr:rowOff>
    </xdr:to>
    <xdr:cxnSp macro="">
      <xdr:nvCxnSpPr>
        <xdr:cNvPr id="1700" name="Straight Arrow Connector 68"/>
        <xdr:cNvCxnSpPr>
          <a:cxnSpLocks noChangeShapeType="1"/>
        </xdr:cNvCxnSpPr>
      </xdr:nvCxnSpPr>
      <xdr:spPr bwMode="auto">
        <a:xfrm>
          <a:off x="12687300" y="9725025"/>
          <a:ext cx="2324100" cy="0"/>
        </a:xfrm>
        <a:prstGeom prst="straightConnector1">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0</xdr:colOff>
      <xdr:row>1</xdr:row>
      <xdr:rowOff>9525</xdr:rowOff>
    </xdr:from>
    <xdr:to>
      <xdr:col>32</xdr:col>
      <xdr:colOff>750794</xdr:colOff>
      <xdr:row>12</xdr:row>
      <xdr:rowOff>19050</xdr:rowOff>
    </xdr:to>
    <xdr:graphicFrame macro="">
      <xdr:nvGraphicFramePr>
        <xdr:cNvPr id="212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0</xdr:colOff>
      <xdr:row>1</xdr:row>
      <xdr:rowOff>0</xdr:rowOff>
    </xdr:from>
    <xdr:to>
      <xdr:col>39</xdr:col>
      <xdr:colOff>750794</xdr:colOff>
      <xdr:row>12</xdr:row>
      <xdr:rowOff>66675</xdr:rowOff>
    </xdr:to>
    <xdr:graphicFrame macro="">
      <xdr:nvGraphicFramePr>
        <xdr:cNvPr id="212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28575</xdr:colOff>
      <xdr:row>13</xdr:row>
      <xdr:rowOff>9525</xdr:rowOff>
    </xdr:from>
    <xdr:to>
      <xdr:col>33</xdr:col>
      <xdr:colOff>0</xdr:colOff>
      <xdr:row>22</xdr:row>
      <xdr:rowOff>142875</xdr:rowOff>
    </xdr:to>
    <xdr:graphicFrame macro="">
      <xdr:nvGraphicFramePr>
        <xdr:cNvPr id="212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736226</xdr:colOff>
      <xdr:row>23</xdr:row>
      <xdr:rowOff>146236</xdr:rowOff>
    </xdr:from>
    <xdr:to>
      <xdr:col>33</xdr:col>
      <xdr:colOff>11206</xdr:colOff>
      <xdr:row>33</xdr:row>
      <xdr:rowOff>67234</xdr:rowOff>
    </xdr:to>
    <xdr:graphicFrame macro="">
      <xdr:nvGraphicFramePr>
        <xdr:cNvPr id="212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747432</xdr:colOff>
      <xdr:row>12</xdr:row>
      <xdr:rowOff>187699</xdr:rowOff>
    </xdr:from>
    <xdr:to>
      <xdr:col>40</xdr:col>
      <xdr:colOff>22412</xdr:colOff>
      <xdr:row>23</xdr:row>
      <xdr:rowOff>54349</xdr:rowOff>
    </xdr:to>
    <xdr:graphicFrame macro="">
      <xdr:nvGraphicFramePr>
        <xdr:cNvPr id="212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750794</xdr:colOff>
      <xdr:row>23</xdr:row>
      <xdr:rowOff>179294</xdr:rowOff>
    </xdr:from>
    <xdr:to>
      <xdr:col>40</xdr:col>
      <xdr:colOff>10645</xdr:colOff>
      <xdr:row>33</xdr:row>
      <xdr:rowOff>78441</xdr:rowOff>
    </xdr:to>
    <xdr:graphicFrame macro="">
      <xdr:nvGraphicFramePr>
        <xdr:cNvPr id="212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0</xdr:row>
      <xdr:rowOff>0</xdr:rowOff>
    </xdr:from>
    <xdr:to>
      <xdr:col>11</xdr:col>
      <xdr:colOff>95250</xdr:colOff>
      <xdr:row>25</xdr:row>
      <xdr:rowOff>0</xdr:rowOff>
    </xdr:to>
    <xdr:graphicFrame macro="">
      <xdr:nvGraphicFramePr>
        <xdr:cNvPr id="3169" name="Chart 1" descr="Wea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114300</xdr:colOff>
      <xdr:row>0</xdr:row>
      <xdr:rowOff>0</xdr:rowOff>
    </xdr:from>
    <xdr:to>
      <xdr:col>21</xdr:col>
      <xdr:colOff>219075</xdr:colOff>
      <xdr:row>25</xdr:row>
      <xdr:rowOff>19050</xdr:rowOff>
    </xdr:to>
    <xdr:graphicFrame macro="">
      <xdr:nvGraphicFramePr>
        <xdr:cNvPr id="3170" name="Chart 2" descr="Wea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24</xdr:row>
      <xdr:rowOff>171450</xdr:rowOff>
    </xdr:from>
    <xdr:to>
      <xdr:col>11</xdr:col>
      <xdr:colOff>95250</xdr:colOff>
      <xdr:row>50</xdr:row>
      <xdr:rowOff>0</xdr:rowOff>
    </xdr:to>
    <xdr:graphicFrame macro="">
      <xdr:nvGraphicFramePr>
        <xdr:cNvPr id="3171" name="Chart 3" descr="Wea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85725</xdr:colOff>
      <xdr:row>1</xdr:row>
      <xdr:rowOff>104775</xdr:rowOff>
    </xdr:from>
    <xdr:to>
      <xdr:col>36</xdr:col>
      <xdr:colOff>257175</xdr:colOff>
      <xdr:row>26</xdr:row>
      <xdr:rowOff>152400</xdr:rowOff>
    </xdr:to>
    <xdr:graphicFrame macro="">
      <xdr:nvGraphicFramePr>
        <xdr:cNvPr id="3172" name="Chart 4" descr="Wea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95250</xdr:colOff>
      <xdr:row>25</xdr:row>
      <xdr:rowOff>0</xdr:rowOff>
    </xdr:from>
    <xdr:to>
      <xdr:col>21</xdr:col>
      <xdr:colOff>219075</xdr:colOff>
      <xdr:row>50</xdr:row>
      <xdr:rowOff>19050</xdr:rowOff>
    </xdr:to>
    <xdr:graphicFrame macro="">
      <xdr:nvGraphicFramePr>
        <xdr:cNvPr id="3173" name="Chart 17" descr="Wea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95250</xdr:colOff>
      <xdr:row>50</xdr:row>
      <xdr:rowOff>0</xdr:rowOff>
    </xdr:from>
    <xdr:to>
      <xdr:col>21</xdr:col>
      <xdr:colOff>190500</xdr:colOff>
      <xdr:row>74</xdr:row>
      <xdr:rowOff>142875</xdr:rowOff>
    </xdr:to>
    <xdr:graphicFrame macro="">
      <xdr:nvGraphicFramePr>
        <xdr:cNvPr id="317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189</xdr:col>
      <xdr:colOff>685800</xdr:colOff>
      <xdr:row>20</xdr:row>
      <xdr:rowOff>142875</xdr:rowOff>
    </xdr:from>
    <xdr:to>
      <xdr:col>195</xdr:col>
      <xdr:colOff>276225</xdr:colOff>
      <xdr:row>35</xdr:row>
      <xdr:rowOff>28575</xdr:rowOff>
    </xdr:to>
    <xdr:graphicFrame macro="">
      <xdr:nvGraphicFramePr>
        <xdr:cNvPr id="317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50</xdr:row>
      <xdr:rowOff>0</xdr:rowOff>
    </xdr:from>
    <xdr:to>
      <xdr:col>11</xdr:col>
      <xdr:colOff>95250</xdr:colOff>
      <xdr:row>75</xdr:row>
      <xdr:rowOff>38100</xdr:rowOff>
    </xdr:to>
    <xdr:graphicFrame macro="">
      <xdr:nvGraphicFramePr>
        <xdr:cNvPr id="3176"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38100</xdr:rowOff>
    </xdr:from>
    <xdr:to>
      <xdr:col>0</xdr:col>
      <xdr:colOff>0</xdr:colOff>
      <xdr:row>13</xdr:row>
      <xdr:rowOff>38100</xdr:rowOff>
    </xdr:to>
    <xdr:cxnSp macro="">
      <xdr:nvCxnSpPr>
        <xdr:cNvPr id="4589" name="AutoShape 11"/>
        <xdr:cNvCxnSpPr>
          <a:cxnSpLocks noChangeShapeType="1"/>
        </xdr:cNvCxnSpPr>
      </xdr:nvCxnSpPr>
      <xdr:spPr bwMode="auto">
        <a:xfrm>
          <a:off x="0" y="2724150"/>
          <a:ext cx="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0</xdr:colOff>
      <xdr:row>13</xdr:row>
      <xdr:rowOff>0</xdr:rowOff>
    </xdr:from>
    <xdr:to>
      <xdr:col>0</xdr:col>
      <xdr:colOff>0</xdr:colOff>
      <xdr:row>13</xdr:row>
      <xdr:rowOff>0</xdr:rowOff>
    </xdr:to>
    <xdr:cxnSp macro="">
      <xdr:nvCxnSpPr>
        <xdr:cNvPr id="4590" name="AutoShape 14"/>
        <xdr:cNvCxnSpPr>
          <a:cxnSpLocks noChangeShapeType="1"/>
        </xdr:cNvCxnSpPr>
      </xdr:nvCxnSpPr>
      <xdr:spPr bwMode="auto">
        <a:xfrm>
          <a:off x="0" y="2686050"/>
          <a:ext cx="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0</xdr:colOff>
      <xdr:row>13</xdr:row>
      <xdr:rowOff>19050</xdr:rowOff>
    </xdr:from>
    <xdr:to>
      <xdr:col>0</xdr:col>
      <xdr:colOff>0</xdr:colOff>
      <xdr:row>13</xdr:row>
      <xdr:rowOff>19050</xdr:rowOff>
    </xdr:to>
    <xdr:cxnSp macro="">
      <xdr:nvCxnSpPr>
        <xdr:cNvPr id="4591" name="AutoShape 19"/>
        <xdr:cNvCxnSpPr>
          <a:cxnSpLocks noChangeShapeType="1"/>
        </xdr:cNvCxnSpPr>
      </xdr:nvCxnSpPr>
      <xdr:spPr bwMode="auto">
        <a:xfrm>
          <a:off x="0" y="2705100"/>
          <a:ext cx="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0</xdr:colOff>
      <xdr:row>18</xdr:row>
      <xdr:rowOff>9525</xdr:rowOff>
    </xdr:from>
    <xdr:to>
      <xdr:col>0</xdr:col>
      <xdr:colOff>0</xdr:colOff>
      <xdr:row>18</xdr:row>
      <xdr:rowOff>9525</xdr:rowOff>
    </xdr:to>
    <xdr:cxnSp macro="">
      <xdr:nvCxnSpPr>
        <xdr:cNvPr id="4592" name="AutoShape 20"/>
        <xdr:cNvCxnSpPr>
          <a:cxnSpLocks noChangeShapeType="1"/>
        </xdr:cNvCxnSpPr>
      </xdr:nvCxnSpPr>
      <xdr:spPr bwMode="auto">
        <a:xfrm>
          <a:off x="0" y="3857625"/>
          <a:ext cx="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0</xdr:colOff>
      <xdr:row>18</xdr:row>
      <xdr:rowOff>0</xdr:rowOff>
    </xdr:from>
    <xdr:to>
      <xdr:col>0</xdr:col>
      <xdr:colOff>0</xdr:colOff>
      <xdr:row>18</xdr:row>
      <xdr:rowOff>0</xdr:rowOff>
    </xdr:to>
    <xdr:cxnSp macro="">
      <xdr:nvCxnSpPr>
        <xdr:cNvPr id="4593" name="AutoShape 21"/>
        <xdr:cNvCxnSpPr>
          <a:cxnSpLocks noChangeShapeType="1"/>
        </xdr:cNvCxnSpPr>
      </xdr:nvCxnSpPr>
      <xdr:spPr bwMode="auto">
        <a:xfrm>
          <a:off x="0" y="3848100"/>
          <a:ext cx="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0</xdr:colOff>
      <xdr:row>13</xdr:row>
      <xdr:rowOff>0</xdr:rowOff>
    </xdr:from>
    <xdr:to>
      <xdr:col>0</xdr:col>
      <xdr:colOff>0</xdr:colOff>
      <xdr:row>13</xdr:row>
      <xdr:rowOff>0</xdr:rowOff>
    </xdr:to>
    <xdr:cxnSp macro="">
      <xdr:nvCxnSpPr>
        <xdr:cNvPr id="4594" name="AutoShape 25"/>
        <xdr:cNvCxnSpPr>
          <a:cxnSpLocks noChangeShapeType="1"/>
        </xdr:cNvCxnSpPr>
      </xdr:nvCxnSpPr>
      <xdr:spPr bwMode="auto">
        <a:xfrm>
          <a:off x="0" y="2686050"/>
          <a:ext cx="0" cy="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13</xdr:row>
      <xdr:rowOff>0</xdr:rowOff>
    </xdr:from>
    <xdr:to>
      <xdr:col>0</xdr:col>
      <xdr:colOff>0</xdr:colOff>
      <xdr:row>13</xdr:row>
      <xdr:rowOff>0</xdr:rowOff>
    </xdr:to>
    <xdr:cxnSp macro="">
      <xdr:nvCxnSpPr>
        <xdr:cNvPr id="4595" name="AutoShape 27"/>
        <xdr:cNvCxnSpPr>
          <a:cxnSpLocks noChangeShapeType="1"/>
        </xdr:cNvCxnSpPr>
      </xdr:nvCxnSpPr>
      <xdr:spPr bwMode="auto">
        <a:xfrm>
          <a:off x="0" y="2686050"/>
          <a:ext cx="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9525</xdr:colOff>
      <xdr:row>6</xdr:row>
      <xdr:rowOff>9525</xdr:rowOff>
    </xdr:from>
    <xdr:to>
      <xdr:col>8</xdr:col>
      <xdr:colOff>676275</xdr:colOff>
      <xdr:row>8</xdr:row>
      <xdr:rowOff>9525</xdr:rowOff>
    </xdr:to>
    <xdr:sp macro="" textlink="">
      <xdr:nvSpPr>
        <xdr:cNvPr id="13344" name="Rectangle 32"/>
        <xdr:cNvSpPr>
          <a:spLocks noChangeArrowheads="1"/>
        </xdr:cNvSpPr>
      </xdr:nvSpPr>
      <xdr:spPr bwMode="auto">
        <a:xfrm>
          <a:off x="4695825" y="1152525"/>
          <a:ext cx="1409700" cy="590550"/>
        </a:xfrm>
        <a:prstGeom prst="rect">
          <a:avLst/>
        </a:prstGeom>
        <a:solidFill>
          <a:srgbClr val="00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200" b="0" i="0" strike="noStrike">
              <a:solidFill>
                <a:srgbClr val="000000"/>
              </a:solidFill>
              <a:latin typeface="Arial"/>
              <a:cs typeface="Arial"/>
            </a:rPr>
            <a:t>South</a:t>
          </a:r>
        </a:p>
        <a:p>
          <a:pPr algn="ctr" rtl="1">
            <a:defRPr sz="1000"/>
          </a:pPr>
          <a:r>
            <a:rPr lang="en-US" sz="1600" b="0" i="0" strike="noStrike">
              <a:solidFill>
                <a:srgbClr val="000000"/>
              </a:solidFill>
              <a:latin typeface="Arial"/>
              <a:cs typeface="Arial"/>
            </a:rPr>
            <a:t>PST</a:t>
          </a:r>
        </a:p>
      </xdr:txBody>
    </xdr:sp>
    <xdr:clientData/>
  </xdr:twoCellAnchor>
  <xdr:twoCellAnchor>
    <xdr:from>
      <xdr:col>7</xdr:col>
      <xdr:colOff>9525</xdr:colOff>
      <xdr:row>13</xdr:row>
      <xdr:rowOff>0</xdr:rowOff>
    </xdr:from>
    <xdr:to>
      <xdr:col>8</xdr:col>
      <xdr:colOff>695325</xdr:colOff>
      <xdr:row>15</xdr:row>
      <xdr:rowOff>0</xdr:rowOff>
    </xdr:to>
    <xdr:sp macro="" textlink="">
      <xdr:nvSpPr>
        <xdr:cNvPr id="13345" name="Rectangle 33"/>
        <xdr:cNvSpPr>
          <a:spLocks noChangeArrowheads="1"/>
        </xdr:cNvSpPr>
      </xdr:nvSpPr>
      <xdr:spPr bwMode="auto">
        <a:xfrm>
          <a:off x="4695825" y="2686050"/>
          <a:ext cx="1428750" cy="590550"/>
        </a:xfrm>
        <a:prstGeom prst="rect">
          <a:avLst/>
        </a:prstGeom>
        <a:solidFill>
          <a:srgbClr val="00FFFF"/>
        </a:solidFill>
        <a:ln w="9525">
          <a:solidFill>
            <a:srgbClr val="000000"/>
          </a:solidFill>
          <a:miter lim="800000"/>
          <a:headEnd/>
          <a:tailEnd/>
        </a:ln>
      </xdr:spPr>
      <xdr:txBody>
        <a:bodyPr vertOverflow="clip" wrap="square" lIns="36576" tIns="22860" rIns="36576" bIns="0" anchor="t" upright="1"/>
        <a:lstStyle/>
        <a:p>
          <a:pPr algn="ctr" rtl="1">
            <a:defRPr sz="1000"/>
          </a:pPr>
          <a:r>
            <a:rPr lang="en-US" sz="1200" b="0" i="0" strike="noStrike">
              <a:solidFill>
                <a:srgbClr val="000000"/>
              </a:solidFill>
              <a:latin typeface="Arial"/>
              <a:cs typeface="Arial"/>
            </a:rPr>
            <a:t>North</a:t>
          </a:r>
          <a:endParaRPr lang="en-US" sz="1600" b="0" i="0" strike="noStrike">
            <a:solidFill>
              <a:srgbClr val="000000"/>
            </a:solidFill>
            <a:latin typeface="Arial"/>
            <a:cs typeface="Arial"/>
          </a:endParaRPr>
        </a:p>
        <a:p>
          <a:pPr algn="ctr" rtl="1">
            <a:defRPr sz="1000"/>
          </a:pPr>
          <a:r>
            <a:rPr lang="en-US" sz="1600" b="0" i="0" strike="noStrike">
              <a:solidFill>
                <a:srgbClr val="000000"/>
              </a:solidFill>
              <a:latin typeface="Arial"/>
              <a:cs typeface="Arial"/>
            </a:rPr>
            <a:t>PST</a:t>
          </a:r>
        </a:p>
      </xdr:txBody>
    </xdr:sp>
    <xdr:clientData/>
  </xdr:twoCellAnchor>
  <xdr:twoCellAnchor>
    <xdr:from>
      <xdr:col>11</xdr:col>
      <xdr:colOff>0</xdr:colOff>
      <xdr:row>6</xdr:row>
      <xdr:rowOff>9525</xdr:rowOff>
    </xdr:from>
    <xdr:to>
      <xdr:col>12</xdr:col>
      <xdr:colOff>685800</xdr:colOff>
      <xdr:row>8</xdr:row>
      <xdr:rowOff>9525</xdr:rowOff>
    </xdr:to>
    <xdr:sp macro="" textlink="">
      <xdr:nvSpPr>
        <xdr:cNvPr id="13346" name="Rectangle 34"/>
        <xdr:cNvSpPr>
          <a:spLocks noChangeArrowheads="1"/>
        </xdr:cNvSpPr>
      </xdr:nvSpPr>
      <xdr:spPr bwMode="auto">
        <a:xfrm>
          <a:off x="7658100" y="1152525"/>
          <a:ext cx="1428750" cy="590550"/>
        </a:xfrm>
        <a:prstGeom prst="rect">
          <a:avLst/>
        </a:prstGeom>
        <a:solidFill>
          <a:srgbClr val="9933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200" b="0" i="0" strike="noStrike">
              <a:solidFill>
                <a:srgbClr val="000000"/>
              </a:solidFill>
              <a:latin typeface="Arial"/>
              <a:cs typeface="Arial"/>
            </a:rPr>
            <a:t>South</a:t>
          </a:r>
        </a:p>
        <a:p>
          <a:pPr algn="ctr" rtl="1">
            <a:defRPr sz="1000"/>
          </a:pPr>
          <a:r>
            <a:rPr lang="en-US" sz="1600" b="0" i="0" strike="noStrike">
              <a:solidFill>
                <a:srgbClr val="000000"/>
              </a:solidFill>
              <a:latin typeface="Arial"/>
              <a:cs typeface="Arial"/>
            </a:rPr>
            <a:t>AT</a:t>
          </a:r>
        </a:p>
      </xdr:txBody>
    </xdr:sp>
    <xdr:clientData/>
  </xdr:twoCellAnchor>
  <xdr:twoCellAnchor>
    <xdr:from>
      <xdr:col>15</xdr:col>
      <xdr:colOff>9525</xdr:colOff>
      <xdr:row>6</xdr:row>
      <xdr:rowOff>9525</xdr:rowOff>
    </xdr:from>
    <xdr:to>
      <xdr:col>16</xdr:col>
      <xdr:colOff>704850</xdr:colOff>
      <xdr:row>8</xdr:row>
      <xdr:rowOff>9525</xdr:rowOff>
    </xdr:to>
    <xdr:sp macro="" textlink="">
      <xdr:nvSpPr>
        <xdr:cNvPr id="13347" name="Rectangle 35"/>
        <xdr:cNvSpPr>
          <a:spLocks noChangeArrowheads="1"/>
        </xdr:cNvSpPr>
      </xdr:nvSpPr>
      <xdr:spPr bwMode="auto">
        <a:xfrm>
          <a:off x="10639425" y="1152525"/>
          <a:ext cx="1438275" cy="590550"/>
        </a:xfrm>
        <a:prstGeom prst="rect">
          <a:avLst/>
        </a:prstGeom>
        <a:solidFill>
          <a:srgbClr val="CC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200" b="0" i="0" strike="noStrike">
              <a:solidFill>
                <a:srgbClr val="000000"/>
              </a:solidFill>
              <a:latin typeface="Arial"/>
              <a:cs typeface="Arial"/>
            </a:rPr>
            <a:t>South</a:t>
          </a:r>
        </a:p>
        <a:p>
          <a:pPr algn="ctr" rtl="1">
            <a:defRPr sz="1000"/>
          </a:pPr>
          <a:r>
            <a:rPr lang="en-US" sz="1600" b="0" i="0" strike="noStrike">
              <a:solidFill>
                <a:srgbClr val="000000"/>
              </a:solidFill>
              <a:latin typeface="Arial"/>
              <a:cs typeface="Arial"/>
            </a:rPr>
            <a:t>FST</a:t>
          </a:r>
        </a:p>
      </xdr:txBody>
    </xdr:sp>
    <xdr:clientData/>
  </xdr:twoCellAnchor>
  <xdr:twoCellAnchor>
    <xdr:from>
      <xdr:col>11</xdr:col>
      <xdr:colOff>9525</xdr:colOff>
      <xdr:row>13</xdr:row>
      <xdr:rowOff>0</xdr:rowOff>
    </xdr:from>
    <xdr:to>
      <xdr:col>12</xdr:col>
      <xdr:colOff>676275</xdr:colOff>
      <xdr:row>15</xdr:row>
      <xdr:rowOff>0</xdr:rowOff>
    </xdr:to>
    <xdr:sp macro="" textlink="">
      <xdr:nvSpPr>
        <xdr:cNvPr id="13350" name="Rectangle 38"/>
        <xdr:cNvSpPr>
          <a:spLocks noChangeArrowheads="1"/>
        </xdr:cNvSpPr>
      </xdr:nvSpPr>
      <xdr:spPr bwMode="auto">
        <a:xfrm>
          <a:off x="7667625" y="2686050"/>
          <a:ext cx="1409700" cy="590550"/>
        </a:xfrm>
        <a:prstGeom prst="rect">
          <a:avLst/>
        </a:prstGeom>
        <a:solidFill>
          <a:srgbClr val="9933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200" b="0" i="0" strike="noStrike">
              <a:solidFill>
                <a:srgbClr val="000000"/>
              </a:solidFill>
              <a:latin typeface="Arial"/>
              <a:cs typeface="Arial"/>
            </a:rPr>
            <a:t>North</a:t>
          </a:r>
        </a:p>
        <a:p>
          <a:pPr algn="ctr" rtl="1">
            <a:defRPr sz="1000"/>
          </a:pPr>
          <a:r>
            <a:rPr lang="en-US" sz="1600" b="0" i="0" strike="noStrike">
              <a:solidFill>
                <a:srgbClr val="000000"/>
              </a:solidFill>
              <a:latin typeface="Arial"/>
              <a:cs typeface="Arial"/>
            </a:rPr>
            <a:t>AT</a:t>
          </a:r>
        </a:p>
      </xdr:txBody>
    </xdr:sp>
    <xdr:clientData/>
  </xdr:twoCellAnchor>
  <xdr:twoCellAnchor>
    <xdr:from>
      <xdr:col>15</xdr:col>
      <xdr:colOff>9525</xdr:colOff>
      <xdr:row>13</xdr:row>
      <xdr:rowOff>0</xdr:rowOff>
    </xdr:from>
    <xdr:to>
      <xdr:col>16</xdr:col>
      <xdr:colOff>704850</xdr:colOff>
      <xdr:row>15</xdr:row>
      <xdr:rowOff>0</xdr:rowOff>
    </xdr:to>
    <xdr:sp macro="" textlink="">
      <xdr:nvSpPr>
        <xdr:cNvPr id="13351" name="Rectangle 39"/>
        <xdr:cNvSpPr>
          <a:spLocks noChangeArrowheads="1"/>
        </xdr:cNvSpPr>
      </xdr:nvSpPr>
      <xdr:spPr bwMode="auto">
        <a:xfrm>
          <a:off x="10639425" y="2686050"/>
          <a:ext cx="1438275" cy="590550"/>
        </a:xfrm>
        <a:prstGeom prst="rect">
          <a:avLst/>
        </a:prstGeom>
        <a:solidFill>
          <a:srgbClr val="CC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200" b="0" i="0" strike="noStrike">
              <a:solidFill>
                <a:srgbClr val="000000"/>
              </a:solidFill>
              <a:latin typeface="Arial"/>
              <a:cs typeface="Arial"/>
            </a:rPr>
            <a:t>North</a:t>
          </a:r>
        </a:p>
        <a:p>
          <a:pPr algn="ctr" rtl="1">
            <a:defRPr sz="1000"/>
          </a:pPr>
          <a:r>
            <a:rPr lang="en-US" sz="1600" b="0" i="0" strike="noStrike">
              <a:solidFill>
                <a:srgbClr val="000000"/>
              </a:solidFill>
              <a:latin typeface="Arial"/>
              <a:cs typeface="Arial"/>
            </a:rPr>
            <a:t>FST</a:t>
          </a:r>
        </a:p>
      </xdr:txBody>
    </xdr:sp>
    <xdr:clientData/>
  </xdr:twoCellAnchor>
  <xdr:twoCellAnchor>
    <xdr:from>
      <xdr:col>20</xdr:col>
      <xdr:colOff>9525</xdr:colOff>
      <xdr:row>6</xdr:row>
      <xdr:rowOff>9525</xdr:rowOff>
    </xdr:from>
    <xdr:to>
      <xdr:col>21</xdr:col>
      <xdr:colOff>676275</xdr:colOff>
      <xdr:row>8</xdr:row>
      <xdr:rowOff>9525</xdr:rowOff>
    </xdr:to>
    <xdr:sp macro="" textlink="">
      <xdr:nvSpPr>
        <xdr:cNvPr id="13352" name="Rectangle 40"/>
        <xdr:cNvSpPr>
          <a:spLocks noChangeArrowheads="1"/>
        </xdr:cNvSpPr>
      </xdr:nvSpPr>
      <xdr:spPr bwMode="auto">
        <a:xfrm>
          <a:off x="14354175" y="1152525"/>
          <a:ext cx="1409700" cy="590550"/>
        </a:xfrm>
        <a:prstGeom prst="rect">
          <a:avLst/>
        </a:prstGeom>
        <a:solidFill>
          <a:srgbClr val="CCFFCC"/>
        </a:solidFill>
        <a:ln w="9525">
          <a:solidFill>
            <a:srgbClr val="000000"/>
          </a:solidFill>
          <a:miter lim="800000"/>
          <a:headEnd/>
          <a:tailEnd/>
        </a:ln>
      </xdr:spPr>
      <xdr:txBody>
        <a:bodyPr vertOverflow="clip" wrap="square" lIns="27432" tIns="22860" rIns="27432" bIns="0" anchor="t" upright="1"/>
        <a:lstStyle/>
        <a:p>
          <a:pPr algn="ctr" rtl="1">
            <a:defRPr sz="1000"/>
          </a:pPr>
          <a:endParaRPr lang="en-US" sz="1200" b="0" i="0" strike="noStrike">
            <a:solidFill>
              <a:srgbClr val="000000"/>
            </a:solidFill>
            <a:latin typeface="Arial"/>
            <a:cs typeface="Arial"/>
          </a:endParaRPr>
        </a:p>
        <a:p>
          <a:pPr algn="ctr" rtl="1">
            <a:defRPr sz="1000"/>
          </a:pPr>
          <a:r>
            <a:rPr lang="en-US" sz="1600" b="0" i="0" strike="noStrike">
              <a:solidFill>
                <a:srgbClr val="000000"/>
              </a:solidFill>
              <a:latin typeface="Arial"/>
              <a:cs typeface="Arial"/>
            </a:rPr>
            <a:t>CCT</a:t>
          </a:r>
        </a:p>
      </xdr:txBody>
    </xdr:sp>
    <xdr:clientData/>
  </xdr:twoCellAnchor>
  <xdr:twoCellAnchor>
    <xdr:from>
      <xdr:col>8</xdr:col>
      <xdr:colOff>676275</xdr:colOff>
      <xdr:row>7</xdr:row>
      <xdr:rowOff>9525</xdr:rowOff>
    </xdr:from>
    <xdr:to>
      <xdr:col>11</xdr:col>
      <xdr:colOff>0</xdr:colOff>
      <xdr:row>7</xdr:row>
      <xdr:rowOff>9525</xdr:rowOff>
    </xdr:to>
    <xdr:cxnSp macro="">
      <xdr:nvCxnSpPr>
        <xdr:cNvPr id="4603" name="AutoShape 41"/>
        <xdr:cNvCxnSpPr>
          <a:cxnSpLocks noChangeShapeType="1"/>
          <a:stCxn id="13344" idx="3"/>
          <a:endCxn id="13346" idx="1"/>
        </xdr:cNvCxnSpPr>
      </xdr:nvCxnSpPr>
      <xdr:spPr bwMode="auto">
        <a:xfrm>
          <a:off x="6105525" y="1447800"/>
          <a:ext cx="155257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695325</xdr:colOff>
      <xdr:row>14</xdr:row>
      <xdr:rowOff>0</xdr:rowOff>
    </xdr:from>
    <xdr:to>
      <xdr:col>11</xdr:col>
      <xdr:colOff>9525</xdr:colOff>
      <xdr:row>14</xdr:row>
      <xdr:rowOff>0</xdr:rowOff>
    </xdr:to>
    <xdr:cxnSp macro="">
      <xdr:nvCxnSpPr>
        <xdr:cNvPr id="4604" name="AutoShape 42"/>
        <xdr:cNvCxnSpPr>
          <a:cxnSpLocks noChangeShapeType="1"/>
          <a:stCxn id="13345" idx="3"/>
          <a:endCxn id="13350" idx="1"/>
        </xdr:cNvCxnSpPr>
      </xdr:nvCxnSpPr>
      <xdr:spPr bwMode="auto">
        <a:xfrm>
          <a:off x="6124575" y="2981325"/>
          <a:ext cx="1543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12</xdr:col>
      <xdr:colOff>676275</xdr:colOff>
      <xdr:row>14</xdr:row>
      <xdr:rowOff>0</xdr:rowOff>
    </xdr:from>
    <xdr:to>
      <xdr:col>15</xdr:col>
      <xdr:colOff>9525</xdr:colOff>
      <xdr:row>14</xdr:row>
      <xdr:rowOff>0</xdr:rowOff>
    </xdr:to>
    <xdr:cxnSp macro="">
      <xdr:nvCxnSpPr>
        <xdr:cNvPr id="4605" name="AutoShape 43"/>
        <xdr:cNvCxnSpPr>
          <a:cxnSpLocks noChangeShapeType="1"/>
          <a:stCxn id="13350" idx="3"/>
          <a:endCxn id="13351" idx="1"/>
        </xdr:cNvCxnSpPr>
      </xdr:nvCxnSpPr>
      <xdr:spPr bwMode="auto">
        <a:xfrm>
          <a:off x="9077325" y="2981325"/>
          <a:ext cx="156210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12</xdr:col>
      <xdr:colOff>685800</xdr:colOff>
      <xdr:row>7</xdr:row>
      <xdr:rowOff>9525</xdr:rowOff>
    </xdr:from>
    <xdr:to>
      <xdr:col>15</xdr:col>
      <xdr:colOff>9525</xdr:colOff>
      <xdr:row>7</xdr:row>
      <xdr:rowOff>9525</xdr:rowOff>
    </xdr:to>
    <xdr:cxnSp macro="">
      <xdr:nvCxnSpPr>
        <xdr:cNvPr id="4606" name="AutoShape 44"/>
        <xdr:cNvCxnSpPr>
          <a:cxnSpLocks noChangeShapeType="1"/>
          <a:stCxn id="13346" idx="3"/>
          <a:endCxn id="13347" idx="1"/>
        </xdr:cNvCxnSpPr>
      </xdr:nvCxnSpPr>
      <xdr:spPr bwMode="auto">
        <a:xfrm>
          <a:off x="9086850" y="1447800"/>
          <a:ext cx="155257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704850</xdr:colOff>
      <xdr:row>7</xdr:row>
      <xdr:rowOff>9525</xdr:rowOff>
    </xdr:from>
    <xdr:to>
      <xdr:col>20</xdr:col>
      <xdr:colOff>9525</xdr:colOff>
      <xdr:row>7</xdr:row>
      <xdr:rowOff>9525</xdr:rowOff>
    </xdr:to>
    <xdr:cxnSp macro="">
      <xdr:nvCxnSpPr>
        <xdr:cNvPr id="4607" name="AutoShape 45"/>
        <xdr:cNvCxnSpPr>
          <a:cxnSpLocks noChangeShapeType="1"/>
          <a:stCxn id="13347" idx="3"/>
          <a:endCxn id="13352" idx="1"/>
        </xdr:cNvCxnSpPr>
      </xdr:nvCxnSpPr>
      <xdr:spPr bwMode="auto">
        <a:xfrm>
          <a:off x="12077700" y="1447800"/>
          <a:ext cx="227647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704850</xdr:colOff>
      <xdr:row>7</xdr:row>
      <xdr:rowOff>9525</xdr:rowOff>
    </xdr:from>
    <xdr:to>
      <xdr:col>20</xdr:col>
      <xdr:colOff>9525</xdr:colOff>
      <xdr:row>14</xdr:row>
      <xdr:rowOff>0</xdr:rowOff>
    </xdr:to>
    <xdr:cxnSp macro="">
      <xdr:nvCxnSpPr>
        <xdr:cNvPr id="4608" name="AutoShape 46"/>
        <xdr:cNvCxnSpPr>
          <a:cxnSpLocks noChangeShapeType="1"/>
          <a:stCxn id="13351" idx="3"/>
          <a:endCxn id="13352" idx="1"/>
        </xdr:cNvCxnSpPr>
      </xdr:nvCxnSpPr>
      <xdr:spPr bwMode="auto">
        <a:xfrm flipV="1">
          <a:off x="12077700" y="1447800"/>
          <a:ext cx="2276475" cy="1533525"/>
        </a:xfrm>
        <a:prstGeom prst="bentConnector3">
          <a:avLst>
            <a:gd name="adj1" fmla="val 30769"/>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21</xdr:col>
      <xdr:colOff>676275</xdr:colOff>
      <xdr:row>7</xdr:row>
      <xdr:rowOff>9525</xdr:rowOff>
    </xdr:from>
    <xdr:to>
      <xdr:col>23</xdr:col>
      <xdr:colOff>466725</xdr:colOff>
      <xdr:row>7</xdr:row>
      <xdr:rowOff>9525</xdr:rowOff>
    </xdr:to>
    <xdr:cxnSp macro="">
      <xdr:nvCxnSpPr>
        <xdr:cNvPr id="4609" name="AutoShape 47"/>
        <xdr:cNvCxnSpPr>
          <a:cxnSpLocks noChangeShapeType="1"/>
          <a:stCxn id="13352" idx="3"/>
        </xdr:cNvCxnSpPr>
      </xdr:nvCxnSpPr>
      <xdr:spPr bwMode="auto">
        <a:xfrm>
          <a:off x="15763875" y="1447800"/>
          <a:ext cx="12763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390525</xdr:colOff>
      <xdr:row>6</xdr:row>
      <xdr:rowOff>9525</xdr:rowOff>
    </xdr:from>
    <xdr:to>
      <xdr:col>5</xdr:col>
      <xdr:colOff>0</xdr:colOff>
      <xdr:row>8</xdr:row>
      <xdr:rowOff>9525</xdr:rowOff>
    </xdr:to>
    <xdr:sp macro="" textlink="">
      <xdr:nvSpPr>
        <xdr:cNvPr id="13368" name="Rectangle 56"/>
        <xdr:cNvSpPr>
          <a:spLocks noChangeArrowheads="1"/>
        </xdr:cNvSpPr>
      </xdr:nvSpPr>
      <xdr:spPr bwMode="auto">
        <a:xfrm>
          <a:off x="2105025" y="1152525"/>
          <a:ext cx="1095375" cy="590550"/>
        </a:xfrm>
        <a:prstGeom prst="rect">
          <a:avLst/>
        </a:prstGeom>
        <a:solidFill>
          <a:srgbClr val="FFFFFF"/>
        </a:solidFill>
        <a:ln w="9525">
          <a:solidFill>
            <a:srgbClr val="000000"/>
          </a:solidFill>
          <a:miter lim="800000"/>
          <a:headEnd/>
          <a:tailEnd/>
        </a:ln>
      </xdr:spPr>
      <xdr:txBody>
        <a:bodyPr vertOverflow="clip" wrap="square" lIns="36576" tIns="32004" rIns="36576" bIns="0" anchor="t" upright="1"/>
        <a:lstStyle/>
        <a:p>
          <a:pPr algn="ctr" rtl="1">
            <a:defRPr sz="1000"/>
          </a:pPr>
          <a:r>
            <a:rPr lang="en-US" sz="1600" b="0" i="0" strike="noStrike">
              <a:solidFill>
                <a:srgbClr val="000000"/>
              </a:solidFill>
              <a:latin typeface="Arial"/>
              <a:cs typeface="Arial"/>
            </a:rPr>
            <a:t>Division Structure</a:t>
          </a:r>
        </a:p>
      </xdr:txBody>
    </xdr:sp>
    <xdr:clientData/>
  </xdr:twoCellAnchor>
  <xdr:twoCellAnchor>
    <xdr:from>
      <xdr:col>5</xdr:col>
      <xdr:colOff>0</xdr:colOff>
      <xdr:row>7</xdr:row>
      <xdr:rowOff>9525</xdr:rowOff>
    </xdr:from>
    <xdr:to>
      <xdr:col>7</xdr:col>
      <xdr:colOff>9525</xdr:colOff>
      <xdr:row>7</xdr:row>
      <xdr:rowOff>9525</xdr:rowOff>
    </xdr:to>
    <xdr:cxnSp macro="">
      <xdr:nvCxnSpPr>
        <xdr:cNvPr id="4611" name="AutoShape 57"/>
        <xdr:cNvCxnSpPr>
          <a:cxnSpLocks noChangeShapeType="1"/>
          <a:stCxn id="13368" idx="3"/>
          <a:endCxn id="13344" idx="1"/>
        </xdr:cNvCxnSpPr>
      </xdr:nvCxnSpPr>
      <xdr:spPr bwMode="auto">
        <a:xfrm>
          <a:off x="3200400" y="1447800"/>
          <a:ext cx="14954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0</xdr:colOff>
      <xdr:row>7</xdr:row>
      <xdr:rowOff>9525</xdr:rowOff>
    </xdr:from>
    <xdr:to>
      <xdr:col>7</xdr:col>
      <xdr:colOff>9525</xdr:colOff>
      <xdr:row>14</xdr:row>
      <xdr:rowOff>0</xdr:rowOff>
    </xdr:to>
    <xdr:cxnSp macro="">
      <xdr:nvCxnSpPr>
        <xdr:cNvPr id="4612" name="AutoShape 58"/>
        <xdr:cNvCxnSpPr>
          <a:cxnSpLocks noChangeShapeType="1"/>
          <a:stCxn id="13368" idx="3"/>
          <a:endCxn id="13345" idx="1"/>
        </xdr:cNvCxnSpPr>
      </xdr:nvCxnSpPr>
      <xdr:spPr bwMode="auto">
        <a:xfrm>
          <a:off x="3200400" y="1447800"/>
          <a:ext cx="1495425" cy="1533525"/>
        </a:xfrm>
        <a:prstGeom prst="bentConnector3">
          <a:avLst>
            <a:gd name="adj1" fmla="val 33083"/>
          </a:avLst>
        </a:prstGeom>
        <a:noFill/>
        <a:ln w="1270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xdr:col>
      <xdr:colOff>533400</xdr:colOff>
      <xdr:row>7</xdr:row>
      <xdr:rowOff>9525</xdr:rowOff>
    </xdr:from>
    <xdr:to>
      <xdr:col>3</xdr:col>
      <xdr:colOff>390525</xdr:colOff>
      <xdr:row>7</xdr:row>
      <xdr:rowOff>9525</xdr:rowOff>
    </xdr:to>
    <xdr:cxnSp macro="">
      <xdr:nvCxnSpPr>
        <xdr:cNvPr id="4613" name="AutoShape 59"/>
        <xdr:cNvCxnSpPr>
          <a:cxnSpLocks noChangeShapeType="1"/>
          <a:endCxn id="13368" idx="1"/>
        </xdr:cNvCxnSpPr>
      </xdr:nvCxnSpPr>
      <xdr:spPr bwMode="auto">
        <a:xfrm>
          <a:off x="609600" y="1447800"/>
          <a:ext cx="14954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0</xdr:colOff>
      <xdr:row>7</xdr:row>
      <xdr:rowOff>9525</xdr:rowOff>
    </xdr:from>
    <xdr:to>
      <xdr:col>15</xdr:col>
      <xdr:colOff>733425</xdr:colOff>
      <xdr:row>8</xdr:row>
      <xdr:rowOff>9525</xdr:rowOff>
    </xdr:to>
    <xdr:cxnSp macro="">
      <xdr:nvCxnSpPr>
        <xdr:cNvPr id="4614" name="AutoShape 60"/>
        <xdr:cNvCxnSpPr>
          <a:cxnSpLocks noChangeShapeType="1"/>
          <a:stCxn id="13347" idx="2"/>
          <a:endCxn id="13346" idx="1"/>
        </xdr:cNvCxnSpPr>
      </xdr:nvCxnSpPr>
      <xdr:spPr bwMode="auto">
        <a:xfrm rot="16200000" flipV="1">
          <a:off x="9363075" y="-257175"/>
          <a:ext cx="295275" cy="3705225"/>
        </a:xfrm>
        <a:prstGeom prst="bentConnector4">
          <a:avLst>
            <a:gd name="adj1" fmla="val -59093"/>
            <a:gd name="adj2" fmla="val 106171"/>
          </a:avLst>
        </a:prstGeom>
        <a:noFill/>
        <a:ln w="12700">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9525</xdr:colOff>
      <xdr:row>14</xdr:row>
      <xdr:rowOff>0</xdr:rowOff>
    </xdr:from>
    <xdr:to>
      <xdr:col>15</xdr:col>
      <xdr:colOff>733425</xdr:colOff>
      <xdr:row>15</xdr:row>
      <xdr:rowOff>0</xdr:rowOff>
    </xdr:to>
    <xdr:cxnSp macro="">
      <xdr:nvCxnSpPr>
        <xdr:cNvPr id="4615" name="AutoShape 61"/>
        <xdr:cNvCxnSpPr>
          <a:cxnSpLocks noChangeShapeType="1"/>
          <a:stCxn id="13351" idx="2"/>
          <a:endCxn id="13350" idx="1"/>
        </xdr:cNvCxnSpPr>
      </xdr:nvCxnSpPr>
      <xdr:spPr bwMode="auto">
        <a:xfrm rot="16200000" flipV="1">
          <a:off x="9367837" y="1281113"/>
          <a:ext cx="295275" cy="3695700"/>
        </a:xfrm>
        <a:prstGeom prst="bentConnector4">
          <a:avLst>
            <a:gd name="adj1" fmla="val -63639"/>
            <a:gd name="adj2" fmla="val 106185"/>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771525</xdr:colOff>
      <xdr:row>21</xdr:row>
      <xdr:rowOff>9525</xdr:rowOff>
    </xdr:from>
    <xdr:to>
      <xdr:col>5</xdr:col>
      <xdr:colOff>561975</xdr:colOff>
      <xdr:row>24</xdr:row>
      <xdr:rowOff>352425</xdr:rowOff>
    </xdr:to>
    <xdr:sp macro="" textlink="">
      <xdr:nvSpPr>
        <xdr:cNvPr id="13374" name="Oval 62"/>
        <xdr:cNvSpPr>
          <a:spLocks noChangeArrowheads="1"/>
        </xdr:cNvSpPr>
      </xdr:nvSpPr>
      <xdr:spPr bwMode="auto">
        <a:xfrm>
          <a:off x="2457450" y="4429125"/>
          <a:ext cx="1304925" cy="1104900"/>
        </a:xfrm>
        <a:prstGeom prst="ellipse">
          <a:avLst/>
        </a:prstGeom>
        <a:solidFill>
          <a:srgbClr val="FFFFFF"/>
        </a:solidFill>
        <a:ln w="9525">
          <a:solidFill>
            <a:srgbClr val="000000"/>
          </a:solidFill>
          <a:round/>
          <a:headEnd/>
          <a:tailEnd/>
        </a:ln>
      </xdr:spPr>
      <xdr:txBody>
        <a:bodyPr vertOverflow="clip" wrap="square" lIns="36576" tIns="32004" rIns="0" bIns="0" anchor="t" upright="1"/>
        <a:lstStyle/>
        <a:p>
          <a:pPr algn="l" rtl="1">
            <a:defRPr sz="1000"/>
          </a:pPr>
          <a:endParaRPr lang="en-US" sz="1600" b="0" i="0" strike="noStrike">
            <a:solidFill>
              <a:srgbClr val="000000"/>
            </a:solidFill>
            <a:latin typeface="Arial"/>
            <a:cs typeface="Arial"/>
          </a:endParaRPr>
        </a:p>
        <a:p>
          <a:pPr algn="l" rtl="1">
            <a:defRPr sz="1000"/>
          </a:pPr>
          <a:r>
            <a:rPr lang="en-US" sz="1400" b="0" i="0" strike="noStrike">
              <a:solidFill>
                <a:srgbClr val="000000"/>
              </a:solidFill>
              <a:latin typeface="Arial"/>
              <a:cs typeface="Arial"/>
            </a:rPr>
            <a:t>Thickeners</a:t>
          </a:r>
        </a:p>
      </xdr:txBody>
    </xdr:sp>
    <xdr:clientData/>
  </xdr:twoCellAnchor>
  <xdr:twoCellAnchor>
    <xdr:from>
      <xdr:col>9</xdr:col>
      <xdr:colOff>76200</xdr:colOff>
      <xdr:row>21</xdr:row>
      <xdr:rowOff>9525</xdr:rowOff>
    </xdr:from>
    <xdr:to>
      <xdr:col>10</xdr:col>
      <xdr:colOff>685800</xdr:colOff>
      <xdr:row>25</xdr:row>
      <xdr:rowOff>0</xdr:rowOff>
    </xdr:to>
    <xdr:sp macro="" textlink="">
      <xdr:nvSpPr>
        <xdr:cNvPr id="13375" name="Oval 63"/>
        <xdr:cNvSpPr>
          <a:spLocks noChangeArrowheads="1"/>
        </xdr:cNvSpPr>
      </xdr:nvSpPr>
      <xdr:spPr bwMode="auto">
        <a:xfrm>
          <a:off x="6248400" y="4429125"/>
          <a:ext cx="1352550" cy="1104900"/>
        </a:xfrm>
        <a:prstGeom prst="ellipse">
          <a:avLst/>
        </a:prstGeom>
        <a:solidFill>
          <a:srgbClr val="FFFFFF"/>
        </a:solidFill>
        <a:ln w="9525">
          <a:solidFill>
            <a:srgbClr val="000000"/>
          </a:solidFill>
          <a:round/>
          <a:headEnd/>
          <a:tailEnd/>
        </a:ln>
      </xdr:spPr>
      <xdr:txBody>
        <a:bodyPr vertOverflow="clip" wrap="square" lIns="27432" tIns="22860" rIns="27432" bIns="0" anchor="t" upright="1"/>
        <a:lstStyle/>
        <a:p>
          <a:pPr algn="ctr" rtl="1">
            <a:defRPr sz="1000"/>
          </a:pPr>
          <a:endParaRPr lang="en-US" sz="1200" b="0" i="0" strike="noStrike">
            <a:solidFill>
              <a:srgbClr val="000000"/>
            </a:solidFill>
            <a:latin typeface="Arial"/>
            <a:cs typeface="Arial"/>
          </a:endParaRPr>
        </a:p>
        <a:p>
          <a:pPr algn="ctr" rtl="1">
            <a:defRPr sz="1000"/>
          </a:pPr>
          <a:r>
            <a:rPr lang="en-US" sz="1600" b="0" i="0" strike="noStrike">
              <a:solidFill>
                <a:srgbClr val="000000"/>
              </a:solidFill>
              <a:latin typeface="Arial"/>
              <a:cs typeface="Arial"/>
            </a:rPr>
            <a:t>Digesters</a:t>
          </a:r>
        </a:p>
      </xdr:txBody>
    </xdr:sp>
    <xdr:clientData/>
  </xdr:twoCellAnchor>
  <xdr:twoCellAnchor>
    <xdr:from>
      <xdr:col>18</xdr:col>
      <xdr:colOff>57150</xdr:colOff>
      <xdr:row>22</xdr:row>
      <xdr:rowOff>0</xdr:rowOff>
    </xdr:from>
    <xdr:to>
      <xdr:col>20</xdr:col>
      <xdr:colOff>47625</xdr:colOff>
      <xdr:row>24</xdr:row>
      <xdr:rowOff>0</xdr:rowOff>
    </xdr:to>
    <xdr:sp macro="" textlink="">
      <xdr:nvSpPr>
        <xdr:cNvPr id="13376" name="Rectangle 64"/>
        <xdr:cNvSpPr>
          <a:spLocks noChangeArrowheads="1"/>
        </xdr:cNvSpPr>
      </xdr:nvSpPr>
      <xdr:spPr bwMode="auto">
        <a:xfrm>
          <a:off x="12915900" y="4714875"/>
          <a:ext cx="1476375" cy="5905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endParaRPr lang="en-US" sz="1200" b="0" i="0" strike="noStrike">
            <a:solidFill>
              <a:srgbClr val="000000"/>
            </a:solidFill>
            <a:latin typeface="Arial"/>
            <a:cs typeface="Arial"/>
          </a:endParaRPr>
        </a:p>
        <a:p>
          <a:pPr algn="ctr" rtl="1">
            <a:defRPr sz="1000"/>
          </a:pPr>
          <a:r>
            <a:rPr lang="en-US" sz="1600" b="0" i="0" strike="noStrike">
              <a:solidFill>
                <a:srgbClr val="000000"/>
              </a:solidFill>
              <a:latin typeface="Arial"/>
              <a:cs typeface="Arial"/>
            </a:rPr>
            <a:t>Dewatering</a:t>
          </a:r>
        </a:p>
        <a:p>
          <a:pPr algn="ctr" rtl="1">
            <a:defRPr sz="1000"/>
          </a:pPr>
          <a:endParaRPr lang="en-US" sz="1600" b="0" i="0" strike="noStrike">
            <a:solidFill>
              <a:srgbClr val="000000"/>
            </a:solidFill>
            <a:latin typeface="Arial"/>
            <a:cs typeface="Arial"/>
          </a:endParaRPr>
        </a:p>
      </xdr:txBody>
    </xdr:sp>
    <xdr:clientData/>
  </xdr:twoCellAnchor>
  <xdr:twoCellAnchor>
    <xdr:from>
      <xdr:col>4</xdr:col>
      <xdr:colOff>657225</xdr:colOff>
      <xdr:row>15</xdr:row>
      <xdr:rowOff>0</xdr:rowOff>
    </xdr:from>
    <xdr:to>
      <xdr:col>15</xdr:col>
      <xdr:colOff>733425</xdr:colOff>
      <xdr:row>21</xdr:row>
      <xdr:rowOff>9525</xdr:rowOff>
    </xdr:to>
    <xdr:cxnSp macro="">
      <xdr:nvCxnSpPr>
        <xdr:cNvPr id="4619" name="AutoShape 70"/>
        <xdr:cNvCxnSpPr>
          <a:cxnSpLocks noChangeShapeType="1"/>
          <a:stCxn id="13351" idx="2"/>
          <a:endCxn id="13374" idx="0"/>
        </xdr:cNvCxnSpPr>
      </xdr:nvCxnSpPr>
      <xdr:spPr bwMode="auto">
        <a:xfrm rot="5400000">
          <a:off x="6662737" y="-271462"/>
          <a:ext cx="1152525" cy="8248650"/>
        </a:xfrm>
        <a:prstGeom prst="bentConnector3">
          <a:avLst>
            <a:gd name="adj1" fmla="val 50000"/>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xdr:col>
      <xdr:colOff>676275</xdr:colOff>
      <xdr:row>8</xdr:row>
      <xdr:rowOff>9525</xdr:rowOff>
    </xdr:from>
    <xdr:to>
      <xdr:col>16</xdr:col>
      <xdr:colOff>9525</xdr:colOff>
      <xdr:row>21</xdr:row>
      <xdr:rowOff>9525</xdr:rowOff>
    </xdr:to>
    <xdr:cxnSp macro="">
      <xdr:nvCxnSpPr>
        <xdr:cNvPr id="4620" name="AutoShape 71"/>
        <xdr:cNvCxnSpPr>
          <a:cxnSpLocks noChangeShapeType="1"/>
        </xdr:cNvCxnSpPr>
      </xdr:nvCxnSpPr>
      <xdr:spPr bwMode="auto">
        <a:xfrm rot="5400000">
          <a:off x="5915025" y="-1038225"/>
          <a:ext cx="2686050" cy="8248650"/>
        </a:xfrm>
        <a:prstGeom prst="bentConnector3">
          <a:avLst>
            <a:gd name="adj1" fmla="val 20917"/>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xdr:col>
      <xdr:colOff>657225</xdr:colOff>
      <xdr:row>22</xdr:row>
      <xdr:rowOff>266700</xdr:rowOff>
    </xdr:from>
    <xdr:to>
      <xdr:col>9</xdr:col>
      <xdr:colOff>76200</xdr:colOff>
      <xdr:row>25</xdr:row>
      <xdr:rowOff>0</xdr:rowOff>
    </xdr:to>
    <xdr:cxnSp macro="">
      <xdr:nvCxnSpPr>
        <xdr:cNvPr id="4621" name="AutoShape 75"/>
        <xdr:cNvCxnSpPr>
          <a:cxnSpLocks noChangeShapeType="1"/>
          <a:stCxn id="13374" idx="4"/>
          <a:endCxn id="13375" idx="2"/>
        </xdr:cNvCxnSpPr>
      </xdr:nvCxnSpPr>
      <xdr:spPr bwMode="auto">
        <a:xfrm rot="5400000" flipH="1" flipV="1">
          <a:off x="4405313" y="3690937"/>
          <a:ext cx="552450" cy="3133725"/>
        </a:xfrm>
        <a:prstGeom prst="bentConnector4">
          <a:avLst>
            <a:gd name="adj1" fmla="val -56102"/>
            <a:gd name="adj2" fmla="val 66949"/>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771525</xdr:colOff>
      <xdr:row>8</xdr:row>
      <xdr:rowOff>9525</xdr:rowOff>
    </xdr:from>
    <xdr:to>
      <xdr:col>4</xdr:col>
      <xdr:colOff>200025</xdr:colOff>
      <xdr:row>22</xdr:row>
      <xdr:rowOff>381000</xdr:rowOff>
    </xdr:to>
    <xdr:cxnSp macro="">
      <xdr:nvCxnSpPr>
        <xdr:cNvPr id="4622" name="AutoShape 76"/>
        <xdr:cNvCxnSpPr>
          <a:cxnSpLocks noChangeShapeType="1"/>
          <a:stCxn id="13374" idx="2"/>
          <a:endCxn id="13368" idx="2"/>
        </xdr:cNvCxnSpPr>
      </xdr:nvCxnSpPr>
      <xdr:spPr bwMode="auto">
        <a:xfrm rot="10800000" flipH="1">
          <a:off x="2457450" y="1743075"/>
          <a:ext cx="200025" cy="3267075"/>
        </a:xfrm>
        <a:prstGeom prst="bentConnector4">
          <a:avLst>
            <a:gd name="adj1" fmla="val -450000"/>
            <a:gd name="adj2" fmla="val 56444"/>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47625</xdr:colOff>
      <xdr:row>23</xdr:row>
      <xdr:rowOff>0</xdr:rowOff>
    </xdr:from>
    <xdr:to>
      <xdr:col>23</xdr:col>
      <xdr:colOff>0</xdr:colOff>
      <xdr:row>23</xdr:row>
      <xdr:rowOff>0</xdr:rowOff>
    </xdr:to>
    <xdr:cxnSp macro="">
      <xdr:nvCxnSpPr>
        <xdr:cNvPr id="4623" name="AutoShape 77"/>
        <xdr:cNvCxnSpPr>
          <a:cxnSpLocks noChangeShapeType="1"/>
          <a:stCxn id="13376" idx="3"/>
        </xdr:cNvCxnSpPr>
      </xdr:nvCxnSpPr>
      <xdr:spPr bwMode="auto">
        <a:xfrm>
          <a:off x="14392275" y="5010150"/>
          <a:ext cx="2181225" cy="0"/>
        </a:xfrm>
        <a:prstGeom prst="straightConnector1">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10</xdr:col>
      <xdr:colOff>9525</xdr:colOff>
      <xdr:row>23</xdr:row>
      <xdr:rowOff>0</xdr:rowOff>
    </xdr:from>
    <xdr:to>
      <xdr:col>14</xdr:col>
      <xdr:colOff>57150</xdr:colOff>
      <xdr:row>25</xdr:row>
      <xdr:rowOff>0</xdr:rowOff>
    </xdr:to>
    <xdr:cxnSp macro="">
      <xdr:nvCxnSpPr>
        <xdr:cNvPr id="4624" name="AutoShape 80"/>
        <xdr:cNvCxnSpPr>
          <a:cxnSpLocks noChangeShapeType="1"/>
          <a:stCxn id="13375" idx="4"/>
          <a:endCxn id="13376" idx="1"/>
        </xdr:cNvCxnSpPr>
      </xdr:nvCxnSpPr>
      <xdr:spPr bwMode="auto">
        <a:xfrm rot="5400000" flipH="1" flipV="1">
          <a:off x="8172450" y="3762375"/>
          <a:ext cx="523875" cy="3019425"/>
        </a:xfrm>
        <a:prstGeom prst="bentConnector4">
          <a:avLst>
            <a:gd name="adj1" fmla="val -56412"/>
            <a:gd name="adj2" fmla="val 65468"/>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38100</xdr:colOff>
      <xdr:row>21</xdr:row>
      <xdr:rowOff>38100</xdr:rowOff>
    </xdr:from>
    <xdr:to>
      <xdr:col>15</xdr:col>
      <xdr:colOff>647700</xdr:colOff>
      <xdr:row>25</xdr:row>
      <xdr:rowOff>28575</xdr:rowOff>
    </xdr:to>
    <xdr:sp macro="" textlink="">
      <xdr:nvSpPr>
        <xdr:cNvPr id="13393" name="Oval 81"/>
        <xdr:cNvSpPr>
          <a:spLocks noChangeArrowheads="1"/>
        </xdr:cNvSpPr>
      </xdr:nvSpPr>
      <xdr:spPr bwMode="auto">
        <a:xfrm>
          <a:off x="9925050" y="4457700"/>
          <a:ext cx="1352550" cy="1104900"/>
        </a:xfrm>
        <a:prstGeom prst="ellipse">
          <a:avLst/>
        </a:prstGeom>
        <a:solidFill>
          <a:srgbClr val="FFFFFF"/>
        </a:solidFill>
        <a:ln w="9525">
          <a:solidFill>
            <a:srgbClr val="000000"/>
          </a:solidFill>
          <a:round/>
          <a:headEnd/>
          <a:tailEnd/>
        </a:ln>
      </xdr:spPr>
      <xdr:txBody>
        <a:bodyPr vertOverflow="clip" wrap="square" lIns="27432" tIns="22860" rIns="27432" bIns="0" anchor="t" upright="1"/>
        <a:lstStyle/>
        <a:p>
          <a:pPr algn="ctr" rtl="1">
            <a:defRPr sz="1000"/>
          </a:pPr>
          <a:endParaRPr lang="en-US" sz="1200" b="0" i="0" strike="noStrike">
            <a:solidFill>
              <a:srgbClr val="000000"/>
            </a:solidFill>
            <a:latin typeface="Arial"/>
            <a:cs typeface="Arial"/>
          </a:endParaRPr>
        </a:p>
        <a:p>
          <a:pPr algn="ctr" rtl="1">
            <a:defRPr sz="1000"/>
          </a:pPr>
          <a:r>
            <a:rPr lang="en-US" sz="1600" b="0" i="0" strike="noStrike">
              <a:solidFill>
                <a:srgbClr val="000000"/>
              </a:solidFill>
              <a:latin typeface="Arial"/>
              <a:cs typeface="Arial"/>
            </a:rPr>
            <a:t>Storage</a:t>
          </a:r>
        </a:p>
        <a:p>
          <a:pPr algn="ctr" rtl="1">
            <a:defRPr sz="1000"/>
          </a:pPr>
          <a:endParaRPr lang="en-US" sz="1600" b="0" i="0" strike="noStrike">
            <a:solidFill>
              <a:srgbClr val="000000"/>
            </a:solidFill>
            <a:latin typeface="Arial"/>
            <a:cs typeface="Arial"/>
          </a:endParaRPr>
        </a:p>
      </xdr:txBody>
    </xdr:sp>
    <xdr:clientData/>
  </xdr:twoCellAnchor>
  <xdr:twoCellAnchor>
    <xdr:from>
      <xdr:col>15</xdr:col>
      <xdr:colOff>647700</xdr:colOff>
      <xdr:row>23</xdr:row>
      <xdr:rowOff>0</xdr:rowOff>
    </xdr:from>
    <xdr:to>
      <xdr:col>18</xdr:col>
      <xdr:colOff>57150</xdr:colOff>
      <xdr:row>23</xdr:row>
      <xdr:rowOff>0</xdr:rowOff>
    </xdr:to>
    <xdr:cxnSp macro="">
      <xdr:nvCxnSpPr>
        <xdr:cNvPr id="4626" name="AutoShape 82"/>
        <xdr:cNvCxnSpPr>
          <a:cxnSpLocks noChangeShapeType="1"/>
          <a:stCxn id="13393" idx="6"/>
          <a:endCxn id="13376" idx="1"/>
        </xdr:cNvCxnSpPr>
      </xdr:nvCxnSpPr>
      <xdr:spPr bwMode="auto">
        <a:xfrm>
          <a:off x="11277600" y="5010150"/>
          <a:ext cx="1638300" cy="0"/>
        </a:xfrm>
        <a:prstGeom prst="straightConnector1">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323850</xdr:colOff>
      <xdr:row>24</xdr:row>
      <xdr:rowOff>0</xdr:rowOff>
    </xdr:from>
    <xdr:to>
      <xdr:col>19</xdr:col>
      <xdr:colOff>57150</xdr:colOff>
      <xdr:row>30</xdr:row>
      <xdr:rowOff>180975</xdr:rowOff>
    </xdr:to>
    <xdr:cxnSp macro="">
      <xdr:nvCxnSpPr>
        <xdr:cNvPr id="4627" name="AutoShape 83"/>
        <xdr:cNvCxnSpPr>
          <a:cxnSpLocks noChangeShapeType="1"/>
          <a:stCxn id="13376" idx="2"/>
        </xdr:cNvCxnSpPr>
      </xdr:nvCxnSpPr>
      <xdr:spPr bwMode="auto">
        <a:xfrm rot="5400000">
          <a:off x="10139362" y="3148013"/>
          <a:ext cx="1362075" cy="5676900"/>
        </a:xfrm>
        <a:prstGeom prst="bentConnector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xdr:col>
      <xdr:colOff>657225</xdr:colOff>
      <xdr:row>8</xdr:row>
      <xdr:rowOff>9525</xdr:rowOff>
    </xdr:from>
    <xdr:to>
      <xdr:col>7</xdr:col>
      <xdr:colOff>714375</xdr:colOff>
      <xdr:row>21</xdr:row>
      <xdr:rowOff>9525</xdr:rowOff>
    </xdr:to>
    <xdr:cxnSp macro="">
      <xdr:nvCxnSpPr>
        <xdr:cNvPr id="4628" name="AutoShape 85"/>
        <xdr:cNvCxnSpPr>
          <a:cxnSpLocks noChangeShapeType="1"/>
          <a:stCxn id="13344" idx="2"/>
          <a:endCxn id="13374" idx="0"/>
        </xdr:cNvCxnSpPr>
      </xdr:nvCxnSpPr>
      <xdr:spPr bwMode="auto">
        <a:xfrm rot="5400000">
          <a:off x="2914650" y="1943100"/>
          <a:ext cx="2686050" cy="2286000"/>
        </a:xfrm>
        <a:prstGeom prst="bentConnector3">
          <a:avLst>
            <a:gd name="adj1" fmla="val 7069"/>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xdr:col>
      <xdr:colOff>657225</xdr:colOff>
      <xdr:row>15</xdr:row>
      <xdr:rowOff>0</xdr:rowOff>
    </xdr:from>
    <xdr:to>
      <xdr:col>7</xdr:col>
      <xdr:colOff>723900</xdr:colOff>
      <xdr:row>21</xdr:row>
      <xdr:rowOff>9525</xdr:rowOff>
    </xdr:to>
    <xdr:cxnSp macro="">
      <xdr:nvCxnSpPr>
        <xdr:cNvPr id="4629" name="AutoShape 86"/>
        <xdr:cNvCxnSpPr>
          <a:cxnSpLocks noChangeShapeType="1"/>
          <a:stCxn id="13345" idx="2"/>
          <a:endCxn id="13374" idx="0"/>
        </xdr:cNvCxnSpPr>
      </xdr:nvCxnSpPr>
      <xdr:spPr bwMode="auto">
        <a:xfrm rot="5400000">
          <a:off x="3686175" y="2705100"/>
          <a:ext cx="1152525" cy="2295525"/>
        </a:xfrm>
        <a:prstGeom prst="bentConnector3">
          <a:avLst>
            <a:gd name="adj1" fmla="val 17644"/>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X182"/>
  <sheetViews>
    <sheetView showGridLines="0" tabSelected="1" defaultGridColor="0" topLeftCell="Y1" colorId="59" zoomScale="70" zoomScaleNormal="70" workbookViewId="0">
      <selection activeCell="AH13" sqref="AH13"/>
    </sheetView>
  </sheetViews>
  <sheetFormatPr defaultColWidth="11.6328125" defaultRowHeight="15"/>
  <cols>
    <col min="1" max="1" width="15.6328125" style="21" customWidth="1"/>
    <col min="2" max="2" width="3.6328125" style="21" customWidth="1"/>
    <col min="3" max="3" width="11.6328125" style="21"/>
    <col min="4" max="6" width="12.6328125" style="21" customWidth="1"/>
    <col min="7" max="7" width="14.6328125" style="21" customWidth="1"/>
    <col min="8" max="8" width="12.6328125" style="21" customWidth="1"/>
    <col min="9" max="9" width="17.6328125" style="21" customWidth="1"/>
    <col min="10" max="10" width="12.26953125" style="21" customWidth="1"/>
    <col min="11" max="11" width="12.6328125" style="21" customWidth="1"/>
    <col min="12" max="12" width="0" style="21" hidden="1" customWidth="1"/>
    <col min="13" max="13" width="12.54296875" style="21" customWidth="1"/>
    <col min="14" max="14" width="11.6328125" style="21"/>
    <col min="15" max="15" width="0" style="21" hidden="1" customWidth="1"/>
    <col min="16" max="17" width="15.6328125" style="21" hidden="1" customWidth="1"/>
    <col min="18" max="19" width="14.6328125" style="21" customWidth="1"/>
    <col min="20" max="20" width="17.6328125" style="21" customWidth="1"/>
    <col min="21" max="21" width="15.7265625" style="21" customWidth="1"/>
    <col min="22" max="22" width="13.6328125" style="576" customWidth="1"/>
    <col min="23" max="23" width="10.6328125" style="577" customWidth="1"/>
    <col min="24" max="28" width="12.6328125" style="577" customWidth="1"/>
    <col min="29" max="29" width="16.6328125" style="577" customWidth="1"/>
    <col min="30" max="30" width="4.6328125" style="577" customWidth="1"/>
    <col min="31" max="31" width="14.90625" style="577" customWidth="1"/>
    <col min="32" max="32" width="3.81640625" style="577" customWidth="1"/>
    <col min="33" max="33" width="13.90625" style="577" customWidth="1"/>
    <col min="34" max="34" width="64.453125" style="577" customWidth="1"/>
    <col min="35" max="35" width="27.54296875" style="577" customWidth="1"/>
    <col min="36" max="36" width="11.6328125" style="577"/>
    <col min="37" max="37" width="10.6328125" style="577" customWidth="1"/>
    <col min="38" max="46" width="12.6328125" style="577" customWidth="1"/>
    <col min="47" max="47" width="12.453125" style="577" customWidth="1"/>
    <col min="48" max="48" width="12.6328125" style="577" customWidth="1"/>
    <col min="49" max="49" width="11.6328125" style="577"/>
    <col min="50" max="51" width="12.6328125" style="577" customWidth="1"/>
    <col min="52" max="52" width="14.6328125" style="577" customWidth="1"/>
    <col min="53" max="54" width="12.6328125" style="577" customWidth="1"/>
    <col min="55" max="57" width="11.6328125" style="577"/>
    <col min="58" max="58" width="16.6328125" style="577" customWidth="1"/>
    <col min="59" max="60" width="11.6328125" style="577"/>
    <col min="61" max="61" width="4.6328125" style="577" customWidth="1"/>
    <col min="62" max="62" width="17.6328125" style="577" customWidth="1"/>
    <col min="63" max="63" width="12.6328125" style="577" customWidth="1"/>
    <col min="64" max="64" width="10.6328125" style="577" customWidth="1"/>
    <col min="65" max="65" width="16.6328125" style="577" customWidth="1"/>
    <col min="66" max="66" width="3.6328125" style="577" customWidth="1"/>
    <col min="67" max="67" width="19.6328125" style="577" customWidth="1"/>
    <col min="68" max="68" width="15.453125" style="577" customWidth="1"/>
    <col min="69" max="69" width="19" style="577" customWidth="1"/>
    <col min="70" max="70" width="11.6328125" style="577"/>
    <col min="71" max="71" width="3.6328125" style="577" customWidth="1"/>
    <col min="72" max="72" width="18.6328125" style="577" customWidth="1"/>
    <col min="73" max="75" width="11.6328125" style="577"/>
    <col min="76" max="76" width="20.6328125" style="577" customWidth="1"/>
    <col min="77" max="102" width="11.6328125" style="577"/>
    <col min="103" max="106" width="12.6328125" style="577" customWidth="1"/>
    <col min="107" max="107" width="11.6328125" style="577"/>
    <col min="108" max="108" width="32.6328125" style="577" customWidth="1"/>
    <col min="109" max="109" width="7.6328125" style="577" customWidth="1"/>
    <col min="110" max="122" width="12.6328125" style="577" customWidth="1"/>
    <col min="123" max="123" width="11.6328125" style="577"/>
    <col min="124" max="136" width="12.6328125" style="577" customWidth="1"/>
    <col min="137" max="137" width="11.6328125" style="577" customWidth="1"/>
    <col min="138" max="147" width="11.6328125" style="577"/>
    <col min="148" max="148" width="12" style="577" bestFit="1" customWidth="1"/>
    <col min="149" max="16384" width="11.6328125" style="577"/>
  </cols>
  <sheetData>
    <row r="1" spans="1:258" s="21" customFormat="1">
      <c r="A1" s="294"/>
      <c r="B1" s="294"/>
      <c r="C1" s="294"/>
      <c r="D1" s="294"/>
      <c r="E1" s="289"/>
      <c r="F1" s="289"/>
      <c r="G1" s="289"/>
      <c r="H1" s="289"/>
      <c r="I1" s="289"/>
      <c r="J1" s="289"/>
      <c r="K1" s="289"/>
      <c r="L1" s="289"/>
      <c r="M1" s="289"/>
      <c r="N1" s="289"/>
      <c r="O1" s="289"/>
      <c r="P1" s="289"/>
      <c r="Q1" s="289"/>
      <c r="R1" s="289"/>
      <c r="S1" s="289"/>
      <c r="T1" s="289"/>
      <c r="U1" s="289"/>
      <c r="V1" s="364"/>
      <c r="W1" s="289"/>
      <c r="X1" s="289"/>
      <c r="Y1" s="289"/>
      <c r="Z1" s="289"/>
      <c r="AA1" s="289"/>
      <c r="AB1" s="289"/>
      <c r="AC1" s="289"/>
      <c r="AD1" s="289"/>
      <c r="AE1" s="289"/>
      <c r="AF1" s="289"/>
      <c r="AG1" s="289"/>
      <c r="AH1" s="289"/>
      <c r="AI1" s="289"/>
      <c r="AJ1" s="289"/>
      <c r="AK1" s="289"/>
      <c r="AL1" s="289"/>
      <c r="AM1" s="289"/>
      <c r="AN1" s="289"/>
      <c r="AO1" s="289"/>
      <c r="AP1" s="289"/>
      <c r="AQ1" s="289"/>
      <c r="AR1" s="289"/>
      <c r="AS1" s="289"/>
      <c r="AT1" s="289"/>
      <c r="AU1" s="289"/>
      <c r="AV1" s="289"/>
      <c r="AW1" s="289"/>
      <c r="AX1" s="289"/>
      <c r="AY1" s="289"/>
      <c r="AZ1" s="289"/>
      <c r="BA1" s="289"/>
      <c r="BB1" s="289"/>
      <c r="BC1" s="289"/>
      <c r="BD1" s="289"/>
      <c r="BE1" s="289"/>
      <c r="BF1" s="289"/>
      <c r="BG1" s="289"/>
      <c r="BH1" s="289"/>
      <c r="BI1" s="289"/>
      <c r="BJ1" s="289"/>
      <c r="BK1" s="289"/>
      <c r="BL1" s="289"/>
      <c r="BM1" s="289"/>
      <c r="BN1" s="289"/>
      <c r="BO1" s="289"/>
      <c r="BP1" s="289"/>
      <c r="BQ1" s="289"/>
      <c r="BR1" s="289"/>
      <c r="BS1" s="289"/>
      <c r="BT1" s="289"/>
      <c r="BU1" s="289"/>
      <c r="BV1" s="289"/>
      <c r="BW1" s="289"/>
      <c r="BX1" s="289"/>
      <c r="BY1" s="289"/>
      <c r="BZ1" s="289"/>
      <c r="CA1" s="289"/>
      <c r="CB1" s="189"/>
      <c r="CC1" s="189"/>
      <c r="CD1" s="189"/>
      <c r="CE1" s="189"/>
      <c r="CF1" s="189"/>
      <c r="CG1" s="189"/>
      <c r="CH1" s="189"/>
      <c r="CI1" s="189"/>
      <c r="CJ1" s="189"/>
      <c r="CK1" s="189"/>
      <c r="CL1" s="189"/>
      <c r="CM1" s="189"/>
      <c r="CN1" s="189"/>
      <c r="CO1" s="189"/>
      <c r="CP1" s="189"/>
      <c r="CQ1" s="190"/>
      <c r="CR1" s="190"/>
      <c r="CS1" s="190"/>
      <c r="CT1" s="190"/>
      <c r="CU1" s="190"/>
      <c r="CV1" s="190"/>
      <c r="CW1" s="190"/>
      <c r="CX1" s="190"/>
      <c r="CY1" s="191"/>
      <c r="CZ1" s="191"/>
      <c r="DA1" s="191"/>
      <c r="DB1" s="191"/>
      <c r="DC1" s="191"/>
      <c r="DD1" s="191"/>
      <c r="DE1" s="365"/>
      <c r="DF1" s="365"/>
      <c r="DG1" s="365"/>
      <c r="DH1" s="365"/>
      <c r="DI1" s="365"/>
      <c r="DJ1" s="365"/>
      <c r="DK1" s="365"/>
      <c r="DL1" s="365"/>
      <c r="DM1" s="365"/>
      <c r="DN1" s="365"/>
      <c r="DO1" s="365"/>
      <c r="DP1" s="365"/>
      <c r="DQ1" s="365"/>
      <c r="DR1" s="365"/>
      <c r="DS1" s="366"/>
      <c r="DT1" s="365"/>
      <c r="DU1" s="365"/>
      <c r="DV1" s="365"/>
      <c r="DW1" s="365"/>
      <c r="DX1" s="365"/>
      <c r="DY1" s="365"/>
      <c r="DZ1" s="365"/>
      <c r="EA1" s="365"/>
      <c r="EB1" s="365"/>
      <c r="EC1" s="365"/>
      <c r="ED1" s="365"/>
      <c r="EE1" s="365"/>
      <c r="EF1" s="365"/>
      <c r="EG1" s="366"/>
      <c r="EH1" s="367"/>
      <c r="EI1" s="367"/>
      <c r="EJ1" s="367"/>
      <c r="EK1" s="367"/>
      <c r="EL1" s="367"/>
      <c r="EM1" s="367"/>
      <c r="EN1" s="367"/>
      <c r="EO1" s="367"/>
      <c r="EP1" s="367"/>
      <c r="EQ1" s="367"/>
      <c r="ER1" s="367"/>
      <c r="ES1" s="367"/>
      <c r="ET1" s="367"/>
      <c r="EU1" s="367"/>
      <c r="EV1" s="289"/>
      <c r="EW1" s="289"/>
      <c r="EX1" s="289"/>
      <c r="EY1" s="368"/>
      <c r="EZ1" s="289"/>
      <c r="FA1" s="289"/>
      <c r="FB1" s="289"/>
      <c r="FC1" s="289"/>
      <c r="FD1" s="289"/>
      <c r="FE1" s="289"/>
      <c r="FF1" s="289"/>
      <c r="FG1" s="289"/>
      <c r="FH1" s="289"/>
      <c r="FI1" s="289"/>
      <c r="FJ1" s="289"/>
      <c r="FK1" s="289"/>
      <c r="FL1" s="289"/>
      <c r="FM1" s="289"/>
      <c r="FN1" s="289"/>
      <c r="FO1" s="289"/>
      <c r="FP1" s="289"/>
      <c r="FQ1" s="289"/>
      <c r="FR1" s="289"/>
      <c r="FS1" s="289"/>
      <c r="FT1" s="289"/>
      <c r="FU1" s="289"/>
      <c r="FV1" s="289"/>
      <c r="FW1" s="289"/>
      <c r="FX1" s="289"/>
      <c r="FY1" s="289"/>
      <c r="FZ1" s="289"/>
      <c r="GA1" s="289"/>
      <c r="GB1" s="289"/>
      <c r="GC1" s="289"/>
      <c r="GD1" s="289"/>
      <c r="GE1" s="289"/>
      <c r="GF1" s="289"/>
      <c r="GG1" s="289"/>
      <c r="GH1" s="289"/>
      <c r="GI1" s="289"/>
      <c r="GJ1" s="289"/>
      <c r="GK1" s="289"/>
      <c r="GL1" s="289"/>
      <c r="GM1" s="289"/>
      <c r="GN1" s="289"/>
      <c r="GO1" s="289"/>
      <c r="GP1" s="289"/>
      <c r="GQ1" s="289"/>
      <c r="GR1" s="289"/>
      <c r="GS1" s="289"/>
      <c r="GT1" s="289"/>
      <c r="GU1" s="289"/>
      <c r="GV1" s="289"/>
      <c r="GW1" s="289"/>
      <c r="GX1" s="289"/>
      <c r="GY1" s="289"/>
      <c r="GZ1" s="289"/>
      <c r="HA1" s="289"/>
      <c r="HB1" s="289"/>
      <c r="HC1" s="289"/>
      <c r="HD1" s="289"/>
      <c r="HE1" s="289"/>
      <c r="HF1" s="289"/>
      <c r="HG1" s="289"/>
      <c r="HH1" s="289"/>
      <c r="HI1" s="289"/>
      <c r="HJ1" s="289"/>
      <c r="HK1" s="289"/>
      <c r="HL1" s="289"/>
      <c r="HM1" s="289"/>
      <c r="HN1" s="289"/>
      <c r="HO1" s="289"/>
      <c r="HP1" s="289"/>
      <c r="HQ1" s="289"/>
      <c r="HR1" s="289"/>
      <c r="HS1" s="289"/>
      <c r="HT1" s="289"/>
      <c r="HU1" s="289"/>
      <c r="HV1" s="289"/>
      <c r="HW1" s="289"/>
      <c r="HX1" s="289"/>
      <c r="HY1" s="289"/>
      <c r="HZ1" s="289"/>
      <c r="IA1" s="289"/>
      <c r="IB1" s="289"/>
      <c r="IC1" s="289"/>
      <c r="ID1" s="289"/>
      <c r="IE1" s="289"/>
      <c r="IF1" s="289"/>
      <c r="IG1" s="289"/>
      <c r="IH1" s="289"/>
      <c r="II1" s="289"/>
      <c r="IJ1" s="289"/>
      <c r="IK1" s="289"/>
      <c r="IL1" s="289"/>
      <c r="IM1" s="289"/>
      <c r="IN1" s="289"/>
      <c r="IO1" s="289"/>
      <c r="IP1" s="289"/>
      <c r="IQ1" s="289"/>
      <c r="IR1" s="289"/>
      <c r="IS1" s="289"/>
      <c r="IT1" s="289"/>
      <c r="IU1" s="289"/>
      <c r="IV1" s="289"/>
      <c r="IW1" s="289"/>
      <c r="IX1" s="289"/>
    </row>
    <row r="2" spans="1:258" s="21" customFormat="1" ht="15" customHeight="1">
      <c r="A2" s="294"/>
      <c r="B2" s="294"/>
      <c r="C2" s="3" t="s">
        <v>925</v>
      </c>
      <c r="D2" s="369"/>
      <c r="E2" s="369"/>
      <c r="F2" s="369"/>
      <c r="G2" s="369"/>
      <c r="H2" s="369"/>
      <c r="I2" s="369"/>
      <c r="J2" s="369"/>
      <c r="K2" s="369"/>
      <c r="L2" s="369"/>
      <c r="M2" s="369"/>
      <c r="N2" s="369"/>
      <c r="O2" s="369"/>
      <c r="P2" s="369"/>
      <c r="Q2" s="369"/>
      <c r="R2" s="369"/>
      <c r="S2" s="369"/>
      <c r="T2" s="369"/>
      <c r="U2" s="2628" t="s">
        <v>969</v>
      </c>
      <c r="V2" s="371"/>
      <c r="W2" s="3"/>
      <c r="X2" s="369"/>
      <c r="Y2" s="369"/>
      <c r="Z2" s="369"/>
      <c r="AA2" s="369"/>
      <c r="AB2" s="369"/>
      <c r="AC2" s="369" t="str">
        <f>F7</f>
        <v>Bowery Bay</v>
      </c>
      <c r="AD2" s="369"/>
      <c r="AE2" s="369"/>
      <c r="AF2" s="369"/>
      <c r="AG2" s="369"/>
      <c r="AH2" s="369"/>
      <c r="AI2" s="2677" t="s">
        <v>990</v>
      </c>
      <c r="AJ2" s="373"/>
      <c r="AK2" s="3"/>
      <c r="AL2" s="374" t="str">
        <f>F7</f>
        <v>Bowery Bay</v>
      </c>
      <c r="AM2" s="369"/>
      <c r="AN2" s="369"/>
      <c r="AO2" s="369"/>
      <c r="AP2" s="369"/>
      <c r="AQ2" s="369"/>
      <c r="AR2" s="369"/>
      <c r="AS2" s="369"/>
      <c r="AT2" s="369"/>
      <c r="AU2" s="369"/>
      <c r="AV2" s="369"/>
      <c r="AW2" s="369"/>
      <c r="AX2" s="369"/>
      <c r="AY2" s="369"/>
      <c r="AZ2" s="369"/>
      <c r="BA2" s="372"/>
      <c r="BB2" s="2628" t="s">
        <v>1032</v>
      </c>
      <c r="BC2" s="373"/>
      <c r="BD2" s="3"/>
      <c r="BE2" s="375"/>
      <c r="BF2" s="2691">
        <f>I5</f>
        <v>42370</v>
      </c>
      <c r="BG2" s="370">
        <f>J5</f>
        <v>2016</v>
      </c>
      <c r="BH2" s="369"/>
      <c r="BI2" s="369"/>
      <c r="BJ2" s="374" t="str">
        <f>F7</f>
        <v>Bowery Bay</v>
      </c>
      <c r="BK2" s="369"/>
      <c r="BL2" s="369"/>
      <c r="BM2" s="369"/>
      <c r="BN2" s="369"/>
      <c r="BO2" s="369"/>
      <c r="BP2" s="369"/>
      <c r="BQ2" s="2628" t="s">
        <v>90</v>
      </c>
      <c r="BR2" s="373"/>
      <c r="BS2" s="289"/>
      <c r="BT2" s="289"/>
      <c r="BU2" s="289"/>
      <c r="BV2" s="289"/>
      <c r="BW2" s="289"/>
      <c r="BX2" s="289"/>
      <c r="BY2" s="289"/>
      <c r="BZ2" s="289"/>
      <c r="CA2" s="289"/>
      <c r="CB2" s="189"/>
      <c r="CC2" s="189"/>
      <c r="CD2" s="189"/>
      <c r="CE2" s="189"/>
      <c r="CF2" s="189"/>
      <c r="CG2" s="189"/>
      <c r="CH2" s="189"/>
      <c r="CI2" s="189"/>
      <c r="CJ2" s="189"/>
      <c r="CK2" s="189"/>
      <c r="CL2" s="189"/>
      <c r="CM2" s="189"/>
      <c r="CN2" s="189"/>
      <c r="CO2" s="189"/>
      <c r="CP2" s="189"/>
      <c r="CQ2" s="190"/>
      <c r="CR2" s="192"/>
      <c r="CS2" s="190"/>
      <c r="CT2" s="190"/>
      <c r="CU2" s="190"/>
      <c r="CV2" s="190"/>
      <c r="CW2" s="190"/>
      <c r="CX2" s="190"/>
      <c r="CY2" s="191"/>
      <c r="CZ2" s="191"/>
      <c r="DA2" s="191"/>
      <c r="DB2" s="191"/>
      <c r="DC2" s="191"/>
      <c r="DD2" s="191"/>
      <c r="DE2" s="365"/>
      <c r="DF2" s="365"/>
      <c r="DG2" s="365"/>
      <c r="DH2" s="365"/>
      <c r="DI2" s="365"/>
      <c r="DJ2" s="365"/>
      <c r="DK2" s="365"/>
      <c r="DL2" s="365"/>
      <c r="DM2" s="365"/>
      <c r="DN2" s="366"/>
      <c r="DO2" s="366"/>
      <c r="DP2" s="366"/>
      <c r="DQ2" s="366"/>
      <c r="DR2" s="366"/>
      <c r="DS2" s="365"/>
      <c r="DT2" s="365"/>
      <c r="DU2" s="365"/>
      <c r="DV2" s="365"/>
      <c r="DW2" s="365"/>
      <c r="DX2" s="365"/>
      <c r="DY2" s="365"/>
      <c r="DZ2" s="365"/>
      <c r="EA2" s="365"/>
      <c r="EB2" s="365"/>
      <c r="EC2" s="365"/>
      <c r="ED2" s="365"/>
      <c r="EE2" s="366"/>
      <c r="EF2" s="365"/>
      <c r="EG2" s="366"/>
      <c r="EH2" s="367"/>
      <c r="EI2" s="367"/>
      <c r="EJ2" s="367"/>
      <c r="EK2" s="367"/>
      <c r="EL2" s="367"/>
      <c r="EM2" s="367"/>
      <c r="EN2" s="367"/>
      <c r="EO2" s="367"/>
      <c r="EP2" s="367"/>
      <c r="EQ2" s="367"/>
      <c r="ER2" s="367"/>
      <c r="ES2" s="367"/>
      <c r="ET2" s="367"/>
      <c r="EU2" s="367"/>
      <c r="EV2" s="289"/>
      <c r="EW2" s="289"/>
      <c r="EX2" s="289"/>
      <c r="EY2" s="368"/>
      <c r="EZ2" s="289"/>
      <c r="FA2" s="289"/>
      <c r="FB2" s="289"/>
      <c r="FC2" s="289"/>
      <c r="FD2" s="289"/>
      <c r="FE2" s="289"/>
      <c r="FF2" s="289"/>
      <c r="FG2" s="289"/>
      <c r="FH2" s="289"/>
      <c r="FI2" s="289"/>
      <c r="FJ2" s="289"/>
      <c r="FK2" s="289"/>
      <c r="FL2" s="289"/>
      <c r="FM2" s="289"/>
      <c r="FN2" s="289"/>
      <c r="FO2" s="289"/>
      <c r="FP2" s="289"/>
      <c r="FQ2" s="289"/>
      <c r="FR2" s="289"/>
      <c r="FS2" s="289"/>
      <c r="FT2" s="289"/>
      <c r="FU2" s="289"/>
      <c r="FV2" s="289"/>
      <c r="FW2" s="289"/>
      <c r="FX2" s="289"/>
      <c r="FY2" s="289"/>
      <c r="FZ2" s="289"/>
      <c r="GA2" s="289"/>
      <c r="GB2" s="289"/>
      <c r="GC2" s="289"/>
      <c r="GD2" s="289"/>
      <c r="GE2" s="289"/>
      <c r="GF2" s="289"/>
      <c r="GG2" s="289"/>
      <c r="GH2" s="289"/>
      <c r="GI2" s="289"/>
      <c r="GJ2" s="289"/>
      <c r="GK2" s="289"/>
      <c r="GL2" s="289"/>
      <c r="GM2" s="289"/>
      <c r="GN2" s="289"/>
      <c r="GO2" s="289"/>
      <c r="GP2" s="289"/>
      <c r="GQ2" s="289"/>
      <c r="GR2" s="289"/>
      <c r="GS2" s="289"/>
      <c r="GT2" s="289"/>
      <c r="GU2" s="289"/>
      <c r="GV2" s="289"/>
      <c r="GW2" s="289"/>
      <c r="GX2" s="289"/>
      <c r="GY2" s="289"/>
      <c r="GZ2" s="289"/>
      <c r="HA2" s="289"/>
      <c r="HB2" s="289"/>
      <c r="HC2" s="289"/>
      <c r="HD2" s="289"/>
      <c r="HE2" s="289"/>
      <c r="HF2" s="289"/>
      <c r="HG2" s="289"/>
      <c r="HH2" s="289"/>
      <c r="HI2" s="289"/>
      <c r="HJ2" s="289"/>
      <c r="HK2" s="289"/>
      <c r="HL2" s="289"/>
      <c r="HM2" s="289"/>
      <c r="HN2" s="289"/>
      <c r="HO2" s="289"/>
      <c r="HP2" s="289"/>
      <c r="HQ2" s="289"/>
      <c r="HR2" s="289"/>
      <c r="HS2" s="289"/>
      <c r="HT2" s="289"/>
      <c r="HU2" s="289"/>
      <c r="HV2" s="289"/>
      <c r="HW2" s="289"/>
      <c r="HX2" s="289"/>
      <c r="HY2" s="289"/>
      <c r="HZ2" s="289"/>
      <c r="IA2" s="289"/>
      <c r="IB2" s="289"/>
      <c r="IC2" s="289"/>
      <c r="ID2" s="289"/>
      <c r="IE2" s="289"/>
      <c r="IF2" s="289"/>
      <c r="IG2" s="289"/>
      <c r="IH2" s="289"/>
      <c r="II2" s="289"/>
      <c r="IJ2" s="289"/>
      <c r="IK2" s="289"/>
      <c r="IL2" s="289"/>
      <c r="IM2" s="289"/>
      <c r="IN2" s="289"/>
      <c r="IO2" s="289"/>
      <c r="IP2" s="289"/>
      <c r="IQ2" s="289"/>
      <c r="IR2" s="289"/>
      <c r="IS2" s="289"/>
      <c r="IT2" s="289"/>
      <c r="IU2" s="289"/>
      <c r="IV2" s="289"/>
      <c r="IW2" s="289"/>
      <c r="IX2" s="289"/>
    </row>
    <row r="3" spans="1:258" s="21" customFormat="1">
      <c r="A3" s="289"/>
      <c r="B3" s="289"/>
      <c r="C3" s="376" t="s">
        <v>926</v>
      </c>
      <c r="D3" s="1221"/>
      <c r="E3" s="1221"/>
      <c r="F3" s="1221"/>
      <c r="G3" s="1221"/>
      <c r="H3" s="1221"/>
      <c r="I3" s="1221"/>
      <c r="J3" s="1221"/>
      <c r="K3" s="1221"/>
      <c r="L3" s="1221"/>
      <c r="M3" s="1221"/>
      <c r="N3" s="1221"/>
      <c r="O3" s="1221"/>
      <c r="P3" s="1221"/>
      <c r="Q3" s="1221"/>
      <c r="R3" s="1221"/>
      <c r="S3" s="377"/>
      <c r="T3" s="377"/>
      <c r="U3" s="2629"/>
      <c r="V3" s="371"/>
      <c r="W3" s="373"/>
      <c r="X3" s="377"/>
      <c r="Y3" s="377"/>
      <c r="Z3" s="377"/>
      <c r="AA3" s="377"/>
      <c r="AB3" s="377"/>
      <c r="AC3" s="377"/>
      <c r="AD3" s="377"/>
      <c r="AE3" s="377"/>
      <c r="AF3" s="377"/>
      <c r="AG3" s="377"/>
      <c r="AH3" s="377"/>
      <c r="AI3" s="2629"/>
      <c r="AJ3" s="373"/>
      <c r="AK3" s="373"/>
      <c r="AL3" s="377"/>
      <c r="AM3" s="377"/>
      <c r="AN3" s="377"/>
      <c r="AO3" s="377"/>
      <c r="AP3" s="377"/>
      <c r="AQ3" s="377"/>
      <c r="AR3" s="377"/>
      <c r="AS3" s="377"/>
      <c r="AT3" s="377"/>
      <c r="AU3" s="377"/>
      <c r="AV3" s="377"/>
      <c r="AW3" s="377"/>
      <c r="AX3" s="377"/>
      <c r="AY3" s="377"/>
      <c r="AZ3" s="377"/>
      <c r="BA3" s="377"/>
      <c r="BB3" s="2629"/>
      <c r="BC3" s="373"/>
      <c r="BD3" s="373"/>
      <c r="BE3" s="377"/>
      <c r="BF3" s="377"/>
      <c r="BG3" s="377"/>
      <c r="BH3" s="377"/>
      <c r="BI3" s="377"/>
      <c r="BJ3" s="377"/>
      <c r="BK3" s="377"/>
      <c r="BL3" s="377"/>
      <c r="BM3" s="377"/>
      <c r="BN3" s="377"/>
      <c r="BO3" s="377"/>
      <c r="BP3" s="377"/>
      <c r="BQ3" s="2629"/>
      <c r="BR3" s="373"/>
      <c r="BS3" s="289"/>
      <c r="BT3" s="289"/>
      <c r="BU3" s="289"/>
      <c r="BV3" s="289"/>
      <c r="BW3" s="289"/>
      <c r="BX3" s="289"/>
      <c r="BY3" s="289"/>
      <c r="BZ3" s="289"/>
      <c r="CA3" s="289"/>
      <c r="CB3" s="189"/>
      <c r="CC3" s="189"/>
      <c r="CD3" s="189"/>
      <c r="CE3" s="189"/>
      <c r="CF3" s="189"/>
      <c r="CG3" s="189"/>
      <c r="CH3" s="189"/>
      <c r="CI3" s="189"/>
      <c r="CJ3" s="189"/>
      <c r="CK3" s="189"/>
      <c r="CL3" s="189"/>
      <c r="CM3" s="193"/>
      <c r="CN3" s="193"/>
      <c r="CO3" s="193"/>
      <c r="CP3" s="193"/>
      <c r="CQ3" s="191"/>
      <c r="CR3" s="191"/>
      <c r="CS3" s="191"/>
      <c r="CT3" s="190"/>
      <c r="CU3" s="191"/>
      <c r="CV3" s="191"/>
      <c r="CW3" s="191"/>
      <c r="CX3" s="191"/>
      <c r="CY3" s="191"/>
      <c r="CZ3" s="191"/>
      <c r="DA3" s="191"/>
      <c r="DB3" s="191"/>
      <c r="DC3" s="191"/>
      <c r="DD3" s="191"/>
      <c r="DE3" s="378"/>
      <c r="DF3" s="365"/>
      <c r="DG3" s="365"/>
      <c r="DH3" s="365"/>
      <c r="DI3" s="365"/>
      <c r="DJ3" s="365"/>
      <c r="DK3" s="365"/>
      <c r="DL3" s="365"/>
      <c r="DM3" s="365"/>
      <c r="DN3" s="366"/>
      <c r="DO3" s="366"/>
      <c r="DP3" s="366"/>
      <c r="DQ3" s="366"/>
      <c r="DR3" s="366"/>
      <c r="DS3" s="365"/>
      <c r="DT3" s="365"/>
      <c r="DU3" s="365"/>
      <c r="DV3" s="365"/>
      <c r="DW3" s="365"/>
      <c r="DX3" s="365"/>
      <c r="DY3" s="365"/>
      <c r="DZ3" s="365"/>
      <c r="EA3" s="365"/>
      <c r="EB3" s="365"/>
      <c r="EC3" s="365"/>
      <c r="ED3" s="365"/>
      <c r="EE3" s="366"/>
      <c r="EF3" s="365"/>
      <c r="EG3" s="366"/>
      <c r="EH3" s="367"/>
      <c r="EI3" s="367"/>
      <c r="EJ3" s="367"/>
      <c r="EK3" s="367"/>
      <c r="EL3" s="367"/>
      <c r="EM3" s="367"/>
      <c r="EN3" s="367"/>
      <c r="EO3" s="367"/>
      <c r="EP3" s="367"/>
      <c r="EQ3" s="367"/>
      <c r="ER3" s="367"/>
      <c r="ES3" s="367"/>
      <c r="ET3" s="367"/>
      <c r="EU3" s="367"/>
      <c r="EV3" s="289"/>
      <c r="EW3" s="200" t="s">
        <v>201</v>
      </c>
      <c r="EX3" s="200"/>
      <c r="EY3" s="379"/>
      <c r="EZ3" s="289"/>
      <c r="FA3" s="289"/>
      <c r="FB3" s="289"/>
      <c r="FC3" s="289"/>
      <c r="FD3" s="289"/>
      <c r="FE3" s="289"/>
      <c r="FF3" s="289"/>
      <c r="FG3" s="289"/>
      <c r="FH3" s="289"/>
      <c r="FI3" s="289"/>
      <c r="FJ3" s="289"/>
      <c r="FK3" s="289"/>
      <c r="FL3" s="289"/>
      <c r="FM3" s="289"/>
      <c r="FN3" s="289"/>
      <c r="FO3" s="289"/>
      <c r="FP3" s="289"/>
      <c r="FQ3" s="289"/>
      <c r="FR3" s="289"/>
      <c r="FS3" s="289"/>
      <c r="FT3" s="289"/>
      <c r="FU3" s="289"/>
      <c r="FV3" s="289"/>
      <c r="FW3" s="289"/>
      <c r="FX3" s="289"/>
      <c r="FY3" s="289"/>
      <c r="FZ3" s="289"/>
      <c r="GA3" s="289"/>
      <c r="GB3" s="289"/>
      <c r="GC3" s="289"/>
      <c r="GD3" s="289"/>
      <c r="GE3" s="289"/>
      <c r="GF3" s="289"/>
      <c r="GG3" s="289"/>
      <c r="GH3" s="289"/>
      <c r="GI3" s="289"/>
      <c r="GJ3" s="289"/>
      <c r="GK3" s="289"/>
      <c r="GL3" s="289"/>
      <c r="GM3" s="289"/>
      <c r="GN3" s="289"/>
      <c r="GO3" s="289"/>
      <c r="GP3" s="289"/>
      <c r="GQ3" s="289"/>
      <c r="GR3" s="289"/>
      <c r="GS3" s="289"/>
      <c r="GT3" s="289"/>
      <c r="GU3" s="289"/>
      <c r="GV3" s="289"/>
      <c r="GW3" s="289"/>
      <c r="GX3" s="289"/>
      <c r="GY3" s="289"/>
      <c r="GZ3" s="289"/>
      <c r="HA3" s="289"/>
      <c r="HB3" s="289"/>
      <c r="HC3" s="289"/>
      <c r="HD3" s="289"/>
      <c r="HE3" s="289"/>
      <c r="HF3" s="289"/>
      <c r="HG3" s="289"/>
      <c r="HH3" s="289"/>
      <c r="HI3" s="289"/>
      <c r="HJ3" s="289"/>
      <c r="HK3" s="289"/>
      <c r="HL3" s="289"/>
      <c r="HM3" s="289"/>
      <c r="HN3" s="289"/>
      <c r="HO3" s="289"/>
      <c r="HP3" s="289"/>
      <c r="HQ3" s="289"/>
      <c r="HR3" s="289"/>
      <c r="HS3" s="289"/>
      <c r="HT3" s="289"/>
      <c r="HU3" s="289"/>
      <c r="HV3" s="289"/>
      <c r="HW3" s="289"/>
      <c r="HX3" s="289"/>
      <c r="HY3" s="289"/>
      <c r="HZ3" s="289"/>
      <c r="IA3" s="289"/>
      <c r="IB3" s="289"/>
      <c r="IC3" s="289"/>
      <c r="ID3" s="289"/>
      <c r="IE3" s="289"/>
      <c r="IF3" s="289"/>
      <c r="IG3" s="289"/>
      <c r="IH3" s="289"/>
      <c r="II3" s="289"/>
      <c r="IJ3" s="289"/>
      <c r="IK3" s="289"/>
      <c r="IL3" s="289"/>
      <c r="IM3" s="289"/>
      <c r="IN3" s="289"/>
      <c r="IO3" s="289"/>
      <c r="IP3" s="289"/>
      <c r="IQ3" s="289"/>
      <c r="IR3" s="289"/>
      <c r="IS3" s="289"/>
      <c r="IT3" s="289"/>
      <c r="IU3" s="289"/>
      <c r="IV3" s="289"/>
      <c r="IW3" s="289"/>
      <c r="IX3" s="289"/>
    </row>
    <row r="4" spans="1:258" s="21" customFormat="1">
      <c r="A4" s="289"/>
      <c r="B4" s="289"/>
      <c r="C4" s="376" t="s">
        <v>927</v>
      </c>
      <c r="D4" s="1221"/>
      <c r="E4" s="1221"/>
      <c r="F4" s="1221"/>
      <c r="G4" s="1221"/>
      <c r="H4" s="1221"/>
      <c r="I4" s="1221"/>
      <c r="J4" s="1221"/>
      <c r="K4" s="1221"/>
      <c r="L4" s="1221"/>
      <c r="M4" s="1221"/>
      <c r="N4" s="1221"/>
      <c r="O4" s="1221"/>
      <c r="P4" s="1221"/>
      <c r="Q4" s="1221"/>
      <c r="R4" s="1221"/>
      <c r="S4" s="377"/>
      <c r="T4" s="377"/>
      <c r="U4" s="2629"/>
      <c r="V4" s="371"/>
      <c r="W4" s="373"/>
      <c r="X4" s="377"/>
      <c r="Y4" s="377"/>
      <c r="Z4" s="377"/>
      <c r="AA4" s="377"/>
      <c r="AB4" s="377"/>
      <c r="AC4" s="377"/>
      <c r="AD4" s="377"/>
      <c r="AE4" s="377"/>
      <c r="AF4" s="377"/>
      <c r="AG4" s="377"/>
      <c r="AH4" s="377"/>
      <c r="AI4" s="2629"/>
      <c r="AJ4" s="373"/>
      <c r="AK4" s="373"/>
      <c r="AL4" s="377"/>
      <c r="AM4" s="377"/>
      <c r="AN4" s="377"/>
      <c r="AO4" s="377"/>
      <c r="AP4" s="377"/>
      <c r="AQ4" s="377"/>
      <c r="AR4" s="377"/>
      <c r="AS4" s="377"/>
      <c r="AT4" s="377"/>
      <c r="AU4" s="377"/>
      <c r="AV4" s="377"/>
      <c r="AW4" s="377"/>
      <c r="AX4" s="377"/>
      <c r="AY4" s="377"/>
      <c r="AZ4" s="377"/>
      <c r="BA4" s="377"/>
      <c r="BB4" s="2629"/>
      <c r="BC4" s="373"/>
      <c r="BD4" s="373"/>
      <c r="BE4" s="377"/>
      <c r="BF4" s="377"/>
      <c r="BG4" s="377"/>
      <c r="BH4" s="377"/>
      <c r="BI4" s="377"/>
      <c r="BJ4" s="377"/>
      <c r="BK4" s="377"/>
      <c r="BL4" s="377"/>
      <c r="BM4" s="377"/>
      <c r="BN4" s="377"/>
      <c r="BO4" s="377"/>
      <c r="BP4" s="377"/>
      <c r="BQ4" s="2629"/>
      <c r="BR4" s="373"/>
      <c r="BS4" s="289"/>
      <c r="BT4" s="289"/>
      <c r="BU4" s="289"/>
      <c r="BV4" s="289"/>
      <c r="BW4" s="289"/>
      <c r="BX4" s="289"/>
      <c r="BY4" s="289"/>
      <c r="BZ4" s="289"/>
      <c r="CA4" s="289"/>
      <c r="CB4" s="189"/>
      <c r="CC4" s="189" t="s">
        <v>113</v>
      </c>
      <c r="CD4" s="189"/>
      <c r="CE4" s="189"/>
      <c r="CF4" s="189"/>
      <c r="CG4" s="189"/>
      <c r="CH4" s="189"/>
      <c r="CI4" s="189"/>
      <c r="CJ4" s="189"/>
      <c r="CK4" s="189"/>
      <c r="CL4" s="189"/>
      <c r="CM4" s="193"/>
      <c r="CN4" s="193"/>
      <c r="CO4" s="193"/>
      <c r="CP4" s="193"/>
      <c r="CQ4" s="380" t="s">
        <v>148</v>
      </c>
      <c r="CR4" s="190"/>
      <c r="CS4" s="192"/>
      <c r="CT4" s="190"/>
      <c r="CU4" s="191"/>
      <c r="CV4" s="191"/>
      <c r="CW4" s="191"/>
      <c r="CX4" s="191"/>
      <c r="CY4" s="191"/>
      <c r="CZ4" s="191"/>
      <c r="DA4" s="191"/>
      <c r="DB4" s="191"/>
      <c r="DC4" s="191"/>
      <c r="DD4" s="191"/>
      <c r="DE4" s="381"/>
      <c r="DF4" s="365" t="s">
        <v>157</v>
      </c>
      <c r="DG4" s="365"/>
      <c r="DH4" s="365"/>
      <c r="DI4" s="365"/>
      <c r="DJ4" s="365"/>
      <c r="DK4" s="365"/>
      <c r="DL4" s="365"/>
      <c r="DM4" s="365"/>
      <c r="DN4" s="366"/>
      <c r="DO4" s="366"/>
      <c r="DP4" s="366"/>
      <c r="DQ4" s="366"/>
      <c r="DR4" s="366"/>
      <c r="DS4" s="365"/>
      <c r="DT4" s="365"/>
      <c r="DU4" s="365"/>
      <c r="DV4" s="365"/>
      <c r="DW4" s="365"/>
      <c r="DX4" s="365"/>
      <c r="DY4" s="365"/>
      <c r="DZ4" s="365"/>
      <c r="EA4" s="365"/>
      <c r="EB4" s="365"/>
      <c r="EC4" s="365"/>
      <c r="ED4" s="365"/>
      <c r="EE4" s="366"/>
      <c r="EF4" s="365"/>
      <c r="EG4" s="366"/>
      <c r="EH4" s="367"/>
      <c r="EI4" s="367" t="s">
        <v>189</v>
      </c>
      <c r="EJ4" s="367"/>
      <c r="EK4" s="367"/>
      <c r="EL4" s="367"/>
      <c r="EM4" s="367"/>
      <c r="EN4" s="367"/>
      <c r="EO4" s="367"/>
      <c r="EP4" s="367"/>
      <c r="EQ4" s="367"/>
      <c r="ER4" s="367"/>
      <c r="ES4" s="367"/>
      <c r="ET4" s="367"/>
      <c r="EU4" s="367"/>
      <c r="EV4" s="289"/>
      <c r="EW4" s="200" t="s">
        <v>202</v>
      </c>
      <c r="EX4" s="200"/>
      <c r="EY4" s="379"/>
      <c r="EZ4" s="289"/>
      <c r="FA4" s="289"/>
      <c r="FB4" s="289"/>
      <c r="FC4" s="289"/>
      <c r="FD4" s="289"/>
      <c r="FE4" s="289"/>
      <c r="FF4" s="289"/>
      <c r="FG4" s="289"/>
      <c r="FH4" s="289"/>
      <c r="FI4" s="289"/>
      <c r="FJ4" s="289"/>
      <c r="FK4" s="289"/>
      <c r="FL4" s="289"/>
      <c r="FM4" s="289"/>
      <c r="FN4" s="289"/>
      <c r="FO4" s="289"/>
      <c r="FP4" s="289"/>
      <c r="FQ4" s="289"/>
      <c r="FR4" s="289"/>
      <c r="FS4" s="289"/>
      <c r="FT4" s="289"/>
      <c r="FU4" s="289"/>
      <c r="FV4" s="289"/>
      <c r="FW4" s="289"/>
      <c r="FX4" s="289"/>
      <c r="FY4" s="289"/>
      <c r="FZ4" s="289"/>
      <c r="GA4" s="289"/>
      <c r="GB4" s="289"/>
      <c r="GC4" s="289"/>
      <c r="GD4" s="289"/>
      <c r="GE4" s="289"/>
      <c r="GF4" s="289"/>
      <c r="GG4" s="289"/>
      <c r="GH4" s="289"/>
      <c r="GI4" s="289"/>
      <c r="GJ4" s="289"/>
      <c r="GK4" s="289"/>
      <c r="GL4" s="289"/>
      <c r="GM4" s="289"/>
      <c r="GN4" s="289"/>
      <c r="GO4" s="289"/>
      <c r="GP4" s="289"/>
      <c r="GQ4" s="289"/>
      <c r="GR4" s="289"/>
      <c r="GS4" s="289"/>
      <c r="GT4" s="289"/>
      <c r="GU4" s="289"/>
      <c r="GV4" s="289"/>
      <c r="GW4" s="289"/>
      <c r="GX4" s="289"/>
      <c r="GY4" s="289"/>
      <c r="GZ4" s="289"/>
      <c r="HA4" s="289"/>
      <c r="HB4" s="289"/>
      <c r="HC4" s="289"/>
      <c r="HD4" s="289"/>
      <c r="HE4" s="289"/>
      <c r="HF4" s="289"/>
      <c r="HG4" s="289"/>
      <c r="HH4" s="289"/>
      <c r="HI4" s="289"/>
      <c r="HJ4" s="289"/>
      <c r="HK4" s="289"/>
      <c r="HL4" s="289"/>
      <c r="HM4" s="289"/>
      <c r="HN4" s="289"/>
      <c r="HO4" s="289"/>
      <c r="HP4" s="289"/>
      <c r="HQ4" s="289"/>
      <c r="HR4" s="289"/>
      <c r="HS4" s="289"/>
      <c r="HT4" s="289"/>
      <c r="HU4" s="289"/>
      <c r="HV4" s="289"/>
      <c r="HW4" s="289"/>
      <c r="HX4" s="289"/>
      <c r="HY4" s="289"/>
      <c r="HZ4" s="289"/>
      <c r="IA4" s="289"/>
      <c r="IB4" s="289"/>
      <c r="IC4" s="289"/>
      <c r="ID4" s="289"/>
      <c r="IE4" s="289"/>
      <c r="IF4" s="289"/>
      <c r="IG4" s="289"/>
      <c r="IH4" s="289"/>
      <c r="II4" s="289"/>
      <c r="IJ4" s="289"/>
      <c r="IK4" s="289"/>
      <c r="IL4" s="289"/>
      <c r="IM4" s="289"/>
      <c r="IN4" s="289"/>
      <c r="IO4" s="289"/>
      <c r="IP4" s="289"/>
      <c r="IQ4" s="289"/>
      <c r="IR4" s="289"/>
      <c r="IS4" s="289"/>
      <c r="IT4" s="289"/>
      <c r="IU4" s="289"/>
      <c r="IV4" s="289"/>
      <c r="IW4" s="289"/>
      <c r="IX4" s="289"/>
    </row>
    <row r="5" spans="1:258" s="21" customFormat="1" ht="15.6" thickBot="1">
      <c r="A5" s="289"/>
      <c r="B5" s="289"/>
      <c r="C5" s="373" t="s">
        <v>928</v>
      </c>
      <c r="D5" s="377"/>
      <c r="E5" s="377"/>
      <c r="F5" s="377"/>
      <c r="G5" s="377"/>
      <c r="H5" s="377"/>
      <c r="I5" s="2630">
        <f>+$D$11</f>
        <v>42370</v>
      </c>
      <c r="J5" s="1217">
        <f>YEAR(+D11)</f>
        <v>2016</v>
      </c>
      <c r="K5" s="1222"/>
      <c r="L5" s="1217"/>
      <c r="M5" s="1223"/>
      <c r="N5" s="1223"/>
      <c r="O5" s="377"/>
      <c r="P5" s="377"/>
      <c r="Q5" s="377"/>
      <c r="R5" s="377"/>
      <c r="S5" s="377"/>
      <c r="T5" s="377"/>
      <c r="U5" s="2629"/>
      <c r="V5" s="371"/>
      <c r="W5" s="373"/>
      <c r="X5" s="2630">
        <f>I5</f>
        <v>42370</v>
      </c>
      <c r="Y5" s="1217">
        <f>J5</f>
        <v>2016</v>
      </c>
      <c r="Z5" s="377"/>
      <c r="AA5" s="377"/>
      <c r="AB5" s="377"/>
      <c r="AC5" s="377"/>
      <c r="AD5" s="377"/>
      <c r="AE5" s="377"/>
      <c r="AF5" s="377"/>
      <c r="AG5" s="377"/>
      <c r="AH5" s="377"/>
      <c r="AI5" s="2629"/>
      <c r="AJ5" s="373"/>
      <c r="AK5" s="373"/>
      <c r="AL5" s="377"/>
      <c r="AM5" s="2630">
        <f>I5</f>
        <v>42370</v>
      </c>
      <c r="AN5" s="1217">
        <f>J5</f>
        <v>2016</v>
      </c>
      <c r="AO5" s="377"/>
      <c r="AP5" s="377"/>
      <c r="AQ5" s="377"/>
      <c r="AR5" s="377"/>
      <c r="AS5" s="377"/>
      <c r="AT5" s="377"/>
      <c r="AU5" s="377"/>
      <c r="AV5" s="377"/>
      <c r="AW5" s="377"/>
      <c r="AX5" s="377"/>
      <c r="AY5" s="377"/>
      <c r="AZ5" s="377"/>
      <c r="BA5" s="377"/>
      <c r="BB5" s="2629"/>
      <c r="BC5" s="373"/>
      <c r="BD5" s="373" t="s">
        <v>1035</v>
      </c>
      <c r="BE5" s="377"/>
      <c r="BF5" s="377"/>
      <c r="BG5" s="377"/>
      <c r="BH5" s="377"/>
      <c r="BI5" s="377" t="s">
        <v>1056</v>
      </c>
      <c r="BJ5" s="377"/>
      <c r="BK5" s="377"/>
      <c r="BL5" s="377"/>
      <c r="BM5" s="377"/>
      <c r="BN5" s="377" t="s">
        <v>1099</v>
      </c>
      <c r="BO5" s="377"/>
      <c r="BP5" s="377"/>
      <c r="BQ5" s="2629"/>
      <c r="BR5" s="373"/>
      <c r="BS5" s="289"/>
      <c r="BT5" s="289"/>
      <c r="BU5" s="289"/>
      <c r="BV5" s="289"/>
      <c r="BW5" s="289"/>
      <c r="BX5" s="289"/>
      <c r="BY5" s="289"/>
      <c r="BZ5" s="289"/>
      <c r="CA5" s="289"/>
      <c r="CB5" s="189"/>
      <c r="CC5" s="189" t="s">
        <v>114</v>
      </c>
      <c r="CD5" s="189"/>
      <c r="CE5" s="189"/>
      <c r="CF5" s="189"/>
      <c r="CG5" s="189"/>
      <c r="CH5" s="189"/>
      <c r="CI5" s="189"/>
      <c r="CJ5" s="189"/>
      <c r="CK5" s="189"/>
      <c r="CL5" s="189"/>
      <c r="CM5" s="189"/>
      <c r="CN5" s="189"/>
      <c r="CO5" s="189"/>
      <c r="CP5" s="189"/>
      <c r="CQ5" s="195" t="s">
        <v>149</v>
      </c>
      <c r="CR5" s="190"/>
      <c r="CS5" s="190"/>
      <c r="CT5" s="190"/>
      <c r="CU5" s="190"/>
      <c r="CV5" s="190"/>
      <c r="CW5" s="190"/>
      <c r="CX5" s="190"/>
      <c r="CY5" s="190"/>
      <c r="CZ5" s="190"/>
      <c r="DA5" s="190"/>
      <c r="DB5" s="190"/>
      <c r="DC5" s="191"/>
      <c r="DD5" s="191"/>
      <c r="DE5" s="365"/>
      <c r="DF5" s="365"/>
      <c r="DG5" s="365"/>
      <c r="DH5" s="365"/>
      <c r="DI5" s="365"/>
      <c r="DJ5" s="365"/>
      <c r="DK5" s="365"/>
      <c r="DL5" s="365"/>
      <c r="DM5" s="365"/>
      <c r="DN5" s="366"/>
      <c r="DO5" s="366"/>
      <c r="DP5" s="366"/>
      <c r="DQ5" s="366"/>
      <c r="DR5" s="366"/>
      <c r="DS5" s="365"/>
      <c r="DT5" s="365"/>
      <c r="DU5" s="365"/>
      <c r="DV5" s="365"/>
      <c r="DW5" s="365"/>
      <c r="DX5" s="365"/>
      <c r="DY5" s="365"/>
      <c r="DZ5" s="365"/>
      <c r="EA5" s="365"/>
      <c r="EB5" s="365"/>
      <c r="EC5" s="365"/>
      <c r="ED5" s="365"/>
      <c r="EE5" s="366"/>
      <c r="EF5" s="365"/>
      <c r="EG5" s="366"/>
      <c r="EH5" s="367"/>
      <c r="EI5" s="367"/>
      <c r="EJ5" s="367"/>
      <c r="EK5" s="367"/>
      <c r="EL5" s="367"/>
      <c r="EM5" s="367"/>
      <c r="EN5" s="367"/>
      <c r="EO5" s="367"/>
      <c r="EP5" s="367"/>
      <c r="EQ5" s="367"/>
      <c r="ER5" s="367"/>
      <c r="ES5" s="367"/>
      <c r="ET5" s="367"/>
      <c r="EU5" s="367"/>
      <c r="EV5" s="289"/>
      <c r="EW5" s="189"/>
      <c r="EX5" s="189"/>
      <c r="EY5" s="368"/>
      <c r="EZ5" s="289"/>
      <c r="FA5" s="289"/>
      <c r="FB5" s="289"/>
      <c r="FC5" s="289"/>
      <c r="FD5" s="289"/>
      <c r="FE5" s="289"/>
      <c r="FF5" s="289"/>
      <c r="FG5" s="289"/>
      <c r="FH5" s="289"/>
      <c r="FI5" s="289"/>
      <c r="FJ5" s="289"/>
      <c r="FK5" s="289"/>
      <c r="FL5" s="289"/>
      <c r="FM5" s="289"/>
      <c r="FN5" s="289"/>
      <c r="FO5" s="289"/>
      <c r="FP5" s="289"/>
      <c r="FQ5" s="289"/>
      <c r="FR5" s="289"/>
      <c r="FS5" s="289"/>
      <c r="FT5" s="289"/>
      <c r="FU5" s="289"/>
      <c r="FV5" s="289"/>
      <c r="FW5" s="289"/>
      <c r="FX5" s="289"/>
      <c r="FY5" s="289"/>
      <c r="FZ5" s="289"/>
      <c r="GA5" s="289"/>
      <c r="GB5" s="289"/>
      <c r="GC5" s="289"/>
      <c r="GD5" s="289"/>
      <c r="GE5" s="289"/>
      <c r="GF5" s="289"/>
      <c r="GG5" s="289"/>
      <c r="GH5" s="289"/>
      <c r="GI5" s="289"/>
      <c r="GJ5" s="289"/>
      <c r="GK5" s="289"/>
      <c r="GL5" s="289"/>
      <c r="GM5" s="289"/>
      <c r="GN5" s="289"/>
      <c r="GO5" s="289"/>
      <c r="GP5" s="289"/>
      <c r="GQ5" s="289"/>
      <c r="GR5" s="289"/>
      <c r="GS5" s="289"/>
      <c r="GT5" s="289"/>
      <c r="GU5" s="289"/>
      <c r="GV5" s="289"/>
      <c r="GW5" s="289"/>
      <c r="GX5" s="289"/>
      <c r="GY5" s="289"/>
      <c r="GZ5" s="289"/>
      <c r="HA5" s="289"/>
      <c r="HB5" s="289"/>
      <c r="HC5" s="289"/>
      <c r="HD5" s="289"/>
      <c r="HE5" s="289"/>
      <c r="HF5" s="289"/>
      <c r="HG5" s="289"/>
      <c r="HH5" s="289"/>
      <c r="HI5" s="289"/>
      <c r="HJ5" s="289"/>
      <c r="HK5" s="289"/>
      <c r="HL5" s="289"/>
      <c r="HM5" s="289"/>
      <c r="HN5" s="289"/>
      <c r="HO5" s="289"/>
      <c r="HP5" s="289"/>
      <c r="HQ5" s="289"/>
      <c r="HR5" s="289"/>
      <c r="HS5" s="289"/>
      <c r="HT5" s="289"/>
      <c r="HU5" s="289"/>
      <c r="HV5" s="289"/>
      <c r="HW5" s="289"/>
      <c r="HX5" s="289"/>
      <c r="HY5" s="289"/>
      <c r="HZ5" s="289"/>
      <c r="IA5" s="289"/>
      <c r="IB5" s="289"/>
      <c r="IC5" s="289"/>
      <c r="ID5" s="289"/>
      <c r="IE5" s="289"/>
      <c r="IF5" s="289"/>
      <c r="IG5" s="289"/>
      <c r="IH5" s="289"/>
      <c r="II5" s="289"/>
      <c r="IJ5" s="289"/>
      <c r="IK5" s="289"/>
      <c r="IL5" s="289"/>
      <c r="IM5" s="289"/>
      <c r="IN5" s="289"/>
      <c r="IO5" s="289"/>
      <c r="IP5" s="289"/>
      <c r="IQ5" s="289"/>
      <c r="IR5" s="289"/>
      <c r="IS5" s="289"/>
      <c r="IT5" s="289"/>
      <c r="IU5" s="289"/>
      <c r="IV5" s="289"/>
      <c r="IW5" s="289"/>
      <c r="IX5" s="289"/>
    </row>
    <row r="6" spans="1:258" s="21" customFormat="1" ht="17.100000000000001" customHeight="1" thickBot="1">
      <c r="A6" s="289"/>
      <c r="B6" s="289"/>
      <c r="C6" s="3" t="s">
        <v>929</v>
      </c>
      <c r="D6" s="369"/>
      <c r="E6" s="369"/>
      <c r="F6" s="383" t="s">
        <v>943</v>
      </c>
      <c r="G6" s="383"/>
      <c r="H6" s="369"/>
      <c r="I6" s="383" t="s">
        <v>949</v>
      </c>
      <c r="J6" s="383"/>
      <c r="K6" s="383"/>
      <c r="L6" s="383"/>
      <c r="M6" s="383"/>
      <c r="N6" s="369"/>
      <c r="O6" s="383"/>
      <c r="P6" s="369"/>
      <c r="Q6" s="369"/>
      <c r="R6" s="383" t="s">
        <v>961</v>
      </c>
      <c r="S6" s="383"/>
      <c r="T6" s="383"/>
      <c r="U6" s="2631"/>
      <c r="V6" s="371"/>
      <c r="W6" s="3" t="s">
        <v>973</v>
      </c>
      <c r="X6" s="369"/>
      <c r="Y6" s="369"/>
      <c r="Z6" s="369"/>
      <c r="AA6" s="369"/>
      <c r="AB6" s="369"/>
      <c r="AC6" s="384" t="s">
        <v>978</v>
      </c>
      <c r="AD6" s="383"/>
      <c r="AE6" s="383"/>
      <c r="AF6" s="383"/>
      <c r="AG6" s="383"/>
      <c r="AH6" s="2651" t="s">
        <v>986</v>
      </c>
      <c r="AI6" s="2633" t="s">
        <v>991</v>
      </c>
      <c r="AJ6" s="373"/>
      <c r="AK6" s="3"/>
      <c r="AL6" s="369"/>
      <c r="AM6" s="369"/>
      <c r="AN6" s="383"/>
      <c r="AO6" s="383"/>
      <c r="AP6" s="383"/>
      <c r="AQ6" s="369"/>
      <c r="AR6" s="369"/>
      <c r="AS6" s="383"/>
      <c r="AT6" s="369"/>
      <c r="AU6" s="369"/>
      <c r="AV6" s="383"/>
      <c r="AW6" s="3"/>
      <c r="AX6" s="384" t="s">
        <v>1021</v>
      </c>
      <c r="AY6" s="383"/>
      <c r="AZ6" s="383"/>
      <c r="BA6" s="383"/>
      <c r="BB6" s="2631"/>
      <c r="BC6" s="373"/>
      <c r="BD6" s="3" t="s">
        <v>1036</v>
      </c>
      <c r="BE6" s="369"/>
      <c r="BF6" s="369"/>
      <c r="BG6" s="369"/>
      <c r="BH6" s="373"/>
      <c r="BI6" s="377" t="s">
        <v>1057</v>
      </c>
      <c r="BJ6" s="377"/>
      <c r="BK6" s="377"/>
      <c r="BL6" s="377"/>
      <c r="BM6" s="377"/>
      <c r="BN6" s="377" t="s">
        <v>1058</v>
      </c>
      <c r="BO6" s="377" t="s">
        <v>1102</v>
      </c>
      <c r="BP6" s="1235">
        <f ca="1">AT_!$DM$42*1000</f>
        <v>1804800</v>
      </c>
      <c r="BQ6" s="2629" t="s">
        <v>1095</v>
      </c>
      <c r="BR6" s="373"/>
      <c r="BS6" s="367" t="s">
        <v>94</v>
      </c>
      <c r="BT6" s="367"/>
      <c r="BU6" s="367"/>
      <c r="BV6" s="289"/>
      <c r="BW6" s="289"/>
      <c r="BX6" s="289"/>
      <c r="BY6" s="289"/>
      <c r="BZ6" s="289"/>
      <c r="CA6" s="289"/>
      <c r="CB6" s="189"/>
      <c r="CC6" s="189"/>
      <c r="CD6" s="189"/>
      <c r="CE6" s="189"/>
      <c r="CF6" s="189"/>
      <c r="CG6" s="189"/>
      <c r="CH6" s="189"/>
      <c r="CI6" s="189"/>
      <c r="CJ6" s="189"/>
      <c r="CK6" s="189"/>
      <c r="CL6" s="189"/>
      <c r="CM6" s="386" t="s">
        <v>142</v>
      </c>
      <c r="CN6" s="194"/>
      <c r="CO6" s="194"/>
      <c r="CP6" s="194"/>
      <c r="CQ6" s="387"/>
      <c r="CR6" s="195"/>
      <c r="CS6" s="195"/>
      <c r="CT6" s="195"/>
      <c r="CU6" s="195"/>
      <c r="CV6" s="195"/>
      <c r="CW6" s="195"/>
      <c r="CX6" s="195"/>
      <c r="CY6" s="195"/>
      <c r="CZ6" s="195"/>
      <c r="DA6" s="195"/>
      <c r="DB6" s="195"/>
      <c r="DC6" s="191"/>
      <c r="DD6" s="191"/>
      <c r="DE6" s="365"/>
      <c r="DF6" s="388" t="s">
        <v>158</v>
      </c>
      <c r="DG6" s="389"/>
      <c r="DH6" s="389"/>
      <c r="DI6" s="1206">
        <f>COUNT(D11:D41)</f>
        <v>31</v>
      </c>
      <c r="DJ6" s="390"/>
      <c r="DK6" s="365"/>
      <c r="DL6" s="365"/>
      <c r="DM6" s="365"/>
      <c r="DN6" s="366"/>
      <c r="DO6" s="366"/>
      <c r="DP6" s="366"/>
      <c r="DQ6" s="366"/>
      <c r="DR6" s="366"/>
      <c r="DS6" s="365"/>
      <c r="DT6" s="365"/>
      <c r="DU6" s="365"/>
      <c r="DV6" s="365"/>
      <c r="DW6" s="365"/>
      <c r="DX6" s="365"/>
      <c r="DY6" s="365"/>
      <c r="DZ6" s="365"/>
      <c r="EA6" s="365"/>
      <c r="EB6" s="365"/>
      <c r="EC6" s="365"/>
      <c r="ED6" s="365"/>
      <c r="EE6" s="366"/>
      <c r="EF6" s="365"/>
      <c r="EG6" s="366"/>
      <c r="EH6" s="367"/>
      <c r="EI6" s="367"/>
      <c r="EJ6" s="367"/>
      <c r="EK6" s="367"/>
      <c r="EL6" s="367"/>
      <c r="EM6" s="367"/>
      <c r="EN6" s="367"/>
      <c r="EO6" s="367"/>
      <c r="EP6" s="367"/>
      <c r="EQ6" s="367"/>
      <c r="ER6" s="367"/>
      <c r="ES6" s="367"/>
      <c r="ET6" s="367"/>
      <c r="EU6" s="367"/>
      <c r="EV6" s="289"/>
      <c r="EW6" s="391"/>
      <c r="EX6" s="391"/>
      <c r="EY6" s="368"/>
      <c r="EZ6" s="289"/>
      <c r="FA6" s="289"/>
      <c r="FB6" s="289"/>
      <c r="FC6" s="289"/>
      <c r="FD6" s="289"/>
      <c r="FE6" s="289"/>
      <c r="FF6" s="289"/>
      <c r="FG6" s="289"/>
      <c r="FH6" s="289"/>
      <c r="FI6" s="289"/>
      <c r="FJ6" s="289"/>
      <c r="FK6" s="289"/>
      <c r="FL6" s="289"/>
      <c r="FM6" s="289"/>
      <c r="FN6" s="289"/>
      <c r="FO6" s="289"/>
      <c r="FP6" s="289"/>
      <c r="FQ6" s="289"/>
      <c r="FR6" s="289"/>
      <c r="FS6" s="289"/>
      <c r="FT6" s="289"/>
      <c r="FU6" s="289"/>
      <c r="FV6" s="289"/>
      <c r="FW6" s="289"/>
      <c r="FX6" s="289"/>
      <c r="FY6" s="289"/>
      <c r="FZ6" s="289"/>
      <c r="GA6" s="289"/>
      <c r="GB6" s="289"/>
      <c r="GC6" s="289"/>
      <c r="GD6" s="289"/>
      <c r="GE6" s="289"/>
      <c r="GF6" s="289"/>
      <c r="GG6" s="289"/>
      <c r="GH6" s="289"/>
      <c r="GI6" s="289"/>
      <c r="GJ6" s="289"/>
      <c r="GK6" s="289"/>
      <c r="GL6" s="289"/>
      <c r="GM6" s="289"/>
      <c r="GN6" s="289"/>
      <c r="GO6" s="289"/>
      <c r="GP6" s="289"/>
      <c r="GQ6" s="289"/>
      <c r="GR6" s="289"/>
      <c r="GS6" s="289"/>
      <c r="GT6" s="289"/>
      <c r="GU6" s="289"/>
      <c r="GV6" s="289"/>
      <c r="GW6" s="289"/>
      <c r="GX6" s="289"/>
      <c r="GY6" s="289"/>
      <c r="GZ6" s="289"/>
      <c r="HA6" s="289"/>
      <c r="HB6" s="289"/>
      <c r="HC6" s="289"/>
      <c r="HD6" s="289"/>
      <c r="HE6" s="289"/>
      <c r="HF6" s="289"/>
      <c r="HG6" s="289"/>
      <c r="HH6" s="289"/>
      <c r="HI6" s="289"/>
      <c r="HJ6" s="289"/>
      <c r="HK6" s="289"/>
      <c r="HL6" s="289"/>
      <c r="HM6" s="289"/>
      <c r="HN6" s="289"/>
      <c r="HO6" s="289"/>
      <c r="HP6" s="289"/>
      <c r="HQ6" s="289"/>
      <c r="HR6" s="289"/>
      <c r="HS6" s="289"/>
      <c r="HT6" s="289"/>
      <c r="HU6" s="289"/>
      <c r="HV6" s="289"/>
      <c r="HW6" s="289"/>
      <c r="HX6" s="289"/>
      <c r="HY6" s="289"/>
      <c r="HZ6" s="289"/>
      <c r="IA6" s="289"/>
      <c r="IB6" s="289"/>
      <c r="IC6" s="289"/>
      <c r="ID6" s="289"/>
      <c r="IE6" s="289"/>
      <c r="IF6" s="289"/>
      <c r="IG6" s="289"/>
      <c r="IH6" s="289"/>
      <c r="II6" s="289"/>
      <c r="IJ6" s="289"/>
      <c r="IK6" s="289"/>
      <c r="IL6" s="289"/>
      <c r="IM6" s="289"/>
      <c r="IN6" s="289"/>
      <c r="IO6" s="289"/>
      <c r="IP6" s="289"/>
      <c r="IQ6" s="289"/>
      <c r="IR6" s="289"/>
      <c r="IS6" s="289"/>
      <c r="IT6" s="289"/>
      <c r="IU6" s="289"/>
      <c r="IV6" s="289"/>
      <c r="IW6" s="289"/>
      <c r="IX6" s="289"/>
    </row>
    <row r="7" spans="1:258" s="21" customFormat="1" ht="17.100000000000001" customHeight="1" thickBot="1">
      <c r="A7" s="289"/>
      <c r="B7" s="289"/>
      <c r="C7" s="373" t="s">
        <v>930</v>
      </c>
      <c r="D7" s="377"/>
      <c r="E7" s="377"/>
      <c r="F7" s="1221" t="s">
        <v>944</v>
      </c>
      <c r="G7" s="1221"/>
      <c r="H7" s="377"/>
      <c r="I7" s="1221" t="s">
        <v>950</v>
      </c>
      <c r="J7" s="1221"/>
      <c r="K7" s="1221"/>
      <c r="L7" s="1221"/>
      <c r="M7" s="1221"/>
      <c r="N7" s="377"/>
      <c r="O7" s="377"/>
      <c r="P7" s="377"/>
      <c r="Q7" s="377"/>
      <c r="R7" s="2657" t="s">
        <v>1291</v>
      </c>
      <c r="S7" s="377"/>
      <c r="T7" s="1221"/>
      <c r="U7" s="2632"/>
      <c r="V7" s="371"/>
      <c r="W7" s="392" t="s">
        <v>1292</v>
      </c>
      <c r="X7" s="377"/>
      <c r="Y7" s="377"/>
      <c r="Z7" s="377"/>
      <c r="AA7" s="377"/>
      <c r="AB7" s="377"/>
      <c r="AC7" s="376" t="s">
        <v>979</v>
      </c>
      <c r="AD7" s="1221"/>
      <c r="AE7" s="1221"/>
      <c r="AF7" s="1221"/>
      <c r="AG7" s="1221"/>
      <c r="AH7" s="2652" t="s">
        <v>1352</v>
      </c>
      <c r="AI7" s="2634" t="s">
        <v>992</v>
      </c>
      <c r="AJ7" s="373"/>
      <c r="AK7" s="373"/>
      <c r="AL7" s="377"/>
      <c r="AM7" s="1225"/>
      <c r="AN7" s="1225"/>
      <c r="AO7" s="1225"/>
      <c r="AP7" s="1225"/>
      <c r="AQ7" s="377"/>
      <c r="AR7" s="377"/>
      <c r="AS7" s="1221"/>
      <c r="AT7" s="1221"/>
      <c r="AU7" s="1221"/>
      <c r="AV7" s="1221"/>
      <c r="AW7" s="373"/>
      <c r="AX7" s="376" t="s">
        <v>1022</v>
      </c>
      <c r="AY7" s="1221"/>
      <c r="AZ7" s="1221"/>
      <c r="BA7" s="1221"/>
      <c r="BB7" s="2632"/>
      <c r="BC7" s="373"/>
      <c r="BD7" s="373"/>
      <c r="BE7" s="377"/>
      <c r="BF7" s="377"/>
      <c r="BG7" s="377"/>
      <c r="BH7" s="373"/>
      <c r="BI7" s="377" t="s">
        <v>1058</v>
      </c>
      <c r="BJ7" s="377" t="s">
        <v>1079</v>
      </c>
      <c r="BK7" s="1993">
        <f>SUM(CHEM_!D50:F50)</f>
        <v>58875</v>
      </c>
      <c r="BL7" s="377" t="s">
        <v>1093</v>
      </c>
      <c r="BM7" s="377"/>
      <c r="BN7" s="377" t="s">
        <v>1059</v>
      </c>
      <c r="BO7" s="377" t="s">
        <v>1103</v>
      </c>
      <c r="BP7" s="1792">
        <f>AT_!$AJ$42</f>
        <v>1.7</v>
      </c>
      <c r="BQ7" s="2629" t="s">
        <v>91</v>
      </c>
      <c r="BR7" s="373"/>
      <c r="BS7" s="289"/>
      <c r="BT7" s="289"/>
      <c r="BU7" s="289"/>
      <c r="BV7" s="289"/>
      <c r="BW7" s="289"/>
      <c r="BX7" s="289"/>
      <c r="BY7" s="289"/>
      <c r="BZ7" s="289"/>
      <c r="CA7" s="289"/>
      <c r="CB7" s="189" t="s">
        <v>98</v>
      </c>
      <c r="CC7" s="189" t="s">
        <v>115</v>
      </c>
      <c r="CD7" s="189"/>
      <c r="CE7" s="262" t="s">
        <v>1111</v>
      </c>
      <c r="CF7" s="263"/>
      <c r="CG7" s="394"/>
      <c r="CH7" s="263"/>
      <c r="CI7" s="262" t="s">
        <v>1112</v>
      </c>
      <c r="CJ7" s="263"/>
      <c r="CK7" s="263"/>
      <c r="CL7" s="263"/>
      <c r="CM7" s="196" t="s">
        <v>143</v>
      </c>
      <c r="CN7" s="197"/>
      <c r="CO7" s="197"/>
      <c r="CP7" s="197"/>
      <c r="CQ7" s="387" t="s">
        <v>1113</v>
      </c>
      <c r="CR7" s="195"/>
      <c r="CS7" s="195"/>
      <c r="CT7" s="195"/>
      <c r="CU7" s="195"/>
      <c r="CV7" s="195"/>
      <c r="CW7" s="195"/>
      <c r="CX7" s="195"/>
      <c r="CY7" s="190"/>
      <c r="CZ7" s="190"/>
      <c r="DA7" s="190"/>
      <c r="DB7" s="190"/>
      <c r="DC7" s="191"/>
      <c r="DD7" s="191"/>
      <c r="DE7" s="365"/>
      <c r="DF7" s="389"/>
      <c r="DG7" s="389"/>
      <c r="DH7" s="389"/>
      <c r="DI7" s="389"/>
      <c r="DJ7" s="365"/>
      <c r="DK7" s="365"/>
      <c r="DL7" s="365"/>
      <c r="DM7" s="365"/>
      <c r="DN7" s="366"/>
      <c r="DO7" s="365"/>
      <c r="DP7" s="365"/>
      <c r="DQ7" s="365"/>
      <c r="DR7" s="365"/>
      <c r="DS7" s="365"/>
      <c r="DT7" s="365"/>
      <c r="DU7" s="365"/>
      <c r="DV7" s="365"/>
      <c r="DW7" s="365"/>
      <c r="DX7" s="365"/>
      <c r="DY7" s="365"/>
      <c r="DZ7" s="365"/>
      <c r="EA7" s="365"/>
      <c r="EB7" s="365"/>
      <c r="EC7" s="365"/>
      <c r="ED7" s="365"/>
      <c r="EE7" s="366"/>
      <c r="EF7" s="365"/>
      <c r="EG7" s="366"/>
      <c r="EH7" s="367"/>
      <c r="EI7" s="367"/>
      <c r="EJ7" s="367"/>
      <c r="EK7" s="367"/>
      <c r="EL7" s="367"/>
      <c r="EM7" s="367"/>
      <c r="EN7" s="367"/>
      <c r="EO7" s="367"/>
      <c r="EP7" s="367"/>
      <c r="EQ7" s="367"/>
      <c r="ER7" s="367"/>
      <c r="ES7" s="367"/>
      <c r="ET7" s="367"/>
      <c r="EU7" s="367"/>
      <c r="EV7" s="289"/>
      <c r="EW7" s="391"/>
      <c r="EX7" s="391"/>
      <c r="EY7" s="368"/>
      <c r="EZ7" s="289"/>
      <c r="FA7" s="289"/>
      <c r="FB7" s="289"/>
      <c r="FC7" s="289"/>
      <c r="FD7" s="289"/>
      <c r="FE7" s="289"/>
      <c r="FF7" s="289"/>
      <c r="FG7" s="289"/>
      <c r="FH7" s="289"/>
      <c r="FI7" s="289"/>
      <c r="FJ7" s="289"/>
      <c r="FK7" s="289"/>
      <c r="FL7" s="289"/>
      <c r="FM7" s="289"/>
      <c r="FN7" s="289"/>
      <c r="FO7" s="289"/>
      <c r="FP7" s="289"/>
      <c r="FQ7" s="289"/>
      <c r="FR7" s="289"/>
      <c r="FS7" s="289"/>
      <c r="FT7" s="289"/>
      <c r="FU7" s="289"/>
      <c r="FV7" s="289"/>
      <c r="FW7" s="289"/>
      <c r="FX7" s="289"/>
      <c r="FY7" s="289"/>
      <c r="FZ7" s="289"/>
      <c r="GA7" s="289"/>
      <c r="GB7" s="289"/>
      <c r="GC7" s="289"/>
      <c r="GD7" s="289"/>
      <c r="GE7" s="289"/>
      <c r="GF7" s="289"/>
      <c r="GG7" s="289"/>
      <c r="GH7" s="289"/>
      <c r="GI7" s="289"/>
      <c r="GJ7" s="289"/>
      <c r="GK7" s="289"/>
      <c r="GL7" s="289"/>
      <c r="GM7" s="289"/>
      <c r="GN7" s="289"/>
      <c r="GO7" s="289"/>
      <c r="GP7" s="289"/>
      <c r="GQ7" s="289"/>
      <c r="GR7" s="289"/>
      <c r="GS7" s="289"/>
      <c r="GT7" s="289"/>
      <c r="GU7" s="289"/>
      <c r="GV7" s="289"/>
      <c r="GW7" s="289"/>
      <c r="GX7" s="289"/>
      <c r="GY7" s="289"/>
      <c r="GZ7" s="289"/>
      <c r="HA7" s="289"/>
      <c r="HB7" s="289"/>
      <c r="HC7" s="289"/>
      <c r="HD7" s="289"/>
      <c r="HE7" s="289"/>
      <c r="HF7" s="289"/>
      <c r="HG7" s="289"/>
      <c r="HH7" s="289"/>
      <c r="HI7" s="289"/>
      <c r="HJ7" s="289"/>
      <c r="HK7" s="289"/>
      <c r="HL7" s="289"/>
      <c r="HM7" s="289"/>
      <c r="HN7" s="289"/>
      <c r="HO7" s="289"/>
      <c r="HP7" s="289"/>
      <c r="HQ7" s="289"/>
      <c r="HR7" s="289"/>
      <c r="HS7" s="289"/>
      <c r="HT7" s="289"/>
      <c r="HU7" s="289"/>
      <c r="HV7" s="289"/>
      <c r="HW7" s="289"/>
      <c r="HX7" s="289"/>
      <c r="HY7" s="289"/>
      <c r="HZ7" s="289"/>
      <c r="IA7" s="289"/>
      <c r="IB7" s="289"/>
      <c r="IC7" s="289"/>
      <c r="ID7" s="289"/>
      <c r="IE7" s="289"/>
      <c r="IF7" s="289"/>
      <c r="IG7" s="289"/>
      <c r="IH7" s="289"/>
      <c r="II7" s="289"/>
      <c r="IJ7" s="289"/>
      <c r="IK7" s="289"/>
      <c r="IL7" s="289"/>
      <c r="IM7" s="289"/>
      <c r="IN7" s="289"/>
      <c r="IO7" s="289"/>
      <c r="IP7" s="289"/>
      <c r="IQ7" s="289"/>
      <c r="IR7" s="289"/>
      <c r="IS7" s="289"/>
      <c r="IT7" s="289"/>
      <c r="IU7" s="289"/>
      <c r="IV7" s="289"/>
      <c r="IW7" s="289"/>
      <c r="IX7" s="289"/>
    </row>
    <row r="8" spans="1:258" s="21" customFormat="1" ht="17.100000000000001" customHeight="1" thickBot="1">
      <c r="A8" s="289"/>
      <c r="B8" s="289"/>
      <c r="C8" s="384"/>
      <c r="D8" s="384"/>
      <c r="E8" s="384" t="s">
        <v>938</v>
      </c>
      <c r="F8" s="383"/>
      <c r="G8" s="383"/>
      <c r="H8" s="383"/>
      <c r="I8" s="384" t="s">
        <v>951</v>
      </c>
      <c r="J8" s="384" t="s">
        <v>955</v>
      </c>
      <c r="K8" s="383"/>
      <c r="L8" s="383"/>
      <c r="M8" s="383"/>
      <c r="N8" s="383"/>
      <c r="O8" s="383"/>
      <c r="P8" s="384" t="s">
        <v>960</v>
      </c>
      <c r="Q8" s="383"/>
      <c r="R8" s="384" t="s">
        <v>962</v>
      </c>
      <c r="S8" s="383"/>
      <c r="T8" s="384" t="s">
        <v>967</v>
      </c>
      <c r="U8" s="2631"/>
      <c r="V8" s="395"/>
      <c r="W8" s="384"/>
      <c r="X8" s="384"/>
      <c r="Y8" s="384" t="s">
        <v>976</v>
      </c>
      <c r="Z8" s="383"/>
      <c r="AA8" s="384" t="s">
        <v>977</v>
      </c>
      <c r="AB8" s="383"/>
      <c r="AC8" s="384" t="s">
        <v>980</v>
      </c>
      <c r="AD8" s="2718" t="s">
        <v>982</v>
      </c>
      <c r="AE8" s="2719"/>
      <c r="AF8" s="2713" t="s">
        <v>1459</v>
      </c>
      <c r="AG8" s="2714"/>
      <c r="AH8" s="400" t="s">
        <v>987</v>
      </c>
      <c r="AI8" s="2678"/>
      <c r="AJ8" s="373"/>
      <c r="AK8" s="384"/>
      <c r="AL8" s="384"/>
      <c r="AM8" s="384" t="s">
        <v>1001</v>
      </c>
      <c r="AN8" s="383"/>
      <c r="AO8" s="383"/>
      <c r="AP8" s="383"/>
      <c r="AQ8" s="383"/>
      <c r="AR8" s="383"/>
      <c r="AS8" s="383"/>
      <c r="AT8" s="383"/>
      <c r="AU8" s="384" t="s">
        <v>1016</v>
      </c>
      <c r="AV8" s="384" t="s">
        <v>1018</v>
      </c>
      <c r="AW8" s="2652" t="s">
        <v>1019</v>
      </c>
      <c r="AX8" s="2651" t="s">
        <v>942</v>
      </c>
      <c r="AY8" s="384" t="s">
        <v>1023</v>
      </c>
      <c r="AZ8" s="384" t="s">
        <v>1025</v>
      </c>
      <c r="BA8" s="384" t="s">
        <v>1029</v>
      </c>
      <c r="BB8" s="2633" t="s">
        <v>1033</v>
      </c>
      <c r="BC8" s="373"/>
      <c r="BD8" s="384" t="s">
        <v>975</v>
      </c>
      <c r="BE8" s="384" t="s">
        <v>1049</v>
      </c>
      <c r="BF8" s="384" t="s">
        <v>1050</v>
      </c>
      <c r="BG8" s="384" t="s">
        <v>1053</v>
      </c>
      <c r="BH8" s="373"/>
      <c r="BI8" s="377" t="s">
        <v>1059</v>
      </c>
      <c r="BJ8" s="377" t="s">
        <v>1080</v>
      </c>
      <c r="BK8" s="396">
        <f>+CHEM_!M50</f>
        <v>1790</v>
      </c>
      <c r="BL8" s="377" t="s">
        <v>1093</v>
      </c>
      <c r="BM8" s="377"/>
      <c r="BN8" s="377" t="s">
        <v>1060</v>
      </c>
      <c r="BO8" s="377" t="s">
        <v>1104</v>
      </c>
      <c r="BP8" s="1792">
        <f>AT_!$AK$42</f>
        <v>71.400000000000006</v>
      </c>
      <c r="BQ8" s="2629" t="s">
        <v>91</v>
      </c>
      <c r="BR8" s="373"/>
      <c r="BS8" s="289"/>
      <c r="BT8" s="289"/>
      <c r="BU8" s="289"/>
      <c r="BV8" s="289"/>
      <c r="BW8" s="289"/>
      <c r="BX8" s="289"/>
      <c r="BY8" s="289"/>
      <c r="BZ8" s="289"/>
      <c r="CA8" s="382"/>
      <c r="CB8" s="189" t="s">
        <v>99</v>
      </c>
      <c r="CC8" s="189" t="s">
        <v>116</v>
      </c>
      <c r="CD8" s="207" t="s">
        <v>130</v>
      </c>
      <c r="CE8" s="198">
        <f>+R44</f>
        <v>140</v>
      </c>
      <c r="CF8" s="198">
        <f>+S44</f>
        <v>7</v>
      </c>
      <c r="CG8" s="198">
        <f>+T44</f>
        <v>139</v>
      </c>
      <c r="CH8" s="198">
        <f>+U44</f>
        <v>16</v>
      </c>
      <c r="CI8" s="198"/>
      <c r="CJ8" s="199"/>
      <c r="CK8" s="199"/>
      <c r="CL8" s="199"/>
      <c r="CM8" s="196" t="s">
        <v>144</v>
      </c>
      <c r="CN8" s="200"/>
      <c r="CO8" s="200"/>
      <c r="CP8" s="200"/>
      <c r="CQ8" s="201">
        <f t="shared" ref="CQ8:CX8" si="0">AM42</f>
        <v>0.05</v>
      </c>
      <c r="CR8" s="202">
        <f t="shared" si="0"/>
        <v>0.13</v>
      </c>
      <c r="CS8" s="203">
        <f t="shared" si="0"/>
        <v>25.3</v>
      </c>
      <c r="CT8" s="203">
        <f t="shared" si="0"/>
        <v>36</v>
      </c>
      <c r="CU8" s="204">
        <f t="shared" si="0"/>
        <v>0.65</v>
      </c>
      <c r="CV8" s="202">
        <f t="shared" si="0"/>
        <v>3.27</v>
      </c>
      <c r="CW8" s="203">
        <f t="shared" si="0"/>
        <v>13.4</v>
      </c>
      <c r="CX8" s="203">
        <f t="shared" si="0"/>
        <v>13.6</v>
      </c>
      <c r="CY8" s="205"/>
      <c r="CZ8" s="190"/>
      <c r="DA8" s="190"/>
      <c r="DB8" s="190"/>
      <c r="DC8" s="191"/>
      <c r="DD8" s="191"/>
      <c r="DE8" s="365"/>
      <c r="DF8" s="365"/>
      <c r="DG8" s="365"/>
      <c r="DH8" s="365"/>
      <c r="DI8" s="365"/>
      <c r="DJ8" s="365"/>
      <c r="DK8" s="365"/>
      <c r="DL8" s="365"/>
      <c r="DM8" s="365"/>
      <c r="DN8" s="365"/>
      <c r="DO8" s="366"/>
      <c r="DP8" s="366"/>
      <c r="DQ8" s="366"/>
      <c r="DR8" s="366"/>
      <c r="DS8" s="366"/>
      <c r="DT8" s="365"/>
      <c r="DU8" s="365"/>
      <c r="DV8" s="397">
        <v>1</v>
      </c>
      <c r="DW8" s="397">
        <f t="shared" ref="DW8:EF8" si="1">DV8+1</f>
        <v>2</v>
      </c>
      <c r="DX8" s="397">
        <f t="shared" si="1"/>
        <v>3</v>
      </c>
      <c r="DY8" s="397">
        <f t="shared" si="1"/>
        <v>4</v>
      </c>
      <c r="DZ8" s="397">
        <f t="shared" si="1"/>
        <v>5</v>
      </c>
      <c r="EA8" s="397">
        <f t="shared" si="1"/>
        <v>6</v>
      </c>
      <c r="EB8" s="397">
        <f t="shared" si="1"/>
        <v>7</v>
      </c>
      <c r="EC8" s="397">
        <f t="shared" si="1"/>
        <v>8</v>
      </c>
      <c r="ED8" s="397">
        <f t="shared" si="1"/>
        <v>9</v>
      </c>
      <c r="EE8" s="397">
        <f t="shared" si="1"/>
        <v>10</v>
      </c>
      <c r="EF8" s="397">
        <f t="shared" si="1"/>
        <v>11</v>
      </c>
      <c r="EG8" s="366"/>
      <c r="EH8" s="398"/>
      <c r="EI8" s="367"/>
      <c r="EJ8" s="2208">
        <f>+$EJ$17</f>
        <v>105</v>
      </c>
      <c r="EK8" s="2208">
        <f t="shared" ref="EK8:EU8" si="2">+$EJ$17</f>
        <v>105</v>
      </c>
      <c r="EL8" s="2208">
        <f t="shared" si="2"/>
        <v>105</v>
      </c>
      <c r="EM8" s="2208">
        <f t="shared" si="2"/>
        <v>105</v>
      </c>
      <c r="EN8" s="2208">
        <f t="shared" si="2"/>
        <v>105</v>
      </c>
      <c r="EO8" s="2208">
        <f t="shared" si="2"/>
        <v>105</v>
      </c>
      <c r="EP8" s="2208">
        <f t="shared" si="2"/>
        <v>105</v>
      </c>
      <c r="EQ8" s="2208">
        <f t="shared" si="2"/>
        <v>105</v>
      </c>
      <c r="ER8" s="2208">
        <f t="shared" si="2"/>
        <v>105</v>
      </c>
      <c r="ES8" s="2208">
        <f t="shared" si="2"/>
        <v>105</v>
      </c>
      <c r="ET8" s="2208">
        <f t="shared" si="2"/>
        <v>105</v>
      </c>
      <c r="EU8" s="2208">
        <f t="shared" si="2"/>
        <v>105</v>
      </c>
      <c r="EV8" s="289"/>
      <c r="EW8" s="391"/>
      <c r="EX8" s="391"/>
      <c r="EY8" s="368"/>
      <c r="EZ8" s="289"/>
      <c r="FA8" s="289"/>
      <c r="FB8" s="289"/>
      <c r="FC8" s="289"/>
      <c r="FD8" s="289"/>
      <c r="FE8" s="289"/>
      <c r="FF8" s="289"/>
      <c r="FG8" s="289"/>
      <c r="FH8" s="289"/>
      <c r="FI8" s="289"/>
      <c r="FJ8" s="289"/>
      <c r="FK8" s="289"/>
      <c r="FL8" s="289"/>
      <c r="FM8" s="289"/>
      <c r="FN8" s="289"/>
      <c r="FO8" s="289"/>
      <c r="FP8" s="289"/>
      <c r="FQ8" s="289"/>
      <c r="FR8" s="289"/>
      <c r="FS8" s="289"/>
      <c r="FT8" s="289"/>
      <c r="FU8" s="289"/>
      <c r="FV8" s="289"/>
      <c r="FW8" s="289"/>
      <c r="FX8" s="289"/>
      <c r="FY8" s="289"/>
      <c r="FZ8" s="289"/>
      <c r="GA8" s="289"/>
      <c r="GB8" s="289"/>
      <c r="GC8" s="289"/>
      <c r="GD8" s="289"/>
      <c r="GE8" s="289"/>
      <c r="GF8" s="289"/>
      <c r="GG8" s="289"/>
      <c r="GH8" s="289"/>
      <c r="GI8" s="289"/>
      <c r="GJ8" s="289"/>
      <c r="GK8" s="289"/>
      <c r="GL8" s="289"/>
      <c r="GM8" s="289"/>
      <c r="GN8" s="289"/>
      <c r="GO8" s="289"/>
      <c r="GP8" s="289"/>
      <c r="GQ8" s="289"/>
      <c r="GR8" s="289"/>
      <c r="GS8" s="289"/>
      <c r="GT8" s="289"/>
      <c r="GU8" s="289"/>
      <c r="GV8" s="289"/>
      <c r="GW8" s="289"/>
      <c r="GX8" s="289"/>
      <c r="GY8" s="289"/>
      <c r="GZ8" s="289"/>
      <c r="HA8" s="289"/>
      <c r="HB8" s="289"/>
      <c r="HC8" s="289"/>
      <c r="HD8" s="289"/>
      <c r="HE8" s="289"/>
      <c r="HF8" s="289"/>
      <c r="HG8" s="289"/>
      <c r="HH8" s="289"/>
      <c r="HI8" s="289"/>
      <c r="HJ8" s="289"/>
      <c r="HK8" s="289"/>
      <c r="HL8" s="289"/>
      <c r="HM8" s="289"/>
      <c r="HN8" s="289"/>
      <c r="HO8" s="289"/>
      <c r="HP8" s="289"/>
      <c r="HQ8" s="289"/>
      <c r="HR8" s="289"/>
      <c r="HS8" s="289"/>
      <c r="HT8" s="289"/>
      <c r="HU8" s="289"/>
      <c r="HV8" s="289"/>
      <c r="HW8" s="289"/>
      <c r="HX8" s="289"/>
      <c r="HY8" s="289"/>
      <c r="HZ8" s="289"/>
      <c r="IA8" s="289"/>
      <c r="IB8" s="289"/>
      <c r="IC8" s="289"/>
      <c r="ID8" s="289"/>
      <c r="IE8" s="289"/>
      <c r="IF8" s="289"/>
      <c r="IG8" s="289"/>
      <c r="IH8" s="289"/>
      <c r="II8" s="289"/>
      <c r="IJ8" s="289"/>
      <c r="IK8" s="289"/>
      <c r="IL8" s="289"/>
      <c r="IM8" s="289"/>
      <c r="IN8" s="289"/>
      <c r="IO8" s="289"/>
      <c r="IP8" s="289"/>
      <c r="IQ8" s="289"/>
      <c r="IR8" s="289"/>
      <c r="IS8" s="289"/>
      <c r="IT8" s="289"/>
      <c r="IU8" s="289"/>
      <c r="IV8" s="289"/>
      <c r="IW8" s="289"/>
      <c r="IX8" s="289"/>
    </row>
    <row r="9" spans="1:258" s="21" customFormat="1" ht="17.100000000000001" customHeight="1" thickBot="1">
      <c r="A9" s="289"/>
      <c r="B9" s="289"/>
      <c r="C9" s="376"/>
      <c r="D9" s="376"/>
      <c r="E9" s="384" t="s">
        <v>939</v>
      </c>
      <c r="F9" s="384" t="s">
        <v>945</v>
      </c>
      <c r="G9" s="384" t="s">
        <v>946</v>
      </c>
      <c r="H9" s="384" t="s">
        <v>948</v>
      </c>
      <c r="I9" s="376" t="s">
        <v>952</v>
      </c>
      <c r="J9" s="384" t="s">
        <v>956</v>
      </c>
      <c r="K9" s="384" t="s">
        <v>956</v>
      </c>
      <c r="L9" s="384" t="s">
        <v>956</v>
      </c>
      <c r="M9" s="384" t="s">
        <v>952</v>
      </c>
      <c r="N9" s="384" t="s">
        <v>952</v>
      </c>
      <c r="O9" s="384" t="s">
        <v>952</v>
      </c>
      <c r="P9" s="384" t="s">
        <v>956</v>
      </c>
      <c r="Q9" s="384" t="s">
        <v>952</v>
      </c>
      <c r="R9" s="384" t="s">
        <v>956</v>
      </c>
      <c r="S9" s="384" t="s">
        <v>952</v>
      </c>
      <c r="T9" s="384" t="s">
        <v>956</v>
      </c>
      <c r="U9" s="2658" t="s">
        <v>952</v>
      </c>
      <c r="V9" s="399" t="s">
        <v>970</v>
      </c>
      <c r="W9" s="376"/>
      <c r="X9" s="376"/>
      <c r="Y9" s="384" t="s">
        <v>956</v>
      </c>
      <c r="Z9" s="384" t="s">
        <v>952</v>
      </c>
      <c r="AA9" s="384" t="s">
        <v>956</v>
      </c>
      <c r="AB9" s="384" t="s">
        <v>952</v>
      </c>
      <c r="AC9" s="376" t="s">
        <v>981</v>
      </c>
      <c r="AD9" s="2720" t="s">
        <v>952</v>
      </c>
      <c r="AE9" s="2721"/>
      <c r="AF9" s="2715" t="s">
        <v>952</v>
      </c>
      <c r="AG9" s="2716"/>
      <c r="AH9" s="2431" t="s">
        <v>988</v>
      </c>
      <c r="AI9" s="2679"/>
      <c r="AJ9" s="373"/>
      <c r="AK9" s="376"/>
      <c r="AL9" s="376"/>
      <c r="AM9" s="384" t="s">
        <v>956</v>
      </c>
      <c r="AN9" s="383"/>
      <c r="AO9" s="383"/>
      <c r="AP9" s="383"/>
      <c r="AQ9" s="384" t="s">
        <v>952</v>
      </c>
      <c r="AR9" s="383"/>
      <c r="AS9" s="383"/>
      <c r="AT9" s="383"/>
      <c r="AU9" s="376" t="s">
        <v>952</v>
      </c>
      <c r="AV9" s="376" t="s">
        <v>956</v>
      </c>
      <c r="AW9" s="2652" t="s">
        <v>1020</v>
      </c>
      <c r="AX9" s="2652" t="s">
        <v>1023</v>
      </c>
      <c r="AY9" s="376" t="s">
        <v>952</v>
      </c>
      <c r="AZ9" s="376" t="s">
        <v>1026</v>
      </c>
      <c r="BA9" s="376" t="s">
        <v>1030</v>
      </c>
      <c r="BB9" s="2634" t="s">
        <v>1030</v>
      </c>
      <c r="BC9" s="373"/>
      <c r="BD9" s="3"/>
      <c r="BE9" s="3"/>
      <c r="BF9" s="3"/>
      <c r="BG9" s="3"/>
      <c r="BH9" s="373"/>
      <c r="BI9" s="377" t="s">
        <v>1060</v>
      </c>
      <c r="BJ9" s="377" t="s">
        <v>1081</v>
      </c>
      <c r="BK9" s="462">
        <f>CHEM_!$AD$42</f>
        <v>236</v>
      </c>
      <c r="BL9" s="377" t="s">
        <v>1093</v>
      </c>
      <c r="BM9" s="377"/>
      <c r="BN9" s="377" t="s">
        <v>1061</v>
      </c>
      <c r="BO9" s="377" t="s">
        <v>1105</v>
      </c>
      <c r="BP9" s="370" t="s">
        <v>41</v>
      </c>
      <c r="BQ9" s="2629"/>
      <c r="BR9" s="373"/>
      <c r="BS9" s="289"/>
      <c r="BT9" s="289"/>
      <c r="BU9" s="289"/>
      <c r="BV9" s="289"/>
      <c r="BW9" s="289"/>
      <c r="BX9" s="289"/>
      <c r="BY9" s="289"/>
      <c r="BZ9" s="289"/>
      <c r="CA9" s="289"/>
      <c r="CB9" s="189" t="s">
        <v>100</v>
      </c>
      <c r="CC9" s="189" t="s">
        <v>117</v>
      </c>
      <c r="CD9" s="206"/>
      <c r="CE9" s="207" t="s">
        <v>132</v>
      </c>
      <c r="CF9" s="208" t="s">
        <v>137</v>
      </c>
      <c r="CG9" s="208" t="s">
        <v>139</v>
      </c>
      <c r="CH9" s="208" t="s">
        <v>140</v>
      </c>
      <c r="CI9" s="207" t="s">
        <v>132</v>
      </c>
      <c r="CJ9" s="208" t="s">
        <v>137</v>
      </c>
      <c r="CK9" s="208" t="s">
        <v>139</v>
      </c>
      <c r="CL9" s="208" t="s">
        <v>140</v>
      </c>
      <c r="CM9" s="209" t="s">
        <v>132</v>
      </c>
      <c r="CN9" s="208" t="s">
        <v>137</v>
      </c>
      <c r="CO9" s="208" t="s">
        <v>139</v>
      </c>
      <c r="CP9" s="208" t="s">
        <v>140</v>
      </c>
      <c r="CQ9" s="210" t="s">
        <v>1114</v>
      </c>
      <c r="CR9" s="211"/>
      <c r="CS9" s="211"/>
      <c r="CT9" s="211"/>
      <c r="CU9" s="212" t="s">
        <v>1115</v>
      </c>
      <c r="CV9" s="211"/>
      <c r="CW9" s="211"/>
      <c r="CX9" s="211"/>
      <c r="CY9" s="213" t="s">
        <v>1011</v>
      </c>
      <c r="CZ9" s="213" t="s">
        <v>1011</v>
      </c>
      <c r="DA9" s="213" t="s">
        <v>154</v>
      </c>
      <c r="DB9" s="213" t="s">
        <v>154</v>
      </c>
      <c r="DC9" s="214"/>
      <c r="DD9" s="191"/>
      <c r="DE9" s="365"/>
      <c r="DF9" s="365"/>
      <c r="DG9" s="365"/>
      <c r="DH9" s="365"/>
      <c r="DI9" s="365"/>
      <c r="DJ9" s="365"/>
      <c r="DK9" s="365"/>
      <c r="DL9" s="381"/>
      <c r="DM9" s="365"/>
      <c r="DN9" s="365"/>
      <c r="DO9" s="366"/>
      <c r="DP9" s="366"/>
      <c r="DQ9" s="366"/>
      <c r="DR9" s="366"/>
      <c r="DS9" s="366"/>
      <c r="DT9" s="365"/>
      <c r="DU9" s="365"/>
      <c r="DV9" s="401" t="s">
        <v>185</v>
      </c>
      <c r="DW9" s="402"/>
      <c r="DX9" s="402"/>
      <c r="DY9" s="402"/>
      <c r="DZ9" s="402"/>
      <c r="EA9" s="402"/>
      <c r="EB9" s="402"/>
      <c r="EC9" s="402"/>
      <c r="ED9" s="402"/>
      <c r="EE9" s="402"/>
      <c r="EF9" s="403" t="s">
        <v>188</v>
      </c>
      <c r="EG9" s="404"/>
      <c r="EH9" s="405"/>
      <c r="EI9" s="406" t="s">
        <v>190</v>
      </c>
      <c r="EJ9" s="406"/>
      <c r="EK9" s="406"/>
      <c r="EL9" s="406"/>
      <c r="EM9" s="406"/>
      <c r="EN9" s="406"/>
      <c r="EO9" s="406"/>
      <c r="EP9" s="406"/>
      <c r="EQ9" s="406"/>
      <c r="ER9" s="406"/>
      <c r="ES9" s="406"/>
      <c r="ET9" s="406"/>
      <c r="EU9" s="406"/>
      <c r="EV9" s="289"/>
      <c r="EW9" s="189"/>
      <c r="EX9" s="407" t="s">
        <v>952</v>
      </c>
      <c r="EY9" s="408"/>
      <c r="EZ9" s="409"/>
      <c r="FA9" s="409"/>
      <c r="FB9" s="289"/>
      <c r="FC9" s="289"/>
      <c r="FD9" s="289"/>
      <c r="FE9" s="289"/>
      <c r="FF9" s="289"/>
      <c r="FG9" s="289"/>
      <c r="FH9" s="289"/>
      <c r="FI9" s="289"/>
      <c r="FJ9" s="289"/>
      <c r="FK9" s="289"/>
      <c r="FL9" s="289"/>
      <c r="FM9" s="289"/>
      <c r="FN9" s="289"/>
      <c r="FO9" s="289"/>
      <c r="FP9" s="289"/>
      <c r="FQ9" s="289"/>
      <c r="FR9" s="289"/>
      <c r="FS9" s="289"/>
      <c r="FT9" s="289"/>
      <c r="FU9" s="289"/>
      <c r="FV9" s="289"/>
      <c r="FW9" s="289"/>
      <c r="FX9" s="289"/>
      <c r="FY9" s="289"/>
      <c r="FZ9" s="289"/>
      <c r="GA9" s="289"/>
      <c r="GB9" s="289"/>
      <c r="GC9" s="289"/>
      <c r="GD9" s="289"/>
      <c r="GE9" s="289"/>
      <c r="GF9" s="289"/>
      <c r="GG9" s="289"/>
      <c r="GH9" s="289"/>
      <c r="GI9" s="289"/>
      <c r="GJ9" s="289"/>
      <c r="GK9" s="289"/>
      <c r="GL9" s="289"/>
      <c r="GM9" s="289"/>
      <c r="GN9" s="289"/>
      <c r="GO9" s="289"/>
      <c r="GP9" s="289"/>
      <c r="GQ9" s="289"/>
      <c r="GR9" s="289"/>
      <c r="GS9" s="289"/>
      <c r="GT9" s="289"/>
      <c r="GU9" s="289"/>
      <c r="GV9" s="289"/>
      <c r="GW9" s="289"/>
      <c r="GX9" s="289"/>
      <c r="GY9" s="289"/>
      <c r="GZ9" s="289"/>
      <c r="HA9" s="289"/>
      <c r="HB9" s="289"/>
      <c r="HC9" s="289"/>
      <c r="HD9" s="289"/>
      <c r="HE9" s="289"/>
      <c r="HF9" s="289"/>
      <c r="HG9" s="289"/>
      <c r="HH9" s="289"/>
      <c r="HI9" s="289"/>
      <c r="HJ9" s="289"/>
      <c r="HK9" s="289"/>
      <c r="HL9" s="289"/>
      <c r="HM9" s="289"/>
      <c r="HN9" s="289"/>
      <c r="HO9" s="289"/>
      <c r="HP9" s="289"/>
      <c r="HQ9" s="289"/>
      <c r="HR9" s="289"/>
      <c r="HS9" s="289"/>
      <c r="HT9" s="289"/>
      <c r="HU9" s="289"/>
      <c r="HV9" s="289"/>
      <c r="HW9" s="289"/>
      <c r="HX9" s="289"/>
      <c r="HY9" s="289"/>
      <c r="HZ9" s="289"/>
      <c r="IA9" s="289"/>
      <c r="IB9" s="289"/>
      <c r="IC9" s="289"/>
      <c r="ID9" s="289"/>
      <c r="IE9" s="289"/>
      <c r="IF9" s="289"/>
      <c r="IG9" s="289"/>
      <c r="IH9" s="289"/>
      <c r="II9" s="289"/>
      <c r="IJ9" s="289"/>
      <c r="IK9" s="289"/>
      <c r="IL9" s="289"/>
      <c r="IM9" s="289"/>
      <c r="IN9" s="289"/>
      <c r="IO9" s="289"/>
      <c r="IP9" s="289"/>
      <c r="IQ9" s="289"/>
      <c r="IR9" s="289"/>
      <c r="IS9" s="289"/>
      <c r="IT9" s="289"/>
      <c r="IU9" s="289"/>
      <c r="IV9" s="289"/>
      <c r="IW9" s="289"/>
      <c r="IX9" s="289"/>
    </row>
    <row r="10" spans="1:258" s="21" customFormat="1" ht="17.100000000000001" customHeight="1" thickBot="1">
      <c r="A10" s="289"/>
      <c r="B10" s="289"/>
      <c r="C10" s="376" t="s">
        <v>931</v>
      </c>
      <c r="D10" s="376" t="s">
        <v>937</v>
      </c>
      <c r="E10" s="376" t="s">
        <v>940</v>
      </c>
      <c r="F10" s="376" t="s">
        <v>940</v>
      </c>
      <c r="G10" s="376" t="s">
        <v>940</v>
      </c>
      <c r="H10" s="376" t="s">
        <v>940</v>
      </c>
      <c r="I10" s="376" t="s">
        <v>953</v>
      </c>
      <c r="J10" s="376" t="s">
        <v>957</v>
      </c>
      <c r="K10" s="376" t="s">
        <v>954</v>
      </c>
      <c r="L10" s="376" t="s">
        <v>942</v>
      </c>
      <c r="M10" s="376" t="s">
        <v>957</v>
      </c>
      <c r="N10" s="376" t="s">
        <v>954</v>
      </c>
      <c r="O10" s="376" t="s">
        <v>942</v>
      </c>
      <c r="P10" s="376" t="s">
        <v>942</v>
      </c>
      <c r="Q10" s="376" t="s">
        <v>942</v>
      </c>
      <c r="R10" s="376" t="s">
        <v>963</v>
      </c>
      <c r="S10" s="376" t="s">
        <v>963</v>
      </c>
      <c r="T10" s="376" t="s">
        <v>963</v>
      </c>
      <c r="U10" s="2659" t="s">
        <v>963</v>
      </c>
      <c r="V10" s="410" t="s">
        <v>971</v>
      </c>
      <c r="W10" s="376" t="s">
        <v>974</v>
      </c>
      <c r="X10" s="376" t="s">
        <v>975</v>
      </c>
      <c r="Y10" s="376" t="s">
        <v>963</v>
      </c>
      <c r="Z10" s="376" t="s">
        <v>963</v>
      </c>
      <c r="AA10" s="376" t="s">
        <v>963</v>
      </c>
      <c r="AB10" s="376" t="s">
        <v>963</v>
      </c>
      <c r="AC10" s="376" t="s">
        <v>946</v>
      </c>
      <c r="AD10" s="2722" t="s">
        <v>983</v>
      </c>
      <c r="AE10" s="2723"/>
      <c r="AF10" s="2715" t="s">
        <v>1460</v>
      </c>
      <c r="AG10" s="2716"/>
      <c r="AH10" s="2468" t="s">
        <v>989</v>
      </c>
      <c r="AI10" s="2680" t="s">
        <v>993</v>
      </c>
      <c r="AJ10" s="373"/>
      <c r="AK10" s="376" t="s">
        <v>974</v>
      </c>
      <c r="AL10" s="376" t="s">
        <v>975</v>
      </c>
      <c r="AM10" s="2689" t="s">
        <v>1463</v>
      </c>
      <c r="AN10" s="2689" t="s">
        <v>1464</v>
      </c>
      <c r="AO10" s="2689" t="s">
        <v>1465</v>
      </c>
      <c r="AP10" s="2689" t="s">
        <v>1466</v>
      </c>
      <c r="AQ10" s="2689" t="s">
        <v>1463</v>
      </c>
      <c r="AR10" s="2689" t="s">
        <v>1464</v>
      </c>
      <c r="AS10" s="2689" t="s">
        <v>1465</v>
      </c>
      <c r="AT10" s="2689" t="s">
        <v>1466</v>
      </c>
      <c r="AU10" s="376" t="s">
        <v>1017</v>
      </c>
      <c r="AV10" s="376" t="s">
        <v>1017</v>
      </c>
      <c r="AW10" s="373"/>
      <c r="AX10" s="2652" t="s">
        <v>1024</v>
      </c>
      <c r="AY10" s="2652" t="s">
        <v>1024</v>
      </c>
      <c r="AZ10" s="376" t="s">
        <v>1027</v>
      </c>
      <c r="BA10" s="376" t="s">
        <v>1031</v>
      </c>
      <c r="BB10" s="2634" t="s">
        <v>1034</v>
      </c>
      <c r="BC10" s="373"/>
      <c r="BD10" s="3"/>
      <c r="BE10" s="3"/>
      <c r="BF10" s="3"/>
      <c r="BG10" s="3"/>
      <c r="BH10" s="373"/>
      <c r="BI10" s="377" t="s">
        <v>1061</v>
      </c>
      <c r="BJ10" s="377" t="s">
        <v>1082</v>
      </c>
      <c r="BK10" s="462">
        <f>CHEM_!$S$42</f>
        <v>909</v>
      </c>
      <c r="BL10" s="377" t="s">
        <v>1093</v>
      </c>
      <c r="BM10" s="377"/>
      <c r="BN10" s="377" t="s">
        <v>1100</v>
      </c>
      <c r="BO10" s="377"/>
      <c r="BP10" s="370"/>
      <c r="BQ10" s="2629"/>
      <c r="BR10" s="373"/>
      <c r="BS10" s="411" t="s">
        <v>95</v>
      </c>
      <c r="BT10" s="411"/>
      <c r="BU10" s="411"/>
      <c r="BV10" s="411"/>
      <c r="BW10" s="289"/>
      <c r="BX10" s="289"/>
      <c r="BY10" s="289"/>
      <c r="BZ10" s="289"/>
      <c r="CA10" s="289"/>
      <c r="CB10" s="189" t="s">
        <v>101</v>
      </c>
      <c r="CC10" s="189" t="s">
        <v>118</v>
      </c>
      <c r="CD10" s="215" t="s">
        <v>931</v>
      </c>
      <c r="CE10" s="216" t="s">
        <v>133</v>
      </c>
      <c r="CF10" s="217" t="s">
        <v>133</v>
      </c>
      <c r="CG10" s="217" t="s">
        <v>133</v>
      </c>
      <c r="CH10" s="217" t="s">
        <v>133</v>
      </c>
      <c r="CI10" s="216" t="s">
        <v>1116</v>
      </c>
      <c r="CJ10" s="217" t="s">
        <v>1116</v>
      </c>
      <c r="CK10" s="217" t="s">
        <v>1116</v>
      </c>
      <c r="CL10" s="217" t="s">
        <v>1116</v>
      </c>
      <c r="CM10" s="196" t="s">
        <v>1017</v>
      </c>
      <c r="CN10" s="217" t="s">
        <v>1017</v>
      </c>
      <c r="CO10" s="217" t="s">
        <v>1017</v>
      </c>
      <c r="CP10" s="217" t="s">
        <v>1017</v>
      </c>
      <c r="CQ10" s="218" t="s">
        <v>1002</v>
      </c>
      <c r="CR10" s="219" t="s">
        <v>1005</v>
      </c>
      <c r="CS10" s="219" t="s">
        <v>1007</v>
      </c>
      <c r="CT10" s="219" t="s">
        <v>1009</v>
      </c>
      <c r="CU10" s="220" t="s">
        <v>1002</v>
      </c>
      <c r="CV10" s="219" t="s">
        <v>1005</v>
      </c>
      <c r="CW10" s="219" t="s">
        <v>1007</v>
      </c>
      <c r="CX10" s="219" t="s">
        <v>1009</v>
      </c>
      <c r="CY10" s="221" t="s">
        <v>153</v>
      </c>
      <c r="CZ10" s="221" t="s">
        <v>981</v>
      </c>
      <c r="DA10" s="221" t="s">
        <v>155</v>
      </c>
      <c r="DB10" s="221" t="s">
        <v>156</v>
      </c>
      <c r="DC10" s="214"/>
      <c r="DD10" s="191"/>
      <c r="DE10" s="365"/>
      <c r="DF10" s="381"/>
      <c r="DG10" s="365">
        <v>7</v>
      </c>
      <c r="DH10" s="412" t="s">
        <v>166</v>
      </c>
      <c r="DI10" s="413"/>
      <c r="DJ10" s="414" t="s">
        <v>174</v>
      </c>
      <c r="DK10" s="415"/>
      <c r="DL10" s="415"/>
      <c r="DM10" s="415"/>
      <c r="DN10" s="416" t="s">
        <v>179</v>
      </c>
      <c r="DO10" s="414" t="s">
        <v>180</v>
      </c>
      <c r="DP10" s="415"/>
      <c r="DQ10" s="415"/>
      <c r="DR10" s="415"/>
      <c r="DS10" s="417"/>
      <c r="DT10" s="418" t="s">
        <v>974</v>
      </c>
      <c r="DU10" s="418" t="s">
        <v>975</v>
      </c>
      <c r="DV10" s="401" t="s">
        <v>168</v>
      </c>
      <c r="DW10" s="401" t="s">
        <v>172</v>
      </c>
      <c r="DX10" s="403" t="s">
        <v>175</v>
      </c>
      <c r="DY10" s="403" t="s">
        <v>181</v>
      </c>
      <c r="DZ10" s="403" t="s">
        <v>176</v>
      </c>
      <c r="EA10" s="403" t="s">
        <v>182</v>
      </c>
      <c r="EB10" s="403" t="s">
        <v>177</v>
      </c>
      <c r="EC10" s="403" t="s">
        <v>183</v>
      </c>
      <c r="ED10" s="403" t="s">
        <v>178</v>
      </c>
      <c r="EE10" s="403" t="s">
        <v>184</v>
      </c>
      <c r="EF10" s="403" t="s">
        <v>982</v>
      </c>
      <c r="EG10" s="404"/>
      <c r="EH10" s="419"/>
      <c r="EI10" s="420" t="s">
        <v>191</v>
      </c>
      <c r="EJ10" s="421">
        <v>42370</v>
      </c>
      <c r="EK10" s="421">
        <v>42036</v>
      </c>
      <c r="EL10" s="421">
        <v>42064</v>
      </c>
      <c r="EM10" s="421">
        <v>42095</v>
      </c>
      <c r="EN10" s="421">
        <v>42125</v>
      </c>
      <c r="EO10" s="421">
        <v>42156</v>
      </c>
      <c r="EP10" s="421">
        <v>42186</v>
      </c>
      <c r="EQ10" s="421">
        <v>42217</v>
      </c>
      <c r="ER10" s="421">
        <v>42248</v>
      </c>
      <c r="ES10" s="421">
        <v>42278</v>
      </c>
      <c r="ET10" s="421">
        <v>42309</v>
      </c>
      <c r="EU10" s="421">
        <v>42339</v>
      </c>
      <c r="EV10" s="293"/>
      <c r="EW10" s="189"/>
      <c r="EX10" s="217" t="s">
        <v>957</v>
      </c>
      <c r="EY10" s="408"/>
      <c r="EZ10" s="289"/>
      <c r="FA10" s="289"/>
      <c r="FB10" s="289"/>
      <c r="FC10" s="289"/>
      <c r="FD10" s="289"/>
      <c r="FE10" s="289"/>
      <c r="FF10" s="289"/>
      <c r="FG10" s="289"/>
      <c r="FH10" s="289"/>
      <c r="FI10" s="289"/>
      <c r="FJ10" s="289"/>
      <c r="FK10" s="289"/>
      <c r="FL10" s="289"/>
      <c r="FM10" s="289"/>
      <c r="FN10" s="289"/>
      <c r="FO10" s="289"/>
      <c r="FP10" s="289"/>
      <c r="FQ10" s="289"/>
      <c r="FR10" s="289"/>
      <c r="FS10" s="289"/>
      <c r="FT10" s="289"/>
      <c r="FU10" s="289"/>
      <c r="FV10" s="289"/>
      <c r="FW10" s="289"/>
      <c r="FX10" s="289"/>
      <c r="FY10" s="289"/>
      <c r="FZ10" s="289"/>
      <c r="GA10" s="289"/>
      <c r="GB10" s="289"/>
      <c r="GC10" s="289"/>
      <c r="GD10" s="289"/>
      <c r="GE10" s="289"/>
      <c r="GF10" s="289"/>
      <c r="GG10" s="289"/>
      <c r="GH10" s="289"/>
      <c r="GI10" s="289"/>
      <c r="GJ10" s="289"/>
      <c r="GK10" s="289"/>
      <c r="GL10" s="289"/>
      <c r="GM10" s="289"/>
      <c r="GN10" s="289"/>
      <c r="GO10" s="289"/>
      <c r="GP10" s="289"/>
      <c r="GQ10" s="289"/>
      <c r="GR10" s="289"/>
      <c r="GS10" s="289"/>
      <c r="GT10" s="289"/>
      <c r="GU10" s="289"/>
      <c r="GV10" s="289"/>
      <c r="GW10" s="289"/>
      <c r="GX10" s="289"/>
      <c r="GY10" s="289"/>
      <c r="GZ10" s="289"/>
      <c r="HA10" s="289"/>
      <c r="HB10" s="289"/>
      <c r="HC10" s="289"/>
      <c r="HD10" s="289"/>
      <c r="HE10" s="289"/>
      <c r="HF10" s="289"/>
      <c r="HG10" s="289"/>
      <c r="HH10" s="289"/>
      <c r="HI10" s="289"/>
      <c r="HJ10" s="289"/>
      <c r="HK10" s="289"/>
      <c r="HL10" s="289"/>
      <c r="HM10" s="289"/>
      <c r="HN10" s="289"/>
      <c r="HO10" s="289"/>
      <c r="HP10" s="289"/>
      <c r="HQ10" s="289"/>
      <c r="HR10" s="289"/>
      <c r="HS10" s="289"/>
      <c r="HT10" s="289"/>
      <c r="HU10" s="289"/>
      <c r="HV10" s="289"/>
      <c r="HW10" s="289"/>
      <c r="HX10" s="289"/>
      <c r="HY10" s="289"/>
      <c r="HZ10" s="289"/>
      <c r="IA10" s="289"/>
      <c r="IB10" s="289"/>
      <c r="IC10" s="289"/>
      <c r="ID10" s="289"/>
      <c r="IE10" s="289"/>
      <c r="IF10" s="289"/>
      <c r="IG10" s="289"/>
      <c r="IH10" s="289"/>
      <c r="II10" s="289"/>
      <c r="IJ10" s="289"/>
      <c r="IK10" s="289"/>
      <c r="IL10" s="289"/>
      <c r="IM10" s="289"/>
      <c r="IN10" s="289"/>
      <c r="IO10" s="289"/>
      <c r="IP10" s="289"/>
      <c r="IQ10" s="289"/>
      <c r="IR10" s="289"/>
      <c r="IS10" s="289"/>
      <c r="IT10" s="289"/>
      <c r="IU10" s="289"/>
      <c r="IV10" s="289"/>
      <c r="IW10" s="289"/>
      <c r="IX10" s="289"/>
    </row>
    <row r="11" spans="1:258" s="21" customFormat="1" ht="16.5" customHeight="1" thickBot="1">
      <c r="A11" s="422" t="s">
        <v>920</v>
      </c>
      <c r="B11" s="289"/>
      <c r="C11" s="1251">
        <f>+D11</f>
        <v>42370</v>
      </c>
      <c r="D11" s="423">
        <v>42370</v>
      </c>
      <c r="E11" s="424">
        <f ca="1">IF(D11&lt;TODAY(),IF(AT_!CG11="","",+AT_!CG11),"")</f>
        <v>87</v>
      </c>
      <c r="F11" s="424">
        <f>IF(AT_!CH11="","",+AT_!CH11)</f>
        <v>126</v>
      </c>
      <c r="G11" s="424">
        <f>IF(AT_!CF11="","",+AT_!CF11)</f>
        <v>87</v>
      </c>
      <c r="H11" s="424">
        <f>IF(AT_!CI11="","",+AT_!CI11)</f>
        <v>63</v>
      </c>
      <c r="I11" s="424">
        <f>IF(AT_!BS11="","",+AT_!BS11)</f>
        <v>19</v>
      </c>
      <c r="J11" s="425">
        <f>IF(AT_!BU11="","",+AT_!BU11)</f>
        <v>6.7</v>
      </c>
      <c r="K11" s="425">
        <f>IF(AT_!BT11="","",+AT_!BT11)</f>
        <v>7.1</v>
      </c>
      <c r="L11" s="425">
        <f>IF(AT_!BV11="","",+AT_!BV11)</f>
        <v>6.8</v>
      </c>
      <c r="M11" s="425">
        <f>IF(AT_!BX11="","",+AT_!BX11)</f>
        <v>6.5</v>
      </c>
      <c r="N11" s="425">
        <f>IF(AT_!BW11="","",+AT_!BW11)</f>
        <v>6.7</v>
      </c>
      <c r="O11" s="425">
        <f>IF(AT_!BY11="","",+AT_!BY11)</f>
        <v>6.6</v>
      </c>
      <c r="P11" s="425"/>
      <c r="Q11" s="425"/>
      <c r="R11" s="424">
        <f>IF(AT_!AC11="","",+AT_!AC11)</f>
        <v>145</v>
      </c>
      <c r="S11" s="424">
        <f>IF(AT_!$AF11="","",AT_!$AF11)</f>
        <v>2</v>
      </c>
      <c r="T11" s="424">
        <f>IF(AT_!G11="","",+AT_!G11)</f>
        <v>117</v>
      </c>
      <c r="U11" s="2660">
        <f>IF(AT_!$K11="","",AT_!$K11)</f>
        <v>3</v>
      </c>
      <c r="V11" s="426" t="str">
        <f>IF(ISNUMBER(U11),IF(U11&gt;50,"check flows",""),"")</f>
        <v/>
      </c>
      <c r="W11" s="427">
        <f t="shared" ref="W11:X41" si="3">C11</f>
        <v>42370</v>
      </c>
      <c r="X11" s="428">
        <f t="shared" si="3"/>
        <v>42370</v>
      </c>
      <c r="Y11" s="429" t="str">
        <f>+AT_!FJ11</f>
        <v/>
      </c>
      <c r="Z11" s="429" t="str">
        <f>AT_!FX11</f>
        <v/>
      </c>
      <c r="AA11" s="429" t="str">
        <f>+AT_!FI11</f>
        <v/>
      </c>
      <c r="AB11" s="429" t="str">
        <f>AT_!FW11</f>
        <v/>
      </c>
      <c r="AC11" s="429">
        <f>IF(AT_!DW11="","",IF(+AT_!DW11&gt;1,ROUND(+AT_!DW11,1),+AT_!DW11))</f>
        <v>0.45</v>
      </c>
      <c r="AD11" s="430" t="str">
        <f>IF(AT_!CA11="","",AT_!CA11)</f>
        <v/>
      </c>
      <c r="AE11" s="431">
        <f>IF(AT_!CB11="","",AT_!CB11)</f>
        <v>16</v>
      </c>
      <c r="AF11" s="2609"/>
      <c r="AG11" s="2610"/>
      <c r="AH11" s="2533" t="s">
        <v>1397</v>
      </c>
      <c r="AI11" s="2681" t="str">
        <f>IF(AT_!$EN11="","",AT_!$EN11)</f>
        <v>Clear</v>
      </c>
      <c r="AJ11" s="373"/>
      <c r="AK11" s="427">
        <f t="shared" ref="AK11:AK41" si="4">C11</f>
        <v>42370</v>
      </c>
      <c r="AL11" s="428">
        <f t="shared" ref="AL11:AL41" si="5">D11</f>
        <v>42370</v>
      </c>
      <c r="AM11" s="429">
        <f>AT_!FE11</f>
        <v>0.04</v>
      </c>
      <c r="AN11" s="429">
        <f>AT_!FF11</f>
        <v>0</v>
      </c>
      <c r="AO11" s="425">
        <f>IF(AT_!FG11= "","",(AT_!FG11*1.2143))</f>
        <v>36.8236475</v>
      </c>
      <c r="AP11" s="425">
        <f>AT_!FH11</f>
        <v>42.22</v>
      </c>
      <c r="AQ11" s="429">
        <f>AT_!FS11</f>
        <v>0.62</v>
      </c>
      <c r="AR11" s="429">
        <f>AT_!FT11</f>
        <v>3.25</v>
      </c>
      <c r="AS11" s="425">
        <f>IF(AT_!FU11= "","",(AT_!FU11*1.2143))</f>
        <v>10.928699999999999</v>
      </c>
      <c r="AT11" s="425">
        <f>AT_!FV11</f>
        <v>9.8000000000000007</v>
      </c>
      <c r="AU11" s="425">
        <f>IF(AT_!BO11="","",AT_!BO11)</f>
        <v>4.4800000000000004</v>
      </c>
      <c r="AV11" s="424" t="str">
        <f>IF(AT_!BR11="","",AT_!BR11)</f>
        <v/>
      </c>
      <c r="AW11" s="3"/>
      <c r="AX11" s="432" t="str">
        <f>IF((SUM(AT_!O11,AT_!P11))=0,"",ROUND(IF(ISNUMBER(AT_!O11),AT_!O11,AT_!$O$42)*0.6+IF(ISNUMBER(AT_!P11),AT_!P11,AT_!$P$42)*0.4,-1))</f>
        <v/>
      </c>
      <c r="AY11" s="432" t="str">
        <f>IF((SUM(AT_!M11,AT_!N11))=0,"",ROUND((IF(ISNUMBER(AT_!M11),AT_!M11,AT_!$M$42)*0.6)+(IF(ISNUMBER(AT_!N11),AT_!N11,AT_!$N$42)*0.4),-1))</f>
        <v/>
      </c>
      <c r="AZ11" s="424">
        <f>PT_!AA11</f>
        <v>330</v>
      </c>
      <c r="BA11" s="433">
        <f>AT_!CK11</f>
        <v>61</v>
      </c>
      <c r="BB11" s="2635">
        <f ca="1">IF(E11="","",ROUND((PT_!BM11*IF(ISNUMBER(AT_!Q11),AT_!Q11,AT_!$Q$42)+IF(ISNUMBER(AT_!S11),AT_!S11,AT_!$S$42)*PT_!BN11)*8.34,0))</f>
        <v>85852</v>
      </c>
      <c r="BC11" s="373"/>
      <c r="BD11" s="3"/>
      <c r="BE11" s="3"/>
      <c r="BF11" s="3"/>
      <c r="BG11" s="3"/>
      <c r="BH11" s="373"/>
      <c r="BI11" s="377" t="s">
        <v>1062</v>
      </c>
      <c r="BJ11" s="377" t="s">
        <v>1083</v>
      </c>
      <c r="BK11" s="396">
        <f>ROUND(+SUM(PT_!AB11:AB41),0)</f>
        <v>0</v>
      </c>
      <c r="BL11" s="377" t="s">
        <v>1093</v>
      </c>
      <c r="BM11" s="377"/>
      <c r="BN11" s="377" t="s">
        <v>1058</v>
      </c>
      <c r="BO11" s="377" t="s">
        <v>1106</v>
      </c>
      <c r="BP11" s="2615">
        <f>DW_!$AD$42</f>
        <v>329.6</v>
      </c>
      <c r="BQ11" s="2629" t="s">
        <v>92</v>
      </c>
      <c r="BR11" s="373"/>
      <c r="BS11" s="289" t="s">
        <v>1100</v>
      </c>
      <c r="BT11" s="289"/>
      <c r="BU11" s="289"/>
      <c r="BV11" s="289"/>
      <c r="BW11" s="373"/>
      <c r="BX11" s="289"/>
      <c r="BY11" s="289"/>
      <c r="BZ11" s="289"/>
      <c r="CA11" s="289"/>
      <c r="CB11" s="189" t="s">
        <v>102</v>
      </c>
      <c r="CC11" s="189" t="s">
        <v>119</v>
      </c>
      <c r="CD11" s="222">
        <f>D11</f>
        <v>42370</v>
      </c>
      <c r="CE11" s="223">
        <f t="shared" ref="CE11:CE41" ca="1" si="6">IF($CD11&gt;TODAY()-2,"",IF(OR(CELL("type",R11)="L",R11=0),CE$8*8.34*$E11,R11*8.34*$E11))</f>
        <v>105209.09999999999</v>
      </c>
      <c r="CF11" s="224">
        <f t="shared" ref="CF11:CF41" ca="1" si="7">IF(CD11&gt;TODAY()-2,"",IF(OR(CELL("type",S11)="L",S11=0),CF$8*8.34*$E11,S11*8.34*$E11))</f>
        <v>1451.16</v>
      </c>
      <c r="CG11" s="225">
        <f t="shared" ref="CG11:CG41" ca="1" si="8">IF(CD11&gt;TODAY()-2,"",IF(OR(CELL("type",T11)="l",T11=0),CG$8*8.34*$E11,T11*8.34*$E11))</f>
        <v>84892.86</v>
      </c>
      <c r="CH11" s="226">
        <f t="shared" ref="CH11:CH41" ca="1" si="9">IF(CD11&gt;TODAY()-2,"",IF(OR(CELL("type",U11)="l",U11=0),CH$8*8.34*$E11,U11*8.34*$E11))</f>
        <v>2176.7399999999998</v>
      </c>
      <c r="CI11" s="223">
        <f t="shared" ref="CI11:CI41" ca="1" si="10">IF(CD11&gt;TODAY()-2,"",IF(OR(CELL("type",R11)="L",R11=0),$CE$8*8.34*$G11,$R11*8.34*$G11))</f>
        <v>105209.09999999999</v>
      </c>
      <c r="CJ11" s="225">
        <f t="shared" ref="CJ11:CJ41" ca="1" si="11">IF(CD11&gt;TODAY()-2,"",IF(OR(CELL("type",S11)="L",S11=0),$CF$8*8.34*$G11,$S11*8.34*$G11))</f>
        <v>1451.16</v>
      </c>
      <c r="CK11" s="225">
        <f t="shared" ref="CK11:CK41" ca="1" si="12">IF(CD11&gt;TODAY()-2,"",IF(OR(CELL("type",T11)="l",T11=0),$CG$8*8.34*$G11,$T11*8.34*$G11))</f>
        <v>84892.86</v>
      </c>
      <c r="CL11" s="227">
        <f t="shared" ref="CL11:CL41" ca="1" si="13">IF(CD11&gt;TODAY()-2,"",IF(OR(CELL("type",U11)="l",U11=0),$CH$8*8.34*$G11,$U11*8.34*$G11))</f>
        <v>2176.7399999999998</v>
      </c>
      <c r="CM11" s="243">
        <f t="shared" ref="CM11:CM12" ca="1" si="14">IF($E11&gt;0,IF($G11&gt;$C$44," ",IF(CELL("type",R11:R11)="v",R11,IF(CELL("type",R11:R11)="L",R$44,""))),"")</f>
        <v>145</v>
      </c>
      <c r="CN11" s="244">
        <f t="shared" ref="CN11:CN12" ca="1" si="15">IF($E11&gt;0,IF($G11&gt;$C$44," ",IF(CELL("type",S11:S11)="v",S11,IF(CELL("type",S11:S11)="L",S$44,""))),"")</f>
        <v>2</v>
      </c>
      <c r="CO11" s="244">
        <f t="shared" ref="CO11:CO12" ca="1" si="16">IF($E11&gt;0,IF($G11&gt;$C$44," ",IF(CELL("type",T11:T11)="v",T11,IF(CELL("type",T11:T11)="L",T$44,""))),"")</f>
        <v>117</v>
      </c>
      <c r="CP11" s="244">
        <f t="shared" ref="CP11:CP12" ca="1" si="17">IF($E11&gt;0,IF($G11&gt;$C$44," ",IF(CELL("type",U11:U11)="v",U11,IF(CELL("type",U11:U11)="L",U$44,""))),"")</f>
        <v>3</v>
      </c>
      <c r="CQ11" s="1624">
        <f t="shared" ref="CQ11:CT14" ca="1" si="18">IF($E11&gt;0,IF(SUM($AM11:$AP11)&gt;0,IF(CELL("type",AM11:AM11)="V",AM11,IF(CELL("type",AM11:AM11)="L",CQ$8,"")),""),"")</f>
        <v>0.04</v>
      </c>
      <c r="CR11" s="1625">
        <f t="shared" ca="1" si="18"/>
        <v>0</v>
      </c>
      <c r="CS11" s="1626">
        <f t="shared" ca="1" si="18"/>
        <v>36.8236475</v>
      </c>
      <c r="CT11" s="1626">
        <f t="shared" ca="1" si="18"/>
        <v>42.22</v>
      </c>
      <c r="CU11" s="232">
        <f t="shared" ref="CU11:CX14" ca="1" si="19">IF($E11&gt;0,IF(SUM($AQ11:$AT11)&gt;0,IF(CELL("type",AQ11:AQ11)="V",AQ11,IF(CELL("type",AQ11:AQ11)="L",CU$8,"")),""),"")</f>
        <v>0.62</v>
      </c>
      <c r="CV11" s="230">
        <f t="shared" ca="1" si="19"/>
        <v>3.25</v>
      </c>
      <c r="CW11" s="231">
        <f t="shared" ca="1" si="19"/>
        <v>10.928699999999999</v>
      </c>
      <c r="CX11" s="231">
        <f t="shared" ca="1" si="19"/>
        <v>9.8000000000000007</v>
      </c>
      <c r="CY11" s="249">
        <f ca="1">IF(ISNUMBER(+CQ11+CR11+CT11),ROUND(+CQ11+CR11+CT11,1),"")</f>
        <v>42.3</v>
      </c>
      <c r="CZ11" s="249">
        <f ca="1">IF(ISNUMBER(+CU11+CV11+CX11),ROUND(+CU11+CV11+CX11,1),"")</f>
        <v>13.7</v>
      </c>
      <c r="DA11" s="250">
        <f ca="1">IF(ISNUMBER($CY11*$G11),(8.34*$CY11*$G11),"")</f>
        <v>30692.034</v>
      </c>
      <c r="DB11" s="250">
        <f ca="1">IF(ISNUMBER($CZ11*$G11),8.34*$CZ11*$G11,"")</f>
        <v>9940.4459999999999</v>
      </c>
      <c r="DC11" s="234">
        <f t="shared" ref="DC11:DC38" si="20">D11</f>
        <v>42370</v>
      </c>
      <c r="DD11" s="1410"/>
      <c r="DE11" s="381"/>
      <c r="DF11" s="434" t="s">
        <v>159</v>
      </c>
      <c r="DG11" s="435"/>
      <c r="DH11" s="436" t="s">
        <v>939</v>
      </c>
      <c r="DI11" s="437" t="s">
        <v>170</v>
      </c>
      <c r="DJ11" s="437" t="s">
        <v>175</v>
      </c>
      <c r="DK11" s="438" t="s">
        <v>176</v>
      </c>
      <c r="DL11" s="438" t="s">
        <v>177</v>
      </c>
      <c r="DM11" s="438" t="s">
        <v>178</v>
      </c>
      <c r="DN11" s="437" t="s">
        <v>982</v>
      </c>
      <c r="DO11" s="437" t="s">
        <v>181</v>
      </c>
      <c r="DP11" s="438" t="s">
        <v>182</v>
      </c>
      <c r="DQ11" s="438" t="s">
        <v>183</v>
      </c>
      <c r="DR11" s="438" t="s">
        <v>184</v>
      </c>
      <c r="DS11" s="417">
        <f>IF(DU11="","",WEEKDAY(DU11))</f>
        <v>6</v>
      </c>
      <c r="DT11" s="439">
        <f>+C11</f>
        <v>42370</v>
      </c>
      <c r="DU11" s="440">
        <f t="shared" ref="DU11:DU21" si="21">$D11</f>
        <v>42370</v>
      </c>
      <c r="DV11" s="403" t="str">
        <f t="shared" ref="DV11:DX39" si="22">IF($DS11=7,ROUND(AVERAGE(DV48:DV54),0),"")</f>
        <v/>
      </c>
      <c r="DW11" s="403" t="str">
        <f t="shared" si="22"/>
        <v/>
      </c>
      <c r="DX11" s="403" t="str">
        <f t="shared" si="22"/>
        <v/>
      </c>
      <c r="DY11" s="403" t="str">
        <f>IF($DS11=7,ROUND(AVERAGE(DY48:DY54),-2),"")</f>
        <v/>
      </c>
      <c r="DZ11" s="403" t="str">
        <f>IF($DS11=7,ROUND(AVERAGE(DZ48:DZ54),0),"")</f>
        <v/>
      </c>
      <c r="EA11" s="403" t="str">
        <f t="shared" ref="EA11:EA41" si="23">IF($DS11=7,ROUND(AVERAGE(EA48:EA54),-2),"")</f>
        <v/>
      </c>
      <c r="EB11" s="403" t="str">
        <f t="shared" ref="EB11:EB41" si="24">IF($DS11=7,ROUND(AVERAGE(EB48:EB54),0),"")</f>
        <v/>
      </c>
      <c r="EC11" s="403" t="str">
        <f t="shared" ref="EC11:EC41" si="25">IF($DS11=7,ROUND(AVERAGE(EC48:EC54),-2),"")</f>
        <v/>
      </c>
      <c r="ED11" s="403" t="str">
        <f t="shared" ref="ED11:ED41" si="26">IF($DS11=7,ROUND(AVERAGE(ED48:ED54),0),"")</f>
        <v/>
      </c>
      <c r="EE11" s="403" t="str">
        <f t="shared" ref="EE11:EE41" si="27">IF($DS11=7,ROUND(AVERAGE(EE48:EE54),-2),"")</f>
        <v/>
      </c>
      <c r="EF11" s="403" t="str">
        <f t="shared" ref="EF11:EF41" si="28">IF($DS11=7,ROUND(PRODUCT(EF48:EF54)^(1/COUNT(EF48:EF54)),0),"")</f>
        <v/>
      </c>
      <c r="EG11" s="404"/>
      <c r="EH11" s="419"/>
      <c r="EI11" s="441" t="s">
        <v>192</v>
      </c>
      <c r="EJ11" s="2498">
        <v>103</v>
      </c>
      <c r="EK11" s="1854">
        <v>105</v>
      </c>
      <c r="EL11" s="1854">
        <v>122</v>
      </c>
      <c r="EM11" s="1854">
        <v>103</v>
      </c>
      <c r="EN11" s="1854">
        <v>98</v>
      </c>
      <c r="EO11" s="2056">
        <v>116</v>
      </c>
      <c r="EP11" s="2056">
        <v>103</v>
      </c>
      <c r="EQ11" s="2056">
        <v>100</v>
      </c>
      <c r="ER11" s="2486">
        <v>101</v>
      </c>
      <c r="ES11" s="2056">
        <v>105</v>
      </c>
      <c r="ET11" s="1854">
        <v>98</v>
      </c>
      <c r="EU11" s="2095">
        <v>105</v>
      </c>
      <c r="EV11" s="293"/>
      <c r="EW11" s="189"/>
      <c r="EX11" s="442">
        <f t="shared" ref="EX11:EX41" si="29">IF(M11&lt;6,1,0)</f>
        <v>0</v>
      </c>
      <c r="EY11" s="408"/>
      <c r="EZ11" s="289"/>
      <c r="FA11" s="289"/>
      <c r="FB11" s="289"/>
      <c r="FC11" s="289"/>
      <c r="FD11" s="289"/>
      <c r="FE11" s="289"/>
      <c r="FF11" s="289"/>
      <c r="FG11" s="289"/>
      <c r="FH11" s="289"/>
      <c r="FI11" s="289"/>
      <c r="FJ11" s="289"/>
      <c r="FK11" s="289"/>
      <c r="FL11" s="289"/>
      <c r="FM11" s="289"/>
      <c r="FN11" s="289"/>
      <c r="FO11" s="289"/>
      <c r="FP11" s="289"/>
      <c r="FQ11" s="289"/>
      <c r="FR11" s="289"/>
      <c r="FS11" s="289"/>
      <c r="FT11" s="289"/>
      <c r="FU11" s="289"/>
      <c r="FV11" s="289"/>
      <c r="FW11" s="289"/>
      <c r="FX11" s="289"/>
      <c r="FY11" s="289"/>
      <c r="FZ11" s="289"/>
      <c r="GA11" s="289"/>
      <c r="GB11" s="289"/>
      <c r="GC11" s="289"/>
      <c r="GD11" s="289"/>
      <c r="GE11" s="289"/>
      <c r="GF11" s="289"/>
      <c r="GG11" s="289"/>
      <c r="GH11" s="289"/>
      <c r="GI11" s="289"/>
      <c r="GJ11" s="289"/>
      <c r="GK11" s="289"/>
      <c r="GL11" s="289"/>
      <c r="GM11" s="289"/>
      <c r="GN11" s="289"/>
      <c r="GO11" s="289"/>
      <c r="GP11" s="289"/>
      <c r="GQ11" s="289"/>
      <c r="GR11" s="289"/>
      <c r="GS11" s="289"/>
      <c r="GT11" s="289"/>
      <c r="GU11" s="289"/>
      <c r="GV11" s="289"/>
      <c r="GW11" s="289"/>
      <c r="GX11" s="289"/>
      <c r="GY11" s="289"/>
      <c r="GZ11" s="289"/>
      <c r="HA11" s="289"/>
      <c r="HB11" s="289"/>
      <c r="HC11" s="289"/>
      <c r="HD11" s="289"/>
      <c r="HE11" s="289"/>
      <c r="HF11" s="289"/>
      <c r="HG11" s="289"/>
      <c r="HH11" s="289"/>
      <c r="HI11" s="289"/>
      <c r="HJ11" s="289"/>
      <c r="HK11" s="289"/>
      <c r="HL11" s="289"/>
      <c r="HM11" s="289"/>
      <c r="HN11" s="289"/>
      <c r="HO11" s="289"/>
      <c r="HP11" s="289"/>
      <c r="HQ11" s="289"/>
      <c r="HR11" s="289"/>
      <c r="HS11" s="289"/>
      <c r="HT11" s="289"/>
      <c r="HU11" s="289"/>
      <c r="HV11" s="289"/>
      <c r="HW11" s="289"/>
      <c r="HX11" s="289"/>
      <c r="HY11" s="289"/>
      <c r="HZ11" s="289"/>
      <c r="IA11" s="289"/>
      <c r="IB11" s="289"/>
      <c r="IC11" s="289"/>
      <c r="ID11" s="289"/>
      <c r="IE11" s="289"/>
      <c r="IF11" s="289"/>
      <c r="IG11" s="289"/>
      <c r="IH11" s="289"/>
      <c r="II11" s="289"/>
      <c r="IJ11" s="289"/>
      <c r="IK11" s="289"/>
      <c r="IL11" s="289"/>
      <c r="IM11" s="289"/>
      <c r="IN11" s="289"/>
      <c r="IO11" s="289"/>
      <c r="IP11" s="289"/>
      <c r="IQ11" s="289"/>
      <c r="IR11" s="289"/>
      <c r="IS11" s="289"/>
      <c r="IT11" s="289"/>
      <c r="IU11" s="289"/>
      <c r="IV11" s="289"/>
      <c r="IW11" s="289"/>
      <c r="IX11" s="289"/>
    </row>
    <row r="12" spans="1:258" s="21" customFormat="1" ht="16.5" customHeight="1">
      <c r="A12" s="422" t="s">
        <v>1201</v>
      </c>
      <c r="B12" s="289"/>
      <c r="C12" s="1251">
        <f t="shared" ref="C12:C41" si="30">+D12</f>
        <v>42371</v>
      </c>
      <c r="D12" s="443">
        <f t="shared" ref="D12:D38" si="31">D11+1</f>
        <v>42371</v>
      </c>
      <c r="E12" s="424">
        <f ca="1">IF(D12&lt;TODAY(),IF(AT_!CG12="","",+AT_!CG12),"")</f>
        <v>91</v>
      </c>
      <c r="F12" s="424">
        <f>IF(AT_!CH12="","",+AT_!CH12)</f>
        <v>118</v>
      </c>
      <c r="G12" s="424">
        <f>IF(AT_!CF12="","",+AT_!CF12)</f>
        <v>91</v>
      </c>
      <c r="H12" s="424">
        <f>IF(AT_!CI12="","",+AT_!CI12)</f>
        <v>59</v>
      </c>
      <c r="I12" s="424">
        <f>IF(AT_!BS12="","",+AT_!BS12)</f>
        <v>19</v>
      </c>
      <c r="J12" s="425">
        <f>IF(AT_!BU12="","",+AT_!BU12)</f>
        <v>6.6</v>
      </c>
      <c r="K12" s="425">
        <f>IF(AT_!BT12="","",+AT_!BT12)</f>
        <v>7</v>
      </c>
      <c r="L12" s="425">
        <f>IF(AT_!BV12="","",+AT_!BV12)</f>
        <v>6.8</v>
      </c>
      <c r="M12" s="425">
        <f>IF(AT_!BX12="","",+AT_!BX12)</f>
        <v>6.6</v>
      </c>
      <c r="N12" s="425">
        <f>IF(AT_!BW12="","",+AT_!BW12)</f>
        <v>6.9</v>
      </c>
      <c r="O12" s="425">
        <f>IF(AT_!BY12="","",+AT_!BY12)</f>
        <v>6.7</v>
      </c>
      <c r="P12" s="425"/>
      <c r="Q12" s="425"/>
      <c r="R12" s="424">
        <f>IF(AT_!AC12="","",+AT_!AC12)</f>
        <v>139</v>
      </c>
      <c r="S12" s="424">
        <f>IF(AT_!$AF12="","",AT_!$AF12)</f>
        <v>2</v>
      </c>
      <c r="T12" s="424">
        <f>IF(AT_!G12="","",+AT_!G12)</f>
        <v>115</v>
      </c>
      <c r="U12" s="2660">
        <f>IF(AT_!$K12="","",AT_!$K12)</f>
        <v>3</v>
      </c>
      <c r="V12" s="444" t="str">
        <f>IF(ISNUMBER(U12),IF(U12&gt;50,IF(OR(OR(OR((F12&gt;2*$C$44),(F12=2*$C$44)),(F11&gt;2*$C$44)),(F11=2*$C$44)),"okay","violation"),""),"")</f>
        <v/>
      </c>
      <c r="W12" s="427">
        <f t="shared" si="3"/>
        <v>42371</v>
      </c>
      <c r="X12" s="428">
        <f t="shared" si="3"/>
        <v>42371</v>
      </c>
      <c r="Y12" s="429" t="str">
        <f>+AT_!FJ12</f>
        <v/>
      </c>
      <c r="Z12" s="429" t="str">
        <f>AT_!FX12</f>
        <v/>
      </c>
      <c r="AA12" s="429" t="str">
        <f>+AT_!FI12</f>
        <v/>
      </c>
      <c r="AB12" s="429" t="str">
        <f>AT_!FW12</f>
        <v/>
      </c>
      <c r="AC12" s="429">
        <f>IF(AT_!DW12="","",IF(+AT_!DW12&gt;1,ROUND(+AT_!DW12,1),+AT_!DW12))</f>
        <v>0.47</v>
      </c>
      <c r="AD12" s="430" t="str">
        <f>IF(AT_!CA12="","",+AT_!CA12)</f>
        <v/>
      </c>
      <c r="AE12" s="431">
        <f>IF(AT_!CB12="","",AT_!CB12)</f>
        <v>1</v>
      </c>
      <c r="AF12" s="2609"/>
      <c r="AG12" s="2610"/>
      <c r="AH12" s="2533" t="s">
        <v>1398</v>
      </c>
      <c r="AI12" s="2681" t="str">
        <f>IF(AT_!$EN12="","",AT_!$EN12)</f>
        <v>Clear</v>
      </c>
      <c r="AJ12" s="373"/>
      <c r="AK12" s="427">
        <f t="shared" si="4"/>
        <v>42371</v>
      </c>
      <c r="AL12" s="428">
        <f t="shared" si="5"/>
        <v>42371</v>
      </c>
      <c r="AM12" s="429">
        <f>AT_!FE12</f>
        <v>0.04</v>
      </c>
      <c r="AN12" s="429">
        <f>AT_!FF12</f>
        <v>6.5000000000000006E-3</v>
      </c>
      <c r="AO12" s="425">
        <f>IF(AT_!FG12= "","",(AT_!FG12*1.2143))</f>
        <v>27.224606000000001</v>
      </c>
      <c r="AP12" s="425">
        <f>AT_!FH12</f>
        <v>35.79</v>
      </c>
      <c r="AQ12" s="429">
        <f>AT_!FS12</f>
        <v>0.74</v>
      </c>
      <c r="AR12" s="429">
        <f>AT_!FT12</f>
        <v>4.51</v>
      </c>
      <c r="AS12" s="425">
        <f>IF(AT_!FU12= "","",(AT_!FU12*1.2143))</f>
        <v>10.20012</v>
      </c>
      <c r="AT12" s="425">
        <f>AT_!FV12</f>
        <v>9.8000000000000007</v>
      </c>
      <c r="AU12" s="425">
        <f>IF(AT_!BO12="","",AT_!BO12)</f>
        <v>4.1500000000000004</v>
      </c>
      <c r="AV12" s="424" t="str">
        <f>IF(AT_!BR12="","",AT_!BR12)</f>
        <v/>
      </c>
      <c r="AW12" s="3"/>
      <c r="AX12" s="432" t="str">
        <f>IF((SUM(AT_!O12,AT_!P12))=0,"",ROUND(IF(ISNUMBER(AT_!O12),AT_!O12,AT_!$O$42)*0.6+IF(ISNUMBER(AT_!P12),AT_!P12,AT_!$P$42)*0.4,-1))</f>
        <v/>
      </c>
      <c r="AY12" s="432" t="str">
        <f>IF((SUM(AT_!M12,AT_!N12))=0,"",ROUND((IF(ISNUMBER(AT_!M12),AT_!M12,AT_!$M$42)*0.6)+(IF(ISNUMBER(AT_!N12),AT_!N12,AT_!$N$42)*0.4),-1))</f>
        <v/>
      </c>
      <c r="AZ12" s="424">
        <f>PT_!AA12</f>
        <v>370</v>
      </c>
      <c r="BA12" s="433">
        <f>AT_!CK12</f>
        <v>61</v>
      </c>
      <c r="BB12" s="2635">
        <f ca="1">IF(E12="","",ROUND((PT_!BM12*IF(ISNUMBER(AT_!Q12),AT_!Q12,AT_!$Q$42)+IF(ISNUMBER(AT_!S12),AT_!S12,AT_!$S$42)*PT_!BN12)*8.34,0))</f>
        <v>85941</v>
      </c>
      <c r="BC12" s="373"/>
      <c r="BD12" s="3"/>
      <c r="BE12" s="3"/>
      <c r="BF12" s="3"/>
      <c r="BG12" s="3"/>
      <c r="BH12" s="373"/>
      <c r="BI12" s="377"/>
      <c r="BJ12" s="377"/>
      <c r="BK12" s="370"/>
      <c r="BL12" s="377"/>
      <c r="BM12" s="377"/>
      <c r="BN12" s="377" t="s">
        <v>1059</v>
      </c>
      <c r="BO12" s="377" t="s">
        <v>1103</v>
      </c>
      <c r="BP12" s="445">
        <f>DW_!$E$42</f>
        <v>23.2</v>
      </c>
      <c r="BQ12" s="2629" t="s">
        <v>91</v>
      </c>
      <c r="BR12" s="373"/>
      <c r="BS12" s="289" t="s">
        <v>1058</v>
      </c>
      <c r="BT12" s="289" t="s">
        <v>1106</v>
      </c>
      <c r="BU12" s="446"/>
      <c r="BV12" s="289" t="s">
        <v>92</v>
      </c>
      <c r="BW12" s="373"/>
      <c r="BX12" s="289"/>
      <c r="BY12" s="289"/>
      <c r="BZ12" s="289"/>
      <c r="CA12" s="289"/>
      <c r="CB12" s="189" t="s">
        <v>103</v>
      </c>
      <c r="CC12" s="189" t="s">
        <v>120</v>
      </c>
      <c r="CD12" s="235">
        <f t="shared" ref="CD12:CD41" si="32">D12</f>
        <v>42371</v>
      </c>
      <c r="CE12" s="236">
        <f t="shared" ca="1" si="6"/>
        <v>105492.66</v>
      </c>
      <c r="CF12" s="237">
        <f t="shared" ca="1" si="7"/>
        <v>1517.8799999999999</v>
      </c>
      <c r="CG12" s="238">
        <f t="shared" ca="1" si="8"/>
        <v>87278.1</v>
      </c>
      <c r="CH12" s="239">
        <f t="shared" ca="1" si="9"/>
        <v>2276.8200000000002</v>
      </c>
      <c r="CI12" s="240">
        <f t="shared" ca="1" si="10"/>
        <v>105492.66</v>
      </c>
      <c r="CJ12" s="241">
        <f t="shared" ca="1" si="11"/>
        <v>1517.8799999999999</v>
      </c>
      <c r="CK12" s="241">
        <f t="shared" ca="1" si="12"/>
        <v>87278.1</v>
      </c>
      <c r="CL12" s="242">
        <f t="shared" ca="1" si="13"/>
        <v>2276.8200000000002</v>
      </c>
      <c r="CM12" s="243">
        <f t="shared" ca="1" si="14"/>
        <v>139</v>
      </c>
      <c r="CN12" s="244">
        <f t="shared" ca="1" si="15"/>
        <v>2</v>
      </c>
      <c r="CO12" s="244">
        <f t="shared" ca="1" si="16"/>
        <v>115</v>
      </c>
      <c r="CP12" s="244">
        <f t="shared" ca="1" si="17"/>
        <v>3</v>
      </c>
      <c r="CQ12" s="1627">
        <f t="shared" ca="1" si="18"/>
        <v>0.04</v>
      </c>
      <c r="CR12" s="1628">
        <f t="shared" ca="1" si="18"/>
        <v>6.5000000000000006E-3</v>
      </c>
      <c r="CS12" s="1629">
        <f t="shared" ca="1" si="18"/>
        <v>27.224606000000001</v>
      </c>
      <c r="CT12" s="1629">
        <f t="shared" ca="1" si="18"/>
        <v>35.79</v>
      </c>
      <c r="CU12" s="248">
        <f t="shared" ca="1" si="19"/>
        <v>0.74</v>
      </c>
      <c r="CV12" s="246">
        <f t="shared" ca="1" si="19"/>
        <v>4.51</v>
      </c>
      <c r="CW12" s="247">
        <f t="shared" ca="1" si="19"/>
        <v>10.20012</v>
      </c>
      <c r="CX12" s="247">
        <f t="shared" ca="1" si="19"/>
        <v>9.8000000000000007</v>
      </c>
      <c r="CY12" s="249">
        <f t="shared" ref="CY12:CY41" ca="1" si="33">IF(ISNUMBER(+CQ12+CR12+CT12),ROUND(+CQ12+CR12+CT12,1),"")</f>
        <v>35.799999999999997</v>
      </c>
      <c r="CZ12" s="249">
        <f t="shared" ref="CZ12:CZ41" ca="1" si="34">IF(ISNUMBER(+CU12+CV12+CX12),ROUND(+CU12+CV12+CX12,1),"")</f>
        <v>15.1</v>
      </c>
      <c r="DA12" s="250">
        <f t="shared" ref="DA12:DA41" ca="1" si="35">IF(ISNUMBER($CY12*$G12),(8.34*$CY12*$G12),"")</f>
        <v>27170.051999999996</v>
      </c>
      <c r="DB12" s="250">
        <f t="shared" ref="DB12:DB41" ca="1" si="36">IF(ISNUMBER($CZ12*$G12),8.34*$CZ12*$G12,"")</f>
        <v>11459.994000000001</v>
      </c>
      <c r="DC12" s="251">
        <f t="shared" si="20"/>
        <v>42371</v>
      </c>
      <c r="DD12" s="1410"/>
      <c r="DE12" s="381"/>
      <c r="DF12" s="447">
        <f>DG12-6</f>
        <v>42365</v>
      </c>
      <c r="DG12" s="1207">
        <f>VLOOKUP(DG$10,$DS11:$DU17,3,0)</f>
        <v>42371</v>
      </c>
      <c r="DH12" s="448">
        <f ca="1">VLOOKUP($DG12,$DU$11:$EF$41,2)</f>
        <v>94</v>
      </c>
      <c r="DI12" s="416">
        <f ca="1">VLOOKUP($DG12,$DU$11:$EF$41,3)</f>
        <v>111</v>
      </c>
      <c r="DJ12" s="416">
        <f ca="1">VLOOKUP($DG12,$DU$11:$EF$41,4)</f>
        <v>114</v>
      </c>
      <c r="DK12" s="449">
        <f ca="1">VLOOKUP($DG12,$DU$11:$EF$41,6)</f>
        <v>5</v>
      </c>
      <c r="DL12" s="449">
        <f ca="1">VLOOKUP($DG12,$DU$11:$EF$41,8)</f>
        <v>132</v>
      </c>
      <c r="DM12" s="449">
        <f ca="1">VLOOKUP($DG12,$DU$11:$EF$41,10)</f>
        <v>4</v>
      </c>
      <c r="DN12" s="416">
        <f ca="1">VLOOKUP($DG12,$DU$11:$EF$41,12)</f>
        <v>18</v>
      </c>
      <c r="DO12" s="450">
        <f ca="1">VLOOKUP($DG12,$DU$11:$EF$41,5)</f>
        <v>104600</v>
      </c>
      <c r="DP12" s="451">
        <f ca="1">VLOOKUP($DG12,$DU$11:$EF$41,7)</f>
        <v>5600</v>
      </c>
      <c r="DQ12" s="451">
        <f ca="1">VLOOKUP($DG12,$DU$11:$EF$41,9)</f>
        <v>117100</v>
      </c>
      <c r="DR12" s="451">
        <f ca="1">VLOOKUP($DG12,$DU$11:$EF$41,11)</f>
        <v>3800</v>
      </c>
      <c r="DS12" s="417">
        <f t="shared" ref="DS12:DS41" si="37">IF(DU12="","",WEEKDAY(DU12))</f>
        <v>7</v>
      </c>
      <c r="DT12" s="439">
        <f t="shared" ref="DT12:DT41" si="38">+C12</f>
        <v>42371</v>
      </c>
      <c r="DU12" s="440">
        <f t="shared" si="21"/>
        <v>42371</v>
      </c>
      <c r="DV12" s="403">
        <f t="shared" ca="1" si="22"/>
        <v>94</v>
      </c>
      <c r="DW12" s="403">
        <f t="shared" ca="1" si="22"/>
        <v>111</v>
      </c>
      <c r="DX12" s="403">
        <f t="shared" ca="1" si="22"/>
        <v>114</v>
      </c>
      <c r="DY12" s="403">
        <f t="shared" ref="DY12:DY41" ca="1" si="39">IF($DS12=7,ROUND(AVERAGE(DY49:DY55),-2),"")</f>
        <v>104600</v>
      </c>
      <c r="DZ12" s="403">
        <f t="shared" ref="DZ12:DZ41" ca="1" si="40">IF($DS12=7,ROUND(AVERAGE(DZ49:DZ55),0),"")</f>
        <v>5</v>
      </c>
      <c r="EA12" s="403">
        <f t="shared" ca="1" si="23"/>
        <v>5600</v>
      </c>
      <c r="EB12" s="403">
        <f t="shared" ca="1" si="24"/>
        <v>132</v>
      </c>
      <c r="EC12" s="403">
        <f t="shared" ca="1" si="25"/>
        <v>117100</v>
      </c>
      <c r="ED12" s="403">
        <f t="shared" ca="1" si="26"/>
        <v>4</v>
      </c>
      <c r="EE12" s="403">
        <f t="shared" ca="1" si="27"/>
        <v>3800</v>
      </c>
      <c r="EF12" s="403">
        <f t="shared" ca="1" si="28"/>
        <v>18</v>
      </c>
      <c r="EG12" s="404"/>
      <c r="EH12" s="405"/>
      <c r="EI12" s="452" t="s">
        <v>193</v>
      </c>
      <c r="EJ12" s="452"/>
      <c r="EK12" s="452"/>
      <c r="EL12" s="452"/>
      <c r="EM12" s="452"/>
      <c r="EN12" s="452"/>
      <c r="EO12" s="452"/>
      <c r="EP12" s="452"/>
      <c r="EQ12" s="452"/>
      <c r="ER12" s="452"/>
      <c r="ES12" s="452"/>
      <c r="ET12" s="452"/>
      <c r="EU12" s="452"/>
      <c r="EV12" s="289"/>
      <c r="EW12" s="189"/>
      <c r="EX12" s="442">
        <f t="shared" si="29"/>
        <v>0</v>
      </c>
      <c r="EY12" s="408"/>
      <c r="EZ12" s="289"/>
      <c r="FA12" s="289"/>
      <c r="FB12" s="289"/>
      <c r="FC12" s="289"/>
      <c r="FD12" s="289"/>
      <c r="FE12" s="289"/>
      <c r="FF12" s="289"/>
      <c r="FG12" s="289"/>
      <c r="FH12" s="289"/>
      <c r="FI12" s="289"/>
      <c r="FJ12" s="289"/>
      <c r="FK12" s="289"/>
      <c r="FL12" s="289"/>
      <c r="FM12" s="289"/>
      <c r="FN12" s="289"/>
      <c r="FO12" s="289"/>
      <c r="FP12" s="289"/>
      <c r="FQ12" s="289"/>
      <c r="FR12" s="289"/>
      <c r="FS12" s="289"/>
      <c r="FT12" s="289"/>
      <c r="FU12" s="289"/>
      <c r="FV12" s="289"/>
      <c r="FW12" s="289"/>
      <c r="FX12" s="289"/>
      <c r="FY12" s="289"/>
      <c r="FZ12" s="289"/>
      <c r="GA12" s="289"/>
      <c r="GB12" s="289"/>
      <c r="GC12" s="289"/>
      <c r="GD12" s="289"/>
      <c r="GE12" s="289"/>
      <c r="GF12" s="289"/>
      <c r="GG12" s="289"/>
      <c r="GH12" s="289"/>
      <c r="GI12" s="289"/>
      <c r="GJ12" s="289"/>
      <c r="GK12" s="289"/>
      <c r="GL12" s="289"/>
      <c r="GM12" s="289"/>
      <c r="GN12" s="289"/>
      <c r="GO12" s="289"/>
      <c r="GP12" s="289"/>
      <c r="GQ12" s="289"/>
      <c r="GR12" s="289"/>
      <c r="GS12" s="289"/>
      <c r="GT12" s="289"/>
      <c r="GU12" s="289"/>
      <c r="GV12" s="289"/>
      <c r="GW12" s="289"/>
      <c r="GX12" s="289"/>
      <c r="GY12" s="289"/>
      <c r="GZ12" s="289"/>
      <c r="HA12" s="289"/>
      <c r="HB12" s="289"/>
      <c r="HC12" s="289"/>
      <c r="HD12" s="289"/>
      <c r="HE12" s="289"/>
      <c r="HF12" s="289"/>
      <c r="HG12" s="289"/>
      <c r="HH12" s="289"/>
      <c r="HI12" s="289"/>
      <c r="HJ12" s="289"/>
      <c r="HK12" s="289"/>
      <c r="HL12" s="289"/>
      <c r="HM12" s="289"/>
      <c r="HN12" s="289"/>
      <c r="HO12" s="289"/>
      <c r="HP12" s="289"/>
      <c r="HQ12" s="289"/>
      <c r="HR12" s="289"/>
      <c r="HS12" s="289"/>
      <c r="HT12" s="289"/>
      <c r="HU12" s="289"/>
      <c r="HV12" s="289"/>
      <c r="HW12" s="289"/>
      <c r="HX12" s="289"/>
      <c r="HY12" s="289"/>
      <c r="HZ12" s="289"/>
      <c r="IA12" s="289"/>
      <c r="IB12" s="289"/>
      <c r="IC12" s="289"/>
      <c r="ID12" s="289"/>
      <c r="IE12" s="289"/>
      <c r="IF12" s="289"/>
      <c r="IG12" s="289"/>
      <c r="IH12" s="289"/>
      <c r="II12" s="289"/>
      <c r="IJ12" s="289"/>
      <c r="IK12" s="289"/>
      <c r="IL12" s="289"/>
      <c r="IM12" s="289"/>
      <c r="IN12" s="289"/>
      <c r="IO12" s="289"/>
      <c r="IP12" s="289"/>
      <c r="IQ12" s="289"/>
      <c r="IR12" s="289"/>
      <c r="IS12" s="289"/>
      <c r="IT12" s="289"/>
      <c r="IU12" s="289"/>
      <c r="IV12" s="289"/>
      <c r="IW12" s="289"/>
      <c r="IX12" s="289"/>
    </row>
    <row r="13" spans="1:258" s="21" customFormat="1" ht="16.5" customHeight="1">
      <c r="A13" s="289"/>
      <c r="B13" s="289"/>
      <c r="C13" s="1251">
        <f t="shared" si="30"/>
        <v>42372</v>
      </c>
      <c r="D13" s="443">
        <f t="shared" si="31"/>
        <v>42372</v>
      </c>
      <c r="E13" s="424">
        <f ca="1">IF(D13&lt;TODAY(),IF(AT_!CG13="","",+AT_!CG13),"")</f>
        <v>93</v>
      </c>
      <c r="F13" s="424">
        <f>IF(AT_!CH13="","",+AT_!CH13)</f>
        <v>120</v>
      </c>
      <c r="G13" s="424">
        <f>IF(AT_!CF13="","",+AT_!CF13)</f>
        <v>93</v>
      </c>
      <c r="H13" s="424">
        <f>IF(AT_!CI13="","",+AT_!CI13)</f>
        <v>57</v>
      </c>
      <c r="I13" s="424">
        <f>IF(AT_!BS13="","",+AT_!BS13)</f>
        <v>19</v>
      </c>
      <c r="J13" s="425">
        <f>IF(AT_!BU13="","",+AT_!BU13)</f>
        <v>6.6</v>
      </c>
      <c r="K13" s="425">
        <f>IF(AT_!BT13="","",+AT_!BT13)</f>
        <v>7</v>
      </c>
      <c r="L13" s="425">
        <f>IF(AT_!BV13="","",+AT_!BV13)</f>
        <v>6.8</v>
      </c>
      <c r="M13" s="425">
        <f>IF(AT_!BX13="","",+AT_!BX13)</f>
        <v>6.5</v>
      </c>
      <c r="N13" s="425">
        <f>IF(AT_!BW13="","",+AT_!BW13)</f>
        <v>6.8</v>
      </c>
      <c r="O13" s="425">
        <f>IF(AT_!BY13="","",+AT_!BY13)</f>
        <v>6.7</v>
      </c>
      <c r="P13" s="425"/>
      <c r="Q13" s="425"/>
      <c r="R13" s="424">
        <f>IF(AT_!AC13="","",+AT_!AC13)</f>
        <v>157</v>
      </c>
      <c r="S13" s="424">
        <f>IF(AT_!$AF13="","",AT_!$AF13)</f>
        <v>2</v>
      </c>
      <c r="T13" s="424">
        <f>IF(AT_!G13="","",+AT_!G13)</f>
        <v>131</v>
      </c>
      <c r="U13" s="2660">
        <f>IF(AT_!$K13="","",AT_!$K13)</f>
        <v>3</v>
      </c>
      <c r="V13" s="444" t="str">
        <f t="shared" ref="V13:V41" si="41">IF(ISNUMBER(U13),IF(U13&gt;50,IF(OR(OR(OR((F13&gt;2*$C$44),(F13=2*$C$44)),(F12&gt;2*$C$44)),(F12=2*$C$44)),"okay","violation"),""),"")</f>
        <v/>
      </c>
      <c r="W13" s="427">
        <f t="shared" si="3"/>
        <v>42372</v>
      </c>
      <c r="X13" s="428">
        <f t="shared" si="3"/>
        <v>42372</v>
      </c>
      <c r="Y13" s="429" t="str">
        <f>+AT_!FJ13</f>
        <v/>
      </c>
      <c r="Z13" s="429" t="str">
        <f>AT_!FX13</f>
        <v/>
      </c>
      <c r="AA13" s="429" t="str">
        <f>+AT_!FI13</f>
        <v/>
      </c>
      <c r="AB13" s="429" t="str">
        <f>AT_!FW13</f>
        <v/>
      </c>
      <c r="AC13" s="429">
        <f>IF(AT_!DW13="","",IF(+AT_!DW13&gt;1,ROUND(+AT_!DW13,1),+AT_!DW13))</f>
        <v>0.46</v>
      </c>
      <c r="AD13" s="430" t="str">
        <f>IF(AT_!CA13="","",+AT_!CA13)</f>
        <v/>
      </c>
      <c r="AE13" s="431">
        <f>IF(AT_!CB13="","",AT_!CB13)</f>
        <v>98</v>
      </c>
      <c r="AF13" s="2609"/>
      <c r="AG13" s="2610"/>
      <c r="AH13" s="2533" t="s">
        <v>1398</v>
      </c>
      <c r="AI13" s="2681" t="str">
        <f>IF(AT_!$EN13="","",AT_!$EN13)</f>
        <v>Clear</v>
      </c>
      <c r="AJ13" s="373"/>
      <c r="AK13" s="427">
        <f t="shared" si="4"/>
        <v>42372</v>
      </c>
      <c r="AL13" s="428">
        <f t="shared" si="5"/>
        <v>42372</v>
      </c>
      <c r="AM13" s="429">
        <f>AT_!FE13</f>
        <v>0.05</v>
      </c>
      <c r="AN13" s="429">
        <f>AT_!FF13</f>
        <v>6.5000000000000006E-3</v>
      </c>
      <c r="AO13" s="425">
        <f>IF(AT_!FG13= "","",(AT_!FG13*1.2143))</f>
        <v>30.345356999999996</v>
      </c>
      <c r="AP13" s="425">
        <f>AT_!FH13</f>
        <v>38.130000000000003</v>
      </c>
      <c r="AQ13" s="429">
        <f>AT_!FS13</f>
        <v>0.64</v>
      </c>
      <c r="AR13" s="429">
        <f>AT_!FT13</f>
        <v>3.37</v>
      </c>
      <c r="AS13" s="425">
        <f>IF(AT_!FU13= "","",(AT_!FU13*1.2143))</f>
        <v>11.050129999999999</v>
      </c>
      <c r="AT13" s="425">
        <f>AT_!FV13</f>
        <v>10.8</v>
      </c>
      <c r="AU13" s="425">
        <f>IF(AT_!BO13="","",AT_!BO13)</f>
        <v>5.1100000000000003</v>
      </c>
      <c r="AV13" s="424" t="str">
        <f>IF(AT_!BR13="","",AT_!BR13)</f>
        <v/>
      </c>
      <c r="AW13" s="3"/>
      <c r="AX13" s="432">
        <f>IF((SUM(AT_!O13,AT_!P13))=0,"",ROUND(IF(ISNUMBER(AT_!O13),AT_!O13,AT_!$O$42)*0.6+IF(ISNUMBER(AT_!P13),AT_!P13,AT_!$P$42)*0.4,-1))</f>
        <v>2700</v>
      </c>
      <c r="AY13" s="432">
        <f>IF((SUM(AT_!M13,AT_!N13))=0,"",ROUND((IF(ISNUMBER(AT_!M13),AT_!M13,AT_!$M$42)*0.6)+(IF(ISNUMBER(AT_!N13),AT_!N13,AT_!$N$42)*0.4),-1))</f>
        <v>2660</v>
      </c>
      <c r="AZ13" s="424">
        <f>PT_!AA13</f>
        <v>310</v>
      </c>
      <c r="BA13" s="433">
        <f>AT_!CK13</f>
        <v>61</v>
      </c>
      <c r="BB13" s="2635">
        <f ca="1">IF(E13="","",ROUND((PT_!BM13*IF(ISNUMBER(AT_!Q13),AT_!Q13,AT_!$Q$42)+IF(ISNUMBER(AT_!S13),AT_!S13,AT_!$S$42)*PT_!BN13)*8.34,0))</f>
        <v>81003</v>
      </c>
      <c r="BC13" s="373"/>
      <c r="BD13" s="3"/>
      <c r="BE13" s="3"/>
      <c r="BF13" s="3"/>
      <c r="BG13" s="3"/>
      <c r="BH13" s="373"/>
      <c r="BI13" s="377" t="s">
        <v>1063</v>
      </c>
      <c r="BJ13" s="377"/>
      <c r="BK13" s="1217"/>
      <c r="BL13" s="377"/>
      <c r="BM13" s="377"/>
      <c r="BN13" s="377" t="s">
        <v>1060</v>
      </c>
      <c r="BO13" s="377" t="s">
        <v>1104</v>
      </c>
      <c r="BP13" s="445">
        <f>DW_!$F$42</f>
        <v>74.5</v>
      </c>
      <c r="BQ13" s="2629" t="s">
        <v>91</v>
      </c>
      <c r="BR13" s="373"/>
      <c r="BS13" s="289" t="s">
        <v>1059</v>
      </c>
      <c r="BT13" s="289" t="s">
        <v>1103</v>
      </c>
      <c r="BU13" s="453"/>
      <c r="BV13" s="289" t="s">
        <v>91</v>
      </c>
      <c r="BW13" s="373"/>
      <c r="BX13" s="289"/>
      <c r="BY13" s="289"/>
      <c r="BZ13" s="289"/>
      <c r="CA13" s="289"/>
      <c r="CB13" s="189" t="s">
        <v>104</v>
      </c>
      <c r="CC13" s="189" t="s">
        <v>121</v>
      </c>
      <c r="CD13" s="235">
        <f t="shared" si="32"/>
        <v>42372</v>
      </c>
      <c r="CE13" s="236">
        <f t="shared" ca="1" si="6"/>
        <v>121772.33999999998</v>
      </c>
      <c r="CF13" s="237">
        <f t="shared" ca="1" si="7"/>
        <v>1551.24</v>
      </c>
      <c r="CG13" s="238">
        <f t="shared" ca="1" si="8"/>
        <v>101606.22</v>
      </c>
      <c r="CH13" s="239">
        <f t="shared" ca="1" si="9"/>
        <v>2326.86</v>
      </c>
      <c r="CI13" s="240">
        <f t="shared" ca="1" si="10"/>
        <v>121772.33999999998</v>
      </c>
      <c r="CJ13" s="241">
        <f t="shared" ca="1" si="11"/>
        <v>1551.24</v>
      </c>
      <c r="CK13" s="241">
        <f t="shared" ca="1" si="12"/>
        <v>101606.22</v>
      </c>
      <c r="CL13" s="242">
        <f t="shared" ca="1" si="13"/>
        <v>2326.86</v>
      </c>
      <c r="CM13" s="243">
        <f t="shared" ref="CM13:CM41" ca="1" si="42">IF($E13&gt;0,IF($G13&gt;$C$44," ",IF(CELL("type",R13:R13)="v",R13,IF(CELL("type",R13:R13)="L",R$44,""))),"")</f>
        <v>157</v>
      </c>
      <c r="CN13" s="244">
        <f t="shared" ref="CN13:CN19" ca="1" si="43">IF($E13&gt;0,IF($G13&gt;$C$44," ",IF(CELL("type",S13:S13)="v",S13,IF(CELL("type",S13:S13)="L",S$44,""))),"")</f>
        <v>2</v>
      </c>
      <c r="CO13" s="244">
        <f t="shared" ref="CO13:CO19" ca="1" si="44">IF($E13&gt;0,IF($G13&gt;$C$44," ",IF(CELL("type",T13:T13)="v",T13,IF(CELL("type",T13:T13)="L",T$44,""))),"")</f>
        <v>131</v>
      </c>
      <c r="CP13" s="244">
        <f ca="1">IF($E13&gt;0,IF($G13&gt;$C$44," ",IF(CELL("type",U13:U13)="v",U13,IF(CELL("type",U13:U13)="L",U$44,""))),"")</f>
        <v>3</v>
      </c>
      <c r="CQ13" s="1627">
        <f t="shared" ca="1" si="18"/>
        <v>0.05</v>
      </c>
      <c r="CR13" s="1628">
        <f t="shared" ca="1" si="18"/>
        <v>6.5000000000000006E-3</v>
      </c>
      <c r="CS13" s="1629">
        <f t="shared" ca="1" si="18"/>
        <v>30.345356999999996</v>
      </c>
      <c r="CT13" s="1629">
        <f t="shared" ca="1" si="18"/>
        <v>38.130000000000003</v>
      </c>
      <c r="CU13" s="248">
        <f t="shared" ca="1" si="19"/>
        <v>0.64</v>
      </c>
      <c r="CV13" s="246">
        <f t="shared" ca="1" si="19"/>
        <v>3.37</v>
      </c>
      <c r="CW13" s="247">
        <f t="shared" ca="1" si="19"/>
        <v>11.050129999999999</v>
      </c>
      <c r="CX13" s="247">
        <f t="shared" ca="1" si="19"/>
        <v>10.8</v>
      </c>
      <c r="CY13" s="249">
        <f t="shared" ca="1" si="33"/>
        <v>38.200000000000003</v>
      </c>
      <c r="CZ13" s="249">
        <f t="shared" ca="1" si="34"/>
        <v>14.8</v>
      </c>
      <c r="DA13" s="250">
        <f t="shared" ca="1" si="35"/>
        <v>29628.684000000001</v>
      </c>
      <c r="DB13" s="250">
        <f t="shared" ca="1" si="36"/>
        <v>11479.175999999999</v>
      </c>
      <c r="DC13" s="251">
        <f t="shared" si="20"/>
        <v>42372</v>
      </c>
      <c r="DD13" s="1410"/>
      <c r="DE13" s="381"/>
      <c r="DF13" s="454">
        <f>DG13-6</f>
        <v>42372</v>
      </c>
      <c r="DG13" s="1208">
        <f>VLOOKUP(DG$10,$DS$18:$DU$24,3,0)</f>
        <v>42378</v>
      </c>
      <c r="DH13" s="455">
        <f ca="1">VLOOKUP($DG13,$DU$11:$EF$41,2)</f>
        <v>91</v>
      </c>
      <c r="DI13" s="456">
        <f ca="1">VLOOKUP($DG13,$DU$11:$EF$41,3)</f>
        <v>92</v>
      </c>
      <c r="DJ13" s="456">
        <f ca="1">VLOOKUP($DG13,$DU$11:$EF$41,4)</f>
        <v>157</v>
      </c>
      <c r="DK13" s="457">
        <f ca="1">VLOOKUP($DG13,$DU$11:$EF$41,6)</f>
        <v>6</v>
      </c>
      <c r="DL13" s="457">
        <f ca="1">VLOOKUP($DG13,$DU$11:$EF$41,8)</f>
        <v>171</v>
      </c>
      <c r="DM13" s="457">
        <f ca="1">VLOOKUP($DG13,$DU$11:$EF$41,10)</f>
        <v>3</v>
      </c>
      <c r="DN13" s="456">
        <f ca="1">VLOOKUP($DG13,$DU$11:$EF$41,12)</f>
        <v>21</v>
      </c>
      <c r="DO13" s="458">
        <f ca="1">VLOOKUP($DG13,$DU$11:$EF$41,5)</f>
        <v>121700</v>
      </c>
      <c r="DP13" s="459">
        <f ca="1">VLOOKUP($DG13,$DU$11:$EF$41,7)</f>
        <v>4900</v>
      </c>
      <c r="DQ13" s="459">
        <f ca="1">VLOOKUP($DG13,$DU$11:$EF$41,9)</f>
        <v>131100</v>
      </c>
      <c r="DR13" s="459">
        <f ca="1">VLOOKUP($DG13,$DU$11:$EF$41,11)</f>
        <v>2500</v>
      </c>
      <c r="DS13" s="417">
        <f t="shared" si="37"/>
        <v>1</v>
      </c>
      <c r="DT13" s="439">
        <f t="shared" si="38"/>
        <v>42372</v>
      </c>
      <c r="DU13" s="440">
        <f t="shared" si="21"/>
        <v>42372</v>
      </c>
      <c r="DV13" s="403" t="str">
        <f t="shared" si="22"/>
        <v/>
      </c>
      <c r="DW13" s="403" t="str">
        <f t="shared" si="22"/>
        <v/>
      </c>
      <c r="DX13" s="403" t="str">
        <f t="shared" si="22"/>
        <v/>
      </c>
      <c r="DY13" s="403" t="str">
        <f t="shared" si="39"/>
        <v/>
      </c>
      <c r="DZ13" s="403" t="str">
        <f t="shared" si="40"/>
        <v/>
      </c>
      <c r="EA13" s="403" t="str">
        <f t="shared" si="23"/>
        <v/>
      </c>
      <c r="EB13" s="403" t="str">
        <f t="shared" si="24"/>
        <v/>
      </c>
      <c r="EC13" s="403" t="str">
        <f t="shared" si="25"/>
        <v/>
      </c>
      <c r="ED13" s="403" t="str">
        <f t="shared" si="26"/>
        <v/>
      </c>
      <c r="EE13" s="403" t="str">
        <f t="shared" si="27"/>
        <v/>
      </c>
      <c r="EF13" s="403" t="str">
        <f t="shared" si="28"/>
        <v/>
      </c>
      <c r="EG13" s="404"/>
      <c r="EH13" s="398"/>
      <c r="EI13" s="460" t="s">
        <v>194</v>
      </c>
      <c r="EJ13" s="367"/>
      <c r="EK13" s="367"/>
      <c r="EL13" s="367"/>
      <c r="EM13" s="367"/>
      <c r="EN13" s="367"/>
      <c r="EO13" s="367"/>
      <c r="EP13" s="367"/>
      <c r="EQ13" s="367"/>
      <c r="ER13" s="367"/>
      <c r="ES13" s="367"/>
      <c r="ET13" s="367"/>
      <c r="EU13" s="367"/>
      <c r="EV13" s="289"/>
      <c r="EW13" s="189"/>
      <c r="EX13" s="442">
        <f t="shared" si="29"/>
        <v>0</v>
      </c>
      <c r="EY13" s="408"/>
      <c r="EZ13" s="289"/>
      <c r="FA13" s="289"/>
      <c r="FB13" s="289"/>
      <c r="FC13" s="289"/>
      <c r="FD13" s="289"/>
      <c r="FE13" s="289"/>
      <c r="FF13" s="289"/>
      <c r="FG13" s="289"/>
      <c r="FH13" s="289"/>
      <c r="FI13" s="289"/>
      <c r="FJ13" s="289"/>
      <c r="FK13" s="289"/>
      <c r="FL13" s="289"/>
      <c r="FM13" s="289"/>
      <c r="FN13" s="289"/>
      <c r="FO13" s="289"/>
      <c r="FP13" s="289"/>
      <c r="FQ13" s="289"/>
      <c r="FR13" s="289"/>
      <c r="FS13" s="289"/>
      <c r="FT13" s="289"/>
      <c r="FU13" s="289"/>
      <c r="FV13" s="289"/>
      <c r="FW13" s="289"/>
      <c r="FX13" s="289"/>
      <c r="FY13" s="289"/>
      <c r="FZ13" s="289"/>
      <c r="GA13" s="289"/>
      <c r="GB13" s="289"/>
      <c r="GC13" s="289"/>
      <c r="GD13" s="289"/>
      <c r="GE13" s="289"/>
      <c r="GF13" s="289"/>
      <c r="GG13" s="289"/>
      <c r="GH13" s="289"/>
      <c r="GI13" s="289"/>
      <c r="GJ13" s="289"/>
      <c r="GK13" s="289"/>
      <c r="GL13" s="289"/>
      <c r="GM13" s="289"/>
      <c r="GN13" s="289"/>
      <c r="GO13" s="289"/>
      <c r="GP13" s="289"/>
      <c r="GQ13" s="289"/>
      <c r="GR13" s="289"/>
      <c r="GS13" s="289"/>
      <c r="GT13" s="289"/>
      <c r="GU13" s="289"/>
      <c r="GV13" s="289"/>
      <c r="GW13" s="289"/>
      <c r="GX13" s="289"/>
      <c r="GY13" s="289"/>
      <c r="GZ13" s="289"/>
      <c r="HA13" s="289"/>
      <c r="HB13" s="289"/>
      <c r="HC13" s="289"/>
      <c r="HD13" s="289"/>
      <c r="HE13" s="289"/>
      <c r="HF13" s="289"/>
      <c r="HG13" s="289"/>
      <c r="HH13" s="289"/>
      <c r="HI13" s="289"/>
      <c r="HJ13" s="289"/>
      <c r="HK13" s="289"/>
      <c r="HL13" s="289"/>
      <c r="HM13" s="289"/>
      <c r="HN13" s="289"/>
      <c r="HO13" s="289"/>
      <c r="HP13" s="289"/>
      <c r="HQ13" s="289"/>
      <c r="HR13" s="289"/>
      <c r="HS13" s="289"/>
      <c r="HT13" s="289"/>
      <c r="HU13" s="289"/>
      <c r="HV13" s="289"/>
      <c r="HW13" s="289"/>
      <c r="HX13" s="289"/>
      <c r="HY13" s="289"/>
      <c r="HZ13" s="289"/>
      <c r="IA13" s="289"/>
      <c r="IB13" s="289"/>
      <c r="IC13" s="289"/>
      <c r="ID13" s="289"/>
      <c r="IE13" s="289"/>
      <c r="IF13" s="289"/>
      <c r="IG13" s="289"/>
      <c r="IH13" s="289"/>
      <c r="II13" s="289"/>
      <c r="IJ13" s="289"/>
      <c r="IK13" s="289"/>
      <c r="IL13" s="289"/>
      <c r="IM13" s="289"/>
      <c r="IN13" s="289"/>
      <c r="IO13" s="289"/>
      <c r="IP13" s="289"/>
      <c r="IQ13" s="289"/>
      <c r="IR13" s="289"/>
      <c r="IS13" s="289"/>
      <c r="IT13" s="289"/>
      <c r="IU13" s="289"/>
      <c r="IV13" s="289"/>
      <c r="IW13" s="289"/>
      <c r="IX13" s="289"/>
    </row>
    <row r="14" spans="1:258" s="21" customFormat="1" ht="16.5" customHeight="1" thickBot="1">
      <c r="A14" s="289"/>
      <c r="B14" s="289"/>
      <c r="C14" s="1251">
        <f t="shared" si="30"/>
        <v>42373</v>
      </c>
      <c r="D14" s="443">
        <f t="shared" si="31"/>
        <v>42373</v>
      </c>
      <c r="E14" s="424">
        <f ca="1">IF(D14&lt;TODAY(),IF(AT_!CG14="","",+AT_!CG14),"")</f>
        <v>86</v>
      </c>
      <c r="F14" s="424">
        <f>IF(AT_!CH14="","",+AT_!CH14)</f>
        <v>114</v>
      </c>
      <c r="G14" s="424">
        <f>IF(AT_!CF14="","",+AT_!CF14)</f>
        <v>86</v>
      </c>
      <c r="H14" s="424">
        <f>IF(AT_!CI14="","",+AT_!CI14)</f>
        <v>59</v>
      </c>
      <c r="I14" s="424">
        <f>IF(AT_!BS14="","",+AT_!BS14)</f>
        <v>19</v>
      </c>
      <c r="J14" s="425">
        <f>IF(AT_!BU14="","",+AT_!BU14)</f>
        <v>6.6</v>
      </c>
      <c r="K14" s="425">
        <f>IF(AT_!BT14="","",+AT_!BT14)</f>
        <v>7</v>
      </c>
      <c r="L14" s="425">
        <f>IF(AT_!BV14="","",+AT_!BV14)</f>
        <v>6.8</v>
      </c>
      <c r="M14" s="425">
        <f>IF(AT_!BX14="","",+AT_!BX14)</f>
        <v>6.4</v>
      </c>
      <c r="N14" s="425">
        <f>IF(AT_!BW14="","",+AT_!BW14)</f>
        <v>6.7</v>
      </c>
      <c r="O14" s="425">
        <f>IF(AT_!BY14="","",+AT_!BY14)</f>
        <v>6.5</v>
      </c>
      <c r="P14" s="425"/>
      <c r="Q14" s="425"/>
      <c r="R14" s="424">
        <f>IF(AT_!AC14="","",+AT_!AC14)</f>
        <v>262</v>
      </c>
      <c r="S14" s="424">
        <f>IF(AT_!$AF14="","",AT_!$AF14)</f>
        <v>2</v>
      </c>
      <c r="T14" s="424">
        <f>IF(AT_!G14="","",+AT_!G14)</f>
        <v>140</v>
      </c>
      <c r="U14" s="2660">
        <f>IF(AT_!$K14="","",AT_!$K14)</f>
        <v>5</v>
      </c>
      <c r="V14" s="444" t="str">
        <f t="shared" si="41"/>
        <v/>
      </c>
      <c r="W14" s="427">
        <f t="shared" si="3"/>
        <v>42373</v>
      </c>
      <c r="X14" s="428">
        <f t="shared" si="3"/>
        <v>42373</v>
      </c>
      <c r="Y14" s="429" t="str">
        <f>+AT_!FJ14</f>
        <v/>
      </c>
      <c r="Z14" s="429" t="str">
        <f>AT_!FX14</f>
        <v/>
      </c>
      <c r="AA14" s="429" t="str">
        <f>+AT_!FI14</f>
        <v/>
      </c>
      <c r="AB14" s="429" t="str">
        <f>AT_!FW14</f>
        <v/>
      </c>
      <c r="AC14" s="429">
        <f>IF(AT_!DW14="","",IF(+AT_!DW14&gt;1,ROUND(+AT_!DW14,1),+AT_!DW14))</f>
        <v>0.45</v>
      </c>
      <c r="AD14" s="430" t="str">
        <f>IF(AT_!CA14="","",+AT_!CA14)</f>
        <v/>
      </c>
      <c r="AE14" s="431">
        <f>IF(AT_!CB14="","",AT_!CB14)</f>
        <v>3</v>
      </c>
      <c r="AF14" s="2609"/>
      <c r="AG14" s="2610"/>
      <c r="AH14" s="2533" t="s">
        <v>1398</v>
      </c>
      <c r="AI14" s="2681" t="str">
        <f>IF(AT_!$EN14="","",AT_!$EN14)</f>
        <v>Clear</v>
      </c>
      <c r="AJ14" s="373"/>
      <c r="AK14" s="427">
        <f t="shared" si="4"/>
        <v>42373</v>
      </c>
      <c r="AL14" s="428">
        <f t="shared" si="5"/>
        <v>42373</v>
      </c>
      <c r="AM14" s="429">
        <f>AT_!FE14</f>
        <v>0.04</v>
      </c>
      <c r="AN14" s="429">
        <f>AT_!FF14</f>
        <v>1.95E-2</v>
      </c>
      <c r="AO14" s="425">
        <f>IF(AT_!FG14= "","",(AT_!FG14*1.2143))</f>
        <v>32.057519999999997</v>
      </c>
      <c r="AP14" s="425">
        <f>AT_!FH14</f>
        <v>44.375</v>
      </c>
      <c r="AQ14" s="429">
        <f>AT_!FS14</f>
        <v>0.65</v>
      </c>
      <c r="AR14" s="429">
        <f>AT_!FT14</f>
        <v>3.47</v>
      </c>
      <c r="AS14" s="425">
        <f>IF(AT_!FU14= "","",(AT_!FU14*1.2143))</f>
        <v>10.32155</v>
      </c>
      <c r="AT14" s="425">
        <f>AT_!FV14</f>
        <v>10.7</v>
      </c>
      <c r="AU14" s="425">
        <f>IF(AT_!BO14="","",AT_!BO14)</f>
        <v>5.92</v>
      </c>
      <c r="AV14" s="424" t="str">
        <f>IF(AT_!BR14="","",AT_!BR14)</f>
        <v/>
      </c>
      <c r="AW14" s="3"/>
      <c r="AX14" s="432">
        <f>IF((SUM(AT_!O14,AT_!P14))=0,"",ROUND(IF(ISNUMBER(AT_!O14),AT_!O14,AT_!$O$42)*0.6+IF(ISNUMBER(AT_!P14),AT_!P14,AT_!$P$42)*0.4,-1))</f>
        <v>3780</v>
      </c>
      <c r="AY14" s="432">
        <f>IF((SUM(AT_!M14,AT_!N14))=0,"",ROUND((IF(ISNUMBER(AT_!M14),AT_!M14,AT_!$M$42)*0.6)+(IF(ISNUMBER(AT_!N14),AT_!N14,AT_!$N$42)*0.4),-1))</f>
        <v>2880</v>
      </c>
      <c r="AZ14" s="424">
        <f>PT_!AA14</f>
        <v>420</v>
      </c>
      <c r="BA14" s="433">
        <f>AT_!CK14</f>
        <v>62</v>
      </c>
      <c r="BB14" s="2635">
        <f ca="1">IF(E14="","",ROUND((PT_!BM14*IF(ISNUMBER(AT_!Q14),AT_!Q14,AT_!$Q$42)+IF(ISNUMBER(AT_!S14),AT_!S14,AT_!$S$42)*PT_!BN14)*8.34,0))</f>
        <v>109972</v>
      </c>
      <c r="BC14" s="373"/>
      <c r="BD14" s="3"/>
      <c r="BE14" s="3"/>
      <c r="BF14" s="3"/>
      <c r="BG14" s="3"/>
      <c r="BH14" s="373"/>
      <c r="BI14" s="377" t="s">
        <v>1058</v>
      </c>
      <c r="BJ14" s="377" t="s">
        <v>1084</v>
      </c>
      <c r="BK14" s="1993">
        <f>AT_!$EA$42*1000</f>
        <v>4278400.0000000009</v>
      </c>
      <c r="BL14" s="377" t="s">
        <v>1094</v>
      </c>
      <c r="BM14" s="377"/>
      <c r="BN14" s="377" t="s">
        <v>1061</v>
      </c>
      <c r="BO14" s="377" t="s">
        <v>1107</v>
      </c>
      <c r="BP14" s="370"/>
      <c r="BQ14" s="2629"/>
      <c r="BR14" s="373"/>
      <c r="BS14" s="289" t="s">
        <v>1060</v>
      </c>
      <c r="BT14" s="289" t="s">
        <v>1104</v>
      </c>
      <c r="BU14" s="453"/>
      <c r="BV14" s="289" t="s">
        <v>91</v>
      </c>
      <c r="BW14" s="373"/>
      <c r="BX14" s="289"/>
      <c r="BY14" s="289"/>
      <c r="BZ14" s="289"/>
      <c r="CA14" s="289"/>
      <c r="CB14" s="189"/>
      <c r="CC14" s="189"/>
      <c r="CD14" s="235">
        <f t="shared" si="32"/>
        <v>42373</v>
      </c>
      <c r="CE14" s="236">
        <f t="shared" ca="1" si="6"/>
        <v>187916.88</v>
      </c>
      <c r="CF14" s="237">
        <f t="shared" ca="1" si="7"/>
        <v>1434.48</v>
      </c>
      <c r="CG14" s="238">
        <f t="shared" ca="1" si="8"/>
        <v>100413.59999999999</v>
      </c>
      <c r="CH14" s="239">
        <f t="shared" ca="1" si="9"/>
        <v>3586.2000000000003</v>
      </c>
      <c r="CI14" s="240">
        <f t="shared" ca="1" si="10"/>
        <v>187916.88</v>
      </c>
      <c r="CJ14" s="241">
        <f t="shared" ca="1" si="11"/>
        <v>1434.48</v>
      </c>
      <c r="CK14" s="241">
        <f t="shared" ca="1" si="12"/>
        <v>100413.59999999999</v>
      </c>
      <c r="CL14" s="242">
        <f t="shared" ca="1" si="13"/>
        <v>3586.2000000000003</v>
      </c>
      <c r="CM14" s="243">
        <f t="shared" ca="1" si="42"/>
        <v>262</v>
      </c>
      <c r="CN14" s="244">
        <f t="shared" ca="1" si="43"/>
        <v>2</v>
      </c>
      <c r="CO14" s="244">
        <f t="shared" ca="1" si="44"/>
        <v>140</v>
      </c>
      <c r="CP14" s="244">
        <f ca="1">IF($E14&gt;0,IF($G14&gt;$C$44," ",IF(CELL("type",U14:U14)="v",U14,IF(CELL("type",U14:U14)="L",U$44,""))),"")</f>
        <v>5</v>
      </c>
      <c r="CQ14" s="1627">
        <f t="shared" ca="1" si="18"/>
        <v>0.04</v>
      </c>
      <c r="CR14" s="1628">
        <f t="shared" ca="1" si="18"/>
        <v>1.95E-2</v>
      </c>
      <c r="CS14" s="1629">
        <f t="shared" ca="1" si="18"/>
        <v>32.057519999999997</v>
      </c>
      <c r="CT14" s="1629">
        <f t="shared" ca="1" si="18"/>
        <v>44.375</v>
      </c>
      <c r="CU14" s="248">
        <f t="shared" ca="1" si="19"/>
        <v>0.65</v>
      </c>
      <c r="CV14" s="246">
        <f t="shared" ca="1" si="19"/>
        <v>3.47</v>
      </c>
      <c r="CW14" s="247">
        <f t="shared" ca="1" si="19"/>
        <v>10.32155</v>
      </c>
      <c r="CX14" s="247">
        <f t="shared" ca="1" si="19"/>
        <v>10.7</v>
      </c>
      <c r="CY14" s="249">
        <f t="shared" ca="1" si="33"/>
        <v>44.4</v>
      </c>
      <c r="CZ14" s="249">
        <f t="shared" ca="1" si="34"/>
        <v>14.8</v>
      </c>
      <c r="DA14" s="250">
        <f t="shared" ca="1" si="35"/>
        <v>31845.455999999998</v>
      </c>
      <c r="DB14" s="250">
        <f t="shared" ca="1" si="36"/>
        <v>10615.152</v>
      </c>
      <c r="DC14" s="251">
        <f t="shared" si="20"/>
        <v>42373</v>
      </c>
      <c r="DD14" s="1410"/>
      <c r="DE14" s="381"/>
      <c r="DF14" s="454">
        <f>DG14-6</f>
        <v>42379</v>
      </c>
      <c r="DG14" s="1208">
        <f>VLOOKUP(DG$10,$DS25:$DU$31,3,0)</f>
        <v>42385</v>
      </c>
      <c r="DH14" s="455">
        <f ca="1">VLOOKUP($DG14,$DU$11:$EF$41,2)</f>
        <v>93</v>
      </c>
      <c r="DI14" s="456">
        <f ca="1">VLOOKUP($DG14,$DU$11:$EF$41,3)</f>
        <v>109</v>
      </c>
      <c r="DJ14" s="456">
        <f ca="1">VLOOKUP($DG14,$DU$11:$EF$41,4)</f>
        <v>123</v>
      </c>
      <c r="DK14" s="457">
        <f ca="1">VLOOKUP($DG14,$DU$11:$EF$41,6)</f>
        <v>21</v>
      </c>
      <c r="DL14" s="457">
        <f ca="1">VLOOKUP($DG14,$DU$11:$EF$41,8)</f>
        <v>118</v>
      </c>
      <c r="DM14" s="457">
        <f ca="1">VLOOKUP($DG14,$DU$11:$EF$41,10)</f>
        <v>7</v>
      </c>
      <c r="DN14" s="456">
        <f ca="1">VLOOKUP($DG14,$DU$11:$EF$41,12)</f>
        <v>21</v>
      </c>
      <c r="DO14" s="458">
        <f ca="1">VLOOKUP($DG14,$DU$11:$EF$41,5)</f>
        <v>111300</v>
      </c>
      <c r="DP14" s="459">
        <f ca="1">VLOOKUP($DG14,$DU$11:$EF$41,7)</f>
        <v>19100</v>
      </c>
      <c r="DQ14" s="459">
        <f ca="1">VLOOKUP($DG14,$DU$11:$EF$41,9)</f>
        <v>104100</v>
      </c>
      <c r="DR14" s="459">
        <f ca="1">VLOOKUP($DG14,$DU$11:$EF$41,11)</f>
        <v>6900</v>
      </c>
      <c r="DS14" s="417">
        <f t="shared" si="37"/>
        <v>2</v>
      </c>
      <c r="DT14" s="439">
        <f t="shared" si="38"/>
        <v>42373</v>
      </c>
      <c r="DU14" s="440">
        <f t="shared" si="21"/>
        <v>42373</v>
      </c>
      <c r="DV14" s="403" t="str">
        <f t="shared" si="22"/>
        <v/>
      </c>
      <c r="DW14" s="403" t="str">
        <f t="shared" si="22"/>
        <v/>
      </c>
      <c r="DX14" s="403" t="str">
        <f t="shared" si="22"/>
        <v/>
      </c>
      <c r="DY14" s="403" t="str">
        <f t="shared" si="39"/>
        <v/>
      </c>
      <c r="DZ14" s="403" t="str">
        <f t="shared" si="40"/>
        <v/>
      </c>
      <c r="EA14" s="403" t="str">
        <f t="shared" si="23"/>
        <v/>
      </c>
      <c r="EB14" s="403" t="str">
        <f t="shared" si="24"/>
        <v/>
      </c>
      <c r="EC14" s="403" t="str">
        <f t="shared" si="25"/>
        <v/>
      </c>
      <c r="ED14" s="403" t="str">
        <f t="shared" si="26"/>
        <v/>
      </c>
      <c r="EE14" s="403" t="str">
        <f t="shared" si="27"/>
        <v/>
      </c>
      <c r="EF14" s="403" t="str">
        <f t="shared" si="28"/>
        <v/>
      </c>
      <c r="EG14" s="404"/>
      <c r="EH14" s="398"/>
      <c r="EI14" s="367"/>
      <c r="EJ14" s="367"/>
      <c r="EK14" s="367"/>
      <c r="EL14" s="367"/>
      <c r="EM14" s="367"/>
      <c r="EN14" s="367"/>
      <c r="EO14" s="367"/>
      <c r="EP14" s="367"/>
      <c r="EQ14" s="367"/>
      <c r="ER14" s="367"/>
      <c r="ES14" s="367"/>
      <c r="ET14" s="367"/>
      <c r="EU14" s="367"/>
      <c r="EV14" s="289"/>
      <c r="EW14" s="189"/>
      <c r="EX14" s="442">
        <f t="shared" si="29"/>
        <v>0</v>
      </c>
      <c r="EY14" s="408"/>
      <c r="EZ14" s="289"/>
      <c r="FA14" s="289"/>
      <c r="FB14" s="289"/>
      <c r="FC14" s="289"/>
      <c r="FD14" s="289"/>
      <c r="FE14" s="289"/>
      <c r="FF14" s="289"/>
      <c r="FG14" s="289"/>
      <c r="FH14" s="289"/>
      <c r="FI14" s="289"/>
      <c r="FJ14" s="289"/>
      <c r="FK14" s="289"/>
      <c r="FL14" s="289"/>
      <c r="FM14" s="289"/>
      <c r="FN14" s="289"/>
      <c r="FO14" s="289"/>
      <c r="FP14" s="289"/>
      <c r="FQ14" s="289"/>
      <c r="FR14" s="289"/>
      <c r="FS14" s="289"/>
      <c r="FT14" s="289"/>
      <c r="FU14" s="289"/>
      <c r="FV14" s="289"/>
      <c r="FW14" s="289"/>
      <c r="FX14" s="289"/>
      <c r="FY14" s="289"/>
      <c r="FZ14" s="289"/>
      <c r="GA14" s="289"/>
      <c r="GB14" s="289"/>
      <c r="GC14" s="289"/>
      <c r="GD14" s="289"/>
      <c r="GE14" s="289"/>
      <c r="GF14" s="289"/>
      <c r="GG14" s="289"/>
      <c r="GH14" s="289"/>
      <c r="GI14" s="289"/>
      <c r="GJ14" s="289"/>
      <c r="GK14" s="289"/>
      <c r="GL14" s="289"/>
      <c r="GM14" s="289"/>
      <c r="GN14" s="289"/>
      <c r="GO14" s="289"/>
      <c r="GP14" s="289"/>
      <c r="GQ14" s="289"/>
      <c r="GR14" s="289"/>
      <c r="GS14" s="289"/>
      <c r="GT14" s="289"/>
      <c r="GU14" s="289"/>
      <c r="GV14" s="289"/>
      <c r="GW14" s="289"/>
      <c r="GX14" s="289"/>
      <c r="GY14" s="289"/>
      <c r="GZ14" s="289"/>
      <c r="HA14" s="289"/>
      <c r="HB14" s="289"/>
      <c r="HC14" s="289"/>
      <c r="HD14" s="289"/>
      <c r="HE14" s="289"/>
      <c r="HF14" s="289"/>
      <c r="HG14" s="289"/>
      <c r="HH14" s="289"/>
      <c r="HI14" s="289"/>
      <c r="HJ14" s="289"/>
      <c r="HK14" s="289"/>
      <c r="HL14" s="289"/>
      <c r="HM14" s="289"/>
      <c r="HN14" s="289"/>
      <c r="HO14" s="289"/>
      <c r="HP14" s="289"/>
      <c r="HQ14" s="289"/>
      <c r="HR14" s="289"/>
      <c r="HS14" s="289"/>
      <c r="HT14" s="289"/>
      <c r="HU14" s="289"/>
      <c r="HV14" s="289"/>
      <c r="HW14" s="289"/>
      <c r="HX14" s="289"/>
      <c r="HY14" s="289"/>
      <c r="HZ14" s="289"/>
      <c r="IA14" s="289"/>
      <c r="IB14" s="289"/>
      <c r="IC14" s="289"/>
      <c r="ID14" s="289"/>
      <c r="IE14" s="289"/>
      <c r="IF14" s="289"/>
      <c r="IG14" s="289"/>
      <c r="IH14" s="289"/>
      <c r="II14" s="289"/>
      <c r="IJ14" s="289"/>
      <c r="IK14" s="289"/>
      <c r="IL14" s="289"/>
      <c r="IM14" s="289"/>
      <c r="IN14" s="289"/>
      <c r="IO14" s="289"/>
      <c r="IP14" s="289"/>
      <c r="IQ14" s="289"/>
      <c r="IR14" s="289"/>
      <c r="IS14" s="289"/>
      <c r="IT14" s="289"/>
      <c r="IU14" s="289"/>
      <c r="IV14" s="289"/>
      <c r="IW14" s="289"/>
      <c r="IX14" s="289"/>
    </row>
    <row r="15" spans="1:258" s="21" customFormat="1" ht="16.5" customHeight="1" thickBot="1">
      <c r="A15" s="461" t="s">
        <v>921</v>
      </c>
      <c r="B15" s="289"/>
      <c r="C15" s="1251">
        <f t="shared" si="30"/>
        <v>42374</v>
      </c>
      <c r="D15" s="443">
        <f t="shared" si="31"/>
        <v>42374</v>
      </c>
      <c r="E15" s="424">
        <f ca="1">IF(D15&lt;TODAY(),IF(AT_!CG15="","",+AT_!CG15),"")</f>
        <v>87</v>
      </c>
      <c r="F15" s="424">
        <f>IF(AT_!CH15="","",+AT_!CH15)</f>
        <v>113</v>
      </c>
      <c r="G15" s="424">
        <f>IF(AT_!CF15="","",+AT_!CF15)</f>
        <v>87</v>
      </c>
      <c r="H15" s="424">
        <f>IF(AT_!CI15="","",+AT_!CI15)</f>
        <v>59</v>
      </c>
      <c r="I15" s="424">
        <f>IF(AT_!BS15="","",+AT_!BS15)</f>
        <v>18</v>
      </c>
      <c r="J15" s="425">
        <f>IF(AT_!BU15="","",+AT_!BU15)</f>
        <v>6.6</v>
      </c>
      <c r="K15" s="425">
        <f>IF(AT_!BT15="","",+AT_!BT15)</f>
        <v>7.1</v>
      </c>
      <c r="L15" s="425">
        <f>IF(AT_!BV15="","",+AT_!BV15)</f>
        <v>6.9</v>
      </c>
      <c r="M15" s="425">
        <f>IF(AT_!BX15="","",+AT_!BX15)</f>
        <v>6.3</v>
      </c>
      <c r="N15" s="425">
        <f>IF(AT_!BW15="","",+AT_!BW15)</f>
        <v>7</v>
      </c>
      <c r="O15" s="425">
        <f>IF(AT_!BY15="","",+AT_!BY15)</f>
        <v>6.5</v>
      </c>
      <c r="P15" s="425"/>
      <c r="Q15" s="425"/>
      <c r="R15" s="424">
        <f>IF(AT_!AC15="","",+AT_!AC15)</f>
        <v>149</v>
      </c>
      <c r="S15" s="2584" t="s">
        <v>1389</v>
      </c>
      <c r="T15" s="424">
        <f>IF(AT_!G15="","",+AT_!G15)</f>
        <v>130</v>
      </c>
      <c r="U15" s="2661" t="s">
        <v>1390</v>
      </c>
      <c r="V15" s="444" t="str">
        <f t="shared" si="41"/>
        <v/>
      </c>
      <c r="W15" s="427">
        <f t="shared" si="3"/>
        <v>42374</v>
      </c>
      <c r="X15" s="428">
        <f t="shared" si="3"/>
        <v>42374</v>
      </c>
      <c r="Y15" s="429" t="str">
        <f>+AT_!FJ15</f>
        <v/>
      </c>
      <c r="Z15" s="429" t="str">
        <f>AT_!FX15</f>
        <v/>
      </c>
      <c r="AA15" s="429" t="str">
        <f>+AT_!FI15</f>
        <v/>
      </c>
      <c r="AB15" s="429" t="str">
        <f>AT_!FW15</f>
        <v/>
      </c>
      <c r="AC15" s="429">
        <f>IF(AT_!DW15="","",IF(+AT_!DW15&gt;1,ROUND(+AT_!DW15,1),+AT_!DW15))</f>
        <v>0.49</v>
      </c>
      <c r="AD15" s="430" t="str">
        <f>IF(AT_!CA15="","",+AT_!CA15)</f>
        <v/>
      </c>
      <c r="AE15" s="431">
        <f>IF(AT_!CB15="","",AT_!CB15)</f>
        <v>3</v>
      </c>
      <c r="AF15" s="2609" t="s">
        <v>1461</v>
      </c>
      <c r="AG15" s="2610">
        <v>1</v>
      </c>
      <c r="AH15" s="2533" t="s">
        <v>1469</v>
      </c>
      <c r="AI15" s="2681" t="str">
        <f>IF(AT_!$EN15="","",AT_!$EN15)</f>
        <v>Clear</v>
      </c>
      <c r="AJ15" s="373"/>
      <c r="AK15" s="427">
        <f t="shared" si="4"/>
        <v>42374</v>
      </c>
      <c r="AL15" s="428">
        <f t="shared" si="5"/>
        <v>42374</v>
      </c>
      <c r="AM15" s="429">
        <f>AT_!FE15</f>
        <v>0.03</v>
      </c>
      <c r="AN15" s="429">
        <f>AT_!FF15</f>
        <v>1.3000000000000001E-2</v>
      </c>
      <c r="AO15" s="425">
        <f>IF(AT_!FG15= "","",(AT_!FG15*1.2143))</f>
        <v>30.970721499999993</v>
      </c>
      <c r="AP15" s="425">
        <f>AT_!FH15</f>
        <v>40.015000000000001</v>
      </c>
      <c r="AQ15" s="429">
        <f>AT_!FS15</f>
        <v>0.72</v>
      </c>
      <c r="AR15" s="429">
        <f>AT_!FT15</f>
        <v>4.55</v>
      </c>
      <c r="AS15" s="425">
        <f>IF(AT_!FU15= "","",(AT_!FU15*1.2143))</f>
        <v>8.3786699999999996</v>
      </c>
      <c r="AT15" s="425">
        <f>AT_!FV15</f>
        <v>8.6</v>
      </c>
      <c r="AU15" s="425">
        <f>IF(AT_!BO15="","",AT_!BO15)</f>
        <v>5.08</v>
      </c>
      <c r="AV15" s="424">
        <f>IF(AT_!BR15="","",AT_!BR15)</f>
        <v>130</v>
      </c>
      <c r="AW15" s="3"/>
      <c r="AX15" s="432">
        <f>IF((SUM(AT_!O15,AT_!P15))=0,"",ROUND(IF(ISNUMBER(AT_!O15),AT_!O15,AT_!$O$42)*0.6+IF(ISNUMBER(AT_!P15),AT_!P15,AT_!$P$42)*0.4,-1))</f>
        <v>3940</v>
      </c>
      <c r="AY15" s="432">
        <f>IF((SUM(AT_!M15,AT_!N15))=0,"",ROUND((IF(ISNUMBER(AT_!M15),AT_!M15,AT_!$M$42)*0.6)+(IF(ISNUMBER(AT_!N15),AT_!N15,AT_!$N$42)*0.4),-1))</f>
        <v>2860</v>
      </c>
      <c r="AZ15" s="424">
        <f>PT_!AA15</f>
        <v>360</v>
      </c>
      <c r="BA15" s="433">
        <f>AT_!CK15</f>
        <v>59</v>
      </c>
      <c r="BB15" s="2635">
        <f ca="1">IF(E15="","",ROUND((PT_!BM15*IF(ISNUMBER(AT_!Q15),AT_!Q15,AT_!$Q$42)+IF(ISNUMBER(AT_!S15),AT_!S15,AT_!$S$42)*PT_!BN15)*8.34,0))</f>
        <v>93815</v>
      </c>
      <c r="BC15" s="373"/>
      <c r="BD15" s="3"/>
      <c r="BE15" s="3"/>
      <c r="BF15" s="3"/>
      <c r="BG15" s="3"/>
      <c r="BH15" s="373"/>
      <c r="BI15" s="377" t="s">
        <v>1059</v>
      </c>
      <c r="BJ15" s="377" t="s">
        <v>1085</v>
      </c>
      <c r="BK15" s="462">
        <f>+AT_!DZ42*1000</f>
        <v>0</v>
      </c>
      <c r="BL15" s="377" t="s">
        <v>1094</v>
      </c>
      <c r="BM15" s="377"/>
      <c r="BN15" s="377"/>
      <c r="BO15" s="377" t="s">
        <v>1396</v>
      </c>
      <c r="BP15" s="370"/>
      <c r="BQ15" s="2629"/>
      <c r="BR15" s="373"/>
      <c r="BS15" s="289" t="s">
        <v>1061</v>
      </c>
      <c r="BT15" s="289" t="s">
        <v>1107</v>
      </c>
      <c r="BU15" s="372" t="s">
        <v>96</v>
      </c>
      <c r="BV15" s="289"/>
      <c r="BW15" s="373" t="s">
        <v>97</v>
      </c>
      <c r="BX15" s="289"/>
      <c r="BY15" s="289"/>
      <c r="BZ15" s="289"/>
      <c r="CA15" s="289"/>
      <c r="CB15" s="189" t="s">
        <v>105</v>
      </c>
      <c r="CC15" s="189" t="s">
        <v>122</v>
      </c>
      <c r="CD15" s="235">
        <f t="shared" si="32"/>
        <v>42374</v>
      </c>
      <c r="CE15" s="236">
        <f t="shared" ca="1" si="6"/>
        <v>108111.42000000001</v>
      </c>
      <c r="CF15" s="237">
        <f t="shared" ca="1" si="7"/>
        <v>5079.0599999999995</v>
      </c>
      <c r="CG15" s="238">
        <f t="shared" ca="1" si="8"/>
        <v>94325.400000000009</v>
      </c>
      <c r="CH15" s="239">
        <f t="shared" ca="1" si="9"/>
        <v>11609.28</v>
      </c>
      <c r="CI15" s="240">
        <f t="shared" ca="1" si="10"/>
        <v>108111.42000000001</v>
      </c>
      <c r="CJ15" s="241">
        <f t="shared" ca="1" si="11"/>
        <v>5079.0599999999995</v>
      </c>
      <c r="CK15" s="241">
        <f t="shared" ca="1" si="12"/>
        <v>94325.400000000009</v>
      </c>
      <c r="CL15" s="242">
        <f t="shared" ca="1" si="13"/>
        <v>11609.28</v>
      </c>
      <c r="CM15" s="243">
        <f t="shared" ca="1" si="42"/>
        <v>149</v>
      </c>
      <c r="CN15" s="244">
        <f t="shared" ca="1" si="43"/>
        <v>7</v>
      </c>
      <c r="CO15" s="244">
        <f t="shared" ca="1" si="44"/>
        <v>130</v>
      </c>
      <c r="CP15" s="244">
        <f t="shared" ref="CP15:CP18" ca="1" si="45">IF($E15&gt;0,IF($G15&gt;$C$44," ",IF(CELL("type",U15:U15)="v",U15,IF(CELL("type",U15:U15)="L",U$44,""))),"")</f>
        <v>16</v>
      </c>
      <c r="CQ15" s="1627">
        <f t="shared" ref="CQ15:CS16" ca="1" si="46">IF($E15&gt;0,IF(SUM($AM15:$AP15)&gt;0,IF(CELL("type",AM15:AM15)="V",AM15,IF(CELL("type",AM15:AM15)="L",CQ$8,"")),""),"")</f>
        <v>0.03</v>
      </c>
      <c r="CR15" s="1628">
        <f t="shared" ca="1" si="46"/>
        <v>1.3000000000000001E-2</v>
      </c>
      <c r="CS15" s="1629">
        <f t="shared" ca="1" si="46"/>
        <v>30.970721499999993</v>
      </c>
      <c r="CT15" s="1629">
        <f t="shared" ref="CT15:CT23" ca="1" si="47">IF($E15&gt;0,IF(SUM($AM15:$AP15)&gt;0,IF(CELL("type",AP15:AP15)="V",AP15,IF(CELL("type",AP15:AP15)="L",CT$8,"")),""),"")</f>
        <v>40.015000000000001</v>
      </c>
      <c r="CU15" s="248">
        <f t="shared" ref="CU15:CU26" ca="1" si="48">IF($E15&gt;0,IF(SUM($AQ15:$AT15)&gt;0,IF(CELL("type",AQ15:AQ15)="V",AQ15,IF(CELL("type",AQ15:AQ15)="L",CU$8,"")),""),"")</f>
        <v>0.72</v>
      </c>
      <c r="CV15" s="246">
        <f t="shared" ref="CV15:CV26" ca="1" si="49">IF($E15&gt;0,IF(SUM($AQ15:$AT15)&gt;0,IF(CELL("type",AR15:AR15)="V",AR15,IF(CELL("type",AR15:AR15)="L",CV$8,"")),""),"")</f>
        <v>4.55</v>
      </c>
      <c r="CW15" s="247">
        <f t="shared" ref="CW15:CW26" ca="1" si="50">IF($E15&gt;0,IF(SUM($AQ15:$AT15)&gt;0,IF(CELL("type",AS15:AS15)="V",AS15,IF(CELL("type",AS15:AS15)="L",CW$8,"")),""),"")</f>
        <v>8.3786699999999996</v>
      </c>
      <c r="CX15" s="247">
        <f t="shared" ref="CX15:CX26" ca="1" si="51">IF($E15&gt;0,IF(SUM($AQ15:$AT15)&gt;0,IF(CELL("type",AT15:AT15)="V",AT15,IF(CELL("type",AT15:AT15)="L",CX$8,"")),""),"")</f>
        <v>8.6</v>
      </c>
      <c r="CY15" s="249">
        <f t="shared" ca="1" si="33"/>
        <v>40.1</v>
      </c>
      <c r="CZ15" s="249">
        <f t="shared" ca="1" si="34"/>
        <v>13.9</v>
      </c>
      <c r="DA15" s="250">
        <f t="shared" ca="1" si="35"/>
        <v>29095.758000000002</v>
      </c>
      <c r="DB15" s="250">
        <f t="shared" ca="1" si="36"/>
        <v>10085.562</v>
      </c>
      <c r="DC15" s="251">
        <f t="shared" si="20"/>
        <v>42374</v>
      </c>
      <c r="DD15" s="1410"/>
      <c r="DE15" s="381"/>
      <c r="DF15" s="454">
        <f>DG15-6</f>
        <v>42386</v>
      </c>
      <c r="DG15" s="1208">
        <f>VLOOKUP(DG$10,$DS$32:$DU$38,3,0)</f>
        <v>42392</v>
      </c>
      <c r="DH15" s="455">
        <f ca="1">VLOOKUP($DG15,$DU$11:$EF$41,2)</f>
        <v>91</v>
      </c>
      <c r="DI15" s="456">
        <f ca="1">VLOOKUP($DG15,$DU$11:$EF$41,3)</f>
        <v>95</v>
      </c>
      <c r="DJ15" s="456">
        <f ca="1">VLOOKUP($DG15,$DU$11:$EF$41,4)</f>
        <v>138</v>
      </c>
      <c r="DK15" s="457">
        <f ca="1">VLOOKUP($DG15,$DU$11:$EF$41,6)</f>
        <v>27</v>
      </c>
      <c r="DL15" s="457">
        <f ca="1">VLOOKUP($DG15,$DU$11:$EF$41,8)</f>
        <v>142</v>
      </c>
      <c r="DM15" s="457">
        <f ca="1">VLOOKUP($DG15,$DU$11:$EF$41,10)</f>
        <v>11</v>
      </c>
      <c r="DN15" s="456">
        <f ca="1">VLOOKUP($DG15,$DU$11:$EF$41,12)</f>
        <v>25</v>
      </c>
      <c r="DO15" s="458">
        <f ca="1">VLOOKUP($DG15,$DU$11:$EF$41,5)</f>
        <v>109900</v>
      </c>
      <c r="DP15" s="459">
        <f ca="1">VLOOKUP($DG15,$DU$11:$EF$41,7)</f>
        <v>23900</v>
      </c>
      <c r="DQ15" s="459">
        <f ca="1">VLOOKUP($DG15,$DU$11:$EF$41,9)</f>
        <v>111000</v>
      </c>
      <c r="DR15" s="459">
        <f ca="1">VLOOKUP($DG15,$DU$11:$EF$41,11)</f>
        <v>9300</v>
      </c>
      <c r="DS15" s="417">
        <f t="shared" si="37"/>
        <v>3</v>
      </c>
      <c r="DT15" s="439">
        <f t="shared" si="38"/>
        <v>42374</v>
      </c>
      <c r="DU15" s="440">
        <f t="shared" si="21"/>
        <v>42374</v>
      </c>
      <c r="DV15" s="403" t="str">
        <f t="shared" si="22"/>
        <v/>
      </c>
      <c r="DW15" s="403" t="str">
        <f t="shared" si="22"/>
        <v/>
      </c>
      <c r="DX15" s="403" t="str">
        <f t="shared" si="22"/>
        <v/>
      </c>
      <c r="DY15" s="403" t="str">
        <f t="shared" si="39"/>
        <v/>
      </c>
      <c r="DZ15" s="403" t="str">
        <f t="shared" si="40"/>
        <v/>
      </c>
      <c r="EA15" s="403" t="str">
        <f t="shared" si="23"/>
        <v/>
      </c>
      <c r="EB15" s="403" t="str">
        <f t="shared" si="24"/>
        <v/>
      </c>
      <c r="EC15" s="403" t="str">
        <f t="shared" si="25"/>
        <v/>
      </c>
      <c r="ED15" s="403" t="str">
        <f t="shared" si="26"/>
        <v/>
      </c>
      <c r="EE15" s="403" t="str">
        <f t="shared" si="27"/>
        <v/>
      </c>
      <c r="EF15" s="403" t="str">
        <f t="shared" si="28"/>
        <v/>
      </c>
      <c r="EG15" s="404"/>
      <c r="EH15" s="398"/>
      <c r="EI15" s="463" t="s">
        <v>947</v>
      </c>
      <c r="EJ15" s="464"/>
      <c r="EK15" s="465"/>
      <c r="EL15" s="463" t="s">
        <v>200</v>
      </c>
      <c r="EM15" s="464"/>
      <c r="EN15" s="466"/>
      <c r="EO15" s="367"/>
      <c r="EP15" s="367"/>
      <c r="EQ15" s="467"/>
      <c r="ER15" s="467"/>
      <c r="ES15" s="467"/>
      <c r="ET15" s="467"/>
      <c r="EU15" s="467"/>
      <c r="EV15" s="289"/>
      <c r="EW15" s="189"/>
      <c r="EX15" s="442">
        <f t="shared" si="29"/>
        <v>0</v>
      </c>
      <c r="EY15" s="408"/>
      <c r="EZ15" s="289"/>
      <c r="FA15" s="289"/>
      <c r="FB15" s="289"/>
      <c r="FC15" s="289"/>
      <c r="FD15" s="289"/>
      <c r="FE15" s="289"/>
      <c r="FF15" s="289"/>
      <c r="FG15" s="289"/>
      <c r="FH15" s="289"/>
      <c r="FI15" s="289"/>
      <c r="FJ15" s="289"/>
      <c r="FK15" s="289"/>
      <c r="FL15" s="289"/>
      <c r="FM15" s="289"/>
      <c r="FN15" s="289"/>
      <c r="FO15" s="289"/>
      <c r="FP15" s="289"/>
      <c r="FQ15" s="289"/>
      <c r="FR15" s="289"/>
      <c r="FS15" s="289"/>
      <c r="FT15" s="289"/>
      <c r="FU15" s="289"/>
      <c r="FV15" s="289"/>
      <c r="FW15" s="289"/>
      <c r="FX15" s="289"/>
      <c r="FY15" s="289"/>
      <c r="FZ15" s="289"/>
      <c r="GA15" s="289"/>
      <c r="GB15" s="289"/>
      <c r="GC15" s="289"/>
      <c r="GD15" s="289"/>
      <c r="GE15" s="289"/>
      <c r="GF15" s="289"/>
      <c r="GG15" s="289"/>
      <c r="GH15" s="289"/>
      <c r="GI15" s="289"/>
      <c r="GJ15" s="289"/>
      <c r="GK15" s="289"/>
      <c r="GL15" s="289"/>
      <c r="GM15" s="289"/>
      <c r="GN15" s="289"/>
      <c r="GO15" s="289"/>
      <c r="GP15" s="289"/>
      <c r="GQ15" s="289"/>
      <c r="GR15" s="289"/>
      <c r="GS15" s="289"/>
      <c r="GT15" s="289"/>
      <c r="GU15" s="289"/>
      <c r="GV15" s="289"/>
      <c r="GW15" s="289"/>
      <c r="GX15" s="289"/>
      <c r="GY15" s="289"/>
      <c r="GZ15" s="289"/>
      <c r="HA15" s="289"/>
      <c r="HB15" s="289"/>
      <c r="HC15" s="289"/>
      <c r="HD15" s="289"/>
      <c r="HE15" s="289"/>
      <c r="HF15" s="289"/>
      <c r="HG15" s="289"/>
      <c r="HH15" s="289"/>
      <c r="HI15" s="289"/>
      <c r="HJ15" s="289"/>
      <c r="HK15" s="289"/>
      <c r="HL15" s="289"/>
      <c r="HM15" s="289"/>
      <c r="HN15" s="289"/>
      <c r="HO15" s="289"/>
      <c r="HP15" s="289"/>
      <c r="HQ15" s="289"/>
      <c r="HR15" s="289"/>
      <c r="HS15" s="289"/>
      <c r="HT15" s="289"/>
      <c r="HU15" s="289"/>
      <c r="HV15" s="289"/>
      <c r="HW15" s="289"/>
      <c r="HX15" s="289"/>
      <c r="HY15" s="289"/>
      <c r="HZ15" s="289"/>
      <c r="IA15" s="289"/>
      <c r="IB15" s="289"/>
      <c r="IC15" s="289"/>
      <c r="ID15" s="289"/>
      <c r="IE15" s="289"/>
      <c r="IF15" s="289"/>
      <c r="IG15" s="289"/>
      <c r="IH15" s="289"/>
      <c r="II15" s="289"/>
      <c r="IJ15" s="289"/>
      <c r="IK15" s="289"/>
      <c r="IL15" s="289"/>
      <c r="IM15" s="289"/>
      <c r="IN15" s="289"/>
      <c r="IO15" s="289"/>
      <c r="IP15" s="289"/>
      <c r="IQ15" s="289"/>
      <c r="IR15" s="289"/>
      <c r="IS15" s="289"/>
      <c r="IT15" s="289"/>
      <c r="IU15" s="289"/>
      <c r="IV15" s="289"/>
      <c r="IW15" s="289"/>
      <c r="IX15" s="289"/>
    </row>
    <row r="16" spans="1:258" s="21" customFormat="1" ht="16.5" customHeight="1" thickBot="1">
      <c r="A16" s="461" t="s">
        <v>922</v>
      </c>
      <c r="B16" s="289"/>
      <c r="C16" s="1251">
        <f t="shared" si="30"/>
        <v>42375</v>
      </c>
      <c r="D16" s="443">
        <f t="shared" si="31"/>
        <v>42375</v>
      </c>
      <c r="E16" s="424">
        <f ca="1">IF(D16&lt;TODAY(),IF(AT_!CG16="","",+AT_!CG16),"")</f>
        <v>88</v>
      </c>
      <c r="F16" s="424">
        <f>IF(AT_!CH16="","",+AT_!CH16)</f>
        <v>158</v>
      </c>
      <c r="G16" s="424">
        <f>IF(AT_!CF16="","",+AT_!CF16)</f>
        <v>88</v>
      </c>
      <c r="H16" s="424">
        <f>IF(AT_!CI16="","",+AT_!CI16)</f>
        <v>40</v>
      </c>
      <c r="I16" s="424">
        <f>IF(AT_!BS16="","",+AT_!BS16)</f>
        <v>19</v>
      </c>
      <c r="J16" s="425">
        <f>IF(AT_!BU16="","",+AT_!BU16)</f>
        <v>6.6</v>
      </c>
      <c r="K16" s="425">
        <f>IF(AT_!BT16="","",+AT_!BT16)</f>
        <v>7.2</v>
      </c>
      <c r="L16" s="425">
        <f>IF(AT_!BV16="","",+AT_!BV16)</f>
        <v>6.9</v>
      </c>
      <c r="M16" s="425">
        <f>IF(AT_!BX16="","",+AT_!BX16)</f>
        <v>6.5</v>
      </c>
      <c r="N16" s="425">
        <f>IF(AT_!BW16="","",+AT_!BW16)</f>
        <v>6.7</v>
      </c>
      <c r="O16" s="425">
        <f>IF(AT_!BY16="","",+AT_!BY16)</f>
        <v>6.6</v>
      </c>
      <c r="P16" s="425"/>
      <c r="Q16" s="425"/>
      <c r="R16" s="424">
        <f>IF(AT_!AC16="","",+AT_!AC16)</f>
        <v>176</v>
      </c>
      <c r="S16" s="424">
        <f>IF(AT_!$AF16="","",AT_!$AF16)</f>
        <v>3</v>
      </c>
      <c r="T16" s="424">
        <f>IF(AT_!G16="","",+AT_!G16)</f>
        <v>219</v>
      </c>
      <c r="U16" s="2660">
        <f>IF(AT_!$K16="","",AT_!$K16)</f>
        <v>4</v>
      </c>
      <c r="V16" s="444" t="str">
        <f t="shared" si="41"/>
        <v/>
      </c>
      <c r="W16" s="427">
        <f t="shared" si="3"/>
        <v>42375</v>
      </c>
      <c r="X16" s="428">
        <f t="shared" si="3"/>
        <v>42375</v>
      </c>
      <c r="Y16" s="429">
        <f>+AT_!FJ16</f>
        <v>4.9224999999999994</v>
      </c>
      <c r="Z16" s="429">
        <f>AT_!FX16</f>
        <v>2.75</v>
      </c>
      <c r="AA16" s="429">
        <f>+AT_!FI16</f>
        <v>2.8559999999999999</v>
      </c>
      <c r="AB16" s="429">
        <f>AT_!FW16</f>
        <v>2.56</v>
      </c>
      <c r="AC16" s="429">
        <f>IF(AT_!DW16="","",IF(+AT_!DW16&gt;1,ROUND(+AT_!DW16,1),+AT_!DW16))</f>
        <v>0.46</v>
      </c>
      <c r="AD16" s="430" t="str">
        <f>IF(AT_!CA16="","",+AT_!CA16)</f>
        <v/>
      </c>
      <c r="AE16" s="431">
        <f>IF(AT_!CB16="","",AT_!CB16)</f>
        <v>27</v>
      </c>
      <c r="AF16" s="2609"/>
      <c r="AG16" s="2610"/>
      <c r="AH16" s="2202"/>
      <c r="AI16" s="2681" t="str">
        <f>IF(AT_!$EN16="","",AT_!$EN16)</f>
        <v>Clear</v>
      </c>
      <c r="AJ16" s="373"/>
      <c r="AK16" s="427">
        <f t="shared" si="4"/>
        <v>42375</v>
      </c>
      <c r="AL16" s="428">
        <f t="shared" si="5"/>
        <v>42375</v>
      </c>
      <c r="AM16" s="429">
        <f>AT_!FE16</f>
        <v>0.03</v>
      </c>
      <c r="AN16" s="429">
        <f>AT_!FF16</f>
        <v>5.2999999999999999E-2</v>
      </c>
      <c r="AO16" s="425">
        <f>IF(AT_!FG16= "","",(AT_!FG16*1.2143))</f>
        <v>31.760016499999999</v>
      </c>
      <c r="AP16" s="425">
        <f>AT_!FH16</f>
        <v>38.290000000000006</v>
      </c>
      <c r="AQ16" s="429">
        <f>AT_!FS16</f>
        <v>0.67</v>
      </c>
      <c r="AR16" s="429">
        <f>AT_!FT16</f>
        <v>4.43</v>
      </c>
      <c r="AS16" s="425">
        <f>IF(AT_!FU16= "","",(AT_!FU16*1.2143))</f>
        <v>8.6215299999999999</v>
      </c>
      <c r="AT16" s="425">
        <f>AT_!FV16</f>
        <v>8.6999999999999993</v>
      </c>
      <c r="AU16" s="425">
        <f>IF(AT_!BO16="","",AT_!BO16)</f>
        <v>5.73</v>
      </c>
      <c r="AV16" s="424" t="str">
        <f>IF(AT_!BR16="","",AT_!BR16)</f>
        <v/>
      </c>
      <c r="AW16" s="3"/>
      <c r="AX16" s="432">
        <f>IF((SUM(AT_!O16,AT_!P16))=0,"",ROUND(IF(ISNUMBER(AT_!O16),AT_!O16,AT_!$O$42)*0.6+IF(ISNUMBER(AT_!P16),AT_!P16,AT_!$P$42)*0.4,-1))</f>
        <v>3840</v>
      </c>
      <c r="AY16" s="432">
        <f>IF((SUM(AT_!M16,AT_!N16))=0,"",ROUND((IF(ISNUMBER(AT_!M16),AT_!M16,AT_!$M$42)*0.6)+(IF(ISNUMBER(AT_!N16),AT_!N16,AT_!$N$42)*0.4),-1))</f>
        <v>2980</v>
      </c>
      <c r="AZ16" s="424">
        <f>PT_!AA16</f>
        <v>350</v>
      </c>
      <c r="BA16" s="433">
        <f>AT_!CK16</f>
        <v>63</v>
      </c>
      <c r="BB16" s="2635">
        <f ca="1">IF(E16="","",ROUND((PT_!BM16*IF(ISNUMBER(AT_!Q16),AT_!Q16,AT_!$Q$42)+IF(ISNUMBER(AT_!S16),AT_!S16,AT_!$S$42)*PT_!BN16)*8.34,0))</f>
        <v>110505</v>
      </c>
      <c r="BC16" s="373"/>
      <c r="BD16" s="3"/>
      <c r="BE16" s="3"/>
      <c r="BF16" s="3"/>
      <c r="BG16" s="3"/>
      <c r="BH16" s="373"/>
      <c r="BI16" s="377" t="s">
        <v>1060</v>
      </c>
      <c r="BJ16" s="377" t="s">
        <v>1086</v>
      </c>
      <c r="BK16" s="396">
        <v>0</v>
      </c>
      <c r="BL16" s="377" t="s">
        <v>1094</v>
      </c>
      <c r="BM16" s="377"/>
      <c r="BN16" s="377"/>
      <c r="BO16" s="369"/>
      <c r="BP16" s="370"/>
      <c r="BQ16" s="2629"/>
      <c r="BR16" s="373"/>
      <c r="BS16" s="289"/>
      <c r="BT16" s="289" t="s">
        <v>54</v>
      </c>
      <c r="BU16" s="369"/>
      <c r="BV16" s="289"/>
      <c r="BW16" s="373"/>
      <c r="BX16" s="289"/>
      <c r="BY16" s="289"/>
      <c r="BZ16" s="289"/>
      <c r="CA16" s="289"/>
      <c r="CB16" s="189" t="s">
        <v>106</v>
      </c>
      <c r="CC16" s="189" t="s">
        <v>123</v>
      </c>
      <c r="CD16" s="235">
        <f t="shared" si="32"/>
        <v>42375</v>
      </c>
      <c r="CE16" s="236">
        <f t="shared" ca="1" si="6"/>
        <v>129169.92</v>
      </c>
      <c r="CF16" s="237">
        <f t="shared" ca="1" si="7"/>
        <v>2201.7599999999998</v>
      </c>
      <c r="CG16" s="238">
        <f t="shared" ca="1" si="8"/>
        <v>160728.48000000001</v>
      </c>
      <c r="CH16" s="239">
        <f t="shared" ca="1" si="9"/>
        <v>2935.68</v>
      </c>
      <c r="CI16" s="240">
        <f t="shared" ca="1" si="10"/>
        <v>129169.92</v>
      </c>
      <c r="CJ16" s="241">
        <f t="shared" ca="1" si="11"/>
        <v>2201.7599999999998</v>
      </c>
      <c r="CK16" s="241">
        <f t="shared" ca="1" si="12"/>
        <v>160728.48000000001</v>
      </c>
      <c r="CL16" s="242">
        <f t="shared" ca="1" si="13"/>
        <v>2935.68</v>
      </c>
      <c r="CM16" s="243">
        <f t="shared" ca="1" si="42"/>
        <v>176</v>
      </c>
      <c r="CN16" s="244">
        <f t="shared" ca="1" si="43"/>
        <v>3</v>
      </c>
      <c r="CO16" s="244">
        <f t="shared" ca="1" si="44"/>
        <v>219</v>
      </c>
      <c r="CP16" s="244">
        <f t="shared" ca="1" si="45"/>
        <v>4</v>
      </c>
      <c r="CQ16" s="1627">
        <f t="shared" ca="1" si="46"/>
        <v>0.03</v>
      </c>
      <c r="CR16" s="1628">
        <f t="shared" ca="1" si="46"/>
        <v>5.2999999999999999E-2</v>
      </c>
      <c r="CS16" s="1629">
        <f t="shared" ca="1" si="46"/>
        <v>31.760016499999999</v>
      </c>
      <c r="CT16" s="1629">
        <f t="shared" ca="1" si="47"/>
        <v>38.290000000000006</v>
      </c>
      <c r="CU16" s="248">
        <f t="shared" ca="1" si="48"/>
        <v>0.67</v>
      </c>
      <c r="CV16" s="246">
        <f t="shared" ca="1" si="49"/>
        <v>4.43</v>
      </c>
      <c r="CW16" s="247">
        <f t="shared" ca="1" si="50"/>
        <v>8.6215299999999999</v>
      </c>
      <c r="CX16" s="247">
        <f t="shared" ca="1" si="51"/>
        <v>8.6999999999999993</v>
      </c>
      <c r="CY16" s="249">
        <f t="shared" ca="1" si="33"/>
        <v>38.4</v>
      </c>
      <c r="CZ16" s="249">
        <f t="shared" ca="1" si="34"/>
        <v>13.8</v>
      </c>
      <c r="DA16" s="250">
        <f t="shared" ca="1" si="35"/>
        <v>28182.527999999998</v>
      </c>
      <c r="DB16" s="250">
        <f t="shared" ca="1" si="36"/>
        <v>10128.096</v>
      </c>
      <c r="DC16" s="251">
        <f t="shared" si="20"/>
        <v>42375</v>
      </c>
      <c r="DD16" s="1410"/>
      <c r="DE16" s="381"/>
      <c r="DF16" s="454">
        <f>IF(DG16=" "," ",+DG16-6)</f>
        <v>42393</v>
      </c>
      <c r="DG16" s="1208">
        <f>IF(OR(OR((DS39=7),(DS40=7)),(DS41=7)),VLOOKUP(DG$10,$DS$39:$DU$41,3,0)," ")</f>
        <v>42399</v>
      </c>
      <c r="DH16" s="455">
        <f ca="1">IF(DG16=" ","",VLOOKUP($DG16,$DU$11:$EF$41,2))</f>
        <v>99</v>
      </c>
      <c r="DI16" s="456">
        <f ca="1">IF(DG16=" ","",VLOOKUP($DG16,$DU$11:$EF$41,3))</f>
        <v>119</v>
      </c>
      <c r="DJ16" s="456">
        <f ca="1">IF(DG16=" ","",VLOOKUP($DG16,$DU$11:$EF$41,4))</f>
        <v>146</v>
      </c>
      <c r="DK16" s="457">
        <f ca="1">IF(DG16=" ","",VLOOKUP($DG16,$DU$11:$EF$41,6))</f>
        <v>12</v>
      </c>
      <c r="DL16" s="457">
        <f ca="1">IF(DG16=" ","",VLOOKUP($DG16,$DU$11:$EF$41,8))</f>
        <v>131</v>
      </c>
      <c r="DM16" s="457">
        <f ca="1">IF(DG16=" ","",VLOOKUP($DG16,$DU$11:$EF$41,10))</f>
        <v>8</v>
      </c>
      <c r="DN16" s="456">
        <f ca="1">IF(DG16=" ","",VLOOKUP($DG16,$DU$11:$EF$41,12))</f>
        <v>99</v>
      </c>
      <c r="DO16" s="458">
        <f ca="1">IF(DG16=" ","",VLOOKUP($DG16,$DU$11:$EF$41,5))</f>
        <v>149200</v>
      </c>
      <c r="DP16" s="459">
        <f ca="1">IF(DG16=" ","",VLOOKUP($DG16,$DU$11:$EF$41,7))</f>
        <v>12800</v>
      </c>
      <c r="DQ16" s="459">
        <f ca="1">IF(DG16=" ","",VLOOKUP($DG16,$DU$11:$EF$41,9))</f>
        <v>132500</v>
      </c>
      <c r="DR16" s="459">
        <f ca="1">IF(DG16=" ","",VLOOKUP($DG16,$DU$11:$EF$41,11))</f>
        <v>8400</v>
      </c>
      <c r="DS16" s="417">
        <f t="shared" si="37"/>
        <v>4</v>
      </c>
      <c r="DT16" s="439">
        <f t="shared" si="38"/>
        <v>42375</v>
      </c>
      <c r="DU16" s="440">
        <f t="shared" si="21"/>
        <v>42375</v>
      </c>
      <c r="DV16" s="403" t="str">
        <f>IF($DS16=7,ROUND(AVERAGE(DV53:DV59),0),"")</f>
        <v/>
      </c>
      <c r="DW16" s="403" t="str">
        <f t="shared" si="22"/>
        <v/>
      </c>
      <c r="DX16" s="403" t="str">
        <f t="shared" si="22"/>
        <v/>
      </c>
      <c r="DY16" s="403" t="str">
        <f t="shared" si="39"/>
        <v/>
      </c>
      <c r="DZ16" s="403" t="str">
        <f t="shared" si="40"/>
        <v/>
      </c>
      <c r="EA16" s="403" t="str">
        <f t="shared" si="23"/>
        <v/>
      </c>
      <c r="EB16" s="403" t="str">
        <f t="shared" si="24"/>
        <v/>
      </c>
      <c r="EC16" s="403" t="str">
        <f t="shared" si="25"/>
        <v/>
      </c>
      <c r="ED16" s="403" t="str">
        <f t="shared" si="26"/>
        <v/>
      </c>
      <c r="EE16" s="403" t="str">
        <f t="shared" si="27"/>
        <v/>
      </c>
      <c r="EF16" s="403" t="str">
        <f t="shared" si="28"/>
        <v/>
      </c>
      <c r="EG16" s="404"/>
      <c r="EH16" s="398"/>
      <c r="EI16" s="468" t="s">
        <v>942</v>
      </c>
      <c r="EJ16" s="469"/>
      <c r="EK16" s="470"/>
      <c r="EL16" s="471">
        <f>I5</f>
        <v>42370</v>
      </c>
      <c r="EM16" s="421">
        <f>D11:D11</f>
        <v>42370</v>
      </c>
      <c r="EN16" s="466"/>
      <c r="EO16" s="467"/>
      <c r="EP16" s="467"/>
      <c r="EQ16" s="467"/>
      <c r="ER16" s="467"/>
      <c r="ES16" s="467"/>
      <c r="ET16" s="467"/>
      <c r="EU16" s="467"/>
      <c r="EV16" s="289"/>
      <c r="EW16" s="189"/>
      <c r="EX16" s="442">
        <f t="shared" si="29"/>
        <v>0</v>
      </c>
      <c r="EY16" s="408"/>
      <c r="EZ16" s="289"/>
      <c r="FA16" s="289"/>
      <c r="FB16" s="289"/>
      <c r="FC16" s="289"/>
      <c r="FD16" s="289"/>
      <c r="FE16" s="289"/>
      <c r="FF16" s="289"/>
      <c r="FG16" s="289"/>
      <c r="FH16" s="289"/>
      <c r="FI16" s="289"/>
      <c r="FJ16" s="289"/>
      <c r="FK16" s="289"/>
      <c r="FL16" s="289"/>
      <c r="FM16" s="289"/>
      <c r="FN16" s="289"/>
      <c r="FO16" s="289"/>
      <c r="FP16" s="289"/>
      <c r="FQ16" s="289"/>
      <c r="FR16" s="289"/>
      <c r="FS16" s="289"/>
      <c r="FT16" s="289"/>
      <c r="FU16" s="289"/>
      <c r="FV16" s="289"/>
      <c r="FW16" s="289"/>
      <c r="FX16" s="289"/>
      <c r="FY16" s="289"/>
      <c r="FZ16" s="289"/>
      <c r="GA16" s="289"/>
      <c r="GB16" s="289"/>
      <c r="GC16" s="289"/>
      <c r="GD16" s="289"/>
      <c r="GE16" s="289"/>
      <c r="GF16" s="289"/>
      <c r="GG16" s="289"/>
      <c r="GH16" s="289"/>
      <c r="GI16" s="289"/>
      <c r="GJ16" s="289"/>
      <c r="GK16" s="289"/>
      <c r="GL16" s="289"/>
      <c r="GM16" s="289"/>
      <c r="GN16" s="289"/>
      <c r="GO16" s="289"/>
      <c r="GP16" s="289"/>
      <c r="GQ16" s="289"/>
      <c r="GR16" s="289"/>
      <c r="GS16" s="289"/>
      <c r="GT16" s="289"/>
      <c r="GU16" s="289"/>
      <c r="GV16" s="289"/>
      <c r="GW16" s="289"/>
      <c r="GX16" s="289"/>
      <c r="GY16" s="289"/>
      <c r="GZ16" s="289"/>
      <c r="HA16" s="289"/>
      <c r="HB16" s="289"/>
      <c r="HC16" s="289"/>
      <c r="HD16" s="289"/>
      <c r="HE16" s="289"/>
      <c r="HF16" s="289"/>
      <c r="HG16" s="289"/>
      <c r="HH16" s="289"/>
      <c r="HI16" s="289"/>
      <c r="HJ16" s="289"/>
      <c r="HK16" s="289"/>
      <c r="HL16" s="289"/>
      <c r="HM16" s="289"/>
      <c r="HN16" s="289"/>
      <c r="HO16" s="289"/>
      <c r="HP16" s="289"/>
      <c r="HQ16" s="289"/>
      <c r="HR16" s="289"/>
      <c r="HS16" s="289"/>
      <c r="HT16" s="289"/>
      <c r="HU16" s="289"/>
      <c r="HV16" s="289"/>
      <c r="HW16" s="289"/>
      <c r="HX16" s="289"/>
      <c r="HY16" s="289"/>
      <c r="HZ16" s="289"/>
      <c r="IA16" s="289"/>
      <c r="IB16" s="289"/>
      <c r="IC16" s="289"/>
      <c r="ID16" s="289"/>
      <c r="IE16" s="289"/>
      <c r="IF16" s="289"/>
      <c r="IG16" s="289"/>
      <c r="IH16" s="289"/>
      <c r="II16" s="289"/>
      <c r="IJ16" s="289"/>
      <c r="IK16" s="289"/>
      <c r="IL16" s="289"/>
      <c r="IM16" s="289"/>
      <c r="IN16" s="289"/>
      <c r="IO16" s="289"/>
      <c r="IP16" s="289"/>
      <c r="IQ16" s="289"/>
      <c r="IR16" s="289"/>
      <c r="IS16" s="289"/>
      <c r="IT16" s="289"/>
      <c r="IU16" s="289"/>
      <c r="IV16" s="289"/>
      <c r="IW16" s="289"/>
      <c r="IX16" s="289"/>
    </row>
    <row r="17" spans="1:258" s="21" customFormat="1" ht="16.5" customHeight="1" thickBot="1">
      <c r="A17" s="1"/>
      <c r="B17" s="289"/>
      <c r="C17" s="1251">
        <f t="shared" si="30"/>
        <v>42376</v>
      </c>
      <c r="D17" s="443">
        <f t="shared" si="31"/>
        <v>42376</v>
      </c>
      <c r="E17" s="424">
        <f ca="1">IF(D17&lt;TODAY(),IF(AT_!CG17="","",+AT_!CG17),"")</f>
        <v>91</v>
      </c>
      <c r="F17" s="424">
        <f>IF(AT_!CH17="","",+AT_!CH17)</f>
        <v>109</v>
      </c>
      <c r="G17" s="424">
        <f>IF(AT_!CF17="","",+AT_!CF17)</f>
        <v>91</v>
      </c>
      <c r="H17" s="424">
        <f>IF(AT_!CI17="","",+AT_!CI17)</f>
        <v>54</v>
      </c>
      <c r="I17" s="424">
        <f>IF(AT_!BS17="","",+AT_!BS17)</f>
        <v>19</v>
      </c>
      <c r="J17" s="425">
        <f>IF(AT_!BU17="","",+AT_!BU17)</f>
        <v>6.6</v>
      </c>
      <c r="K17" s="425">
        <f>IF(AT_!BT17="","",+AT_!BT17)</f>
        <v>7.4</v>
      </c>
      <c r="L17" s="425">
        <f>IF(AT_!BV17="","",+AT_!BV17)</f>
        <v>6.8</v>
      </c>
      <c r="M17" s="425">
        <f>IF(AT_!BX17="","",+AT_!BX17)</f>
        <v>6.3</v>
      </c>
      <c r="N17" s="425">
        <f>IF(AT_!BW17="","",+AT_!BW17)</f>
        <v>6.6</v>
      </c>
      <c r="O17" s="425">
        <f>IF(AT_!BY17="","",+AT_!BY17)</f>
        <v>6.5</v>
      </c>
      <c r="P17" s="425"/>
      <c r="Q17" s="425"/>
      <c r="R17" s="424">
        <f>IF(AT_!AC17="","",+AT_!AC17)</f>
        <v>159</v>
      </c>
      <c r="S17" s="424">
        <f>IF(AT_!$AF17="","",AT_!$AF17)</f>
        <v>2</v>
      </c>
      <c r="T17" s="424">
        <f>IF(AT_!G17="","",+AT_!G17)</f>
        <v>151</v>
      </c>
      <c r="U17" s="2660">
        <f>IF(AT_!$K17="","",AT_!$K17)</f>
        <v>4</v>
      </c>
      <c r="V17" s="444" t="str">
        <f t="shared" si="41"/>
        <v/>
      </c>
      <c r="W17" s="427">
        <f t="shared" si="3"/>
        <v>42376</v>
      </c>
      <c r="X17" s="428">
        <f t="shared" si="3"/>
        <v>42376</v>
      </c>
      <c r="Y17" s="429" t="str">
        <f>+AT_!FJ17</f>
        <v/>
      </c>
      <c r="Z17" s="429" t="str">
        <f>AT_!FX17</f>
        <v/>
      </c>
      <c r="AA17" s="429" t="str">
        <f>+AT_!FI17</f>
        <v/>
      </c>
      <c r="AB17" s="429" t="str">
        <f>AT_!FW17</f>
        <v/>
      </c>
      <c r="AC17" s="429">
        <f>IF(AT_!DW17="","",IF(+AT_!DW17&gt;1,ROUND(+AT_!DW17,1),+AT_!DW17))</f>
        <v>0.49</v>
      </c>
      <c r="AD17" s="430" t="str">
        <f>IF(AT_!CA17="","",+AT_!CA17)</f>
        <v/>
      </c>
      <c r="AE17" s="431">
        <f>IF(AT_!CB17="","",AT_!CB17)</f>
        <v>54</v>
      </c>
      <c r="AF17" s="2609"/>
      <c r="AG17" s="2610"/>
      <c r="AH17" s="2064"/>
      <c r="AI17" s="2681" t="str">
        <f>IF(AT_!$EN17="","",AT_!$EN17)</f>
        <v>Clear</v>
      </c>
      <c r="AJ17" s="373"/>
      <c r="AK17" s="427">
        <f t="shared" si="4"/>
        <v>42376</v>
      </c>
      <c r="AL17" s="428">
        <f t="shared" si="5"/>
        <v>42376</v>
      </c>
      <c r="AM17" s="429">
        <f>AT_!FE17</f>
        <v>0.03</v>
      </c>
      <c r="AN17" s="429">
        <f>AT_!FF17</f>
        <v>5.2999999999999999E-2</v>
      </c>
      <c r="AO17" s="425">
        <f>IF(AT_!FG17= "","",(AT_!FG17*1.2143))</f>
        <v>30.885720499999991</v>
      </c>
      <c r="AP17" s="425">
        <f>AT_!FH17</f>
        <v>39.43</v>
      </c>
      <c r="AQ17" s="429">
        <f>AT_!FS17</f>
        <v>0.65</v>
      </c>
      <c r="AR17" s="429">
        <f>AT_!FT17</f>
        <v>3.33</v>
      </c>
      <c r="AS17" s="425">
        <f>IF(AT_!FU17= "","",(AT_!FU17*1.2143))</f>
        <v>11.29299</v>
      </c>
      <c r="AT17" s="425">
        <f>AT_!FV17</f>
        <v>10.7</v>
      </c>
      <c r="AU17" s="425">
        <f>IF(AT_!BO17="","",AT_!BO17)</f>
        <v>4.6900000000000004</v>
      </c>
      <c r="AV17" s="424" t="str">
        <f>IF(AT_!BR17="","",AT_!BR17)</f>
        <v/>
      </c>
      <c r="AW17" s="3"/>
      <c r="AX17" s="432">
        <f>IF((SUM(AT_!O17,AT_!P17))=0,"",ROUND(IF(ISNUMBER(AT_!O17),AT_!O17,AT_!$O$42)*0.6+IF(ISNUMBER(AT_!P17),AT_!P17,AT_!$P$42)*0.4,-1))</f>
        <v>2320</v>
      </c>
      <c r="AY17" s="432">
        <f>IF((SUM(AT_!M17,AT_!N17))=0,"",ROUND((IF(ISNUMBER(AT_!M17),AT_!M17,AT_!$M$42)*0.6)+(IF(ISNUMBER(AT_!N17),AT_!N17,AT_!$N$42)*0.4),-1))</f>
        <v>2840</v>
      </c>
      <c r="AZ17" s="424">
        <f>PT_!AA17</f>
        <v>330</v>
      </c>
      <c r="BA17" s="433">
        <f>AT_!CK17</f>
        <v>63</v>
      </c>
      <c r="BB17" s="2635">
        <f ca="1">IF(E17="","",ROUND((PT_!BM17*IF(ISNUMBER(AT_!Q17),AT_!Q17,AT_!$Q$42)+IF(ISNUMBER(AT_!S17),AT_!S17,AT_!$S$42)*PT_!BN17)*8.34,0))</f>
        <v>82413</v>
      </c>
      <c r="BC17" s="373"/>
      <c r="BD17" s="3"/>
      <c r="BE17" s="3"/>
      <c r="BF17" s="3"/>
      <c r="BG17" s="3"/>
      <c r="BH17" s="373"/>
      <c r="BI17" s="377"/>
      <c r="BJ17" s="377"/>
      <c r="BK17" s="370"/>
      <c r="BL17" s="377"/>
      <c r="BM17" s="377"/>
      <c r="BN17" s="377"/>
      <c r="BO17" s="377"/>
      <c r="BP17" s="1217"/>
      <c r="BQ17" s="2629"/>
      <c r="BR17" s="373"/>
      <c r="BS17" s="289"/>
      <c r="BT17" s="369"/>
      <c r="BU17" s="369"/>
      <c r="BV17" s="289"/>
      <c r="BW17" s="289"/>
      <c r="BX17" s="289"/>
      <c r="BY17" s="289"/>
      <c r="BZ17" s="289"/>
      <c r="CA17" s="289"/>
      <c r="CB17" s="189" t="s">
        <v>107</v>
      </c>
      <c r="CC17" s="189" t="s">
        <v>124</v>
      </c>
      <c r="CD17" s="235">
        <f t="shared" si="32"/>
        <v>42376</v>
      </c>
      <c r="CE17" s="236">
        <f t="shared" ca="1" si="6"/>
        <v>120671.45999999999</v>
      </c>
      <c r="CF17" s="237">
        <f t="shared" ca="1" si="7"/>
        <v>1517.8799999999999</v>
      </c>
      <c r="CG17" s="238">
        <f t="shared" ca="1" si="8"/>
        <v>114599.93999999999</v>
      </c>
      <c r="CH17" s="239">
        <f t="shared" ca="1" si="9"/>
        <v>3035.7599999999998</v>
      </c>
      <c r="CI17" s="240">
        <f t="shared" ca="1" si="10"/>
        <v>120671.45999999999</v>
      </c>
      <c r="CJ17" s="241">
        <f t="shared" ca="1" si="11"/>
        <v>1517.8799999999999</v>
      </c>
      <c r="CK17" s="241">
        <f t="shared" ca="1" si="12"/>
        <v>114599.93999999999</v>
      </c>
      <c r="CL17" s="242">
        <f t="shared" ca="1" si="13"/>
        <v>3035.7599999999998</v>
      </c>
      <c r="CM17" s="243">
        <f t="shared" ca="1" si="42"/>
        <v>159</v>
      </c>
      <c r="CN17" s="244">
        <f t="shared" ca="1" si="43"/>
        <v>2</v>
      </c>
      <c r="CO17" s="244">
        <f t="shared" ca="1" si="44"/>
        <v>151</v>
      </c>
      <c r="CP17" s="244">
        <f t="shared" ca="1" si="45"/>
        <v>4</v>
      </c>
      <c r="CQ17" s="1627">
        <f t="shared" ref="CQ17:CQ34" ca="1" si="52">IF($E17&gt;0,IF(SUM($AM17:$AP17)&gt;0,IF(CELL("type",AM17:AM17)="V",AM17,IF(CELL("type",AM17:AM17)="L",CQ$8,"")),""),"")</f>
        <v>0.03</v>
      </c>
      <c r="CR17" s="1628">
        <f t="shared" ref="CR17:CR34" ca="1" si="53">IF($E17&gt;0,IF(SUM($AM17:$AP17)&gt;0,IF(CELL("type",AN17:AN17)="V",AN17,IF(CELL("type",AN17:AN17)="L",CR$8,"")),""),"")</f>
        <v>5.2999999999999999E-2</v>
      </c>
      <c r="CS17" s="1629">
        <f t="shared" ref="CS17:CS34" ca="1" si="54">IF($E17&gt;0,IF(SUM($AM17:$AP17)&gt;0,IF(CELL("type",AO17:AO17)="V",AO17,IF(CELL("type",AO17:AO17)="L",CS$8,"")),""),"")</f>
        <v>30.885720499999991</v>
      </c>
      <c r="CT17" s="1629">
        <f t="shared" ca="1" si="47"/>
        <v>39.43</v>
      </c>
      <c r="CU17" s="248">
        <f t="shared" ca="1" si="48"/>
        <v>0.65</v>
      </c>
      <c r="CV17" s="246">
        <f t="shared" ca="1" si="49"/>
        <v>3.33</v>
      </c>
      <c r="CW17" s="247">
        <f t="shared" ca="1" si="50"/>
        <v>11.29299</v>
      </c>
      <c r="CX17" s="247">
        <f t="shared" ca="1" si="51"/>
        <v>10.7</v>
      </c>
      <c r="CY17" s="249">
        <f t="shared" ca="1" si="33"/>
        <v>39.5</v>
      </c>
      <c r="CZ17" s="249">
        <f t="shared" ca="1" si="34"/>
        <v>14.7</v>
      </c>
      <c r="DA17" s="250">
        <f t="shared" ca="1" si="35"/>
        <v>29978.13</v>
      </c>
      <c r="DB17" s="250">
        <f t="shared" ca="1" si="36"/>
        <v>11156.418</v>
      </c>
      <c r="DC17" s="251">
        <f t="shared" si="20"/>
        <v>42376</v>
      </c>
      <c r="DD17" s="1410"/>
      <c r="DE17" s="381"/>
      <c r="DF17" s="472" t="s">
        <v>954</v>
      </c>
      <c r="DG17" s="473"/>
      <c r="DH17" s="474">
        <f t="shared" ref="DH17:DN17" ca="1" si="55">MAX(DH12:DH16)</f>
        <v>99</v>
      </c>
      <c r="DI17" s="475">
        <f t="shared" ca="1" si="55"/>
        <v>119</v>
      </c>
      <c r="DJ17" s="475">
        <f t="shared" ca="1" si="55"/>
        <v>157</v>
      </c>
      <c r="DK17" s="476">
        <f t="shared" ca="1" si="55"/>
        <v>27</v>
      </c>
      <c r="DL17" s="476">
        <f t="shared" ca="1" si="55"/>
        <v>171</v>
      </c>
      <c r="DM17" s="476">
        <f t="shared" ca="1" si="55"/>
        <v>11</v>
      </c>
      <c r="DN17" s="475">
        <f t="shared" ca="1" si="55"/>
        <v>99</v>
      </c>
      <c r="DO17" s="477">
        <f ca="1">IF(MAX(DO12:DO16)&gt;10000,ROUND(MAX(DO12:DO16),-3),MAX(DO12:DO16))</f>
        <v>149000</v>
      </c>
      <c r="DP17" s="478">
        <f ca="1">IF(MAX(DP12:DP16)&gt;10000,ROUND(MAX(DP12:DP16),-3),MAX(DP12:DP16))</f>
        <v>24000</v>
      </c>
      <c r="DQ17" s="478">
        <f ca="1">IF(MAX(DQ12:DQ16)&gt;10000,ROUND(MAX(DQ12:DQ16),-3),MAX(DQ12:DQ16))</f>
        <v>133000</v>
      </c>
      <c r="DR17" s="478">
        <f ca="1">IF(MAX(DR12:DR16)&gt;10000,ROUND(MAX(DR12:DR16),-3),MAX(DR12:DR16))</f>
        <v>9300</v>
      </c>
      <c r="DS17" s="417">
        <f t="shared" si="37"/>
        <v>5</v>
      </c>
      <c r="DT17" s="439">
        <f t="shared" si="38"/>
        <v>42376</v>
      </c>
      <c r="DU17" s="440">
        <f t="shared" si="21"/>
        <v>42376</v>
      </c>
      <c r="DV17" s="403" t="str">
        <f t="shared" si="22"/>
        <v/>
      </c>
      <c r="DW17" s="403" t="str">
        <f t="shared" si="22"/>
        <v/>
      </c>
      <c r="DX17" s="403" t="str">
        <f t="shared" si="22"/>
        <v/>
      </c>
      <c r="DY17" s="403" t="str">
        <f t="shared" si="39"/>
        <v/>
      </c>
      <c r="DZ17" s="403" t="str">
        <f t="shared" si="40"/>
        <v/>
      </c>
      <c r="EA17" s="403" t="str">
        <f t="shared" si="23"/>
        <v/>
      </c>
      <c r="EB17" s="403" t="str">
        <f t="shared" si="24"/>
        <v/>
      </c>
      <c r="EC17" s="403" t="str">
        <f t="shared" si="25"/>
        <v/>
      </c>
      <c r="ED17" s="403" t="str">
        <f t="shared" si="26"/>
        <v/>
      </c>
      <c r="EE17" s="403" t="str">
        <f t="shared" si="27"/>
        <v/>
      </c>
      <c r="EF17" s="403" t="str">
        <f t="shared" si="28"/>
        <v/>
      </c>
      <c r="EG17" s="404"/>
      <c r="EH17" s="398"/>
      <c r="EI17" s="441" t="s">
        <v>192</v>
      </c>
      <c r="EJ17" s="479">
        <f>IF(COUNT(EJ11:EU11)=12,ROUND(AVERAGE(EJ11:EU11),0),"ERROR")</f>
        <v>105</v>
      </c>
      <c r="EK17" s="480"/>
      <c r="EL17" s="441" t="s">
        <v>192</v>
      </c>
      <c r="EM17" s="1835">
        <f>G44</f>
        <v>103</v>
      </c>
      <c r="EN17" s="466"/>
      <c r="EO17" s="467"/>
      <c r="EP17" s="467"/>
      <c r="EQ17" s="467"/>
      <c r="ER17" s="467"/>
      <c r="ES17" s="467"/>
      <c r="ET17" s="467"/>
      <c r="EU17" s="467"/>
      <c r="EV17" s="289"/>
      <c r="EW17" s="189"/>
      <c r="EX17" s="442">
        <f t="shared" si="29"/>
        <v>0</v>
      </c>
      <c r="EY17" s="408"/>
      <c r="EZ17" s="289"/>
      <c r="FA17" s="289"/>
      <c r="FB17" s="289"/>
      <c r="FC17" s="289"/>
      <c r="FD17" s="289"/>
      <c r="FE17" s="289"/>
      <c r="FF17" s="289"/>
      <c r="FG17" s="289"/>
      <c r="FH17" s="289"/>
      <c r="FI17" s="289"/>
      <c r="FJ17" s="289"/>
      <c r="FK17" s="289"/>
      <c r="FL17" s="289"/>
      <c r="FM17" s="289"/>
      <c r="FN17" s="289"/>
      <c r="FO17" s="289"/>
      <c r="FP17" s="289"/>
      <c r="FQ17" s="289"/>
      <c r="FR17" s="289"/>
      <c r="FS17" s="289"/>
      <c r="FT17" s="289"/>
      <c r="FU17" s="289"/>
      <c r="FV17" s="289"/>
      <c r="FW17" s="289"/>
      <c r="FX17" s="289"/>
      <c r="FY17" s="289"/>
      <c r="FZ17" s="289"/>
      <c r="GA17" s="289"/>
      <c r="GB17" s="289"/>
      <c r="GC17" s="289"/>
      <c r="GD17" s="289"/>
      <c r="GE17" s="289"/>
      <c r="GF17" s="289"/>
      <c r="GG17" s="289"/>
      <c r="GH17" s="289"/>
      <c r="GI17" s="289"/>
      <c r="GJ17" s="289"/>
      <c r="GK17" s="289"/>
      <c r="GL17" s="289"/>
      <c r="GM17" s="289"/>
      <c r="GN17" s="289"/>
      <c r="GO17" s="289"/>
      <c r="GP17" s="289"/>
      <c r="GQ17" s="289"/>
      <c r="GR17" s="289"/>
      <c r="GS17" s="289"/>
      <c r="GT17" s="289"/>
      <c r="GU17" s="289"/>
      <c r="GV17" s="289"/>
      <c r="GW17" s="289"/>
      <c r="GX17" s="289"/>
      <c r="GY17" s="289"/>
      <c r="GZ17" s="289"/>
      <c r="HA17" s="289"/>
      <c r="HB17" s="289"/>
      <c r="HC17" s="289"/>
      <c r="HD17" s="289"/>
      <c r="HE17" s="289"/>
      <c r="HF17" s="289"/>
      <c r="HG17" s="289"/>
      <c r="HH17" s="289"/>
      <c r="HI17" s="289"/>
      <c r="HJ17" s="289"/>
      <c r="HK17" s="289"/>
      <c r="HL17" s="289"/>
      <c r="HM17" s="289"/>
      <c r="HN17" s="289"/>
      <c r="HO17" s="289"/>
      <c r="HP17" s="289"/>
      <c r="HQ17" s="289"/>
      <c r="HR17" s="289"/>
      <c r="HS17" s="289"/>
      <c r="HT17" s="289"/>
      <c r="HU17" s="289"/>
      <c r="HV17" s="289"/>
      <c r="HW17" s="289"/>
      <c r="HX17" s="289"/>
      <c r="HY17" s="289"/>
      <c r="HZ17" s="289"/>
      <c r="IA17" s="289"/>
      <c r="IB17" s="289"/>
      <c r="IC17" s="289"/>
      <c r="ID17" s="289"/>
      <c r="IE17" s="289"/>
      <c r="IF17" s="289"/>
      <c r="IG17" s="289"/>
      <c r="IH17" s="289"/>
      <c r="II17" s="289"/>
      <c r="IJ17" s="289"/>
      <c r="IK17" s="289"/>
      <c r="IL17" s="289"/>
      <c r="IM17" s="289"/>
      <c r="IN17" s="289"/>
      <c r="IO17" s="289"/>
      <c r="IP17" s="289"/>
      <c r="IQ17" s="289"/>
      <c r="IR17" s="289"/>
      <c r="IS17" s="289"/>
      <c r="IT17" s="289"/>
      <c r="IU17" s="289"/>
      <c r="IV17" s="289"/>
      <c r="IW17" s="289"/>
      <c r="IX17" s="289"/>
    </row>
    <row r="18" spans="1:258" s="393" customFormat="1" ht="16.5" customHeight="1">
      <c r="A18" s="289"/>
      <c r="B18" s="289"/>
      <c r="C18" s="1251">
        <f t="shared" si="30"/>
        <v>42377</v>
      </c>
      <c r="D18" s="443">
        <f t="shared" si="31"/>
        <v>42377</v>
      </c>
      <c r="E18" s="1293">
        <f ca="1">IF(D18&lt;TODAY(),IF(AT_!CG18="","",+AT_!CG18),"")</f>
        <v>87</v>
      </c>
      <c r="F18" s="1293">
        <f>IF(AT_!CH18="","",+AT_!CH18)</f>
        <v>112</v>
      </c>
      <c r="G18" s="1293">
        <f>IF(AT_!CF18="","",+AT_!CF18)</f>
        <v>87</v>
      </c>
      <c r="H18" s="424">
        <f>IF(AT_!CI18="","",+AT_!CI18)</f>
        <v>61</v>
      </c>
      <c r="I18" s="1293">
        <f>IF(AT_!BS18="","",+AT_!BS18)</f>
        <v>19</v>
      </c>
      <c r="J18" s="1294">
        <f>IF(AT_!BU18="","",+AT_!BU18)</f>
        <v>6.7</v>
      </c>
      <c r="K18" s="1294">
        <f>IF(AT_!BT18="","",+AT_!BT18)</f>
        <v>7.5</v>
      </c>
      <c r="L18" s="1294">
        <f>IF(AT_!BV18="","",+AT_!BV18)</f>
        <v>7</v>
      </c>
      <c r="M18" s="1294">
        <f>IF(AT_!BX18="","",+AT_!BX18)</f>
        <v>6.4</v>
      </c>
      <c r="N18" s="1294">
        <f>IF(AT_!BW18="","",+AT_!BW18)</f>
        <v>6.7</v>
      </c>
      <c r="O18" s="1294">
        <f>IF(AT_!BY18="","",+AT_!BY18)</f>
        <v>6.6</v>
      </c>
      <c r="P18" s="425"/>
      <c r="Q18" s="425"/>
      <c r="R18" s="1293">
        <f>IF(AT_!AC18="","",+AT_!AC18)</f>
        <v>134</v>
      </c>
      <c r="S18" s="424">
        <f>IF(AT_!$AF18="","",AT_!$AF18)</f>
        <v>3</v>
      </c>
      <c r="T18" s="1293">
        <f>IF(AT_!G18="","",+AT_!G18)</f>
        <v>156</v>
      </c>
      <c r="U18" s="2662">
        <f>IF(AT_!$K18="","",AT_!$K18)</f>
        <v>4</v>
      </c>
      <c r="V18" s="444" t="str">
        <f t="shared" si="41"/>
        <v/>
      </c>
      <c r="W18" s="427">
        <f t="shared" si="3"/>
        <v>42377</v>
      </c>
      <c r="X18" s="428">
        <f t="shared" si="3"/>
        <v>42377</v>
      </c>
      <c r="Y18" s="1295" t="str">
        <f>+AT_!FJ18</f>
        <v/>
      </c>
      <c r="Z18" s="1295" t="str">
        <f>AT_!FX18</f>
        <v/>
      </c>
      <c r="AA18" s="1295" t="str">
        <f>+AT_!FI18</f>
        <v/>
      </c>
      <c r="AB18" s="1295" t="str">
        <f>AT_!FW18</f>
        <v/>
      </c>
      <c r="AC18" s="429">
        <f>IF(AT_!DW18="","",IF(+AT_!DW18&gt;1,ROUND(+AT_!DW18,1),+AT_!DW18))</f>
        <v>0.46</v>
      </c>
      <c r="AD18" s="430" t="str">
        <f>IF(AT_!CA18="","",+AT_!CA18)</f>
        <v/>
      </c>
      <c r="AE18" s="431">
        <f>IF(AT_!CB18="","",AT_!CB18)</f>
        <v>36</v>
      </c>
      <c r="AF18" s="2609"/>
      <c r="AG18" s="2610"/>
      <c r="AH18" s="2064"/>
      <c r="AI18" s="2682" t="str">
        <f>IF(AT_!$EN18="","",AT_!$EN18)</f>
        <v>Clear</v>
      </c>
      <c r="AJ18" s="373"/>
      <c r="AK18" s="427">
        <f t="shared" si="4"/>
        <v>42377</v>
      </c>
      <c r="AL18" s="428">
        <f t="shared" si="5"/>
        <v>42377</v>
      </c>
      <c r="AM18" s="429">
        <f>AT_!FE18</f>
        <v>0.04</v>
      </c>
      <c r="AN18" s="1295">
        <f>AT_!FF18</f>
        <v>0.03</v>
      </c>
      <c r="AO18" s="425">
        <f>IF(AT_!FG18= "","",(AT_!FG18*1.2143))</f>
        <v>31.377511999999999</v>
      </c>
      <c r="AP18" s="1294">
        <f>AT_!FH18</f>
        <v>40.305</v>
      </c>
      <c r="AQ18" s="1295">
        <f>AT_!FS18</f>
        <v>0.62</v>
      </c>
      <c r="AR18" s="1295">
        <f>AT_!FT18</f>
        <v>3.61</v>
      </c>
      <c r="AS18" s="425">
        <f>IF(AT_!FU18= "","",(AT_!FU18*1.2143))</f>
        <v>10.442979999999999</v>
      </c>
      <c r="AT18" s="1294">
        <f>AT_!FV18</f>
        <v>9.8000000000000007</v>
      </c>
      <c r="AU18" s="1294">
        <f>IF(AT_!BO18="","",AT_!BO18)</f>
        <v>4.55</v>
      </c>
      <c r="AV18" s="1293" t="str">
        <f>IF(AT_!BR18="","",AT_!BR18)</f>
        <v/>
      </c>
      <c r="AW18" s="3"/>
      <c r="AX18" s="432" t="str">
        <f>IF((SUM(AT_!O18,AT_!P18))=0,"",ROUND(IF(ISNUMBER(AT_!O18),AT_!O18,AT_!$O$42)*0.6+IF(ISNUMBER(AT_!P18),AT_!P18,AT_!$P$42)*0.4,-1))</f>
        <v/>
      </c>
      <c r="AY18" s="432" t="str">
        <f>IF((SUM(AT_!M18,AT_!N18))=0,"",ROUND((IF(ISNUMBER(AT_!M18),AT_!M18,AT_!$M$42)*0.6)+(IF(ISNUMBER(AT_!N18),AT_!N18,AT_!$N$42)*0.4),-1))</f>
        <v/>
      </c>
      <c r="AZ18" s="1293">
        <f>PT_!AA18</f>
        <v>330</v>
      </c>
      <c r="BA18" s="433">
        <f>AT_!CK18</f>
        <v>63</v>
      </c>
      <c r="BB18" s="2635">
        <f ca="1">IF(E18="","",ROUND((PT_!BM18*IF(ISNUMBER(AT_!Q18),AT_!Q18,AT_!$Q$42)+IF(ISNUMBER(AT_!S18),AT_!S18,AT_!$S$42)*PT_!BN18)*8.34,0))</f>
        <v>89658</v>
      </c>
      <c r="BC18" s="373"/>
      <c r="BD18" s="3"/>
      <c r="BE18" s="3"/>
      <c r="BF18" s="3"/>
      <c r="BG18" s="3"/>
      <c r="BH18" s="373"/>
      <c r="BI18" s="377" t="s">
        <v>1064</v>
      </c>
      <c r="BJ18" s="377"/>
      <c r="BK18" s="1217"/>
      <c r="BL18" s="377"/>
      <c r="BM18" s="377"/>
      <c r="BN18" s="377"/>
      <c r="BO18" s="377"/>
      <c r="BP18" s="1217"/>
      <c r="BQ18" s="2629"/>
      <c r="BR18" s="373"/>
      <c r="BS18" s="289"/>
      <c r="BT18" s="289"/>
      <c r="BU18" s="289"/>
      <c r="BV18" s="289"/>
      <c r="BW18" s="289"/>
      <c r="BX18" s="289"/>
      <c r="CA18" s="289"/>
      <c r="CB18" s="189" t="s">
        <v>108</v>
      </c>
      <c r="CC18" s="189" t="s">
        <v>125</v>
      </c>
      <c r="CD18" s="235">
        <f t="shared" si="32"/>
        <v>42377</v>
      </c>
      <c r="CE18" s="236">
        <f t="shared" ca="1" si="6"/>
        <v>97227.72</v>
      </c>
      <c r="CF18" s="237">
        <f t="shared" ca="1" si="7"/>
        <v>2176.7399999999998</v>
      </c>
      <c r="CG18" s="238">
        <f t="shared" ca="1" si="8"/>
        <v>113190.48</v>
      </c>
      <c r="CH18" s="239">
        <f t="shared" ca="1" si="9"/>
        <v>2902.32</v>
      </c>
      <c r="CI18" s="240">
        <f t="shared" ca="1" si="10"/>
        <v>97227.72</v>
      </c>
      <c r="CJ18" s="241">
        <f t="shared" ca="1" si="11"/>
        <v>2176.7399999999998</v>
      </c>
      <c r="CK18" s="241">
        <f t="shared" ca="1" si="12"/>
        <v>113190.48</v>
      </c>
      <c r="CL18" s="242">
        <f t="shared" ca="1" si="13"/>
        <v>2902.32</v>
      </c>
      <c r="CM18" s="243">
        <f t="shared" ca="1" si="42"/>
        <v>134</v>
      </c>
      <c r="CN18" s="244">
        <f t="shared" ca="1" si="43"/>
        <v>3</v>
      </c>
      <c r="CO18" s="244">
        <f t="shared" ca="1" si="44"/>
        <v>156</v>
      </c>
      <c r="CP18" s="244">
        <f t="shared" ca="1" si="45"/>
        <v>4</v>
      </c>
      <c r="CQ18" s="1627">
        <f t="shared" ca="1" si="52"/>
        <v>0.04</v>
      </c>
      <c r="CR18" s="1628">
        <f t="shared" ca="1" si="53"/>
        <v>0.03</v>
      </c>
      <c r="CS18" s="1629">
        <f t="shared" ca="1" si="54"/>
        <v>31.377511999999999</v>
      </c>
      <c r="CT18" s="1629">
        <f t="shared" ca="1" si="47"/>
        <v>40.305</v>
      </c>
      <c r="CU18" s="248">
        <f t="shared" ca="1" si="48"/>
        <v>0.62</v>
      </c>
      <c r="CV18" s="246">
        <f t="shared" ca="1" si="49"/>
        <v>3.61</v>
      </c>
      <c r="CW18" s="247">
        <f t="shared" ca="1" si="50"/>
        <v>10.442979999999999</v>
      </c>
      <c r="CX18" s="247">
        <f t="shared" ca="1" si="51"/>
        <v>9.8000000000000007</v>
      </c>
      <c r="CY18" s="249">
        <f t="shared" ca="1" si="33"/>
        <v>40.4</v>
      </c>
      <c r="CZ18" s="249">
        <f t="shared" ca="1" si="34"/>
        <v>14</v>
      </c>
      <c r="DA18" s="250">
        <f t="shared" ca="1" si="35"/>
        <v>29313.431999999997</v>
      </c>
      <c r="DB18" s="250">
        <f t="shared" ca="1" si="36"/>
        <v>10158.119999999999</v>
      </c>
      <c r="DC18" s="251">
        <f t="shared" si="20"/>
        <v>42377</v>
      </c>
      <c r="DD18" s="1410"/>
      <c r="DE18" s="482"/>
      <c r="DF18" s="1338"/>
      <c r="DG18" s="1338"/>
      <c r="DH18" s="1339"/>
      <c r="DI18" s="1339"/>
      <c r="DJ18" s="1339"/>
      <c r="DK18" s="1339"/>
      <c r="DL18" s="1339"/>
      <c r="DM18" s="1339"/>
      <c r="DN18" s="1339"/>
      <c r="DO18" s="1339"/>
      <c r="DP18" s="1339"/>
      <c r="DQ18" s="1339"/>
      <c r="DR18" s="1339"/>
      <c r="DS18" s="417">
        <f t="shared" si="37"/>
        <v>6</v>
      </c>
      <c r="DT18" s="439">
        <f t="shared" si="38"/>
        <v>42377</v>
      </c>
      <c r="DU18" s="440">
        <f t="shared" si="21"/>
        <v>42377</v>
      </c>
      <c r="DV18" s="491" t="str">
        <f t="shared" si="22"/>
        <v/>
      </c>
      <c r="DW18" s="491" t="str">
        <f t="shared" si="22"/>
        <v/>
      </c>
      <c r="DX18" s="491" t="str">
        <f t="shared" si="22"/>
        <v/>
      </c>
      <c r="DY18" s="491" t="str">
        <f t="shared" si="39"/>
        <v/>
      </c>
      <c r="DZ18" s="491" t="str">
        <f t="shared" si="40"/>
        <v/>
      </c>
      <c r="EA18" s="491" t="str">
        <f t="shared" si="23"/>
        <v/>
      </c>
      <c r="EB18" s="491" t="str">
        <f t="shared" si="24"/>
        <v/>
      </c>
      <c r="EC18" s="491" t="str">
        <f t="shared" si="25"/>
        <v/>
      </c>
      <c r="ED18" s="491" t="str">
        <f t="shared" si="26"/>
        <v/>
      </c>
      <c r="EE18" s="491" t="str">
        <f t="shared" si="27"/>
        <v/>
      </c>
      <c r="EF18" s="491" t="str">
        <f t="shared" si="28"/>
        <v/>
      </c>
      <c r="EG18" s="404"/>
      <c r="EH18" s="367"/>
      <c r="EI18" s="521"/>
      <c r="EJ18" s="481"/>
      <c r="EK18" s="467"/>
      <c r="EL18" s="481"/>
      <c r="EM18" s="481"/>
      <c r="EN18" s="367"/>
      <c r="EO18" s="467"/>
      <c r="EP18" s="467"/>
      <c r="EQ18" s="467"/>
      <c r="ER18" s="467"/>
      <c r="ES18" s="467"/>
      <c r="ET18" s="467"/>
      <c r="EU18" s="467"/>
      <c r="EV18" s="289"/>
      <c r="EW18" s="189"/>
      <c r="EX18" s="442">
        <f t="shared" si="29"/>
        <v>0</v>
      </c>
      <c r="EY18" s="408"/>
      <c r="EZ18" s="289"/>
      <c r="FA18" s="289"/>
      <c r="FB18" s="289"/>
      <c r="FC18" s="289"/>
      <c r="FD18" s="289"/>
      <c r="FE18" s="289"/>
      <c r="FF18" s="289"/>
      <c r="FG18" s="289"/>
      <c r="FH18" s="289"/>
      <c r="FI18" s="289"/>
      <c r="FJ18" s="289"/>
      <c r="FK18" s="289"/>
      <c r="FL18" s="289"/>
      <c r="FM18" s="289"/>
      <c r="FN18" s="289"/>
      <c r="FO18" s="289"/>
      <c r="FP18" s="289"/>
      <c r="FQ18" s="289"/>
      <c r="FR18" s="289"/>
      <c r="FS18" s="289"/>
      <c r="FT18" s="289"/>
      <c r="FU18" s="289"/>
      <c r="FV18" s="289"/>
      <c r="FW18" s="289"/>
      <c r="FX18" s="289"/>
      <c r="FY18" s="289"/>
      <c r="FZ18" s="289"/>
      <c r="GA18" s="289"/>
      <c r="GB18" s="289"/>
      <c r="GC18" s="289"/>
      <c r="GD18" s="289"/>
      <c r="GE18" s="289"/>
      <c r="GF18" s="289"/>
      <c r="GG18" s="289"/>
      <c r="GH18" s="289"/>
      <c r="GI18" s="289"/>
      <c r="GJ18" s="289"/>
      <c r="GK18" s="289"/>
      <c r="GL18" s="289"/>
      <c r="GM18" s="289"/>
      <c r="GN18" s="289"/>
      <c r="GO18" s="289"/>
      <c r="GP18" s="289"/>
      <c r="GQ18" s="289"/>
      <c r="GR18" s="289"/>
      <c r="GS18" s="289"/>
      <c r="GT18" s="289"/>
      <c r="GU18" s="289"/>
      <c r="GV18" s="289"/>
      <c r="GW18" s="289"/>
      <c r="GX18" s="289"/>
      <c r="GY18" s="289"/>
      <c r="GZ18" s="289"/>
      <c r="HA18" s="289"/>
      <c r="HB18" s="289"/>
      <c r="HC18" s="289"/>
      <c r="HD18" s="289"/>
      <c r="HE18" s="289"/>
      <c r="HF18" s="289"/>
      <c r="HG18" s="289"/>
      <c r="HH18" s="289"/>
      <c r="HI18" s="289"/>
      <c r="HJ18" s="289"/>
      <c r="HK18" s="289"/>
      <c r="HL18" s="289"/>
      <c r="HM18" s="289"/>
      <c r="HN18" s="289"/>
      <c r="HO18" s="289"/>
      <c r="HP18" s="289"/>
      <c r="HQ18" s="289"/>
      <c r="HR18" s="289"/>
      <c r="HS18" s="289"/>
      <c r="HT18" s="289"/>
      <c r="HU18" s="289"/>
      <c r="HV18" s="289"/>
      <c r="HW18" s="289"/>
      <c r="HX18" s="289"/>
      <c r="HY18" s="289"/>
      <c r="HZ18" s="289"/>
      <c r="IA18" s="289"/>
      <c r="IB18" s="289"/>
      <c r="IC18" s="289"/>
      <c r="ID18" s="289"/>
      <c r="IE18" s="289"/>
      <c r="IF18" s="289"/>
      <c r="IG18" s="289"/>
      <c r="IH18" s="289"/>
      <c r="II18" s="289"/>
      <c r="IJ18" s="289"/>
      <c r="IK18" s="289"/>
      <c r="IL18" s="289"/>
      <c r="IM18" s="289"/>
      <c r="IN18" s="289"/>
      <c r="IO18" s="289"/>
      <c r="IP18" s="289"/>
      <c r="IQ18" s="289"/>
      <c r="IR18" s="289"/>
      <c r="IS18" s="289"/>
      <c r="IT18" s="289"/>
      <c r="IU18" s="289"/>
      <c r="IV18" s="289"/>
      <c r="IW18" s="289"/>
      <c r="IX18" s="289"/>
    </row>
    <row r="19" spans="1:258" s="21" customFormat="1" ht="16.5" customHeight="1">
      <c r="A19" s="461" t="s">
        <v>923</v>
      </c>
      <c r="B19" s="289"/>
      <c r="C19" s="1251">
        <f t="shared" si="30"/>
        <v>42378</v>
      </c>
      <c r="D19" s="443">
        <f t="shared" si="31"/>
        <v>42378</v>
      </c>
      <c r="E19" s="424">
        <f ca="1">IF(D19&lt;TODAY(),IF(AT_!CG19="","",+AT_!CG19),"")</f>
        <v>104</v>
      </c>
      <c r="F19" s="424">
        <f>IF(AT_!CH19="","",+AT_!CH19)</f>
        <v>210</v>
      </c>
      <c r="G19" s="424">
        <f>IF(AT_!CF19="","",+AT_!CF19)</f>
        <v>115</v>
      </c>
      <c r="H19" s="424">
        <f>IF(AT_!CI19="","",+AT_!CI19)</f>
        <v>59</v>
      </c>
      <c r="I19" s="424">
        <f>IF(AT_!BS19="","",+AT_!BS19)</f>
        <v>19</v>
      </c>
      <c r="J19" s="425">
        <f>IF(AT_!BU19="","",+AT_!BU19)</f>
        <v>6.7</v>
      </c>
      <c r="K19" s="425">
        <f>IF(AT_!BT19="","",+AT_!BT19)</f>
        <v>7.3</v>
      </c>
      <c r="L19" s="425">
        <f>IF(AT_!BV19="","",+AT_!BV19)</f>
        <v>6.9</v>
      </c>
      <c r="M19" s="425">
        <f>IF(AT_!BX19="","",+AT_!BX19)</f>
        <v>6.4</v>
      </c>
      <c r="N19" s="425">
        <f>IF(AT_!BW19="","",+AT_!BW19)</f>
        <v>7.1</v>
      </c>
      <c r="O19" s="425">
        <f>IF(AT_!BY19="","",+AT_!BY19)</f>
        <v>6.7</v>
      </c>
      <c r="P19" s="425"/>
      <c r="Q19" s="425"/>
      <c r="R19" s="424">
        <f>IF(AT_!AC19="","",+AT_!AC19)</f>
        <v>159</v>
      </c>
      <c r="S19" s="424">
        <f>IF(AT_!$AF19="","",AT_!$AF19)</f>
        <v>4</v>
      </c>
      <c r="T19" s="424">
        <f>IF(AT_!G19="","",+AT_!G19)</f>
        <v>174</v>
      </c>
      <c r="U19" s="2660">
        <f>IF(AT_!$K19="","",AT_!$K19)</f>
        <v>8</v>
      </c>
      <c r="V19" s="444" t="str">
        <f t="shared" si="41"/>
        <v/>
      </c>
      <c r="W19" s="427">
        <f t="shared" si="3"/>
        <v>42378</v>
      </c>
      <c r="X19" s="428">
        <f t="shared" si="3"/>
        <v>42378</v>
      </c>
      <c r="Y19" s="429" t="str">
        <f>+AT_!FJ19</f>
        <v/>
      </c>
      <c r="Z19" s="429" t="str">
        <f>AT_!FX19</f>
        <v/>
      </c>
      <c r="AA19" s="429" t="str">
        <f>+AT_!FI19</f>
        <v/>
      </c>
      <c r="AB19" s="429" t="str">
        <f>AT_!FW19</f>
        <v/>
      </c>
      <c r="AC19" s="429">
        <f>IF(AT_!DW19="","",IF(+AT_!DW19&gt;1,ROUND(+AT_!DW19,1),+AT_!DW19))</f>
        <v>0.46</v>
      </c>
      <c r="AD19" s="430" t="str">
        <f>IF(AT_!CA19="","",+AT_!CA19)</f>
        <v/>
      </c>
      <c r="AE19" s="431">
        <f>IF(AT_!CB19="","",AT_!CB19)</f>
        <v>38</v>
      </c>
      <c r="AF19" s="2609"/>
      <c r="AG19" s="2610"/>
      <c r="AH19" s="2064"/>
      <c r="AI19" s="2681" t="str">
        <f>IF(AT_!$EN19="","",AT_!$EN19)</f>
        <v>Rain</v>
      </c>
      <c r="AJ19" s="373"/>
      <c r="AK19" s="427">
        <f t="shared" si="4"/>
        <v>42378</v>
      </c>
      <c r="AL19" s="428">
        <f t="shared" si="5"/>
        <v>42378</v>
      </c>
      <c r="AM19" s="429">
        <f>AT_!FE19</f>
        <v>4.65E-2</v>
      </c>
      <c r="AN19" s="429">
        <f>AT_!FF19</f>
        <v>8.299999999999999E-2</v>
      </c>
      <c r="AO19" s="425">
        <f>IF(AT_!FG19= "","",(AT_!FG19*1.2143))</f>
        <v>31.231795999999996</v>
      </c>
      <c r="AP19" s="425">
        <f>AT_!FH19</f>
        <v>45.724999999999994</v>
      </c>
      <c r="AQ19" s="429">
        <f>AT_!FS19</f>
        <v>0.54</v>
      </c>
      <c r="AR19" s="429">
        <f>AT_!FT19</f>
        <v>3.24</v>
      </c>
      <c r="AS19" s="425">
        <f>IF(AT_!FU19= "","",(AT_!FU19*1.2143))</f>
        <v>12.385859999999999</v>
      </c>
      <c r="AT19" s="425">
        <f>AT_!FV19</f>
        <v>12.3</v>
      </c>
      <c r="AU19" s="425">
        <f>IF(AT_!BO19="","",AT_!BO19)</f>
        <v>4.9000000000000004</v>
      </c>
      <c r="AV19" s="424" t="str">
        <f>IF(AT_!BR19="","",AT_!BR19)</f>
        <v/>
      </c>
      <c r="AW19" s="3"/>
      <c r="AX19" s="432" t="str">
        <f>IF((SUM(AT_!O19,AT_!P19))=0,"",ROUND(IF(ISNUMBER(AT_!O19),AT_!O19,AT_!$O$42)*0.6+IF(ISNUMBER(AT_!P19),AT_!P19,AT_!$P$42)*0.4,-1))</f>
        <v/>
      </c>
      <c r="AY19" s="432" t="str">
        <f>IF((SUM(AT_!M19,AT_!N19))=0,"",ROUND((IF(ISNUMBER(AT_!M19),AT_!M19,AT_!$M$42)*0.6)+(IF(ISNUMBER(AT_!N19),AT_!N19,AT_!$N$42)*0.4),-1))</f>
        <v/>
      </c>
      <c r="AZ19" s="424">
        <f>PT_!AA19</f>
        <v>260</v>
      </c>
      <c r="BA19" s="433">
        <f>AT_!CK19</f>
        <v>63</v>
      </c>
      <c r="BB19" s="2635">
        <f ca="1">IF(E19="","",ROUND((PT_!BM19*IF(ISNUMBER(AT_!Q19),AT_!Q19,AT_!$Q$42)+IF(ISNUMBER(AT_!S19),AT_!S19,AT_!$S$42)*PT_!BN19)*8.34,0))</f>
        <v>89744</v>
      </c>
      <c r="BC19" s="373"/>
      <c r="BD19" s="3"/>
      <c r="BE19" s="3"/>
      <c r="BF19" s="3"/>
      <c r="BG19" s="3"/>
      <c r="BH19" s="373"/>
      <c r="BI19" s="377" t="s">
        <v>1058</v>
      </c>
      <c r="BJ19" s="377" t="s">
        <v>1087</v>
      </c>
      <c r="BK19" s="2692">
        <f>AT_!$EK$42*1000</f>
        <v>12124000</v>
      </c>
      <c r="BL19" s="377" t="s">
        <v>1095</v>
      </c>
      <c r="BM19" s="377"/>
      <c r="BN19" s="377" t="s">
        <v>1101</v>
      </c>
      <c r="BO19" s="377"/>
      <c r="BP19" s="1217"/>
      <c r="BQ19" s="2629"/>
      <c r="BR19" s="373"/>
      <c r="BS19" s="289"/>
      <c r="BT19" s="289"/>
      <c r="BU19" s="289"/>
      <c r="BV19" s="289"/>
      <c r="BW19" s="289"/>
      <c r="BX19" s="289"/>
      <c r="BY19" s="289"/>
      <c r="BZ19" s="289"/>
      <c r="CA19" s="289"/>
      <c r="CB19" s="252"/>
      <c r="CC19" s="252"/>
      <c r="CD19" s="235">
        <f t="shared" si="32"/>
        <v>42378</v>
      </c>
      <c r="CE19" s="236">
        <f t="shared" ca="1" si="6"/>
        <v>137910.24</v>
      </c>
      <c r="CF19" s="237">
        <f t="shared" ca="1" si="7"/>
        <v>3469.44</v>
      </c>
      <c r="CG19" s="238">
        <f t="shared" ca="1" si="8"/>
        <v>150920.64000000001</v>
      </c>
      <c r="CH19" s="239">
        <f t="shared" ca="1" si="9"/>
        <v>6938.88</v>
      </c>
      <c r="CI19" s="240">
        <f t="shared" ca="1" si="10"/>
        <v>152496.9</v>
      </c>
      <c r="CJ19" s="241">
        <f t="shared" ca="1" si="11"/>
        <v>3836.4</v>
      </c>
      <c r="CK19" s="241">
        <f t="shared" ca="1" si="12"/>
        <v>166883.40000000002</v>
      </c>
      <c r="CL19" s="242">
        <f t="shared" ca="1" si="13"/>
        <v>7672.8</v>
      </c>
      <c r="CM19" s="243">
        <f t="shared" ca="1" si="42"/>
        <v>159</v>
      </c>
      <c r="CN19" s="244">
        <f t="shared" ca="1" si="43"/>
        <v>4</v>
      </c>
      <c r="CO19" s="244">
        <f t="shared" ca="1" si="44"/>
        <v>174</v>
      </c>
      <c r="CP19" s="244">
        <f ca="1">IF($E19&gt;0,IF($G19&gt;$C$44," ",IF(CELL("type",U19:U19)="v",U19,IF(CELL("type",U19:U19)="L",U$44,""))),"")</f>
        <v>8</v>
      </c>
      <c r="CQ19" s="1627">
        <f t="shared" ca="1" si="52"/>
        <v>4.65E-2</v>
      </c>
      <c r="CR19" s="1628">
        <f t="shared" ca="1" si="53"/>
        <v>8.299999999999999E-2</v>
      </c>
      <c r="CS19" s="1629">
        <f t="shared" ca="1" si="54"/>
        <v>31.231795999999996</v>
      </c>
      <c r="CT19" s="1629">
        <f t="shared" ca="1" si="47"/>
        <v>45.724999999999994</v>
      </c>
      <c r="CU19" s="248">
        <f t="shared" ca="1" si="48"/>
        <v>0.54</v>
      </c>
      <c r="CV19" s="246">
        <f t="shared" ca="1" si="49"/>
        <v>3.24</v>
      </c>
      <c r="CW19" s="247">
        <f t="shared" ca="1" si="50"/>
        <v>12.385859999999999</v>
      </c>
      <c r="CX19" s="247">
        <f t="shared" ca="1" si="51"/>
        <v>12.3</v>
      </c>
      <c r="CY19" s="249">
        <f t="shared" ca="1" si="33"/>
        <v>45.9</v>
      </c>
      <c r="CZ19" s="249">
        <f t="shared" ca="1" si="34"/>
        <v>16.100000000000001</v>
      </c>
      <c r="DA19" s="250">
        <f t="shared" ca="1" si="35"/>
        <v>44022.689999999995</v>
      </c>
      <c r="DB19" s="250">
        <f t="shared" ca="1" si="36"/>
        <v>15441.51</v>
      </c>
      <c r="DC19" s="251">
        <f t="shared" si="20"/>
        <v>42378</v>
      </c>
      <c r="DD19" s="1410"/>
      <c r="DE19" s="482"/>
      <c r="DF19" s="482"/>
      <c r="DG19" s="482"/>
      <c r="DH19" s="405" t="s">
        <v>167</v>
      </c>
      <c r="DI19" s="405"/>
      <c r="DJ19" s="405"/>
      <c r="DK19" s="405"/>
      <c r="DL19" s="405"/>
      <c r="DM19" s="405"/>
      <c r="DN19" s="405"/>
      <c r="DO19" s="405"/>
      <c r="DP19" s="405"/>
      <c r="DQ19" s="405"/>
      <c r="DR19" s="405"/>
      <c r="DS19" s="417">
        <f t="shared" si="37"/>
        <v>7</v>
      </c>
      <c r="DT19" s="439">
        <f t="shared" si="38"/>
        <v>42378</v>
      </c>
      <c r="DU19" s="440">
        <f t="shared" si="21"/>
        <v>42378</v>
      </c>
      <c r="DV19" s="403">
        <f t="shared" ca="1" si="22"/>
        <v>91</v>
      </c>
      <c r="DW19" s="403">
        <f t="shared" ca="1" si="22"/>
        <v>92</v>
      </c>
      <c r="DX19" s="403">
        <f t="shared" ca="1" si="22"/>
        <v>157</v>
      </c>
      <c r="DY19" s="403">
        <f t="shared" ca="1" si="39"/>
        <v>121700</v>
      </c>
      <c r="DZ19" s="403">
        <f t="shared" ca="1" si="40"/>
        <v>6</v>
      </c>
      <c r="EA19" s="403">
        <f t="shared" ca="1" si="23"/>
        <v>4900</v>
      </c>
      <c r="EB19" s="403">
        <f t="shared" ca="1" si="24"/>
        <v>171</v>
      </c>
      <c r="EC19" s="403">
        <f t="shared" ca="1" si="25"/>
        <v>131100</v>
      </c>
      <c r="ED19" s="403">
        <f t="shared" ca="1" si="26"/>
        <v>3</v>
      </c>
      <c r="EE19" s="403">
        <f t="shared" ca="1" si="27"/>
        <v>2500</v>
      </c>
      <c r="EF19" s="403">
        <f t="shared" ca="1" si="28"/>
        <v>21</v>
      </c>
      <c r="EG19" s="404"/>
      <c r="EH19" s="398"/>
      <c r="EI19" s="398"/>
      <c r="EJ19" s="467"/>
      <c r="EK19" s="467"/>
      <c r="EL19" s="467"/>
      <c r="EM19" s="467"/>
      <c r="EN19" s="467"/>
      <c r="EO19" s="467"/>
      <c r="EP19" s="467"/>
      <c r="EQ19" s="467"/>
      <c r="ER19" s="467"/>
      <c r="ES19" s="467"/>
      <c r="ET19" s="467"/>
      <c r="EU19" s="467"/>
      <c r="EV19" s="289"/>
      <c r="EW19" s="189"/>
      <c r="EX19" s="442">
        <f t="shared" si="29"/>
        <v>0</v>
      </c>
      <c r="EY19" s="408"/>
      <c r="EZ19" s="289"/>
      <c r="FA19" s="289"/>
      <c r="FB19" s="289"/>
      <c r="FC19" s="289"/>
      <c r="FD19" s="289"/>
      <c r="FE19" s="289"/>
      <c r="FF19" s="289"/>
      <c r="FG19" s="289"/>
      <c r="FH19" s="289"/>
      <c r="FI19" s="289"/>
      <c r="FJ19" s="289"/>
      <c r="FK19" s="289"/>
      <c r="FL19" s="289"/>
      <c r="FM19" s="289"/>
      <c r="FN19" s="289"/>
      <c r="FO19" s="289"/>
      <c r="FP19" s="289"/>
      <c r="FQ19" s="289"/>
      <c r="FR19" s="289"/>
      <c r="FS19" s="289"/>
      <c r="FT19" s="289"/>
      <c r="FU19" s="289"/>
      <c r="FV19" s="289"/>
      <c r="FW19" s="289"/>
      <c r="FX19" s="289"/>
      <c r="FY19" s="289"/>
      <c r="FZ19" s="289"/>
      <c r="GA19" s="289"/>
      <c r="GB19" s="289"/>
      <c r="GC19" s="289"/>
      <c r="GD19" s="289"/>
      <c r="GE19" s="289"/>
      <c r="GF19" s="289"/>
      <c r="GG19" s="289"/>
      <c r="GH19" s="289"/>
      <c r="GI19" s="289"/>
      <c r="GJ19" s="289"/>
      <c r="GK19" s="289"/>
      <c r="GL19" s="289"/>
      <c r="GM19" s="289"/>
      <c r="GN19" s="289"/>
      <c r="GO19" s="289"/>
      <c r="GP19" s="289"/>
      <c r="GQ19" s="289"/>
      <c r="GR19" s="289"/>
      <c r="GS19" s="289"/>
      <c r="GT19" s="289"/>
      <c r="GU19" s="289"/>
      <c r="GV19" s="289"/>
      <c r="GW19" s="289"/>
      <c r="GX19" s="289"/>
      <c r="GY19" s="289"/>
      <c r="GZ19" s="289"/>
      <c r="HA19" s="289"/>
      <c r="HB19" s="289"/>
      <c r="HC19" s="289"/>
      <c r="HD19" s="289"/>
      <c r="HE19" s="289"/>
      <c r="HF19" s="289"/>
      <c r="HG19" s="289"/>
      <c r="HH19" s="289"/>
      <c r="HI19" s="289"/>
      <c r="HJ19" s="289"/>
      <c r="HK19" s="289"/>
      <c r="HL19" s="289"/>
      <c r="HM19" s="289"/>
      <c r="HN19" s="289"/>
      <c r="HO19" s="289"/>
      <c r="HP19" s="289"/>
      <c r="HQ19" s="289"/>
      <c r="HR19" s="289"/>
      <c r="HS19" s="289"/>
      <c r="HT19" s="289"/>
      <c r="HU19" s="289"/>
      <c r="HV19" s="289"/>
      <c r="HW19" s="289"/>
      <c r="HX19" s="289"/>
      <c r="HY19" s="289"/>
      <c r="HZ19" s="289"/>
      <c r="IA19" s="289"/>
      <c r="IB19" s="289"/>
      <c r="IC19" s="289"/>
      <c r="ID19" s="289"/>
      <c r="IE19" s="289"/>
      <c r="IF19" s="289"/>
      <c r="IG19" s="289"/>
      <c r="IH19" s="289"/>
      <c r="II19" s="289"/>
      <c r="IJ19" s="289"/>
      <c r="IK19" s="289"/>
      <c r="IL19" s="289"/>
      <c r="IM19" s="289"/>
      <c r="IN19" s="289"/>
      <c r="IO19" s="289"/>
      <c r="IP19" s="289"/>
      <c r="IQ19" s="289"/>
      <c r="IR19" s="289"/>
      <c r="IS19" s="289"/>
      <c r="IT19" s="289"/>
      <c r="IU19" s="289"/>
      <c r="IV19" s="289"/>
      <c r="IW19" s="289"/>
      <c r="IX19" s="289"/>
    </row>
    <row r="20" spans="1:258" s="21" customFormat="1" ht="16.5" customHeight="1">
      <c r="A20" s="461" t="s">
        <v>924</v>
      </c>
      <c r="B20" s="289"/>
      <c r="C20" s="1251">
        <f t="shared" si="30"/>
        <v>42379</v>
      </c>
      <c r="D20" s="443">
        <f t="shared" si="31"/>
        <v>42379</v>
      </c>
      <c r="E20" s="424">
        <f ca="1">IF(D20&lt;TODAY(),IF(AT_!CG20="","",+AT_!CG20),"")</f>
        <v>96</v>
      </c>
      <c r="F20" s="424">
        <f>IF(AT_!CH20="","",+AT_!CH20)</f>
        <v>224</v>
      </c>
      <c r="G20" s="424">
        <f>IF(AT_!CF20="","",+AT_!CF20)</f>
        <v>172</v>
      </c>
      <c r="H20" s="424">
        <f>IF(AT_!CI20="","",+AT_!CI20)</f>
        <v>69</v>
      </c>
      <c r="I20" s="424">
        <f>IF(AT_!BS20="","",+AT_!BS20)</f>
        <v>19</v>
      </c>
      <c r="J20" s="425">
        <f>IF(AT_!BU20="","",+AT_!BU20)</f>
        <v>6.3</v>
      </c>
      <c r="K20" s="425">
        <f>IF(AT_!BT20="","",+AT_!BT20)</f>
        <v>6.8</v>
      </c>
      <c r="L20" s="425">
        <f>IF(AT_!BV20="","",+AT_!BV20)</f>
        <v>6.7</v>
      </c>
      <c r="M20" s="425">
        <f>IF(AT_!BX20="","",+AT_!BX20)</f>
        <v>6.3</v>
      </c>
      <c r="N20" s="425">
        <f>IF(AT_!BW20="","",+AT_!BW20)</f>
        <v>6.7</v>
      </c>
      <c r="O20" s="425">
        <f>IF(AT_!BY20="","",+AT_!BY20)</f>
        <v>6.5</v>
      </c>
      <c r="P20" s="425"/>
      <c r="Q20" s="425"/>
      <c r="R20" s="424">
        <f>IF(AT_!AC20="","",+AT_!AC20)</f>
        <v>76</v>
      </c>
      <c r="S20" s="424">
        <f>IF(AT_!$AF20="","",AT_!$AF20)</f>
        <v>12</v>
      </c>
      <c r="T20" s="424">
        <f>IF(AT_!G20="","",+AT_!G20)</f>
        <v>107</v>
      </c>
      <c r="U20" s="2660">
        <f>IF(AT_!$K20="","",AT_!$K20)</f>
        <v>18</v>
      </c>
      <c r="V20" s="444" t="str">
        <f t="shared" si="41"/>
        <v/>
      </c>
      <c r="W20" s="427">
        <f t="shared" si="3"/>
        <v>42379</v>
      </c>
      <c r="X20" s="428">
        <f t="shared" si="3"/>
        <v>42379</v>
      </c>
      <c r="Y20" s="429" t="str">
        <f>+AT_!FJ20</f>
        <v/>
      </c>
      <c r="Z20" s="429" t="str">
        <f>AT_!FX20</f>
        <v/>
      </c>
      <c r="AA20" s="429" t="str">
        <f>+AT_!FI20</f>
        <v/>
      </c>
      <c r="AB20" s="429" t="str">
        <f>AT_!FW20</f>
        <v/>
      </c>
      <c r="AC20" s="429">
        <f>IF(AT_!DW20="","",IF(+AT_!DW20&gt;1,ROUND(+AT_!DW20,1),+AT_!DW20))</f>
        <v>0.46</v>
      </c>
      <c r="AD20" s="430" t="str">
        <f>IF(AT_!CA20="","",+AT_!CA20)</f>
        <v/>
      </c>
      <c r="AE20" s="431">
        <f>IF(AT_!CB20="","",AT_!CB20)</f>
        <v>232</v>
      </c>
      <c r="AF20" s="2609"/>
      <c r="AG20" s="2610"/>
      <c r="AH20" s="2202"/>
      <c r="AI20" s="2681" t="str">
        <f>IF(AT_!$EN20="","",AT_!$EN20)</f>
        <v>Rain</v>
      </c>
      <c r="AJ20" s="373"/>
      <c r="AK20" s="427">
        <f t="shared" si="4"/>
        <v>42379</v>
      </c>
      <c r="AL20" s="428">
        <f t="shared" si="5"/>
        <v>42379</v>
      </c>
      <c r="AM20" s="429">
        <f>AT_!FE20</f>
        <v>6.3500000000000001E-2</v>
      </c>
      <c r="AN20" s="429">
        <f>AT_!FF20</f>
        <v>0.34949999999999998</v>
      </c>
      <c r="AO20" s="425">
        <f>IF(AT_!FG20= "","",(AT_!FG20*1.2143))</f>
        <v>9.7811864999999987</v>
      </c>
      <c r="AP20" s="425">
        <f>AT_!FH20</f>
        <v>18.605</v>
      </c>
      <c r="AQ20" s="429">
        <f>AT_!FS20</f>
        <v>0.39</v>
      </c>
      <c r="AR20" s="429">
        <f>AT_!FT20</f>
        <v>2.7</v>
      </c>
      <c r="AS20" s="425">
        <f>IF(AT_!FU20= "","",(AT_!FU20*1.2143))</f>
        <v>6.6786499999999993</v>
      </c>
      <c r="AT20" s="425">
        <f>AT_!FV20</f>
        <v>8.1999999999999993</v>
      </c>
      <c r="AU20" s="425">
        <f>IF(AT_!BO20="","",AT_!BO20)</f>
        <v>4.09</v>
      </c>
      <c r="AV20" s="424" t="str">
        <f>IF(AT_!BR20="","",AT_!BR20)</f>
        <v/>
      </c>
      <c r="AW20" s="3"/>
      <c r="AX20" s="432">
        <f>IF((SUM(AT_!O20,AT_!P20))=0,"",ROUND(IF(ISNUMBER(AT_!O20),AT_!O20,AT_!$O$42)*0.6+IF(ISNUMBER(AT_!P20),AT_!P20,AT_!$P$42)*0.4,-1))</f>
        <v>2600</v>
      </c>
      <c r="AY20" s="432">
        <f>IF((SUM(AT_!M20,AT_!N20))=0,"",ROUND((IF(ISNUMBER(AT_!M20),AT_!M20,AT_!$M$42)*0.6)+(IF(ISNUMBER(AT_!N20),AT_!N20,AT_!$N$42)*0.4),-1))</f>
        <v>1780</v>
      </c>
      <c r="AZ20" s="424">
        <f>PT_!AA20</f>
        <v>180</v>
      </c>
      <c r="BA20" s="433">
        <f>AT_!CK20</f>
        <v>63</v>
      </c>
      <c r="BB20" s="2635">
        <f ca="1">IF(E20="","",ROUND((PT_!BM20*IF(ISNUMBER(AT_!Q20),AT_!Q20,AT_!$Q$42)+IF(ISNUMBER(AT_!S20),AT_!S20,AT_!$S$42)*PT_!BN20)*8.34,0))</f>
        <v>120703</v>
      </c>
      <c r="BC20" s="373"/>
      <c r="BD20" s="3"/>
      <c r="BE20" s="3"/>
      <c r="BF20" s="3"/>
      <c r="BG20" s="3"/>
      <c r="BH20" s="373"/>
      <c r="BI20" s="377" t="s">
        <v>1059</v>
      </c>
      <c r="BJ20" s="377" t="s">
        <v>1088</v>
      </c>
      <c r="BK20" s="483">
        <f>+AT_!EH42</f>
        <v>55</v>
      </c>
      <c r="BL20" s="377" t="s">
        <v>1093</v>
      </c>
      <c r="BM20" s="377"/>
      <c r="BN20" s="377" t="s">
        <v>1058</v>
      </c>
      <c r="BO20" s="377" t="s">
        <v>1108</v>
      </c>
      <c r="BP20" s="1235">
        <f>AT_!$DE$42</f>
        <v>5022</v>
      </c>
      <c r="BQ20" s="2629" t="s">
        <v>1095</v>
      </c>
      <c r="BR20" s="373"/>
      <c r="BS20" s="289"/>
      <c r="BT20" s="289"/>
      <c r="BU20" s="289"/>
      <c r="BV20" s="289"/>
      <c r="BW20" s="289"/>
      <c r="BX20" s="289"/>
      <c r="BY20" s="289"/>
      <c r="BZ20" s="289"/>
      <c r="CA20" s="289"/>
      <c r="CB20" s="189" t="s">
        <v>109</v>
      </c>
      <c r="CC20" s="189" t="s">
        <v>126</v>
      </c>
      <c r="CD20" s="235">
        <f t="shared" si="32"/>
        <v>42379</v>
      </c>
      <c r="CE20" s="236">
        <f t="shared" ca="1" si="6"/>
        <v>60848.639999999999</v>
      </c>
      <c r="CF20" s="237">
        <f t="shared" ca="1" si="7"/>
        <v>9607.68</v>
      </c>
      <c r="CG20" s="238">
        <f t="shared" ca="1" si="8"/>
        <v>85668.479999999996</v>
      </c>
      <c r="CH20" s="239">
        <f t="shared" ca="1" si="9"/>
        <v>14411.52</v>
      </c>
      <c r="CI20" s="240">
        <f t="shared" ca="1" si="10"/>
        <v>109020.48000000001</v>
      </c>
      <c r="CJ20" s="241">
        <f t="shared" ca="1" si="11"/>
        <v>17213.759999999998</v>
      </c>
      <c r="CK20" s="241">
        <f t="shared" ca="1" si="12"/>
        <v>153489.35999999999</v>
      </c>
      <c r="CL20" s="242">
        <f t="shared" ca="1" si="13"/>
        <v>25820.639999999999</v>
      </c>
      <c r="CM20" s="243" t="str">
        <f t="shared" ref="CM20:CM34" ca="1" si="56">IF($E20&gt;0,IF($G20&gt;$C$44," ",IF(CELL("type",R20:R20)="v",R20,IF(CELL("type",R20:R20)="L",R$44,""))),"")</f>
        <v xml:space="preserve"> </v>
      </c>
      <c r="CN20" s="244" t="str">
        <f t="shared" ref="CN20:CN34" ca="1" si="57">IF($E20&gt;0,IF($G20&gt;$C$44," ",IF(CELL("type",S20:S20)="v",S20,IF(CELL("type",S20:S20)="L",S$44,""))),"")</f>
        <v xml:space="preserve"> </v>
      </c>
      <c r="CO20" s="244" t="str">
        <f t="shared" ref="CO20:CO34" ca="1" si="58">IF($E20&gt;0,IF($G20&gt;$C$44," ",IF(CELL("type",T20:T20)="v",T20,IF(CELL("type",T20:T20)="L",T$44,""))),"")</f>
        <v xml:space="preserve"> </v>
      </c>
      <c r="CP20" s="244" t="str">
        <f t="shared" ref="CP20:CP33" ca="1" si="59">IF($E20&gt;0,IF($G20&gt;$C$44," ",IF(CELL("type",U20:U20)="v",U20,IF(CELL("type",U20:U20)="L",U$44,""))),"")</f>
        <v xml:space="preserve"> </v>
      </c>
      <c r="CQ20" s="1627">
        <f t="shared" ca="1" si="52"/>
        <v>6.3500000000000001E-2</v>
      </c>
      <c r="CR20" s="1628">
        <f t="shared" ca="1" si="53"/>
        <v>0.34949999999999998</v>
      </c>
      <c r="CS20" s="1629">
        <f t="shared" ca="1" si="54"/>
        <v>9.7811864999999987</v>
      </c>
      <c r="CT20" s="1629">
        <f t="shared" ca="1" si="47"/>
        <v>18.605</v>
      </c>
      <c r="CU20" s="248">
        <f t="shared" ca="1" si="48"/>
        <v>0.39</v>
      </c>
      <c r="CV20" s="246">
        <f t="shared" ca="1" si="49"/>
        <v>2.7</v>
      </c>
      <c r="CW20" s="247">
        <f t="shared" ca="1" si="50"/>
        <v>6.6786499999999993</v>
      </c>
      <c r="CX20" s="247">
        <f t="shared" ca="1" si="51"/>
        <v>8.1999999999999993</v>
      </c>
      <c r="CY20" s="249">
        <f t="shared" ca="1" si="33"/>
        <v>19</v>
      </c>
      <c r="CZ20" s="249">
        <f t="shared" ca="1" si="34"/>
        <v>11.3</v>
      </c>
      <c r="DA20" s="250">
        <f t="shared" ca="1" si="35"/>
        <v>27255.120000000003</v>
      </c>
      <c r="DB20" s="250">
        <f t="shared" ca="1" si="36"/>
        <v>16209.624000000002</v>
      </c>
      <c r="DC20" s="251">
        <f>D20</f>
        <v>42379</v>
      </c>
      <c r="DD20" s="1410"/>
      <c r="DE20" s="484"/>
      <c r="DF20" s="365" t="s">
        <v>160</v>
      </c>
      <c r="DG20" s="365"/>
      <c r="DH20" s="485"/>
      <c r="DI20" s="365" t="s">
        <v>171</v>
      </c>
      <c r="DJ20" s="365"/>
      <c r="DK20" s="365"/>
      <c r="DL20" s="365"/>
      <c r="DM20" s="365"/>
      <c r="DN20" s="365"/>
      <c r="DO20" s="365"/>
      <c r="DP20" s="365"/>
      <c r="DQ20" s="365"/>
      <c r="DR20" s="365"/>
      <c r="DS20" s="417">
        <f t="shared" si="37"/>
        <v>1</v>
      </c>
      <c r="DT20" s="439">
        <f t="shared" si="38"/>
        <v>42379</v>
      </c>
      <c r="DU20" s="440">
        <f t="shared" si="21"/>
        <v>42379</v>
      </c>
      <c r="DV20" s="403" t="str">
        <f t="shared" si="22"/>
        <v/>
      </c>
      <c r="DW20" s="403" t="str">
        <f t="shared" si="22"/>
        <v/>
      </c>
      <c r="DX20" s="403" t="str">
        <f t="shared" si="22"/>
        <v/>
      </c>
      <c r="DY20" s="403" t="str">
        <f t="shared" si="39"/>
        <v/>
      </c>
      <c r="DZ20" s="403" t="str">
        <f t="shared" si="40"/>
        <v/>
      </c>
      <c r="EA20" s="403" t="str">
        <f t="shared" si="23"/>
        <v/>
      </c>
      <c r="EB20" s="403" t="str">
        <f t="shared" si="24"/>
        <v/>
      </c>
      <c r="EC20" s="403" t="str">
        <f t="shared" si="25"/>
        <v/>
      </c>
      <c r="ED20" s="403" t="str">
        <f t="shared" si="26"/>
        <v/>
      </c>
      <c r="EE20" s="403" t="str">
        <f t="shared" si="27"/>
        <v/>
      </c>
      <c r="EF20" s="403" t="str">
        <f t="shared" si="28"/>
        <v/>
      </c>
      <c r="EG20" s="404"/>
      <c r="EH20" s="398"/>
      <c r="EI20" s="398"/>
      <c r="EJ20" s="486"/>
      <c r="EK20" s="467"/>
      <c r="EL20" s="467"/>
      <c r="EM20" s="467"/>
      <c r="EN20" s="467"/>
      <c r="EO20" s="467"/>
      <c r="EP20" s="467"/>
      <c r="EQ20" s="467"/>
      <c r="ER20" s="467"/>
      <c r="ES20" s="467"/>
      <c r="ET20" s="467"/>
      <c r="EU20" s="467"/>
      <c r="EV20" s="289"/>
      <c r="EW20" s="189"/>
      <c r="EX20" s="442">
        <f t="shared" si="29"/>
        <v>0</v>
      </c>
      <c r="EY20" s="408"/>
      <c r="EZ20" s="289"/>
      <c r="FA20" s="289"/>
      <c r="FB20" s="289"/>
      <c r="FC20" s="289"/>
      <c r="FD20" s="289"/>
      <c r="FE20" s="289"/>
      <c r="FF20" s="289"/>
      <c r="FG20" s="289"/>
      <c r="FH20" s="289"/>
      <c r="FI20" s="289"/>
      <c r="FJ20" s="289"/>
      <c r="FK20" s="289"/>
      <c r="FL20" s="289"/>
      <c r="FM20" s="289"/>
      <c r="FN20" s="289"/>
      <c r="FO20" s="289"/>
      <c r="FP20" s="289"/>
      <c r="FQ20" s="289"/>
      <c r="FR20" s="289"/>
      <c r="FS20" s="289"/>
      <c r="FT20" s="289"/>
      <c r="FU20" s="289"/>
      <c r="FV20" s="289"/>
      <c r="FW20" s="289"/>
      <c r="FX20" s="289"/>
      <c r="FY20" s="289"/>
      <c r="FZ20" s="289"/>
      <c r="GA20" s="289"/>
      <c r="GB20" s="289"/>
      <c r="GC20" s="289"/>
      <c r="GD20" s="289"/>
      <c r="GE20" s="289"/>
      <c r="GF20" s="289"/>
      <c r="GG20" s="289"/>
      <c r="GH20" s="289"/>
      <c r="GI20" s="289"/>
      <c r="GJ20" s="289"/>
      <c r="GK20" s="289"/>
      <c r="GL20" s="289"/>
      <c r="GM20" s="289"/>
      <c r="GN20" s="289"/>
      <c r="GO20" s="289"/>
      <c r="GP20" s="289"/>
      <c r="GQ20" s="289"/>
      <c r="GR20" s="289"/>
      <c r="GS20" s="289"/>
      <c r="GT20" s="289"/>
      <c r="GU20" s="289"/>
      <c r="GV20" s="289"/>
      <c r="GW20" s="289"/>
      <c r="GX20" s="289"/>
      <c r="GY20" s="289"/>
      <c r="GZ20" s="289"/>
      <c r="HA20" s="289"/>
      <c r="HB20" s="289"/>
      <c r="HC20" s="289"/>
      <c r="HD20" s="289"/>
      <c r="HE20" s="289"/>
      <c r="HF20" s="289"/>
      <c r="HG20" s="289"/>
      <c r="HH20" s="289"/>
      <c r="HI20" s="289"/>
      <c r="HJ20" s="289"/>
      <c r="HK20" s="289"/>
      <c r="HL20" s="289"/>
      <c r="HM20" s="289"/>
      <c r="HN20" s="289"/>
      <c r="HO20" s="289"/>
      <c r="HP20" s="289"/>
      <c r="HQ20" s="289"/>
      <c r="HR20" s="289"/>
      <c r="HS20" s="289"/>
      <c r="HT20" s="289"/>
      <c r="HU20" s="289"/>
      <c r="HV20" s="289"/>
      <c r="HW20" s="289"/>
      <c r="HX20" s="289"/>
      <c r="HY20" s="289"/>
      <c r="HZ20" s="289"/>
      <c r="IA20" s="289"/>
      <c r="IB20" s="289"/>
      <c r="IC20" s="289"/>
      <c r="ID20" s="289"/>
      <c r="IE20" s="289"/>
      <c r="IF20" s="289"/>
      <c r="IG20" s="289"/>
      <c r="IH20" s="289"/>
      <c r="II20" s="289"/>
      <c r="IJ20" s="289"/>
      <c r="IK20" s="289"/>
      <c r="IL20" s="289"/>
      <c r="IM20" s="289"/>
      <c r="IN20" s="289"/>
      <c r="IO20" s="289"/>
      <c r="IP20" s="289"/>
      <c r="IQ20" s="289"/>
      <c r="IR20" s="289"/>
      <c r="IS20" s="289"/>
      <c r="IT20" s="289"/>
      <c r="IU20" s="289"/>
      <c r="IV20" s="289"/>
      <c r="IW20" s="289"/>
      <c r="IX20" s="289"/>
    </row>
    <row r="21" spans="1:258" s="393" customFormat="1" ht="16.5" customHeight="1">
      <c r="A21" s="487"/>
      <c r="B21" s="487"/>
      <c r="C21" s="1251">
        <f t="shared" si="30"/>
        <v>42380</v>
      </c>
      <c r="D21" s="443">
        <f t="shared" si="31"/>
        <v>42380</v>
      </c>
      <c r="E21" s="1293">
        <f ca="1">IF(D21&lt;TODAY(),IF(AT_!CG21="","",+AT_!CG21),"")</f>
        <v>96</v>
      </c>
      <c r="F21" s="1293">
        <f>IF(AT_!CH21="","",+AT_!CH21)</f>
        <v>128</v>
      </c>
      <c r="G21" s="1293">
        <f>IF(AT_!CF21="","",+AT_!CF21)</f>
        <v>96</v>
      </c>
      <c r="H21" s="1293">
        <f>IF(AT_!CI21="","",+AT_!CI21)</f>
        <v>59</v>
      </c>
      <c r="I21" s="1293">
        <f>IF(AT_!BS21="","",+AT_!BS21)</f>
        <v>16</v>
      </c>
      <c r="J21" s="1294">
        <f>IF(AT_!BU21="","",+AT_!BU21)</f>
        <v>6.6</v>
      </c>
      <c r="K21" s="1294">
        <f>IF(AT_!BT21="","",+AT_!BT21)</f>
        <v>7.4</v>
      </c>
      <c r="L21" s="1294">
        <f>IF(AT_!BV21="","",+AT_!BV21)</f>
        <v>6.9</v>
      </c>
      <c r="M21" s="1294">
        <f>IF(AT_!BX21="","",+AT_!BX21)</f>
        <v>6.1</v>
      </c>
      <c r="N21" s="1294">
        <f>IF(AT_!BW21="","",+AT_!BW21)</f>
        <v>6.7</v>
      </c>
      <c r="O21" s="1294">
        <f>IF(AT_!BY21="","",+AT_!BY21)</f>
        <v>6.5</v>
      </c>
      <c r="P21" s="425"/>
      <c r="Q21" s="425"/>
      <c r="R21" s="424">
        <f>IF(AT_!AC21="","",+AT_!AC21)</f>
        <v>113</v>
      </c>
      <c r="S21" s="424">
        <f>IF(AT_!$AF21="","",AT_!$AF21)</f>
        <v>3</v>
      </c>
      <c r="T21" s="1293">
        <f>IF(AT_!G21="","",+AT_!G21)</f>
        <v>116</v>
      </c>
      <c r="U21" s="2662">
        <f>IF(AT_!$K21="","",AT_!$K21)</f>
        <v>6</v>
      </c>
      <c r="V21" s="444" t="str">
        <f t="shared" si="41"/>
        <v/>
      </c>
      <c r="W21" s="427">
        <f t="shared" si="3"/>
        <v>42380</v>
      </c>
      <c r="X21" s="488">
        <f t="shared" si="3"/>
        <v>42380</v>
      </c>
      <c r="Y21" s="1295" t="str">
        <f>+AT_!FJ21</f>
        <v/>
      </c>
      <c r="Z21" s="1295" t="str">
        <f>AT_!FX21</f>
        <v/>
      </c>
      <c r="AA21" s="1295" t="str">
        <f>+AT_!FI21</f>
        <v/>
      </c>
      <c r="AB21" s="1295" t="str">
        <f>AT_!FW21</f>
        <v/>
      </c>
      <c r="AC21" s="429">
        <f>IF(AT_!DW21="","",IF(+AT_!DW21&gt;1,ROUND(+AT_!DW21,1),+AT_!DW21))</f>
        <v>0.44</v>
      </c>
      <c r="AD21" s="430" t="str">
        <f>IF(AT_!CA21="","",+AT_!CA21)</f>
        <v/>
      </c>
      <c r="AE21" s="431">
        <f>IF(AT_!CB21="","",AT_!CB21)</f>
        <v>13</v>
      </c>
      <c r="AF21" s="2609"/>
      <c r="AG21" s="2610"/>
      <c r="AH21" s="2064"/>
      <c r="AI21" s="2682" t="str">
        <f>IF(AT_!$EN21="","",AT_!$EN21)</f>
        <v>Clear</v>
      </c>
      <c r="AJ21" s="489"/>
      <c r="AK21" s="427">
        <f t="shared" si="4"/>
        <v>42380</v>
      </c>
      <c r="AL21" s="488">
        <f t="shared" si="5"/>
        <v>42380</v>
      </c>
      <c r="AM21" s="1295">
        <f>AT_!FE21</f>
        <v>0.1195</v>
      </c>
      <c r="AN21" s="1295">
        <f>AT_!FF21</f>
        <v>0.2525</v>
      </c>
      <c r="AO21" s="425">
        <f>IF(AT_!FG21= "","",(AT_!FG21*1.2143))</f>
        <v>21.997044499999998</v>
      </c>
      <c r="AP21" s="1294">
        <f>AT_!FH21</f>
        <v>36.234999999999999</v>
      </c>
      <c r="AQ21" s="1295">
        <f>AT_!FS21</f>
        <v>0.51</v>
      </c>
      <c r="AR21" s="1295">
        <f>AT_!FT21</f>
        <v>3.35</v>
      </c>
      <c r="AS21" s="425">
        <f>IF(AT_!FU21= "","",(AT_!FU21*1.2143))</f>
        <v>9.5929699999999993</v>
      </c>
      <c r="AT21" s="1294">
        <f>AT_!FV21</f>
        <v>9.4</v>
      </c>
      <c r="AU21" s="1294">
        <f>IF(AT_!BO21="","",AT_!BO21)</f>
        <v>5.03</v>
      </c>
      <c r="AV21" s="1293" t="str">
        <f>IF(AT_!BR21="","",AT_!BR21)</f>
        <v/>
      </c>
      <c r="AW21" s="3"/>
      <c r="AX21" s="432">
        <f>IF((SUM(AT_!O21,AT_!P21))=0,"",ROUND(IF(ISNUMBER(AT_!O21),AT_!O21,AT_!$O$42)*0.6+IF(ISNUMBER(AT_!P21),AT_!P21,AT_!$P$42)*0.4,-1))</f>
        <v>4180</v>
      </c>
      <c r="AY21" s="432">
        <f>IF((SUM(AT_!M21,AT_!N21))=0,"",ROUND((IF(ISNUMBER(AT_!M21),AT_!M21,AT_!$M$42)*0.6)+(IF(ISNUMBER(AT_!N21),AT_!N21,AT_!$N$42)*0.4),-1))</f>
        <v>2540</v>
      </c>
      <c r="AZ21" s="1293">
        <f>PT_!AA21</f>
        <v>350</v>
      </c>
      <c r="BA21" s="433">
        <f>AT_!CK21</f>
        <v>61</v>
      </c>
      <c r="BB21" s="2635">
        <f ca="1">IF(E21="","",ROUND((PT_!BM21*IF(ISNUMBER(AT_!Q21),AT_!Q21,AT_!$Q$42)+IF(ISNUMBER(AT_!S21),AT_!S21,AT_!$S$42)*PT_!BN21)*8.34,0))</f>
        <v>71841</v>
      </c>
      <c r="BC21" s="489"/>
      <c r="BD21" s="490"/>
      <c r="BE21" s="490"/>
      <c r="BF21" s="490"/>
      <c r="BG21" s="490"/>
      <c r="BH21" s="489"/>
      <c r="BI21" s="377" t="s">
        <v>1060</v>
      </c>
      <c r="BJ21" s="377" t="s">
        <v>1089</v>
      </c>
      <c r="BK21" s="396">
        <v>0</v>
      </c>
      <c r="BL21" s="377" t="s">
        <v>1093</v>
      </c>
      <c r="BM21" s="377"/>
      <c r="BN21" s="377" t="s">
        <v>1059</v>
      </c>
      <c r="BO21" s="377" t="s">
        <v>1109</v>
      </c>
      <c r="BP21" s="396">
        <f>AT_!$DF$42</f>
        <v>7938</v>
      </c>
      <c r="BQ21" s="2629" t="s">
        <v>1095</v>
      </c>
      <c r="BR21" s="489"/>
      <c r="BS21" s="487"/>
      <c r="BT21" s="487"/>
      <c r="BU21" s="487"/>
      <c r="BV21" s="487"/>
      <c r="BW21" s="487"/>
      <c r="BX21" s="487"/>
      <c r="BY21" s="289"/>
      <c r="BZ21" s="289"/>
      <c r="CA21" s="487"/>
      <c r="CB21" s="189" t="s">
        <v>110</v>
      </c>
      <c r="CC21" s="189" t="s">
        <v>127</v>
      </c>
      <c r="CD21" s="235">
        <f t="shared" si="32"/>
        <v>42380</v>
      </c>
      <c r="CE21" s="236">
        <f t="shared" ca="1" si="6"/>
        <v>90472.319999999992</v>
      </c>
      <c r="CF21" s="237">
        <f t="shared" ca="1" si="7"/>
        <v>2401.92</v>
      </c>
      <c r="CG21" s="238">
        <f t="shared" ca="1" si="8"/>
        <v>92874.239999999991</v>
      </c>
      <c r="CH21" s="239">
        <f t="shared" ca="1" si="9"/>
        <v>4803.84</v>
      </c>
      <c r="CI21" s="240">
        <f t="shared" ca="1" si="10"/>
        <v>90472.319999999992</v>
      </c>
      <c r="CJ21" s="241">
        <f t="shared" ca="1" si="11"/>
        <v>2401.92</v>
      </c>
      <c r="CK21" s="241">
        <f t="shared" ca="1" si="12"/>
        <v>92874.239999999991</v>
      </c>
      <c r="CL21" s="242">
        <f t="shared" ca="1" si="13"/>
        <v>4803.84</v>
      </c>
      <c r="CM21" s="243">
        <f t="shared" ca="1" si="56"/>
        <v>113</v>
      </c>
      <c r="CN21" s="244">
        <f t="shared" ca="1" si="57"/>
        <v>3</v>
      </c>
      <c r="CO21" s="244">
        <f t="shared" ca="1" si="58"/>
        <v>116</v>
      </c>
      <c r="CP21" s="244">
        <f t="shared" ca="1" si="59"/>
        <v>6</v>
      </c>
      <c r="CQ21" s="1627">
        <f t="shared" ca="1" si="52"/>
        <v>0.1195</v>
      </c>
      <c r="CR21" s="1628">
        <f t="shared" ca="1" si="53"/>
        <v>0.2525</v>
      </c>
      <c r="CS21" s="1629">
        <f t="shared" ca="1" si="54"/>
        <v>21.997044499999998</v>
      </c>
      <c r="CT21" s="1629">
        <f t="shared" ca="1" si="47"/>
        <v>36.234999999999999</v>
      </c>
      <c r="CU21" s="248">
        <f t="shared" ca="1" si="48"/>
        <v>0.51</v>
      </c>
      <c r="CV21" s="246">
        <f t="shared" ca="1" si="49"/>
        <v>3.35</v>
      </c>
      <c r="CW21" s="247">
        <f t="shared" ca="1" si="50"/>
        <v>9.5929699999999993</v>
      </c>
      <c r="CX21" s="247">
        <f t="shared" ca="1" si="51"/>
        <v>9.4</v>
      </c>
      <c r="CY21" s="249">
        <f t="shared" ca="1" si="33"/>
        <v>36.6</v>
      </c>
      <c r="CZ21" s="249">
        <f t="shared" ca="1" si="34"/>
        <v>13.3</v>
      </c>
      <c r="DA21" s="250">
        <f t="shared" ca="1" si="35"/>
        <v>29303.424000000003</v>
      </c>
      <c r="DB21" s="250">
        <f t="shared" ca="1" si="36"/>
        <v>10648.511999999999</v>
      </c>
      <c r="DC21" s="251">
        <f t="shared" si="20"/>
        <v>42380</v>
      </c>
      <c r="DD21" s="1416"/>
      <c r="DE21" s="484"/>
      <c r="DF21" s="418" t="s">
        <v>974</v>
      </c>
      <c r="DG21" s="418" t="s">
        <v>975</v>
      </c>
      <c r="DH21" s="418" t="s">
        <v>168</v>
      </c>
      <c r="DI21" s="418" t="s">
        <v>172</v>
      </c>
      <c r="DJ21" s="491" t="s">
        <v>175</v>
      </c>
      <c r="DK21" s="491" t="s">
        <v>176</v>
      </c>
      <c r="DL21" s="491" t="s">
        <v>177</v>
      </c>
      <c r="DM21" s="491" t="s">
        <v>178</v>
      </c>
      <c r="DN21" s="491" t="s">
        <v>982</v>
      </c>
      <c r="DO21" s="491" t="s">
        <v>181</v>
      </c>
      <c r="DP21" s="491" t="s">
        <v>182</v>
      </c>
      <c r="DQ21" s="491" t="s">
        <v>183</v>
      </c>
      <c r="DR21" s="491" t="s">
        <v>184</v>
      </c>
      <c r="DS21" s="417">
        <f t="shared" si="37"/>
        <v>2</v>
      </c>
      <c r="DT21" s="439">
        <f t="shared" si="38"/>
        <v>42380</v>
      </c>
      <c r="DU21" s="440">
        <f t="shared" si="21"/>
        <v>42380</v>
      </c>
      <c r="DV21" s="491" t="str">
        <f t="shared" si="22"/>
        <v/>
      </c>
      <c r="DW21" s="491" t="str">
        <f t="shared" si="22"/>
        <v/>
      </c>
      <c r="DX21" s="491" t="str">
        <f t="shared" si="22"/>
        <v/>
      </c>
      <c r="DY21" s="491" t="str">
        <f t="shared" si="39"/>
        <v/>
      </c>
      <c r="DZ21" s="491" t="str">
        <f t="shared" si="40"/>
        <v/>
      </c>
      <c r="EA21" s="491" t="str">
        <f t="shared" si="23"/>
        <v/>
      </c>
      <c r="EB21" s="491" t="str">
        <f t="shared" si="24"/>
        <v/>
      </c>
      <c r="EC21" s="491" t="str">
        <f t="shared" si="25"/>
        <v/>
      </c>
      <c r="ED21" s="491" t="str">
        <f t="shared" si="26"/>
        <v/>
      </c>
      <c r="EE21" s="491" t="str">
        <f t="shared" si="27"/>
        <v/>
      </c>
      <c r="EF21" s="491" t="str">
        <f t="shared" si="28"/>
        <v/>
      </c>
      <c r="EG21" s="492"/>
      <c r="EH21" s="367"/>
      <c r="EI21" s="367"/>
      <c r="EJ21" s="467"/>
      <c r="EK21" s="467"/>
      <c r="EL21" s="467"/>
      <c r="EM21" s="467"/>
      <c r="EN21" s="467"/>
      <c r="EO21" s="467"/>
      <c r="EP21" s="467"/>
      <c r="EQ21" s="467"/>
      <c r="ER21" s="467"/>
      <c r="ES21" s="467"/>
      <c r="ET21" s="467"/>
      <c r="EU21" s="467"/>
      <c r="EV21" s="487"/>
      <c r="EW21" s="189"/>
      <c r="EX21" s="442">
        <f t="shared" si="29"/>
        <v>0</v>
      </c>
      <c r="EY21" s="493"/>
      <c r="EZ21" s="487"/>
      <c r="FA21" s="487"/>
      <c r="FB21" s="487"/>
      <c r="FC21" s="487"/>
      <c r="FD21" s="487"/>
      <c r="FE21" s="487"/>
      <c r="FF21" s="487"/>
      <c r="FG21" s="487"/>
      <c r="FH21" s="487"/>
      <c r="FI21" s="487"/>
      <c r="FJ21" s="487"/>
      <c r="FK21" s="487"/>
      <c r="FL21" s="487"/>
      <c r="FM21" s="487"/>
      <c r="FN21" s="487"/>
      <c r="FO21" s="487"/>
      <c r="FP21" s="487"/>
      <c r="FQ21" s="487"/>
      <c r="FR21" s="487"/>
      <c r="FS21" s="487"/>
      <c r="FT21" s="487"/>
      <c r="FU21" s="487"/>
      <c r="FV21" s="487"/>
      <c r="FW21" s="487"/>
      <c r="FX21" s="487"/>
      <c r="FY21" s="487"/>
      <c r="FZ21" s="487"/>
      <c r="GA21" s="487"/>
      <c r="GB21" s="487"/>
      <c r="GC21" s="487"/>
      <c r="GD21" s="487"/>
      <c r="GE21" s="487"/>
      <c r="GF21" s="487"/>
      <c r="GG21" s="487"/>
      <c r="GH21" s="487"/>
      <c r="GI21" s="487"/>
      <c r="GJ21" s="487"/>
      <c r="GK21" s="487"/>
      <c r="GL21" s="487"/>
      <c r="GM21" s="487"/>
      <c r="GN21" s="487"/>
      <c r="GO21" s="487"/>
      <c r="GP21" s="487"/>
      <c r="GQ21" s="487"/>
      <c r="GR21" s="487"/>
      <c r="GS21" s="487"/>
      <c r="GT21" s="487"/>
      <c r="GU21" s="487"/>
      <c r="GV21" s="487"/>
      <c r="GW21" s="487"/>
      <c r="GX21" s="487"/>
      <c r="GY21" s="487"/>
      <c r="GZ21" s="487"/>
      <c r="HA21" s="487"/>
      <c r="HB21" s="487"/>
      <c r="HC21" s="487"/>
      <c r="HD21" s="487"/>
      <c r="HE21" s="487"/>
      <c r="HF21" s="487"/>
      <c r="HG21" s="487"/>
      <c r="HH21" s="487"/>
      <c r="HI21" s="487"/>
      <c r="HJ21" s="487"/>
      <c r="HK21" s="487"/>
      <c r="HL21" s="487"/>
      <c r="HM21" s="487"/>
      <c r="HN21" s="487"/>
      <c r="HO21" s="487"/>
      <c r="HP21" s="487"/>
      <c r="HQ21" s="487"/>
      <c r="HR21" s="487"/>
      <c r="HS21" s="487"/>
      <c r="HT21" s="487"/>
      <c r="HU21" s="487"/>
      <c r="HV21" s="487"/>
      <c r="HW21" s="487"/>
      <c r="HX21" s="487"/>
      <c r="HY21" s="487"/>
      <c r="HZ21" s="487"/>
      <c r="IA21" s="487"/>
      <c r="IB21" s="487"/>
      <c r="IC21" s="487"/>
      <c r="ID21" s="487"/>
      <c r="IE21" s="487"/>
      <c r="IF21" s="487"/>
      <c r="IG21" s="487"/>
      <c r="IH21" s="487"/>
      <c r="II21" s="487"/>
      <c r="IJ21" s="487"/>
      <c r="IK21" s="487"/>
      <c r="IL21" s="487"/>
      <c r="IM21" s="487"/>
      <c r="IN21" s="487"/>
      <c r="IO21" s="487"/>
      <c r="IP21" s="487"/>
      <c r="IQ21" s="487"/>
      <c r="IR21" s="487"/>
      <c r="IS21" s="487"/>
      <c r="IT21" s="487"/>
      <c r="IU21" s="487"/>
      <c r="IV21" s="487"/>
      <c r="IW21" s="487"/>
      <c r="IX21" s="487"/>
    </row>
    <row r="22" spans="1:258" s="393" customFormat="1" ht="16.5" customHeight="1">
      <c r="A22" s="487"/>
      <c r="B22" s="487"/>
      <c r="C22" s="1251">
        <f t="shared" si="30"/>
        <v>42381</v>
      </c>
      <c r="D22" s="443">
        <f t="shared" si="31"/>
        <v>42381</v>
      </c>
      <c r="E22" s="1293">
        <f ca="1">IF(D22&lt;TODAY(),IF(AT_!CG22="","",+AT_!CG22),"")</f>
        <v>94</v>
      </c>
      <c r="F22" s="1293">
        <f>IF(AT_!CH22="","",+AT_!CH22)</f>
        <v>115</v>
      </c>
      <c r="G22" s="1293">
        <f>IF(AT_!CF22="","",+AT_!CF22)</f>
        <v>94</v>
      </c>
      <c r="H22" s="1293">
        <f>IF(AT_!CI22="","",+AT_!CI22)</f>
        <v>64</v>
      </c>
      <c r="I22" s="1293">
        <f>IF(AT_!BS22="","",+AT_!BS22)</f>
        <v>16</v>
      </c>
      <c r="J22" s="1294">
        <f>IF(AT_!BU22="","",+AT_!BU22)</f>
        <v>6.2</v>
      </c>
      <c r="K22" s="1294">
        <f>IF(AT_!BT22="","",+AT_!BT22)</f>
        <v>7</v>
      </c>
      <c r="L22" s="1294">
        <f>IF(AT_!BV22="","",+AT_!BV22)</f>
        <v>6.8</v>
      </c>
      <c r="M22" s="1294">
        <f>IF(AT_!BX22="","",+AT_!BX22)</f>
        <v>6.3</v>
      </c>
      <c r="N22" s="1294">
        <f>IF(AT_!BW22="","",+AT_!BW22)</f>
        <v>6.6</v>
      </c>
      <c r="O22" s="1294">
        <f>IF(AT_!BY22="","",+AT_!BY22)</f>
        <v>6.5</v>
      </c>
      <c r="P22" s="425"/>
      <c r="Q22" s="425"/>
      <c r="R22" s="424">
        <f>IF(AT_!AC22="","",+AT_!AC22)</f>
        <v>117</v>
      </c>
      <c r="S22" s="424">
        <f>IF(AT_!$AF22="","",AT_!$AF22)</f>
        <v>2</v>
      </c>
      <c r="T22" s="1293">
        <f>IF(AT_!G22="","",+AT_!G22)</f>
        <v>110</v>
      </c>
      <c r="U22" s="2662">
        <f>IF(AT_!$K22="","",AT_!$K22)</f>
        <v>5</v>
      </c>
      <c r="V22" s="444" t="str">
        <f t="shared" si="41"/>
        <v/>
      </c>
      <c r="W22" s="427">
        <f t="shared" si="3"/>
        <v>42381</v>
      </c>
      <c r="X22" s="488">
        <f t="shared" si="3"/>
        <v>42381</v>
      </c>
      <c r="Y22" s="1295" t="str">
        <f>+AT_!FJ22</f>
        <v/>
      </c>
      <c r="Z22" s="1295" t="str">
        <f>AT_!FX22</f>
        <v/>
      </c>
      <c r="AA22" s="1295" t="str">
        <f>+AT_!FI22</f>
        <v/>
      </c>
      <c r="AB22" s="1295" t="str">
        <f>AT_!FW22</f>
        <v/>
      </c>
      <c r="AC22" s="429">
        <f>IF(AT_!DW22="","",IF(+AT_!DW22&gt;1,ROUND(+AT_!DW22,1),+AT_!DW22))</f>
        <v>0.45</v>
      </c>
      <c r="AD22" s="430" t="str">
        <f>IF(AT_!CA22="","",+AT_!CA22)</f>
        <v/>
      </c>
      <c r="AE22" s="431">
        <f>IF(AT_!CB22="","",AT_!CB22)</f>
        <v>2</v>
      </c>
      <c r="AF22" s="2609"/>
      <c r="AG22" s="2610"/>
      <c r="AH22" s="2064"/>
      <c r="AI22" s="2682" t="str">
        <f>IF(AT_!$EN22="","",AT_!$EN22)</f>
        <v>Clear</v>
      </c>
      <c r="AJ22" s="489"/>
      <c r="AK22" s="427">
        <f t="shared" si="4"/>
        <v>42381</v>
      </c>
      <c r="AL22" s="488">
        <f t="shared" si="5"/>
        <v>42381</v>
      </c>
      <c r="AM22" s="1295">
        <f>AT_!FE22</f>
        <v>7.6500000000000012E-2</v>
      </c>
      <c r="AN22" s="1295">
        <f>AT_!FF22</f>
        <v>0.10300000000000001</v>
      </c>
      <c r="AO22" s="425">
        <f>IF(AT_!FG22= "","",(AT_!FG22*1.2143))</f>
        <v>24.043140000000001</v>
      </c>
      <c r="AP22" s="1294">
        <f>AT_!FH22</f>
        <v>34.99</v>
      </c>
      <c r="AQ22" s="1295">
        <f>AT_!FS22</f>
        <v>0.56000000000000005</v>
      </c>
      <c r="AR22" s="1295">
        <f>AT_!FT22</f>
        <v>3.61</v>
      </c>
      <c r="AS22" s="425">
        <f>IF(AT_!FU22= "","",(AT_!FU22*1.2143))</f>
        <v>12.993009999999998</v>
      </c>
      <c r="AT22" s="1294">
        <f>AT_!FV22</f>
        <v>12.9</v>
      </c>
      <c r="AU22" s="1294">
        <f>IF(AT_!BO22="","",AT_!BO22)</f>
        <v>4.72</v>
      </c>
      <c r="AV22" s="1293">
        <f>IF(AT_!BR22="","",AT_!BR22)</f>
        <v>340</v>
      </c>
      <c r="AW22" s="3"/>
      <c r="AX22" s="432">
        <f>IF((SUM(AT_!O22,AT_!P22))=0,"",ROUND(IF(ISNUMBER(AT_!O22),AT_!O22,AT_!$O$42)*0.6+IF(ISNUMBER(AT_!P22),AT_!P22,AT_!$P$42)*0.4,-1))</f>
        <v>4560</v>
      </c>
      <c r="AY22" s="432">
        <f>IF((SUM(AT_!M22,AT_!N22))=0,"",ROUND((IF(ISNUMBER(AT_!M22),AT_!M22,AT_!$M$42)*0.6)+(IF(ISNUMBER(AT_!N22),AT_!N22,AT_!$N$42)*0.4),-1))</f>
        <v>2620</v>
      </c>
      <c r="AZ22" s="1293">
        <f>PT_!AA22</f>
        <v>310</v>
      </c>
      <c r="BA22" s="433">
        <f>AT_!CK22</f>
        <v>61</v>
      </c>
      <c r="BB22" s="2635">
        <f ca="1">IF(E22="","",ROUND((PT_!BM22*IF(ISNUMBER(AT_!Q22),AT_!Q22,AT_!$Q$42)+IF(ISNUMBER(AT_!S22),AT_!S22,AT_!$S$42)*PT_!BN22)*8.34,0))</f>
        <v>83769</v>
      </c>
      <c r="BC22" s="489"/>
      <c r="BD22" s="490"/>
      <c r="BE22" s="490"/>
      <c r="BF22" s="490"/>
      <c r="BG22" s="490"/>
      <c r="BH22" s="489"/>
      <c r="BI22" s="1239" t="s">
        <v>1061</v>
      </c>
      <c r="BJ22" s="1239" t="s">
        <v>1090</v>
      </c>
      <c r="BK22" s="494">
        <v>0</v>
      </c>
      <c r="BL22" s="1239" t="s">
        <v>1096</v>
      </c>
      <c r="BM22" s="1239"/>
      <c r="BN22" s="1239" t="s">
        <v>1060</v>
      </c>
      <c r="BO22" s="1239" t="s">
        <v>1110</v>
      </c>
      <c r="BP22" s="494">
        <f>AT_!$DH$42</f>
        <v>0</v>
      </c>
      <c r="BQ22" s="2629" t="s">
        <v>1095</v>
      </c>
      <c r="BR22" s="489"/>
      <c r="BS22" s="487"/>
      <c r="BT22" s="487"/>
      <c r="BU22" s="487"/>
      <c r="BV22" s="487"/>
      <c r="BW22" s="487"/>
      <c r="BX22" s="487"/>
      <c r="BY22" s="289"/>
      <c r="BZ22" s="487"/>
      <c r="CA22" s="487"/>
      <c r="CB22" s="189" t="s">
        <v>111</v>
      </c>
      <c r="CC22" s="189" t="s">
        <v>128</v>
      </c>
      <c r="CD22" s="235">
        <f t="shared" si="32"/>
        <v>42381</v>
      </c>
      <c r="CE22" s="236">
        <f t="shared" ca="1" si="6"/>
        <v>91723.319999999992</v>
      </c>
      <c r="CF22" s="237">
        <f t="shared" ca="1" si="7"/>
        <v>1567.92</v>
      </c>
      <c r="CG22" s="238">
        <f t="shared" ca="1" si="8"/>
        <v>86235.599999999991</v>
      </c>
      <c r="CH22" s="239">
        <f t="shared" ca="1" si="9"/>
        <v>3919.8</v>
      </c>
      <c r="CI22" s="240">
        <f t="shared" ca="1" si="10"/>
        <v>91723.319999999992</v>
      </c>
      <c r="CJ22" s="241">
        <f t="shared" ca="1" si="11"/>
        <v>1567.92</v>
      </c>
      <c r="CK22" s="241">
        <f t="shared" ca="1" si="12"/>
        <v>86235.599999999991</v>
      </c>
      <c r="CL22" s="242">
        <f t="shared" ca="1" si="13"/>
        <v>3919.8</v>
      </c>
      <c r="CM22" s="243">
        <f t="shared" ca="1" si="56"/>
        <v>117</v>
      </c>
      <c r="CN22" s="244">
        <f t="shared" ca="1" si="57"/>
        <v>2</v>
      </c>
      <c r="CO22" s="244">
        <f t="shared" ca="1" si="58"/>
        <v>110</v>
      </c>
      <c r="CP22" s="244">
        <f t="shared" ca="1" si="59"/>
        <v>5</v>
      </c>
      <c r="CQ22" s="1627">
        <f t="shared" ca="1" si="52"/>
        <v>7.6500000000000012E-2</v>
      </c>
      <c r="CR22" s="1628">
        <f t="shared" ca="1" si="53"/>
        <v>0.10300000000000001</v>
      </c>
      <c r="CS22" s="1629">
        <f t="shared" ca="1" si="54"/>
        <v>24.043140000000001</v>
      </c>
      <c r="CT22" s="1629">
        <f t="shared" ca="1" si="47"/>
        <v>34.99</v>
      </c>
      <c r="CU22" s="248">
        <f t="shared" ca="1" si="48"/>
        <v>0.56000000000000005</v>
      </c>
      <c r="CV22" s="246">
        <f t="shared" ca="1" si="49"/>
        <v>3.61</v>
      </c>
      <c r="CW22" s="247">
        <f t="shared" ca="1" si="50"/>
        <v>12.993009999999998</v>
      </c>
      <c r="CX22" s="247">
        <f t="shared" ca="1" si="51"/>
        <v>12.9</v>
      </c>
      <c r="CY22" s="249">
        <f t="shared" ca="1" si="33"/>
        <v>35.200000000000003</v>
      </c>
      <c r="CZ22" s="249">
        <f t="shared" ca="1" si="34"/>
        <v>17.100000000000001</v>
      </c>
      <c r="DA22" s="250">
        <f t="shared" ca="1" si="35"/>
        <v>27595.392000000003</v>
      </c>
      <c r="DB22" s="250">
        <f t="shared" ca="1" si="36"/>
        <v>13405.716</v>
      </c>
      <c r="DC22" s="251">
        <f t="shared" si="20"/>
        <v>42381</v>
      </c>
      <c r="DD22" s="1416"/>
      <c r="DE22" s="484"/>
      <c r="DF22" s="439">
        <f t="shared" ref="DF22:DF27" si="60">+DG22</f>
        <v>42364</v>
      </c>
      <c r="DG22" s="495">
        <f>DG23-1</f>
        <v>42364</v>
      </c>
      <c r="DH22" s="496">
        <v>91</v>
      </c>
      <c r="DI22" s="496">
        <v>102</v>
      </c>
      <c r="DJ22" s="496">
        <v>124</v>
      </c>
      <c r="DK22" s="496">
        <v>4</v>
      </c>
      <c r="DL22" s="496">
        <v>175</v>
      </c>
      <c r="DM22" s="496">
        <v>3</v>
      </c>
      <c r="DN22" s="496">
        <v>1</v>
      </c>
      <c r="DO22" s="497">
        <v>105484.32</v>
      </c>
      <c r="DP22" s="497">
        <v>3402.72</v>
      </c>
      <c r="DQ22" s="497">
        <v>148869</v>
      </c>
      <c r="DR22" s="497">
        <v>2552.04</v>
      </c>
      <c r="DS22" s="417">
        <f t="shared" si="37"/>
        <v>3</v>
      </c>
      <c r="DT22" s="439">
        <f t="shared" si="38"/>
        <v>42381</v>
      </c>
      <c r="DU22" s="440">
        <f t="shared" ref="DU22:DU38" si="61">$D22</f>
        <v>42381</v>
      </c>
      <c r="DV22" s="491" t="str">
        <f t="shared" si="22"/>
        <v/>
      </c>
      <c r="DW22" s="491" t="str">
        <f t="shared" si="22"/>
        <v/>
      </c>
      <c r="DX22" s="491" t="str">
        <f t="shared" si="22"/>
        <v/>
      </c>
      <c r="DY22" s="491" t="str">
        <f t="shared" si="39"/>
        <v/>
      </c>
      <c r="DZ22" s="491" t="str">
        <f t="shared" si="40"/>
        <v/>
      </c>
      <c r="EA22" s="491" t="str">
        <f t="shared" si="23"/>
        <v/>
      </c>
      <c r="EB22" s="491" t="str">
        <f t="shared" si="24"/>
        <v/>
      </c>
      <c r="EC22" s="491" t="str">
        <f t="shared" si="25"/>
        <v/>
      </c>
      <c r="ED22" s="491" t="str">
        <f t="shared" si="26"/>
        <v/>
      </c>
      <c r="EE22" s="491" t="str">
        <f t="shared" si="27"/>
        <v/>
      </c>
      <c r="EF22" s="491" t="str">
        <f t="shared" si="28"/>
        <v/>
      </c>
      <c r="EG22" s="492"/>
      <c r="EH22" s="367"/>
      <c r="EI22" s="367"/>
      <c r="EJ22" s="467"/>
      <c r="EK22" s="467"/>
      <c r="EL22" s="467"/>
      <c r="EM22" s="467"/>
      <c r="EN22" s="467"/>
      <c r="EO22" s="467"/>
      <c r="EP22" s="467"/>
      <c r="EQ22" s="467"/>
      <c r="ER22" s="467"/>
      <c r="ES22" s="467"/>
      <c r="ET22" s="467"/>
      <c r="EU22" s="467"/>
      <c r="EV22" s="487"/>
      <c r="EW22" s="189"/>
      <c r="EX22" s="442">
        <f t="shared" si="29"/>
        <v>0</v>
      </c>
      <c r="EY22" s="493"/>
      <c r="EZ22" s="487"/>
      <c r="FA22" s="487"/>
      <c r="FB22" s="487"/>
      <c r="FC22" s="487"/>
      <c r="FD22" s="487"/>
      <c r="FE22" s="487"/>
      <c r="FF22" s="487"/>
      <c r="FG22" s="487"/>
      <c r="FH22" s="487"/>
      <c r="FI22" s="487"/>
      <c r="FJ22" s="487"/>
      <c r="FK22" s="487"/>
      <c r="FL22" s="487"/>
      <c r="FM22" s="487"/>
      <c r="FN22" s="487"/>
      <c r="FO22" s="487"/>
      <c r="FP22" s="487"/>
      <c r="FQ22" s="487"/>
      <c r="FR22" s="487"/>
      <c r="FS22" s="487"/>
      <c r="FT22" s="487"/>
      <c r="FU22" s="487"/>
      <c r="FV22" s="487"/>
      <c r="FW22" s="487"/>
      <c r="FX22" s="487"/>
      <c r="FY22" s="487"/>
      <c r="FZ22" s="487"/>
      <c r="GA22" s="487"/>
      <c r="GB22" s="487"/>
      <c r="GC22" s="487"/>
      <c r="GD22" s="487"/>
      <c r="GE22" s="487"/>
      <c r="GF22" s="487"/>
      <c r="GG22" s="487"/>
      <c r="GH22" s="487"/>
      <c r="GI22" s="487"/>
      <c r="GJ22" s="487"/>
      <c r="GK22" s="487"/>
      <c r="GL22" s="487"/>
      <c r="GM22" s="487"/>
      <c r="GN22" s="487"/>
      <c r="GO22" s="487"/>
      <c r="GP22" s="487"/>
      <c r="GQ22" s="487"/>
      <c r="GR22" s="487"/>
      <c r="GS22" s="487"/>
      <c r="GT22" s="487"/>
      <c r="GU22" s="487"/>
      <c r="GV22" s="487"/>
      <c r="GW22" s="487"/>
      <c r="GX22" s="487"/>
      <c r="GY22" s="487"/>
      <c r="GZ22" s="487"/>
      <c r="HA22" s="487"/>
      <c r="HB22" s="487"/>
      <c r="HC22" s="487"/>
      <c r="HD22" s="487"/>
      <c r="HE22" s="487"/>
      <c r="HF22" s="487"/>
      <c r="HG22" s="487"/>
      <c r="HH22" s="487"/>
      <c r="HI22" s="487"/>
      <c r="HJ22" s="487"/>
      <c r="HK22" s="487"/>
      <c r="HL22" s="487"/>
      <c r="HM22" s="487"/>
      <c r="HN22" s="487"/>
      <c r="HO22" s="487"/>
      <c r="HP22" s="487"/>
      <c r="HQ22" s="487"/>
      <c r="HR22" s="487"/>
      <c r="HS22" s="487"/>
      <c r="HT22" s="487"/>
      <c r="HU22" s="487"/>
      <c r="HV22" s="487"/>
      <c r="HW22" s="487"/>
      <c r="HX22" s="487"/>
      <c r="HY22" s="487"/>
      <c r="HZ22" s="487"/>
      <c r="IA22" s="487"/>
      <c r="IB22" s="487"/>
      <c r="IC22" s="487"/>
      <c r="ID22" s="487"/>
      <c r="IE22" s="487"/>
      <c r="IF22" s="487"/>
      <c r="IG22" s="487"/>
      <c r="IH22" s="487"/>
      <c r="II22" s="487"/>
      <c r="IJ22" s="487"/>
      <c r="IK22" s="487"/>
      <c r="IL22" s="487"/>
      <c r="IM22" s="487"/>
      <c r="IN22" s="487"/>
      <c r="IO22" s="487"/>
      <c r="IP22" s="487"/>
      <c r="IQ22" s="487"/>
      <c r="IR22" s="487"/>
      <c r="IS22" s="487"/>
      <c r="IT22" s="487"/>
      <c r="IU22" s="487"/>
      <c r="IV22" s="487"/>
      <c r="IW22" s="487"/>
      <c r="IX22" s="487"/>
    </row>
    <row r="23" spans="1:258" s="393" customFormat="1" ht="16.5" customHeight="1">
      <c r="A23" s="487"/>
      <c r="B23" s="487"/>
      <c r="C23" s="1251">
        <f t="shared" si="30"/>
        <v>42382</v>
      </c>
      <c r="D23" s="443">
        <f t="shared" si="31"/>
        <v>42382</v>
      </c>
      <c r="E23" s="424">
        <f ca="1">IF(D23&lt;TODAY(),IF(AT_!CG23="","",+AT_!CG23),"")</f>
        <v>90</v>
      </c>
      <c r="F23" s="424">
        <f>IF(AT_!CH23="","",+AT_!CH23)</f>
        <v>117</v>
      </c>
      <c r="G23" s="424">
        <f>IF(AT_!CF23="","",+AT_!CF23)</f>
        <v>90</v>
      </c>
      <c r="H23" s="424">
        <f>IF(AT_!CI23="","",+AT_!CI23)</f>
        <v>41</v>
      </c>
      <c r="I23" s="424">
        <f>IF(AT_!BS23="","",+AT_!BS23)</f>
        <v>17</v>
      </c>
      <c r="J23" s="1294">
        <f>IF(AT_!BU23="","",+AT_!BU23)</f>
        <v>6.7</v>
      </c>
      <c r="K23" s="1294">
        <f>IF(AT_!BT23="","",+AT_!BT23)</f>
        <v>7.2</v>
      </c>
      <c r="L23" s="1294">
        <f>IF(AT_!BV23="","",+AT_!BV23)</f>
        <v>6.9</v>
      </c>
      <c r="M23" s="1294">
        <f>IF(AT_!BX23="","",+AT_!BX23)</f>
        <v>6.3</v>
      </c>
      <c r="N23" s="1294">
        <f>IF(AT_!BW23="","",+AT_!BW23)</f>
        <v>6.7</v>
      </c>
      <c r="O23" s="1294">
        <f>IF(AT_!BY23="","",+AT_!BY23)</f>
        <v>6.5</v>
      </c>
      <c r="P23" s="425"/>
      <c r="Q23" s="425"/>
      <c r="R23" s="424">
        <f>IF(AT_!AC23="","",+AT_!AC23)</f>
        <v>134</v>
      </c>
      <c r="S23" s="424">
        <f>IF(AT_!$AF23="","",AT_!$AF23)</f>
        <v>6</v>
      </c>
      <c r="T23" s="1293">
        <f>IF(AT_!G23="","",+AT_!G23)</f>
        <v>136</v>
      </c>
      <c r="U23" s="2662">
        <f>IF(AT_!$K23="","",AT_!$K23)</f>
        <v>21</v>
      </c>
      <c r="V23" s="444" t="str">
        <f t="shared" si="41"/>
        <v/>
      </c>
      <c r="W23" s="427">
        <f t="shared" si="3"/>
        <v>42382</v>
      </c>
      <c r="X23" s="488">
        <f t="shared" si="3"/>
        <v>42382</v>
      </c>
      <c r="Y23" s="1295" t="str">
        <f>+AT_!FJ23</f>
        <v/>
      </c>
      <c r="Z23" s="1295" t="str">
        <f>AT_!FX23</f>
        <v/>
      </c>
      <c r="AA23" s="1295" t="str">
        <f>+AT_!FI23</f>
        <v/>
      </c>
      <c r="AB23" s="1295" t="str">
        <f>AT_!FW23</f>
        <v/>
      </c>
      <c r="AC23" s="429">
        <f>IF(AT_!DW23="","",IF(+AT_!DW23&gt;1,ROUND(+AT_!DW23,1),+AT_!DW23))</f>
        <v>0.42</v>
      </c>
      <c r="AD23" s="430" t="str">
        <f>IF(AT_!CA23="","",+AT_!CA23)</f>
        <v/>
      </c>
      <c r="AE23" s="431">
        <f>IF(AT_!CB23="","",AT_!CB23)</f>
        <v>12</v>
      </c>
      <c r="AF23" s="2609"/>
      <c r="AG23" s="2610"/>
      <c r="AH23" s="2064"/>
      <c r="AI23" s="2682" t="str">
        <f>IF(AT_!$EN23="","",AT_!$EN23)</f>
        <v>Clear</v>
      </c>
      <c r="AJ23" s="489"/>
      <c r="AK23" s="427">
        <f t="shared" si="4"/>
        <v>42382</v>
      </c>
      <c r="AL23" s="488">
        <f t="shared" si="5"/>
        <v>42382</v>
      </c>
      <c r="AM23" s="1295">
        <f>AT_!FE23</f>
        <v>6.6500000000000004E-2</v>
      </c>
      <c r="AN23" s="1295">
        <f>AT_!FF23</f>
        <v>7.9499999999999987E-2</v>
      </c>
      <c r="AO23" s="425">
        <f>IF(AT_!FG23= "","",(AT_!FG23*1.2143))</f>
        <v>27.837827499999996</v>
      </c>
      <c r="AP23" s="1294">
        <f>AT_!FH23</f>
        <v>35.435000000000002</v>
      </c>
      <c r="AQ23" s="1295">
        <f>AT_!FS23</f>
        <v>0.56999999999999995</v>
      </c>
      <c r="AR23" s="1295">
        <f>AT_!FT23</f>
        <v>3.65</v>
      </c>
      <c r="AS23" s="425">
        <f>IF(AT_!FU23= "","",(AT_!FU23*1.2143))</f>
        <v>16.150189999999998</v>
      </c>
      <c r="AT23" s="1294">
        <f>AT_!FV23</f>
        <v>16.100000000000001</v>
      </c>
      <c r="AU23" s="1294">
        <f>IF(AT_!BO23="","",AT_!BO23)</f>
        <v>4.57</v>
      </c>
      <c r="AV23" s="1293" t="str">
        <f>IF(AT_!BR23="","",AT_!BR23)</f>
        <v/>
      </c>
      <c r="AW23" s="3"/>
      <c r="AX23" s="432">
        <f>IF((SUM(AT_!O23,AT_!P23))=0,"",ROUND(IF(ISNUMBER(AT_!O23),AT_!O23,AT_!$O$42)*0.6+IF(ISNUMBER(AT_!P23),AT_!P23,AT_!$P$42)*0.4,-1))</f>
        <v>2620</v>
      </c>
      <c r="AY23" s="432">
        <f>IF((SUM(AT_!M23,AT_!N23))=0,"",ROUND((IF(ISNUMBER(AT_!M23),AT_!M23,AT_!$M$42)*0.6)+(IF(ISNUMBER(AT_!N23),AT_!N23,AT_!$N$42)*0.4),-1))</f>
        <v>2680</v>
      </c>
      <c r="AZ23" s="1293">
        <f>PT_!AA23</f>
        <v>430</v>
      </c>
      <c r="BA23" s="433">
        <f>AT_!CK23</f>
        <v>62</v>
      </c>
      <c r="BB23" s="2635">
        <f ca="1">IF(E23="","",ROUND((PT_!BM23*IF(ISNUMBER(AT_!Q23),AT_!Q23,AT_!$Q$42)+IF(ISNUMBER(AT_!S23),AT_!S23,AT_!$S$42)*PT_!BN23)*8.34,0))</f>
        <v>97714</v>
      </c>
      <c r="BC23" s="489"/>
      <c r="BD23" s="490"/>
      <c r="BE23" s="490"/>
      <c r="BF23" s="490"/>
      <c r="BG23" s="490"/>
      <c r="BH23" s="489"/>
      <c r="BI23" s="1239" t="s">
        <v>1062</v>
      </c>
      <c r="BJ23" s="1239" t="s">
        <v>1091</v>
      </c>
      <c r="BK23" s="494">
        <v>0</v>
      </c>
      <c r="BL23" s="1239" t="s">
        <v>1095</v>
      </c>
      <c r="BM23" s="1239"/>
      <c r="BN23" s="1239"/>
      <c r="BO23" s="1239"/>
      <c r="BP23" s="498"/>
      <c r="BQ23" s="2693"/>
      <c r="BR23" s="489"/>
      <c r="BS23" s="487"/>
      <c r="BT23" s="487"/>
      <c r="BU23" s="487"/>
      <c r="BV23" s="487"/>
      <c r="BW23" s="487"/>
      <c r="BX23" s="487"/>
      <c r="BZ23" s="487"/>
      <c r="CA23" s="487"/>
      <c r="CB23" s="189" t="s">
        <v>112</v>
      </c>
      <c r="CC23" s="253" t="s">
        <v>129</v>
      </c>
      <c r="CD23" s="235">
        <f t="shared" si="32"/>
        <v>42382</v>
      </c>
      <c r="CE23" s="236">
        <f t="shared" ca="1" si="6"/>
        <v>100580.4</v>
      </c>
      <c r="CF23" s="237">
        <f t="shared" ca="1" si="7"/>
        <v>4503.6000000000004</v>
      </c>
      <c r="CG23" s="238">
        <f t="shared" ca="1" si="8"/>
        <v>102081.60000000001</v>
      </c>
      <c r="CH23" s="239">
        <f t="shared" ca="1" si="9"/>
        <v>15762.599999999999</v>
      </c>
      <c r="CI23" s="240">
        <f t="shared" ca="1" si="10"/>
        <v>100580.4</v>
      </c>
      <c r="CJ23" s="241">
        <f t="shared" ca="1" si="11"/>
        <v>4503.6000000000004</v>
      </c>
      <c r="CK23" s="241">
        <f t="shared" ca="1" si="12"/>
        <v>102081.60000000001</v>
      </c>
      <c r="CL23" s="242">
        <f t="shared" ca="1" si="13"/>
        <v>15762.599999999999</v>
      </c>
      <c r="CM23" s="243">
        <f t="shared" ca="1" si="56"/>
        <v>134</v>
      </c>
      <c r="CN23" s="244">
        <f t="shared" ca="1" si="57"/>
        <v>6</v>
      </c>
      <c r="CO23" s="244">
        <f t="shared" ca="1" si="58"/>
        <v>136</v>
      </c>
      <c r="CP23" s="244">
        <f t="shared" ca="1" si="59"/>
        <v>21</v>
      </c>
      <c r="CQ23" s="1627">
        <f t="shared" ca="1" si="52"/>
        <v>6.6500000000000004E-2</v>
      </c>
      <c r="CR23" s="1628">
        <f t="shared" ca="1" si="53"/>
        <v>7.9499999999999987E-2</v>
      </c>
      <c r="CS23" s="1629">
        <f t="shared" ca="1" si="54"/>
        <v>27.837827499999996</v>
      </c>
      <c r="CT23" s="1629">
        <f t="shared" ca="1" si="47"/>
        <v>35.435000000000002</v>
      </c>
      <c r="CU23" s="248">
        <f t="shared" ca="1" si="48"/>
        <v>0.56999999999999995</v>
      </c>
      <c r="CV23" s="246">
        <f t="shared" ca="1" si="49"/>
        <v>3.65</v>
      </c>
      <c r="CW23" s="247">
        <f t="shared" ca="1" si="50"/>
        <v>16.150189999999998</v>
      </c>
      <c r="CX23" s="247">
        <f ca="1">IF($E23&gt;0,IF(SUM($AQ23:$AT23)&gt;0,IF(CELL("type",AT23:AT23)="V",AT23,IF(CELL("type",AT23:AT23)="L",CX$8,"")),""),"")</f>
        <v>16.100000000000001</v>
      </c>
      <c r="CY23" s="249">
        <f t="shared" ca="1" si="33"/>
        <v>35.6</v>
      </c>
      <c r="CZ23" s="249">
        <f t="shared" ca="1" si="34"/>
        <v>20.3</v>
      </c>
      <c r="DA23" s="250">
        <f t="shared" ca="1" si="35"/>
        <v>26721.360000000001</v>
      </c>
      <c r="DB23" s="250">
        <f t="shared" ca="1" si="36"/>
        <v>15237.179999999998</v>
      </c>
      <c r="DC23" s="251">
        <f t="shared" si="20"/>
        <v>42382</v>
      </c>
      <c r="DD23" s="1410"/>
      <c r="DE23" s="484"/>
      <c r="DF23" s="439">
        <f t="shared" si="60"/>
        <v>42365</v>
      </c>
      <c r="DG23" s="495">
        <f>DG24-1</f>
        <v>42365</v>
      </c>
      <c r="DH23" s="496">
        <v>100</v>
      </c>
      <c r="DI23" s="496">
        <v>100</v>
      </c>
      <c r="DJ23" s="496">
        <v>114</v>
      </c>
      <c r="DK23" s="496">
        <v>4</v>
      </c>
      <c r="DL23" s="496">
        <v>154</v>
      </c>
      <c r="DM23" s="496">
        <v>3</v>
      </c>
      <c r="DN23" s="496">
        <v>31</v>
      </c>
      <c r="DO23" s="497">
        <v>95076</v>
      </c>
      <c r="DP23" s="497">
        <v>3336</v>
      </c>
      <c r="DQ23" s="497">
        <v>128435.99999999999</v>
      </c>
      <c r="DR23" s="497">
        <v>2502</v>
      </c>
      <c r="DS23" s="417">
        <f t="shared" si="37"/>
        <v>4</v>
      </c>
      <c r="DT23" s="439">
        <f t="shared" si="38"/>
        <v>42382</v>
      </c>
      <c r="DU23" s="440">
        <f t="shared" si="61"/>
        <v>42382</v>
      </c>
      <c r="DV23" s="403" t="str">
        <f t="shared" si="22"/>
        <v/>
      </c>
      <c r="DW23" s="403" t="str">
        <f t="shared" si="22"/>
        <v/>
      </c>
      <c r="DX23" s="403" t="str">
        <f t="shared" si="22"/>
        <v/>
      </c>
      <c r="DY23" s="403" t="str">
        <f t="shared" si="39"/>
        <v/>
      </c>
      <c r="DZ23" s="403" t="str">
        <f t="shared" si="40"/>
        <v/>
      </c>
      <c r="EA23" s="403" t="str">
        <f t="shared" si="23"/>
        <v/>
      </c>
      <c r="EB23" s="403" t="str">
        <f t="shared" si="24"/>
        <v/>
      </c>
      <c r="EC23" s="403" t="str">
        <f t="shared" si="25"/>
        <v/>
      </c>
      <c r="ED23" s="403" t="str">
        <f t="shared" si="26"/>
        <v/>
      </c>
      <c r="EE23" s="403" t="str">
        <f t="shared" si="27"/>
        <v/>
      </c>
      <c r="EF23" s="403" t="str">
        <f t="shared" si="28"/>
        <v/>
      </c>
      <c r="EG23" s="492"/>
      <c r="EH23" s="367"/>
      <c r="EI23" s="367" t="s">
        <v>195</v>
      </c>
      <c r="EJ23" s="367"/>
      <c r="EK23" s="367"/>
      <c r="EL23" s="367"/>
      <c r="EM23" s="367"/>
      <c r="EN23" s="367"/>
      <c r="EO23" s="367"/>
      <c r="EP23" s="367"/>
      <c r="EQ23" s="367"/>
      <c r="ER23" s="367"/>
      <c r="ES23" s="367"/>
      <c r="ET23" s="367"/>
      <c r="EU23" s="367"/>
      <c r="EV23" s="487"/>
      <c r="EW23" s="189"/>
      <c r="EX23" s="442">
        <f t="shared" si="29"/>
        <v>0</v>
      </c>
      <c r="EY23" s="493"/>
      <c r="EZ23" s="487"/>
      <c r="FA23" s="487"/>
      <c r="FB23" s="487"/>
      <c r="FC23" s="487"/>
      <c r="FD23" s="487"/>
      <c r="FE23" s="487"/>
      <c r="FF23" s="487"/>
      <c r="FG23" s="487"/>
      <c r="FH23" s="487"/>
      <c r="FI23" s="487"/>
      <c r="FJ23" s="487"/>
      <c r="FK23" s="487"/>
      <c r="FL23" s="487"/>
      <c r="FM23" s="487"/>
      <c r="FN23" s="487"/>
      <c r="FO23" s="487"/>
      <c r="FP23" s="487"/>
      <c r="FQ23" s="487"/>
      <c r="FR23" s="487"/>
      <c r="FS23" s="487"/>
      <c r="FT23" s="487"/>
      <c r="FU23" s="487"/>
      <c r="FV23" s="487"/>
      <c r="FW23" s="487"/>
      <c r="FX23" s="487"/>
      <c r="FY23" s="487"/>
      <c r="FZ23" s="487"/>
      <c r="GA23" s="487"/>
      <c r="GB23" s="487"/>
      <c r="GC23" s="487"/>
      <c r="GD23" s="487"/>
      <c r="GE23" s="487"/>
      <c r="GF23" s="487"/>
      <c r="GG23" s="487"/>
      <c r="GH23" s="487"/>
      <c r="GI23" s="487"/>
      <c r="GJ23" s="487"/>
      <c r="GK23" s="487"/>
      <c r="GL23" s="487"/>
      <c r="GM23" s="487"/>
      <c r="GN23" s="487"/>
      <c r="GO23" s="487"/>
      <c r="GP23" s="487"/>
      <c r="GQ23" s="487"/>
      <c r="GR23" s="487"/>
      <c r="GS23" s="487"/>
      <c r="GT23" s="487"/>
      <c r="GU23" s="487"/>
      <c r="GV23" s="487"/>
      <c r="GW23" s="487"/>
      <c r="GX23" s="487"/>
      <c r="GY23" s="487"/>
      <c r="GZ23" s="487"/>
      <c r="HA23" s="487"/>
      <c r="HB23" s="487"/>
      <c r="HC23" s="487"/>
      <c r="HD23" s="487"/>
      <c r="HE23" s="487"/>
      <c r="HF23" s="487"/>
      <c r="HG23" s="487"/>
      <c r="HH23" s="487"/>
      <c r="HI23" s="487"/>
      <c r="HJ23" s="487"/>
      <c r="HK23" s="487"/>
      <c r="HL23" s="487"/>
      <c r="HM23" s="487"/>
      <c r="HN23" s="487"/>
      <c r="HO23" s="487"/>
      <c r="HP23" s="487"/>
      <c r="HQ23" s="487"/>
      <c r="HR23" s="487"/>
      <c r="HS23" s="487"/>
      <c r="HT23" s="487"/>
      <c r="HU23" s="487"/>
      <c r="HV23" s="487"/>
      <c r="HW23" s="487"/>
      <c r="HX23" s="487"/>
      <c r="HY23" s="487"/>
      <c r="HZ23" s="487"/>
      <c r="IA23" s="487"/>
      <c r="IB23" s="487"/>
      <c r="IC23" s="487"/>
      <c r="ID23" s="487"/>
      <c r="IE23" s="487"/>
      <c r="IF23" s="487"/>
      <c r="IG23" s="487"/>
      <c r="IH23" s="487"/>
      <c r="II23" s="487"/>
      <c r="IJ23" s="487"/>
      <c r="IK23" s="487"/>
      <c r="IL23" s="487"/>
      <c r="IM23" s="487"/>
      <c r="IN23" s="487"/>
      <c r="IO23" s="487"/>
      <c r="IP23" s="487"/>
      <c r="IQ23" s="487"/>
      <c r="IR23" s="487"/>
      <c r="IS23" s="487"/>
      <c r="IT23" s="487"/>
      <c r="IU23" s="487"/>
      <c r="IV23" s="487"/>
      <c r="IW23" s="487"/>
      <c r="IX23" s="487"/>
    </row>
    <row r="24" spans="1:258" s="393" customFormat="1" ht="16.5" customHeight="1">
      <c r="A24" s="487"/>
      <c r="B24" s="487"/>
      <c r="C24" s="1251">
        <f t="shared" si="30"/>
        <v>42383</v>
      </c>
      <c r="D24" s="443">
        <f t="shared" si="31"/>
        <v>42383</v>
      </c>
      <c r="E24" s="424">
        <f ca="1">IF(D24&lt;TODAY(),IF(AT_!CG24="","",+AT_!CG24),"")</f>
        <v>87</v>
      </c>
      <c r="F24" s="424">
        <f>IF(AT_!CH24="","",+AT_!CH24)</f>
        <v>114</v>
      </c>
      <c r="G24" s="424">
        <f>IF(AT_!CF24="","",+AT_!CF24)</f>
        <v>87</v>
      </c>
      <c r="H24" s="424">
        <f>IF(AT_!CI24="","",+AT_!CI24)</f>
        <v>56</v>
      </c>
      <c r="I24" s="424">
        <f>IF(AT_!BS24="","",+AT_!BS24)</f>
        <v>18</v>
      </c>
      <c r="J24" s="1294">
        <f>IF(AT_!BU24="","",+AT_!BU24)</f>
        <v>6.4</v>
      </c>
      <c r="K24" s="1294">
        <f>IF(AT_!BT24="","",+AT_!BT24)</f>
        <v>7.1</v>
      </c>
      <c r="L24" s="1294">
        <f>IF(AT_!BV24="","",+AT_!BV24)</f>
        <v>6.7</v>
      </c>
      <c r="M24" s="1294">
        <f>IF(AT_!BX24="","",+AT_!BX24)</f>
        <v>6.3</v>
      </c>
      <c r="N24" s="1294">
        <f>IF(AT_!BW24="","",+AT_!BW24)</f>
        <v>7</v>
      </c>
      <c r="O24" s="1294">
        <f>IF(AT_!BY24="","",+AT_!BY24)</f>
        <v>6.6</v>
      </c>
      <c r="P24" s="425"/>
      <c r="Q24" s="425"/>
      <c r="R24" s="1293">
        <f>IF(AT_!AC24="","",+AT_!AC24)</f>
        <v>129</v>
      </c>
      <c r="S24" s="424">
        <f>IF(AT_!$AF24="","",AT_!$AF24)</f>
        <v>8</v>
      </c>
      <c r="T24" s="1293">
        <f>IF(AT_!G24="","",+AT_!G24)</f>
        <v>119</v>
      </c>
      <c r="U24" s="2662">
        <f>IF(AT_!$K24="","",AT_!$K24)</f>
        <v>24</v>
      </c>
      <c r="V24" s="444" t="str">
        <f t="shared" si="41"/>
        <v/>
      </c>
      <c r="W24" s="427">
        <f t="shared" si="3"/>
        <v>42383</v>
      </c>
      <c r="X24" s="488">
        <f t="shared" si="3"/>
        <v>42383</v>
      </c>
      <c r="Y24" s="1295" t="str">
        <f>+AT_!FJ24</f>
        <v/>
      </c>
      <c r="Z24" s="1295" t="str">
        <f>AT_!FX24</f>
        <v/>
      </c>
      <c r="AA24" s="1295" t="str">
        <f>+AT_!FI24</f>
        <v/>
      </c>
      <c r="AB24" s="1295" t="str">
        <f>AT_!FW24</f>
        <v/>
      </c>
      <c r="AC24" s="429">
        <f>IF(AT_!DW24="","",IF(+AT_!DW24&gt;1,ROUND(+AT_!DW24,1),+AT_!DW24))</f>
        <v>0.41</v>
      </c>
      <c r="AD24" s="430" t="str">
        <f>IF(AT_!CA24="","",+AT_!CA24)</f>
        <v/>
      </c>
      <c r="AE24" s="431">
        <f>IF(AT_!CB24="","",AT_!CB24)</f>
        <v>13</v>
      </c>
      <c r="AF24" s="2609"/>
      <c r="AG24" s="2610"/>
      <c r="AH24" s="2064"/>
      <c r="AI24" s="2682" t="str">
        <f>IF(AT_!$EN24="","",AT_!$EN24)</f>
        <v>Clear</v>
      </c>
      <c r="AJ24" s="489"/>
      <c r="AK24" s="427">
        <f t="shared" si="4"/>
        <v>42383</v>
      </c>
      <c r="AL24" s="488">
        <f t="shared" si="5"/>
        <v>42383</v>
      </c>
      <c r="AM24" s="1295">
        <f>AT_!FE24</f>
        <v>3.6500000000000005E-2</v>
      </c>
      <c r="AN24" s="1295">
        <f>AT_!FF24</f>
        <v>0.12250000000000001</v>
      </c>
      <c r="AO24" s="425">
        <f>IF(AT_!FG24= "","",(AT_!FG24*1.2143))</f>
        <v>29.452846500000003</v>
      </c>
      <c r="AP24" s="1294">
        <f>AT_!FH24</f>
        <v>37.089999999999996</v>
      </c>
      <c r="AQ24" s="1295">
        <f>AT_!FS24</f>
        <v>0.61</v>
      </c>
      <c r="AR24" s="1295">
        <f>AT_!FT24</f>
        <v>4.29</v>
      </c>
      <c r="AS24" s="425">
        <f>IF(AT_!FU24= "","",(AT_!FU24*1.2143))</f>
        <v>15.057319999999999</v>
      </c>
      <c r="AT24" s="1294">
        <f>AT_!FV24</f>
        <v>16.899999999999999</v>
      </c>
      <c r="AU24" s="1294">
        <f>IF(AT_!BO24="","",AT_!BO24)</f>
        <v>6.54</v>
      </c>
      <c r="AV24" s="1293" t="str">
        <f>IF(AT_!BR24="","",AT_!BR24)</f>
        <v/>
      </c>
      <c r="AW24" s="3"/>
      <c r="AX24" s="432">
        <f>IF((SUM(AT_!O24,AT_!P24))=0,"",ROUND(IF(ISNUMBER(AT_!O24),AT_!O24,AT_!$O$42)*0.6+IF(ISNUMBER(AT_!P24),AT_!P24,AT_!$P$42)*0.4,-1))</f>
        <v>2520</v>
      </c>
      <c r="AY24" s="432">
        <f>IF((SUM(AT_!M24,AT_!N24))=0,"",ROUND((IF(ISNUMBER(AT_!M24),AT_!M24,AT_!$M$42)*0.6)+(IF(ISNUMBER(AT_!N24),AT_!N24,AT_!$N$42)*0.4),-1))</f>
        <v>2440</v>
      </c>
      <c r="AZ24" s="1293">
        <f>PT_!AA24</f>
        <v>390</v>
      </c>
      <c r="BA24" s="433">
        <f>AT_!CK24</f>
        <v>62</v>
      </c>
      <c r="BB24" s="2635">
        <f ca="1">IF(E24="","",ROUND((PT_!BM24*IF(ISNUMBER(AT_!Q24),AT_!Q24,AT_!$Q$42)+IF(ISNUMBER(AT_!S24),AT_!S24,AT_!$S$42)*PT_!BN24)*8.34,0))</f>
        <v>74325</v>
      </c>
      <c r="BC24" s="489"/>
      <c r="BD24" s="490"/>
      <c r="BE24" s="499"/>
      <c r="BF24" s="499"/>
      <c r="BG24" s="499"/>
      <c r="BH24" s="1239"/>
      <c r="BI24" s="1239" t="s">
        <v>1065</v>
      </c>
      <c r="BJ24" s="1239" t="s">
        <v>1092</v>
      </c>
      <c r="BK24" s="494">
        <v>0</v>
      </c>
      <c r="BL24" s="377" t="s">
        <v>1093</v>
      </c>
      <c r="BM24" s="1239"/>
      <c r="BN24" s="1239"/>
      <c r="BO24" s="499"/>
      <c r="BP24" s="499"/>
      <c r="BQ24" s="2693"/>
      <c r="BR24" s="489"/>
      <c r="BS24" s="487"/>
      <c r="BT24" s="487"/>
      <c r="BU24" s="487"/>
      <c r="BV24" s="487"/>
      <c r="BW24" s="487"/>
      <c r="BX24" s="487"/>
      <c r="BZ24" s="487"/>
      <c r="CA24" s="487"/>
      <c r="CB24" s="189"/>
      <c r="CC24" s="253"/>
      <c r="CD24" s="235">
        <f t="shared" si="32"/>
        <v>42383</v>
      </c>
      <c r="CE24" s="236">
        <f t="shared" ca="1" si="6"/>
        <v>93599.819999999992</v>
      </c>
      <c r="CF24" s="237">
        <f t="shared" ca="1" si="7"/>
        <v>5804.64</v>
      </c>
      <c r="CG24" s="238">
        <f t="shared" ca="1" si="8"/>
        <v>86344.02</v>
      </c>
      <c r="CH24" s="1363">
        <f t="shared" ca="1" si="9"/>
        <v>17413.919999999998</v>
      </c>
      <c r="CI24" s="240">
        <f t="shared" ca="1" si="10"/>
        <v>93599.819999999992</v>
      </c>
      <c r="CJ24" s="241">
        <f t="shared" ca="1" si="11"/>
        <v>5804.64</v>
      </c>
      <c r="CK24" s="241">
        <f t="shared" ca="1" si="12"/>
        <v>86344.02</v>
      </c>
      <c r="CL24" s="242">
        <f t="shared" ca="1" si="13"/>
        <v>17413.919999999998</v>
      </c>
      <c r="CM24" s="243">
        <f t="shared" ca="1" si="56"/>
        <v>129</v>
      </c>
      <c r="CN24" s="244">
        <f t="shared" ca="1" si="57"/>
        <v>8</v>
      </c>
      <c r="CO24" s="244">
        <f t="shared" ca="1" si="58"/>
        <v>119</v>
      </c>
      <c r="CP24" s="244">
        <f t="shared" ca="1" si="59"/>
        <v>24</v>
      </c>
      <c r="CQ24" s="1627">
        <f t="shared" ca="1" si="52"/>
        <v>3.6500000000000005E-2</v>
      </c>
      <c r="CR24" s="1628">
        <f t="shared" ca="1" si="53"/>
        <v>0.12250000000000001</v>
      </c>
      <c r="CS24" s="1629">
        <f t="shared" ca="1" si="54"/>
        <v>29.452846500000003</v>
      </c>
      <c r="CT24" s="1629">
        <f t="shared" ref="CT24:CT33" ca="1" si="62">IF($E24&gt;0,IF(SUM($AM24:$AP24)&gt;0,IF(CELL("type",AP24:AP24)="V",AP24,IF(CELL("type",AP24:AP24)="L",CT$8,"")),""),"")</f>
        <v>37.089999999999996</v>
      </c>
      <c r="CU24" s="248">
        <f t="shared" ca="1" si="48"/>
        <v>0.61</v>
      </c>
      <c r="CV24" s="246">
        <f t="shared" ca="1" si="49"/>
        <v>4.29</v>
      </c>
      <c r="CW24" s="247">
        <f t="shared" ca="1" si="50"/>
        <v>15.057319999999999</v>
      </c>
      <c r="CX24" s="247">
        <f ca="1">IF($E24&gt;0,IF(SUM($AQ24:$AT24)&gt;0,IF(CELL("type",AT24:AT24)="V",AT24,IF(CELL("type",AT24:AT24)="L",CX$8,"")),""),"")</f>
        <v>16.899999999999999</v>
      </c>
      <c r="CY24" s="249">
        <f t="shared" ca="1" si="33"/>
        <v>37.200000000000003</v>
      </c>
      <c r="CZ24" s="249">
        <f t="shared" ca="1" si="34"/>
        <v>21.8</v>
      </c>
      <c r="DA24" s="250">
        <f t="shared" ca="1" si="35"/>
        <v>26991.576000000001</v>
      </c>
      <c r="DB24" s="250">
        <f t="shared" ca="1" si="36"/>
        <v>15817.644</v>
      </c>
      <c r="DC24" s="251">
        <f t="shared" si="20"/>
        <v>42383</v>
      </c>
      <c r="DD24" s="1416"/>
      <c r="DE24" s="484"/>
      <c r="DF24" s="439">
        <f t="shared" si="60"/>
        <v>42366</v>
      </c>
      <c r="DG24" s="495">
        <f>DG25-1</f>
        <v>42366</v>
      </c>
      <c r="DH24" s="496">
        <v>93</v>
      </c>
      <c r="DI24" s="496">
        <v>114</v>
      </c>
      <c r="DJ24" s="496">
        <v>121</v>
      </c>
      <c r="DK24" s="496">
        <v>4</v>
      </c>
      <c r="DL24" s="496">
        <v>123</v>
      </c>
      <c r="DM24" s="496">
        <v>2</v>
      </c>
      <c r="DN24" s="496">
        <v>180</v>
      </c>
      <c r="DO24" s="497">
        <v>115041.95999999999</v>
      </c>
      <c r="DP24" s="497">
        <v>3803.04</v>
      </c>
      <c r="DQ24" s="497">
        <v>116943.48</v>
      </c>
      <c r="DR24" s="497">
        <v>1901.52</v>
      </c>
      <c r="DS24" s="417">
        <f t="shared" si="37"/>
        <v>5</v>
      </c>
      <c r="DT24" s="439">
        <f t="shared" si="38"/>
        <v>42383</v>
      </c>
      <c r="DU24" s="440">
        <f t="shared" si="61"/>
        <v>42383</v>
      </c>
      <c r="DV24" s="491" t="str">
        <f t="shared" si="22"/>
        <v/>
      </c>
      <c r="DW24" s="491" t="str">
        <f t="shared" si="22"/>
        <v/>
      </c>
      <c r="DX24" s="491" t="str">
        <f t="shared" si="22"/>
        <v/>
      </c>
      <c r="DY24" s="491" t="str">
        <f t="shared" si="39"/>
        <v/>
      </c>
      <c r="DZ24" s="491" t="str">
        <f t="shared" si="40"/>
        <v/>
      </c>
      <c r="EA24" s="491" t="str">
        <f t="shared" si="23"/>
        <v/>
      </c>
      <c r="EB24" s="491" t="str">
        <f t="shared" si="24"/>
        <v/>
      </c>
      <c r="EC24" s="491" t="str">
        <f t="shared" si="25"/>
        <v/>
      </c>
      <c r="ED24" s="491" t="str">
        <f t="shared" si="26"/>
        <v/>
      </c>
      <c r="EE24" s="491" t="str">
        <f t="shared" si="27"/>
        <v/>
      </c>
      <c r="EF24" s="491" t="str">
        <f t="shared" si="28"/>
        <v/>
      </c>
      <c r="EG24" s="492"/>
      <c r="EH24" s="367"/>
      <c r="EI24" s="367"/>
      <c r="EJ24" s="367"/>
      <c r="EK24" s="367"/>
      <c r="EL24" s="367"/>
      <c r="EM24" s="367"/>
      <c r="EN24" s="367"/>
      <c r="EO24" s="367"/>
      <c r="EP24" s="367"/>
      <c r="EQ24" s="367"/>
      <c r="ER24" s="367"/>
      <c r="ES24" s="367"/>
      <c r="ET24" s="367"/>
      <c r="EU24" s="367"/>
      <c r="EV24" s="487"/>
      <c r="EW24" s="189"/>
      <c r="EX24" s="442">
        <f t="shared" si="29"/>
        <v>0</v>
      </c>
      <c r="EY24" s="493"/>
      <c r="EZ24" s="487"/>
      <c r="FA24" s="487"/>
      <c r="FB24" s="487"/>
      <c r="FC24" s="487"/>
      <c r="FD24" s="487"/>
      <c r="FE24" s="487"/>
      <c r="FF24" s="487"/>
      <c r="FG24" s="487"/>
      <c r="FH24" s="487"/>
      <c r="FI24" s="487"/>
      <c r="FJ24" s="487"/>
      <c r="FK24" s="487"/>
      <c r="FL24" s="487"/>
      <c r="FM24" s="487"/>
      <c r="FN24" s="487"/>
      <c r="FO24" s="487"/>
      <c r="FP24" s="487"/>
      <c r="FQ24" s="487"/>
      <c r="FR24" s="487"/>
      <c r="FS24" s="487"/>
      <c r="FT24" s="487"/>
      <c r="FU24" s="487"/>
      <c r="FV24" s="487"/>
      <c r="FW24" s="487"/>
      <c r="FX24" s="487"/>
      <c r="FY24" s="487"/>
      <c r="FZ24" s="487"/>
      <c r="GA24" s="487"/>
      <c r="GB24" s="487"/>
      <c r="GC24" s="487"/>
      <c r="GD24" s="487"/>
      <c r="GE24" s="487"/>
      <c r="GF24" s="487"/>
      <c r="GG24" s="487"/>
      <c r="GH24" s="487"/>
      <c r="GI24" s="487"/>
      <c r="GJ24" s="487"/>
      <c r="GK24" s="487"/>
      <c r="GL24" s="487"/>
      <c r="GM24" s="487"/>
      <c r="GN24" s="487"/>
      <c r="GO24" s="487"/>
      <c r="GP24" s="487"/>
      <c r="GQ24" s="487"/>
      <c r="GR24" s="487"/>
      <c r="GS24" s="487"/>
      <c r="GT24" s="487"/>
      <c r="GU24" s="487"/>
      <c r="GV24" s="487"/>
      <c r="GW24" s="487"/>
      <c r="GX24" s="487"/>
      <c r="GY24" s="487"/>
      <c r="GZ24" s="487"/>
      <c r="HA24" s="487"/>
      <c r="HB24" s="487"/>
      <c r="HC24" s="487"/>
      <c r="HD24" s="487"/>
      <c r="HE24" s="487"/>
      <c r="HF24" s="487"/>
      <c r="HG24" s="487"/>
      <c r="HH24" s="487"/>
      <c r="HI24" s="487"/>
      <c r="HJ24" s="487"/>
      <c r="HK24" s="487"/>
      <c r="HL24" s="487"/>
      <c r="HM24" s="487"/>
      <c r="HN24" s="487"/>
      <c r="HO24" s="487"/>
      <c r="HP24" s="487"/>
      <c r="HQ24" s="487"/>
      <c r="HR24" s="487"/>
      <c r="HS24" s="487"/>
      <c r="HT24" s="487"/>
      <c r="HU24" s="487"/>
      <c r="HV24" s="487"/>
      <c r="HW24" s="487"/>
      <c r="HX24" s="487"/>
      <c r="HY24" s="487"/>
      <c r="HZ24" s="487"/>
      <c r="IA24" s="487"/>
      <c r="IB24" s="487"/>
      <c r="IC24" s="487"/>
      <c r="ID24" s="487"/>
      <c r="IE24" s="487"/>
      <c r="IF24" s="487"/>
      <c r="IG24" s="487"/>
      <c r="IH24" s="487"/>
      <c r="II24" s="487"/>
      <c r="IJ24" s="487"/>
      <c r="IK24" s="487"/>
      <c r="IL24" s="487"/>
      <c r="IM24" s="487"/>
      <c r="IN24" s="487"/>
      <c r="IO24" s="487"/>
      <c r="IP24" s="487"/>
      <c r="IQ24" s="487"/>
      <c r="IR24" s="487"/>
      <c r="IS24" s="487"/>
      <c r="IT24" s="487"/>
      <c r="IU24" s="487"/>
      <c r="IV24" s="487"/>
      <c r="IW24" s="487"/>
      <c r="IX24" s="487"/>
    </row>
    <row r="25" spans="1:258" s="21" customFormat="1" ht="16.5" customHeight="1">
      <c r="A25" s="500"/>
      <c r="B25" s="487"/>
      <c r="C25" s="1251">
        <f t="shared" si="30"/>
        <v>42384</v>
      </c>
      <c r="D25" s="443">
        <f t="shared" si="31"/>
        <v>42384</v>
      </c>
      <c r="E25" s="424">
        <f ca="1">IF(D25&lt;TODAY(),IF(AT_!CG25="","",+AT_!CG25),"")</f>
        <v>93</v>
      </c>
      <c r="F25" s="424">
        <f>IF(AT_!CH25="","",+AT_!CH25)</f>
        <v>212</v>
      </c>
      <c r="G25" s="424">
        <f>IF(AT_!CF25="","",+AT_!CF25)</f>
        <v>116</v>
      </c>
      <c r="H25" s="424">
        <f>IF(AT_!CI25="","",+AT_!CI25)</f>
        <v>59</v>
      </c>
      <c r="I25" s="424">
        <f>IF(AT_!BS25="","",+AT_!BS25)</f>
        <v>18</v>
      </c>
      <c r="J25" s="425">
        <f>IF(AT_!BU25="","",+AT_!BU25)</f>
        <v>6.7</v>
      </c>
      <c r="K25" s="425">
        <f>IF(AT_!BT25="","",+AT_!BT25)</f>
        <v>7.3</v>
      </c>
      <c r="L25" s="425">
        <f>IF(AT_!BV25="","",+AT_!BV25)</f>
        <v>6.9</v>
      </c>
      <c r="M25" s="425">
        <f>IF(AT_!BX25="","",+AT_!BX25)</f>
        <v>6.4</v>
      </c>
      <c r="N25" s="425">
        <f>IF(AT_!BW25="","",+AT_!BW25)</f>
        <v>6.7</v>
      </c>
      <c r="O25" s="425">
        <f>IF(AT_!BY25="","",+AT_!BY25)</f>
        <v>6.5</v>
      </c>
      <c r="P25" s="425"/>
      <c r="Q25" s="425"/>
      <c r="R25" s="424">
        <f>IF(AT_!AC25="","",+AT_!AC25)</f>
        <v>136</v>
      </c>
      <c r="S25" s="424">
        <f>IF(AT_!$AF25="","",AT_!$AF25)</f>
        <v>6</v>
      </c>
      <c r="T25" s="424">
        <f>IF(AT_!G25="","",+AT_!G25)</f>
        <v>148</v>
      </c>
      <c r="U25" s="2660">
        <f>IF(AT_!$K25="","",AT_!$K25)</f>
        <v>19</v>
      </c>
      <c r="V25" s="444" t="str">
        <f t="shared" si="41"/>
        <v/>
      </c>
      <c r="W25" s="427">
        <f t="shared" si="3"/>
        <v>42384</v>
      </c>
      <c r="X25" s="488">
        <f t="shared" si="3"/>
        <v>42384</v>
      </c>
      <c r="Y25" s="429" t="str">
        <f>+AT_!FJ25</f>
        <v/>
      </c>
      <c r="Z25" s="429" t="str">
        <f>AT_!FX25</f>
        <v/>
      </c>
      <c r="AA25" s="429" t="str">
        <f>+AT_!FI25</f>
        <v/>
      </c>
      <c r="AB25" s="429" t="str">
        <f>AT_!FW25</f>
        <v/>
      </c>
      <c r="AC25" s="429">
        <f>IF(AT_!DW25="","",IF(+AT_!DW25&gt;1,ROUND(+AT_!DW25,1),+AT_!DW25))</f>
        <v>0.46</v>
      </c>
      <c r="AD25" s="430" t="str">
        <f>IF(AT_!CA25="","",+AT_!CA25)</f>
        <v/>
      </c>
      <c r="AE25" s="431">
        <f>IF(AT_!CB25="","",AT_!CB25)</f>
        <v>44</v>
      </c>
      <c r="AF25" s="2609"/>
      <c r="AG25" s="2610"/>
      <c r="AH25" s="2064"/>
      <c r="AI25" s="2681" t="str">
        <f>IF(AT_!$EN25="","",AT_!$EN25)</f>
        <v>Rain</v>
      </c>
      <c r="AJ25" s="489"/>
      <c r="AK25" s="427">
        <f t="shared" si="4"/>
        <v>42384</v>
      </c>
      <c r="AL25" s="488">
        <f t="shared" si="5"/>
        <v>42384</v>
      </c>
      <c r="AM25" s="429">
        <f>AT_!FE25</f>
        <v>3.3500000000000002E-2</v>
      </c>
      <c r="AN25" s="429">
        <f>AT_!FF25</f>
        <v>0.17250000000000001</v>
      </c>
      <c r="AO25" s="425">
        <f>IF(AT_!FG25= "","",(AT_!FG25*1.2143))</f>
        <v>25.178510499999998</v>
      </c>
      <c r="AP25" s="425">
        <f>AT_!FH25</f>
        <v>35.159999999999997</v>
      </c>
      <c r="AQ25" s="429">
        <f>AT_!FS25</f>
        <v>0.63</v>
      </c>
      <c r="AR25" s="429">
        <f>AT_!FT25</f>
        <v>4.09</v>
      </c>
      <c r="AS25" s="425">
        <f>IF(AT_!FU25= "","",(AT_!FU25*1.2143))</f>
        <v>16.150189999999998</v>
      </c>
      <c r="AT25" s="425">
        <f>AT_!FV25</f>
        <v>17</v>
      </c>
      <c r="AU25" s="425">
        <f>IF(AT_!BO25="","",AT_!BO25)</f>
        <v>4.42</v>
      </c>
      <c r="AV25" s="424" t="str">
        <f>IF(AT_!BR25="","",AT_!BR25)</f>
        <v/>
      </c>
      <c r="AW25" s="3"/>
      <c r="AX25" s="432" t="str">
        <f>IF((SUM(AT_!O25,AT_!P25))=0,"",ROUND(IF(ISNUMBER(AT_!O25),AT_!O25,AT_!$O$42)*0.6+IF(ISNUMBER(AT_!P25),AT_!P25,AT_!$P$42)*0.4,-1))</f>
        <v/>
      </c>
      <c r="AY25" s="432" t="str">
        <f>IF((SUM(AT_!M25,AT_!N25))=0,"",ROUND((IF(ISNUMBER(AT_!M25),AT_!M25,AT_!$M$42)*0.6)+(IF(ISNUMBER(AT_!N25),AT_!N25,AT_!$N$42)*0.4),-1))</f>
        <v/>
      </c>
      <c r="AZ25" s="1293">
        <f>PT_!AA25</f>
        <v>250</v>
      </c>
      <c r="BA25" s="433">
        <f>AT_!CK25</f>
        <v>59</v>
      </c>
      <c r="BB25" s="2635">
        <f ca="1">IF(E25="","",ROUND((PT_!BM25*IF(ISNUMBER(AT_!Q25),AT_!Q25,AT_!$Q$42)+IF(ISNUMBER(AT_!S25),AT_!S25,AT_!$S$42)*PT_!BN25)*8.34,0))</f>
        <v>89318</v>
      </c>
      <c r="BC25" s="489"/>
      <c r="BD25" s="489"/>
      <c r="BE25" s="1239"/>
      <c r="BF25" s="1239"/>
      <c r="BG25" s="1239"/>
      <c r="BH25" s="1239"/>
      <c r="BI25" s="1239"/>
      <c r="BJ25" s="1239"/>
      <c r="BK25" s="499"/>
      <c r="BL25" s="1239"/>
      <c r="BM25" s="1239"/>
      <c r="BN25" s="1239" t="s">
        <v>1306</v>
      </c>
      <c r="BO25" s="1239"/>
      <c r="BP25" s="2694">
        <f>AT_!EF42*1000</f>
        <v>6376699.9999999963</v>
      </c>
      <c r="BQ25" s="2629" t="s">
        <v>1095</v>
      </c>
      <c r="BR25" s="489"/>
      <c r="BS25" s="487"/>
      <c r="BT25" s="487"/>
      <c r="BU25" s="487"/>
      <c r="BV25" s="487"/>
      <c r="BW25" s="487"/>
      <c r="BX25" s="487"/>
      <c r="BZ25" s="487"/>
      <c r="CA25" s="487"/>
      <c r="CB25" s="252"/>
      <c r="CC25" s="253"/>
      <c r="CD25" s="235">
        <f t="shared" si="32"/>
        <v>42384</v>
      </c>
      <c r="CE25" s="236">
        <f t="shared" ca="1" si="6"/>
        <v>105484.32</v>
      </c>
      <c r="CF25" s="237">
        <f t="shared" ca="1" si="7"/>
        <v>4653.72</v>
      </c>
      <c r="CG25" s="238">
        <f t="shared" ca="1" si="8"/>
        <v>114791.76</v>
      </c>
      <c r="CH25" s="1362">
        <f t="shared" ca="1" si="9"/>
        <v>14736.78</v>
      </c>
      <c r="CI25" s="240">
        <f t="shared" ca="1" si="10"/>
        <v>131571.84</v>
      </c>
      <c r="CJ25" s="241">
        <f t="shared" ca="1" si="11"/>
        <v>5804.64</v>
      </c>
      <c r="CK25" s="241">
        <f t="shared" ca="1" si="12"/>
        <v>143181.12</v>
      </c>
      <c r="CL25" s="242">
        <f t="shared" ca="1" si="13"/>
        <v>18381.36</v>
      </c>
      <c r="CM25" s="243">
        <f t="shared" ca="1" si="56"/>
        <v>136</v>
      </c>
      <c r="CN25" s="244">
        <f t="shared" ca="1" si="57"/>
        <v>6</v>
      </c>
      <c r="CO25" s="244">
        <f t="shared" ca="1" si="58"/>
        <v>148</v>
      </c>
      <c r="CP25" s="244">
        <f t="shared" ca="1" si="59"/>
        <v>19</v>
      </c>
      <c r="CQ25" s="1627">
        <f t="shared" ca="1" si="52"/>
        <v>3.3500000000000002E-2</v>
      </c>
      <c r="CR25" s="1628">
        <f t="shared" ca="1" si="53"/>
        <v>0.17250000000000001</v>
      </c>
      <c r="CS25" s="1629">
        <f t="shared" ca="1" si="54"/>
        <v>25.178510499999998</v>
      </c>
      <c r="CT25" s="1629">
        <f t="shared" ca="1" si="62"/>
        <v>35.159999999999997</v>
      </c>
      <c r="CU25" s="248">
        <f t="shared" ca="1" si="48"/>
        <v>0.63</v>
      </c>
      <c r="CV25" s="246">
        <f t="shared" ca="1" si="49"/>
        <v>4.09</v>
      </c>
      <c r="CW25" s="247">
        <f t="shared" ca="1" si="50"/>
        <v>16.150189999999998</v>
      </c>
      <c r="CX25" s="247">
        <f ca="1">IF($E25&gt;0,IF(SUM($AQ25:$AT25)&gt;0,IF(CELL("type",AT25:AT25)="V",AT25,IF(CELL("type",AT25:AT25)="L",CX$8,"")),""),"")</f>
        <v>17</v>
      </c>
      <c r="CY25" s="249">
        <f t="shared" ca="1" si="33"/>
        <v>35.4</v>
      </c>
      <c r="CZ25" s="249">
        <f t="shared" ca="1" si="34"/>
        <v>21.7</v>
      </c>
      <c r="DA25" s="250">
        <f t="shared" ca="1" si="35"/>
        <v>34247.375999999997</v>
      </c>
      <c r="DB25" s="250">
        <f t="shared" ca="1" si="36"/>
        <v>20993.447999999997</v>
      </c>
      <c r="DC25" s="251">
        <f t="shared" si="20"/>
        <v>42384</v>
      </c>
      <c r="DD25" s="1410"/>
      <c r="DE25" s="484"/>
      <c r="DF25" s="439">
        <f t="shared" si="60"/>
        <v>42367</v>
      </c>
      <c r="DG25" s="495">
        <f>DG26-1</f>
        <v>42367</v>
      </c>
      <c r="DH25" s="496">
        <v>96</v>
      </c>
      <c r="DI25" s="496">
        <v>152</v>
      </c>
      <c r="DJ25" s="496">
        <v>103</v>
      </c>
      <c r="DK25" s="496">
        <v>14</v>
      </c>
      <c r="DL25" s="496">
        <v>72</v>
      </c>
      <c r="DM25" s="496">
        <v>9</v>
      </c>
      <c r="DN25" s="496">
        <v>272</v>
      </c>
      <c r="DO25" s="497">
        <v>130571.04</v>
      </c>
      <c r="DP25" s="497">
        <v>17747.519999999997</v>
      </c>
      <c r="DQ25" s="497">
        <v>91272.960000000006</v>
      </c>
      <c r="DR25" s="497">
        <v>11409.12</v>
      </c>
      <c r="DS25" s="417">
        <f t="shared" si="37"/>
        <v>6</v>
      </c>
      <c r="DT25" s="439">
        <f t="shared" si="38"/>
        <v>42384</v>
      </c>
      <c r="DU25" s="495">
        <f t="shared" si="61"/>
        <v>42384</v>
      </c>
      <c r="DV25" s="403" t="str">
        <f t="shared" si="22"/>
        <v/>
      </c>
      <c r="DW25" s="403" t="str">
        <f t="shared" si="22"/>
        <v/>
      </c>
      <c r="DX25" s="403" t="str">
        <f t="shared" si="22"/>
        <v/>
      </c>
      <c r="DY25" s="403" t="str">
        <f t="shared" si="39"/>
        <v/>
      </c>
      <c r="DZ25" s="403" t="str">
        <f t="shared" si="40"/>
        <v/>
      </c>
      <c r="EA25" s="403" t="str">
        <f t="shared" si="23"/>
        <v/>
      </c>
      <c r="EB25" s="403" t="str">
        <f t="shared" si="24"/>
        <v/>
      </c>
      <c r="EC25" s="403" t="str">
        <f t="shared" si="25"/>
        <v/>
      </c>
      <c r="ED25" s="403" t="str">
        <f t="shared" si="26"/>
        <v/>
      </c>
      <c r="EE25" s="403" t="str">
        <f t="shared" si="27"/>
        <v/>
      </c>
      <c r="EF25" s="403" t="str">
        <f t="shared" si="28"/>
        <v/>
      </c>
      <c r="EG25" s="492"/>
      <c r="EH25" s="367"/>
      <c r="EI25" s="367"/>
      <c r="EJ25" s="367"/>
      <c r="EK25" s="367"/>
      <c r="EL25" s="367"/>
      <c r="EM25" s="367"/>
      <c r="EN25" s="367"/>
      <c r="EO25" s="367"/>
      <c r="EP25" s="367"/>
      <c r="EQ25" s="367"/>
      <c r="ER25" s="367"/>
      <c r="ES25" s="367"/>
      <c r="ET25" s="367"/>
      <c r="EU25" s="367"/>
      <c r="EV25" s="487"/>
      <c r="EW25" s="189"/>
      <c r="EX25" s="442">
        <f t="shared" si="29"/>
        <v>0</v>
      </c>
      <c r="EY25" s="493"/>
      <c r="EZ25" s="487"/>
      <c r="FA25" s="487"/>
      <c r="FB25" s="487"/>
      <c r="FC25" s="487"/>
      <c r="FD25" s="487"/>
      <c r="FE25" s="487"/>
      <c r="FF25" s="487"/>
      <c r="FG25" s="487"/>
      <c r="FH25" s="487"/>
      <c r="FI25" s="487"/>
      <c r="FJ25" s="487"/>
      <c r="FK25" s="487"/>
      <c r="FL25" s="487"/>
      <c r="FM25" s="487"/>
      <c r="FN25" s="487"/>
      <c r="FO25" s="487"/>
      <c r="FP25" s="487"/>
      <c r="FQ25" s="487"/>
      <c r="FR25" s="487"/>
      <c r="FS25" s="487"/>
      <c r="FT25" s="487"/>
      <c r="FU25" s="487"/>
      <c r="FV25" s="487"/>
      <c r="FW25" s="487"/>
      <c r="FX25" s="487"/>
      <c r="FY25" s="487"/>
      <c r="FZ25" s="487"/>
      <c r="GA25" s="487"/>
      <c r="GB25" s="487"/>
      <c r="GC25" s="487"/>
      <c r="GD25" s="487"/>
      <c r="GE25" s="487"/>
      <c r="GF25" s="487"/>
      <c r="GG25" s="487"/>
      <c r="GH25" s="487"/>
      <c r="GI25" s="487"/>
      <c r="GJ25" s="487"/>
      <c r="GK25" s="487"/>
      <c r="GL25" s="487"/>
      <c r="GM25" s="487"/>
      <c r="GN25" s="487"/>
      <c r="GO25" s="487"/>
      <c r="GP25" s="487"/>
      <c r="GQ25" s="487"/>
      <c r="GR25" s="487"/>
      <c r="GS25" s="487"/>
      <c r="GT25" s="487"/>
      <c r="GU25" s="487"/>
      <c r="GV25" s="487"/>
      <c r="GW25" s="487"/>
      <c r="GX25" s="487"/>
      <c r="GY25" s="487"/>
      <c r="GZ25" s="487"/>
      <c r="HA25" s="487"/>
      <c r="HB25" s="487"/>
      <c r="HC25" s="487"/>
      <c r="HD25" s="487"/>
      <c r="HE25" s="487"/>
      <c r="HF25" s="487"/>
      <c r="HG25" s="487"/>
      <c r="HH25" s="487"/>
      <c r="HI25" s="487"/>
      <c r="HJ25" s="487"/>
      <c r="HK25" s="487"/>
      <c r="HL25" s="487"/>
      <c r="HM25" s="487"/>
      <c r="HN25" s="487"/>
      <c r="HO25" s="487"/>
      <c r="HP25" s="487"/>
      <c r="HQ25" s="487"/>
      <c r="HR25" s="487"/>
      <c r="HS25" s="487"/>
      <c r="HT25" s="487"/>
      <c r="HU25" s="487"/>
      <c r="HV25" s="487"/>
      <c r="HW25" s="487"/>
      <c r="HX25" s="487"/>
      <c r="HY25" s="487"/>
      <c r="HZ25" s="487"/>
      <c r="IA25" s="487"/>
      <c r="IB25" s="487"/>
      <c r="IC25" s="487"/>
      <c r="ID25" s="487"/>
      <c r="IE25" s="487"/>
      <c r="IF25" s="487"/>
      <c r="IG25" s="487"/>
      <c r="IH25" s="487"/>
      <c r="II25" s="487"/>
      <c r="IJ25" s="487"/>
      <c r="IK25" s="487"/>
      <c r="IL25" s="487"/>
      <c r="IM25" s="487"/>
      <c r="IN25" s="487"/>
      <c r="IO25" s="487"/>
      <c r="IP25" s="487"/>
      <c r="IQ25" s="487"/>
      <c r="IR25" s="487"/>
      <c r="IS25" s="487"/>
      <c r="IT25" s="487"/>
      <c r="IU25" s="487"/>
      <c r="IV25" s="487"/>
      <c r="IW25" s="487"/>
      <c r="IX25" s="487"/>
    </row>
    <row r="26" spans="1:258" s="21" customFormat="1" ht="16.5" customHeight="1">
      <c r="A26" s="487"/>
      <c r="B26" s="487"/>
      <c r="C26" s="1251">
        <f t="shared" si="30"/>
        <v>42385</v>
      </c>
      <c r="D26" s="443">
        <f t="shared" si="31"/>
        <v>42385</v>
      </c>
      <c r="E26" s="424">
        <f ca="1">IF(D26&lt;TODAY(),IF(AT_!CG26="","",+AT_!CG26),"")</f>
        <v>95</v>
      </c>
      <c r="F26" s="424">
        <f>IF(AT_!CH26="","",+AT_!CH26)</f>
        <v>187</v>
      </c>
      <c r="G26" s="424">
        <f>IF(AT_!CF26="","",+AT_!CF26)</f>
        <v>110</v>
      </c>
      <c r="H26" s="424">
        <f>IF(AT_!CI26="","",+AT_!CI26)</f>
        <v>60</v>
      </c>
      <c r="I26" s="424">
        <f>IF(AT_!BS26="","",+AT_!BS26)</f>
        <v>15</v>
      </c>
      <c r="J26" s="425">
        <f>IF(AT_!BU26="","",+AT_!BU26)</f>
        <v>6.7</v>
      </c>
      <c r="K26" s="425">
        <f>IF(AT_!BT26="","",+AT_!BT26)</f>
        <v>7.2</v>
      </c>
      <c r="L26" s="425">
        <f>IF(AT_!BV26="","",+AT_!BV26)</f>
        <v>6.9</v>
      </c>
      <c r="M26" s="425">
        <f>IF(AT_!BX26="","",+AT_!BX26)</f>
        <v>6.5</v>
      </c>
      <c r="N26" s="425">
        <f>IF(AT_!BW26="","",+AT_!BW26)</f>
        <v>6.7</v>
      </c>
      <c r="O26" s="425">
        <f>IF(AT_!BY26="","",+AT_!BY26)</f>
        <v>6.6</v>
      </c>
      <c r="P26" s="425"/>
      <c r="Q26" s="425"/>
      <c r="R26" s="424">
        <f>IF(AT_!AC26="","",+AT_!AC26)</f>
        <v>122</v>
      </c>
      <c r="S26" s="424">
        <f>IF(AT_!$AF26="","",AT_!$AF26)</f>
        <v>12</v>
      </c>
      <c r="T26" s="424">
        <f>IF(AT_!G26="","",+AT_!G26)</f>
        <v>125</v>
      </c>
      <c r="U26" s="2660">
        <f>IF(AT_!$K26="","",AT_!$K26)</f>
        <v>52</v>
      </c>
      <c r="V26" s="444" t="str">
        <f t="shared" si="41"/>
        <v>violation</v>
      </c>
      <c r="W26" s="427">
        <f t="shared" si="3"/>
        <v>42385</v>
      </c>
      <c r="X26" s="488">
        <f t="shared" si="3"/>
        <v>42385</v>
      </c>
      <c r="Y26" s="429" t="str">
        <f>+AT_!FJ26</f>
        <v/>
      </c>
      <c r="Z26" s="429" t="str">
        <f>AT_!FX26</f>
        <v/>
      </c>
      <c r="AA26" s="429" t="str">
        <f>+AT_!FI26</f>
        <v/>
      </c>
      <c r="AB26" s="429" t="str">
        <f>AT_!FW26</f>
        <v/>
      </c>
      <c r="AC26" s="429">
        <f>IF(AT_!DW26="","",IF(+AT_!DW26&gt;1,ROUND(+AT_!DW26,1),+AT_!DW26))</f>
        <v>0.52</v>
      </c>
      <c r="AD26" s="430" t="str">
        <f>IF(AT_!CA26="","",+AT_!CA26)</f>
        <v/>
      </c>
      <c r="AE26" s="431">
        <f>IF(AT_!CB26="","",AT_!CB26)</f>
        <v>44</v>
      </c>
      <c r="AF26" s="2609"/>
      <c r="AG26" s="2610"/>
      <c r="AH26" s="2684" t="s">
        <v>1467</v>
      </c>
      <c r="AI26" s="2681" t="str">
        <f>IF(AT_!$EN26="","",AT_!$EN26)</f>
        <v>Rain</v>
      </c>
      <c r="AJ26" s="489"/>
      <c r="AK26" s="427">
        <f t="shared" si="4"/>
        <v>42385</v>
      </c>
      <c r="AL26" s="488">
        <f t="shared" si="5"/>
        <v>42385</v>
      </c>
      <c r="AM26" s="429">
        <f>AT_!FE26</f>
        <v>0.04</v>
      </c>
      <c r="AN26" s="429">
        <f>AT_!FF26</f>
        <v>0.3095</v>
      </c>
      <c r="AO26" s="425">
        <f>IF(AT_!FG26= "","",(AT_!FG26*1.2143))</f>
        <v>18.669862500000001</v>
      </c>
      <c r="AP26" s="425">
        <f>AT_!FH26</f>
        <v>27.240000000000002</v>
      </c>
      <c r="AQ26" s="429">
        <f>AT_!FS26</f>
        <v>0.39</v>
      </c>
      <c r="AR26" s="429">
        <f>AT_!FT26</f>
        <v>2.4300000000000002</v>
      </c>
      <c r="AS26" s="425">
        <f>IF(AT_!FU26= "","",(AT_!FU26*1.2143))</f>
        <v>14.45017</v>
      </c>
      <c r="AT26" s="425">
        <f>AT_!FV26</f>
        <v>18.100000000000001</v>
      </c>
      <c r="AU26" s="425">
        <f>IF(AT_!BO26="","",AT_!BO26)</f>
        <v>4.8</v>
      </c>
      <c r="AV26" s="424" t="str">
        <f>IF(AT_!BR26="","",AT_!BR26)</f>
        <v/>
      </c>
      <c r="AW26" s="3"/>
      <c r="AX26" s="432" t="str">
        <f>IF((SUM(AT_!O26,AT_!P26))=0,"",ROUND(IF(ISNUMBER(AT_!O26),AT_!O26,AT_!$O$42)*0.6+IF(ISNUMBER(AT_!P26),AT_!P26,AT_!$P$42)*0.4,-1))</f>
        <v/>
      </c>
      <c r="AY26" s="432" t="str">
        <f>IF((SUM(AT_!M26,AT_!N26))=0,"",ROUND((IF(ISNUMBER(AT_!M26),AT_!M26,AT_!$M$42)*0.6)+(IF(ISNUMBER(AT_!N26),AT_!N26,AT_!$N$42)*0.4),-1))</f>
        <v/>
      </c>
      <c r="AZ26" s="1293">
        <f>PT_!AA26</f>
        <v>160</v>
      </c>
      <c r="BA26" s="433">
        <f>AT_!CK26</f>
        <v>60</v>
      </c>
      <c r="BB26" s="2635">
        <f ca="1">IF(E26="","",ROUND((PT_!BM26*IF(ISNUMBER(AT_!Q26),AT_!Q26,AT_!$Q$42)+IF(ISNUMBER(AT_!S26),AT_!S26,AT_!$S$42)*PT_!BN26)*8.34,0))</f>
        <v>91623</v>
      </c>
      <c r="BC26" s="489"/>
      <c r="BD26" s="501" t="s">
        <v>1037</v>
      </c>
      <c r="BE26" s="502"/>
      <c r="BF26" s="502"/>
      <c r="BG26" s="502"/>
      <c r="BH26" s="489"/>
      <c r="BI26" s="1239" t="s">
        <v>1066</v>
      </c>
      <c r="BJ26" s="1239"/>
      <c r="BK26" s="1239"/>
      <c r="BL26" s="1239"/>
      <c r="BM26" s="1239"/>
      <c r="BN26" s="1239"/>
      <c r="BO26" s="1239"/>
      <c r="BP26" s="499"/>
      <c r="BQ26" s="2693"/>
      <c r="BR26" s="489"/>
      <c r="BS26" s="487"/>
      <c r="BT26" s="487"/>
      <c r="BU26" s="487"/>
      <c r="BV26" s="487"/>
      <c r="BW26" s="487"/>
      <c r="BX26" s="487"/>
      <c r="BZ26" s="487"/>
      <c r="CA26" s="487"/>
      <c r="CB26" s="252"/>
      <c r="CC26" s="253"/>
      <c r="CD26" s="235">
        <f t="shared" si="32"/>
        <v>42385</v>
      </c>
      <c r="CE26" s="236">
        <f t="shared" ca="1" si="6"/>
        <v>96660.6</v>
      </c>
      <c r="CF26" s="237">
        <f t="shared" ca="1" si="7"/>
        <v>9507.6</v>
      </c>
      <c r="CG26" s="238">
        <f t="shared" ca="1" si="8"/>
        <v>99037.5</v>
      </c>
      <c r="CH26" s="239">
        <f t="shared" ca="1" si="9"/>
        <v>41199.599999999999</v>
      </c>
      <c r="CI26" s="240">
        <f t="shared" ca="1" si="10"/>
        <v>111922.8</v>
      </c>
      <c r="CJ26" s="241">
        <f t="shared" ca="1" si="11"/>
        <v>11008.8</v>
      </c>
      <c r="CK26" s="241">
        <f t="shared" ca="1" si="12"/>
        <v>114675</v>
      </c>
      <c r="CL26" s="242">
        <f t="shared" ca="1" si="13"/>
        <v>47704.800000000003</v>
      </c>
      <c r="CM26" s="243">
        <f t="shared" ca="1" si="56"/>
        <v>122</v>
      </c>
      <c r="CN26" s="244">
        <f t="shared" ca="1" si="57"/>
        <v>12</v>
      </c>
      <c r="CO26" s="244">
        <f t="shared" ca="1" si="58"/>
        <v>125</v>
      </c>
      <c r="CP26" s="244">
        <f t="shared" ca="1" si="59"/>
        <v>52</v>
      </c>
      <c r="CQ26" s="1627">
        <f t="shared" ca="1" si="52"/>
        <v>0.04</v>
      </c>
      <c r="CR26" s="1628">
        <f t="shared" ca="1" si="53"/>
        <v>0.3095</v>
      </c>
      <c r="CS26" s="1629">
        <f t="shared" ca="1" si="54"/>
        <v>18.669862500000001</v>
      </c>
      <c r="CT26" s="1629">
        <f t="shared" ca="1" si="62"/>
        <v>27.240000000000002</v>
      </c>
      <c r="CU26" s="248">
        <f t="shared" ca="1" si="48"/>
        <v>0.39</v>
      </c>
      <c r="CV26" s="246">
        <f t="shared" ca="1" si="49"/>
        <v>2.4300000000000002</v>
      </c>
      <c r="CW26" s="247">
        <f t="shared" ca="1" si="50"/>
        <v>14.45017</v>
      </c>
      <c r="CX26" s="247">
        <f t="shared" ca="1" si="51"/>
        <v>18.100000000000001</v>
      </c>
      <c r="CY26" s="249">
        <f t="shared" ca="1" si="33"/>
        <v>27.6</v>
      </c>
      <c r="CZ26" s="249">
        <f t="shared" ca="1" si="34"/>
        <v>20.9</v>
      </c>
      <c r="DA26" s="250">
        <f t="shared" ca="1" si="35"/>
        <v>25320.239999999998</v>
      </c>
      <c r="DB26" s="250">
        <f t="shared" ca="1" si="36"/>
        <v>19173.66</v>
      </c>
      <c r="DC26" s="251">
        <f t="shared" si="20"/>
        <v>42385</v>
      </c>
      <c r="DD26" s="1410"/>
      <c r="DE26" s="484"/>
      <c r="DF26" s="439">
        <f t="shared" si="60"/>
        <v>42368</v>
      </c>
      <c r="DG26" s="495">
        <f>DG27-1</f>
        <v>42368</v>
      </c>
      <c r="DH26" s="496">
        <v>94</v>
      </c>
      <c r="DI26" s="496">
        <v>130</v>
      </c>
      <c r="DJ26" s="496">
        <v>111</v>
      </c>
      <c r="DK26" s="496">
        <v>5</v>
      </c>
      <c r="DL26" s="496">
        <v>122</v>
      </c>
      <c r="DM26" s="496">
        <v>4</v>
      </c>
      <c r="DN26" s="496">
        <v>2</v>
      </c>
      <c r="DO26" s="497">
        <v>120346.2</v>
      </c>
      <c r="DP26" s="497">
        <v>5421</v>
      </c>
      <c r="DQ26" s="497">
        <v>132272.4</v>
      </c>
      <c r="DR26" s="497">
        <v>4336.8</v>
      </c>
      <c r="DS26" s="417">
        <f t="shared" si="37"/>
        <v>7</v>
      </c>
      <c r="DT26" s="439">
        <f t="shared" si="38"/>
        <v>42385</v>
      </c>
      <c r="DU26" s="495">
        <f t="shared" si="61"/>
        <v>42385</v>
      </c>
      <c r="DV26" s="403">
        <f t="shared" ca="1" si="22"/>
        <v>93</v>
      </c>
      <c r="DW26" s="403">
        <f t="shared" ca="1" si="22"/>
        <v>109</v>
      </c>
      <c r="DX26" s="403">
        <f t="shared" ca="1" si="22"/>
        <v>123</v>
      </c>
      <c r="DY26" s="403">
        <f t="shared" ca="1" si="39"/>
        <v>111300</v>
      </c>
      <c r="DZ26" s="403">
        <f t="shared" ca="1" si="40"/>
        <v>21</v>
      </c>
      <c r="EA26" s="403">
        <f t="shared" ca="1" si="23"/>
        <v>19100</v>
      </c>
      <c r="EB26" s="403">
        <f t="shared" ca="1" si="24"/>
        <v>118</v>
      </c>
      <c r="EC26" s="403">
        <f t="shared" ca="1" si="25"/>
        <v>104100</v>
      </c>
      <c r="ED26" s="403">
        <f t="shared" ca="1" si="26"/>
        <v>7</v>
      </c>
      <c r="EE26" s="403">
        <f t="shared" ca="1" si="27"/>
        <v>6900</v>
      </c>
      <c r="EF26" s="403">
        <f t="shared" ca="1" si="28"/>
        <v>21</v>
      </c>
      <c r="EG26" s="492"/>
      <c r="EH26" s="367"/>
      <c r="EI26" s="367"/>
      <c r="EJ26" s="367"/>
      <c r="EK26" s="367"/>
      <c r="EL26" s="367"/>
      <c r="EM26" s="367"/>
      <c r="EN26" s="367"/>
      <c r="EO26" s="367"/>
      <c r="EP26" s="367"/>
      <c r="EQ26" s="367"/>
      <c r="ER26" s="367"/>
      <c r="ES26" s="367"/>
      <c r="ET26" s="367"/>
      <c r="EU26" s="367"/>
      <c r="EV26" s="487"/>
      <c r="EW26" s="189"/>
      <c r="EX26" s="442">
        <f t="shared" si="29"/>
        <v>0</v>
      </c>
      <c r="EY26" s="493"/>
      <c r="EZ26" s="487"/>
      <c r="FA26" s="487"/>
      <c r="FB26" s="487"/>
      <c r="FC26" s="487"/>
      <c r="FD26" s="487"/>
      <c r="FE26" s="487"/>
      <c r="FF26" s="487"/>
      <c r="FG26" s="487"/>
      <c r="FH26" s="487"/>
      <c r="FI26" s="487"/>
      <c r="FJ26" s="487"/>
      <c r="FK26" s="487"/>
      <c r="FL26" s="487"/>
      <c r="FM26" s="487"/>
      <c r="FN26" s="487"/>
      <c r="FO26" s="487"/>
      <c r="FP26" s="487"/>
      <c r="FQ26" s="487"/>
      <c r="FR26" s="487"/>
      <c r="FS26" s="487"/>
      <c r="FT26" s="487"/>
      <c r="FU26" s="487"/>
      <c r="FV26" s="487"/>
      <c r="FW26" s="487"/>
      <c r="FX26" s="487"/>
      <c r="FY26" s="487"/>
      <c r="FZ26" s="487"/>
      <c r="GA26" s="487"/>
      <c r="GB26" s="487"/>
      <c r="GC26" s="487"/>
      <c r="GD26" s="487"/>
      <c r="GE26" s="487"/>
      <c r="GF26" s="487"/>
      <c r="GG26" s="487"/>
      <c r="GH26" s="487"/>
      <c r="GI26" s="487"/>
      <c r="GJ26" s="487"/>
      <c r="GK26" s="487"/>
      <c r="GL26" s="487"/>
      <c r="GM26" s="487"/>
      <c r="GN26" s="487"/>
      <c r="GO26" s="487"/>
      <c r="GP26" s="487"/>
      <c r="GQ26" s="487"/>
      <c r="GR26" s="487"/>
      <c r="GS26" s="487"/>
      <c r="GT26" s="487"/>
      <c r="GU26" s="487"/>
      <c r="GV26" s="487"/>
      <c r="GW26" s="487"/>
      <c r="GX26" s="487"/>
      <c r="GY26" s="487"/>
      <c r="GZ26" s="487"/>
      <c r="HA26" s="487"/>
      <c r="HB26" s="487"/>
      <c r="HC26" s="487"/>
      <c r="HD26" s="487"/>
      <c r="HE26" s="487"/>
      <c r="HF26" s="487"/>
      <c r="HG26" s="487"/>
      <c r="HH26" s="487"/>
      <c r="HI26" s="487"/>
      <c r="HJ26" s="487"/>
      <c r="HK26" s="487"/>
      <c r="HL26" s="487"/>
      <c r="HM26" s="487"/>
      <c r="HN26" s="487"/>
      <c r="HO26" s="487"/>
      <c r="HP26" s="487"/>
      <c r="HQ26" s="487"/>
      <c r="HR26" s="487"/>
      <c r="HS26" s="487"/>
      <c r="HT26" s="487"/>
      <c r="HU26" s="487"/>
      <c r="HV26" s="487"/>
      <c r="HW26" s="487"/>
      <c r="HX26" s="487"/>
      <c r="HY26" s="487"/>
      <c r="HZ26" s="487"/>
      <c r="IA26" s="487"/>
      <c r="IB26" s="487"/>
      <c r="IC26" s="487"/>
      <c r="ID26" s="487"/>
      <c r="IE26" s="487"/>
      <c r="IF26" s="487"/>
      <c r="IG26" s="487"/>
      <c r="IH26" s="487"/>
      <c r="II26" s="487"/>
      <c r="IJ26" s="487"/>
      <c r="IK26" s="487"/>
      <c r="IL26" s="487"/>
      <c r="IM26" s="487"/>
      <c r="IN26" s="487"/>
      <c r="IO26" s="487"/>
      <c r="IP26" s="487"/>
      <c r="IQ26" s="487"/>
      <c r="IR26" s="487"/>
      <c r="IS26" s="487"/>
      <c r="IT26" s="487"/>
      <c r="IU26" s="487"/>
      <c r="IV26" s="487"/>
      <c r="IW26" s="487"/>
      <c r="IX26" s="487"/>
    </row>
    <row r="27" spans="1:258" s="393" customFormat="1" ht="16.5" customHeight="1">
      <c r="A27" s="487"/>
      <c r="B27" s="487"/>
      <c r="C27" s="1251">
        <f t="shared" si="30"/>
        <v>42386</v>
      </c>
      <c r="D27" s="443">
        <f t="shared" si="31"/>
        <v>42386</v>
      </c>
      <c r="E27" s="1293">
        <f ca="1">IF(D27&lt;TODAY(),IF(AT_!CG27="","",+AT_!CG27),"")</f>
        <v>96</v>
      </c>
      <c r="F27" s="424">
        <f>IF(AT_!CH27="","",+AT_!CH27)</f>
        <v>134</v>
      </c>
      <c r="G27" s="424">
        <f>IF(AT_!CF27="","",+AT_!CF27)</f>
        <v>96</v>
      </c>
      <c r="H27" s="424">
        <f>IF(AT_!CI27="","",+AT_!CI27)</f>
        <v>58</v>
      </c>
      <c r="I27" s="424">
        <f>IF(AT_!BS27="","",+AT_!BS27)</f>
        <v>17</v>
      </c>
      <c r="J27" s="1294">
        <f>IF(AT_!BU27="","",+AT_!BU27)</f>
        <v>6.6</v>
      </c>
      <c r="K27" s="1294">
        <f>IF(AT_!BT27="","",+AT_!BT27)</f>
        <v>7.1</v>
      </c>
      <c r="L27" s="1294">
        <f>IF(AT_!BV27="","",+AT_!BV27)</f>
        <v>6.9</v>
      </c>
      <c r="M27" s="1294">
        <f>IF(AT_!BX27="","",+AT_!BX27)</f>
        <v>6.6</v>
      </c>
      <c r="N27" s="1294">
        <f>IF(AT_!BW27="","",+AT_!BW27)</f>
        <v>6.8</v>
      </c>
      <c r="O27" s="1294">
        <f>IF(AT_!BY27="","",+AT_!BY27)</f>
        <v>6.7</v>
      </c>
      <c r="P27" s="425"/>
      <c r="Q27" s="425"/>
      <c r="R27" s="1293">
        <f>IF(AT_!AC27="","",+AT_!AC27)</f>
        <v>117</v>
      </c>
      <c r="S27" s="424">
        <f>IF(AT_!$AF27="","",AT_!$AF27)</f>
        <v>7</v>
      </c>
      <c r="T27" s="424">
        <f>IF(AT_!G27="","",+AT_!G27)</f>
        <v>139</v>
      </c>
      <c r="U27" s="2660">
        <f>IF(AT_!$K27="","",AT_!$K27)</f>
        <v>17</v>
      </c>
      <c r="V27" s="444" t="str">
        <f t="shared" si="41"/>
        <v/>
      </c>
      <c r="W27" s="427">
        <f t="shared" si="3"/>
        <v>42386</v>
      </c>
      <c r="X27" s="488">
        <f t="shared" si="3"/>
        <v>42386</v>
      </c>
      <c r="Y27" s="1295" t="str">
        <f>+AT_!FJ27</f>
        <v/>
      </c>
      <c r="Z27" s="1295" t="str">
        <f>AT_!FX27</f>
        <v/>
      </c>
      <c r="AA27" s="1295" t="str">
        <f>+AT_!FI27</f>
        <v/>
      </c>
      <c r="AB27" s="1295" t="str">
        <f>AT_!FW27</f>
        <v/>
      </c>
      <c r="AC27" s="429">
        <f>IF(AT_!DW27="","",IF(+AT_!DW27&gt;1,ROUND(+AT_!DW27,1),+AT_!DW27))</f>
        <v>0.52</v>
      </c>
      <c r="AD27" s="430" t="str">
        <f>IF(AT_!CA27="","",+AT_!CA27)</f>
        <v/>
      </c>
      <c r="AE27" s="431">
        <f>IF(AT_!CB27="","",AT_!CB27)</f>
        <v>14</v>
      </c>
      <c r="AF27" s="2609"/>
      <c r="AG27" s="2610"/>
      <c r="AH27" s="2064"/>
      <c r="AI27" s="2682" t="str">
        <f>IF(AT_!$EN27="","",AT_!$EN27)</f>
        <v>Snow</v>
      </c>
      <c r="AJ27" s="489"/>
      <c r="AK27" s="427">
        <f t="shared" si="4"/>
        <v>42386</v>
      </c>
      <c r="AL27" s="488">
        <f t="shared" si="5"/>
        <v>42386</v>
      </c>
      <c r="AM27" s="1295">
        <f>AT_!FE27</f>
        <v>3.3500000000000002E-2</v>
      </c>
      <c r="AN27" s="1295">
        <f>AT_!FF27</f>
        <v>0.14250000000000002</v>
      </c>
      <c r="AO27" s="425">
        <f>IF(AT_!FG27= "","",(AT_!FG27*1.2143))</f>
        <v>25.822089500000001</v>
      </c>
      <c r="AP27" s="1294">
        <f>AT_!FH27</f>
        <v>36.99</v>
      </c>
      <c r="AQ27" s="1295">
        <f>AT_!FS27</f>
        <v>0.51</v>
      </c>
      <c r="AR27" s="1295">
        <f>AT_!FT27</f>
        <v>2.94</v>
      </c>
      <c r="AS27" s="425">
        <f>IF(AT_!FU27= "","",(AT_!FU27*1.2143))</f>
        <v>16.514479999999999</v>
      </c>
      <c r="AT27" s="1294">
        <f>AT_!FV27</f>
        <v>16.399999999999999</v>
      </c>
      <c r="AU27" s="1294">
        <f>IF(AT_!BO27="","",AT_!BO27)</f>
        <v>4.8</v>
      </c>
      <c r="AV27" s="1293" t="str">
        <f>IF(AT_!BR27="","",AT_!BR27)</f>
        <v/>
      </c>
      <c r="AW27" s="490"/>
      <c r="AX27" s="432" t="str">
        <f>IF((SUM(AT_!O27,AT_!P27))=0,"",ROUND(IF(ISNUMBER(AT_!O27),AT_!O27,AT_!$O$42)*0.6+IF(ISNUMBER(AT_!P27),AT_!P27,AT_!$P$42)*0.4,-1))</f>
        <v/>
      </c>
      <c r="AY27" s="432" t="str">
        <f>IF((SUM(AT_!M27,AT_!N27))=0,"",ROUND((IF(ISNUMBER(AT_!M27),AT_!M27,AT_!$M$42)*0.6)+(IF(ISNUMBER(AT_!N27),AT_!N27,AT_!$N$42)*0.4),-1))</f>
        <v/>
      </c>
      <c r="AZ27" s="1293">
        <f>PT_!AA27</f>
        <v>160</v>
      </c>
      <c r="BA27" s="433">
        <f>AT_!CK27</f>
        <v>59</v>
      </c>
      <c r="BB27" s="2635">
        <f ca="1">IF(E27="","",ROUND((PT_!BM27*IF(ISNUMBER(AT_!Q27),AT_!Q27,AT_!$Q$42)+IF(ISNUMBER(AT_!S27),AT_!S27,AT_!$S$42)*PT_!BN27)*8.34,0))</f>
        <v>80345</v>
      </c>
      <c r="BC27" s="489"/>
      <c r="BD27" s="503"/>
      <c r="BE27" s="504"/>
      <c r="BF27" s="504"/>
      <c r="BG27" s="504"/>
      <c r="BH27" s="489"/>
      <c r="BI27" s="501" t="s">
        <v>1067</v>
      </c>
      <c r="BJ27" s="502"/>
      <c r="BK27" s="502"/>
      <c r="BL27" s="502"/>
      <c r="BM27" s="501" t="s">
        <v>1097</v>
      </c>
      <c r="BN27" s="502"/>
      <c r="BO27" s="502"/>
      <c r="BP27" s="505" t="s">
        <v>1097</v>
      </c>
      <c r="BQ27" s="2695" t="s">
        <v>1051</v>
      </c>
      <c r="BR27" s="489"/>
      <c r="BS27" s="487"/>
      <c r="BT27" s="487"/>
      <c r="BU27" s="487"/>
      <c r="BV27" s="487"/>
      <c r="BW27" s="487"/>
      <c r="BX27" s="487"/>
      <c r="BY27" s="487"/>
      <c r="BZ27" s="487"/>
      <c r="CA27" s="487"/>
      <c r="CB27" s="253"/>
      <c r="CC27" s="253"/>
      <c r="CD27" s="235">
        <f t="shared" si="32"/>
        <v>42386</v>
      </c>
      <c r="CE27" s="236">
        <f t="shared" ca="1" si="6"/>
        <v>93674.880000000005</v>
      </c>
      <c r="CF27" s="237">
        <f t="shared" ca="1" si="7"/>
        <v>5604.48</v>
      </c>
      <c r="CG27" s="238">
        <f t="shared" ca="1" si="8"/>
        <v>111288.95999999999</v>
      </c>
      <c r="CH27" s="239">
        <f t="shared" ca="1" si="9"/>
        <v>13610.880000000001</v>
      </c>
      <c r="CI27" s="240">
        <f t="shared" ca="1" si="10"/>
        <v>93674.880000000005</v>
      </c>
      <c r="CJ27" s="241">
        <f t="shared" ca="1" si="11"/>
        <v>5604.48</v>
      </c>
      <c r="CK27" s="241">
        <f t="shared" ca="1" si="12"/>
        <v>111288.95999999999</v>
      </c>
      <c r="CL27" s="242">
        <f t="shared" ca="1" si="13"/>
        <v>13610.880000000001</v>
      </c>
      <c r="CM27" s="243">
        <f t="shared" ca="1" si="56"/>
        <v>117</v>
      </c>
      <c r="CN27" s="244">
        <f t="shared" ca="1" si="57"/>
        <v>7</v>
      </c>
      <c r="CO27" s="244">
        <f t="shared" ca="1" si="58"/>
        <v>139</v>
      </c>
      <c r="CP27" s="244">
        <f t="shared" ca="1" si="59"/>
        <v>17</v>
      </c>
      <c r="CQ27" s="1627">
        <f t="shared" ca="1" si="52"/>
        <v>3.3500000000000002E-2</v>
      </c>
      <c r="CR27" s="1628">
        <f t="shared" ca="1" si="53"/>
        <v>0.14250000000000002</v>
      </c>
      <c r="CS27" s="1629">
        <f t="shared" ca="1" si="54"/>
        <v>25.822089500000001</v>
      </c>
      <c r="CT27" s="1629">
        <f ca="1">IF($E27&gt;0,IF(SUM($AM27:$AP27)&gt;0,IF(CELL("type",AP27:AP27)="V",AP27,IF(CELL("type",AP27:AP27)="L",CT$8,"")),""),"")</f>
        <v>36.99</v>
      </c>
      <c r="CU27" s="248">
        <f t="shared" ref="CU27:CX31" ca="1" si="63">IF($E27&gt;0,IF(SUM($AQ27:$AT27)&gt;0,IF(CELL("type",AQ27:AQ27)="V",AQ27,IF(CELL("type",AQ27:AQ27)="L",CU$8,"")),""),"")</f>
        <v>0.51</v>
      </c>
      <c r="CV27" s="246">
        <f t="shared" ca="1" si="63"/>
        <v>2.94</v>
      </c>
      <c r="CW27" s="247">
        <f t="shared" ca="1" si="63"/>
        <v>16.514479999999999</v>
      </c>
      <c r="CX27" s="247">
        <f t="shared" ca="1" si="63"/>
        <v>16.399999999999999</v>
      </c>
      <c r="CY27" s="249">
        <f t="shared" ca="1" si="33"/>
        <v>37.200000000000003</v>
      </c>
      <c r="CZ27" s="249">
        <f t="shared" ca="1" si="34"/>
        <v>19.899999999999999</v>
      </c>
      <c r="DA27" s="250">
        <f t="shared" ca="1" si="35"/>
        <v>29783.807999999997</v>
      </c>
      <c r="DB27" s="250">
        <f t="shared" ca="1" si="36"/>
        <v>15932.735999999997</v>
      </c>
      <c r="DC27" s="251">
        <f t="shared" si="20"/>
        <v>42386</v>
      </c>
      <c r="DD27" s="1416"/>
      <c r="DE27" s="484"/>
      <c r="DF27" s="439">
        <f t="shared" si="60"/>
        <v>42369</v>
      </c>
      <c r="DG27" s="495">
        <f>D11-1</f>
        <v>42369</v>
      </c>
      <c r="DH27" s="496">
        <v>100</v>
      </c>
      <c r="DI27" s="496">
        <v>100</v>
      </c>
      <c r="DJ27" s="496">
        <v>119</v>
      </c>
      <c r="DK27" s="496">
        <v>5</v>
      </c>
      <c r="DL27" s="496">
        <v>168</v>
      </c>
      <c r="DM27" s="496">
        <v>4</v>
      </c>
      <c r="DN27" s="496">
        <v>12</v>
      </c>
      <c r="DO27" s="497">
        <v>99246</v>
      </c>
      <c r="DP27" s="497">
        <v>4170</v>
      </c>
      <c r="DQ27" s="497">
        <v>140112</v>
      </c>
      <c r="DR27" s="497">
        <v>3336</v>
      </c>
      <c r="DS27" s="417">
        <f t="shared" si="37"/>
        <v>1</v>
      </c>
      <c r="DT27" s="439">
        <f t="shared" si="38"/>
        <v>42386</v>
      </c>
      <c r="DU27" s="495">
        <f t="shared" si="61"/>
        <v>42386</v>
      </c>
      <c r="DV27" s="491" t="str">
        <f t="shared" si="22"/>
        <v/>
      </c>
      <c r="DW27" s="491" t="str">
        <f t="shared" si="22"/>
        <v/>
      </c>
      <c r="DX27" s="491" t="str">
        <f t="shared" si="22"/>
        <v/>
      </c>
      <c r="DY27" s="491" t="str">
        <f t="shared" si="39"/>
        <v/>
      </c>
      <c r="DZ27" s="491" t="str">
        <f t="shared" si="40"/>
        <v/>
      </c>
      <c r="EA27" s="491" t="str">
        <f t="shared" si="23"/>
        <v/>
      </c>
      <c r="EB27" s="491" t="str">
        <f t="shared" si="24"/>
        <v/>
      </c>
      <c r="EC27" s="491" t="str">
        <f t="shared" si="25"/>
        <v/>
      </c>
      <c r="ED27" s="491" t="str">
        <f t="shared" si="26"/>
        <v/>
      </c>
      <c r="EE27" s="491" t="str">
        <f t="shared" si="27"/>
        <v/>
      </c>
      <c r="EF27" s="491" t="str">
        <f t="shared" si="28"/>
        <v/>
      </c>
      <c r="EG27" s="492"/>
      <c r="EH27" s="367"/>
      <c r="EI27" s="367"/>
      <c r="EJ27" s="2208">
        <f>+$EJ$36</f>
        <v>11500</v>
      </c>
      <c r="EK27" s="2208">
        <f t="shared" ref="EK27:EU27" si="64">+$EJ$36</f>
        <v>11500</v>
      </c>
      <c r="EL27" s="2208">
        <f t="shared" si="64"/>
        <v>11500</v>
      </c>
      <c r="EM27" s="2208">
        <f t="shared" si="64"/>
        <v>11500</v>
      </c>
      <c r="EN27" s="2208">
        <f t="shared" si="64"/>
        <v>11500</v>
      </c>
      <c r="EO27" s="2208">
        <f t="shared" si="64"/>
        <v>11500</v>
      </c>
      <c r="EP27" s="2208">
        <f t="shared" si="64"/>
        <v>11500</v>
      </c>
      <c r="EQ27" s="2208">
        <f t="shared" si="64"/>
        <v>11500</v>
      </c>
      <c r="ER27" s="2208">
        <f t="shared" si="64"/>
        <v>11500</v>
      </c>
      <c r="ES27" s="2208">
        <f t="shared" si="64"/>
        <v>11500</v>
      </c>
      <c r="ET27" s="2208">
        <f t="shared" si="64"/>
        <v>11500</v>
      </c>
      <c r="EU27" s="2208">
        <f t="shared" si="64"/>
        <v>11500</v>
      </c>
      <c r="EV27" s="487"/>
      <c r="EW27" s="189"/>
      <c r="EX27" s="442">
        <f t="shared" si="29"/>
        <v>0</v>
      </c>
      <c r="EY27" s="493"/>
      <c r="EZ27" s="487"/>
      <c r="FA27" s="487"/>
      <c r="FB27" s="487"/>
      <c r="FC27" s="487"/>
      <c r="FD27" s="487"/>
      <c r="FE27" s="487"/>
      <c r="FF27" s="487"/>
      <c r="FG27" s="487"/>
      <c r="FH27" s="487"/>
      <c r="FI27" s="487"/>
      <c r="FJ27" s="487"/>
      <c r="FK27" s="487"/>
      <c r="FL27" s="487"/>
      <c r="FM27" s="487"/>
      <c r="FN27" s="487"/>
      <c r="FO27" s="487"/>
      <c r="FP27" s="487"/>
      <c r="FQ27" s="487"/>
      <c r="FR27" s="487"/>
      <c r="FS27" s="487"/>
      <c r="FT27" s="487"/>
      <c r="FU27" s="487"/>
      <c r="FV27" s="487"/>
      <c r="FW27" s="487"/>
      <c r="FX27" s="487"/>
      <c r="FY27" s="487"/>
      <c r="FZ27" s="487"/>
      <c r="GA27" s="487"/>
      <c r="GB27" s="487"/>
      <c r="GC27" s="487"/>
      <c r="GD27" s="487"/>
      <c r="GE27" s="487"/>
      <c r="GF27" s="487"/>
      <c r="GG27" s="487"/>
      <c r="GH27" s="487"/>
      <c r="GI27" s="487"/>
      <c r="GJ27" s="487"/>
      <c r="GK27" s="487"/>
      <c r="GL27" s="487"/>
      <c r="GM27" s="487"/>
      <c r="GN27" s="487"/>
      <c r="GO27" s="487"/>
      <c r="GP27" s="487"/>
      <c r="GQ27" s="487"/>
      <c r="GR27" s="487"/>
      <c r="GS27" s="487"/>
      <c r="GT27" s="487"/>
      <c r="GU27" s="487"/>
      <c r="GV27" s="487"/>
      <c r="GW27" s="487"/>
      <c r="GX27" s="487"/>
      <c r="GY27" s="487"/>
      <c r="GZ27" s="487"/>
      <c r="HA27" s="487"/>
      <c r="HB27" s="487"/>
      <c r="HC27" s="487"/>
      <c r="HD27" s="487"/>
      <c r="HE27" s="487"/>
      <c r="HF27" s="487"/>
      <c r="HG27" s="487"/>
      <c r="HH27" s="487"/>
      <c r="HI27" s="487"/>
      <c r="HJ27" s="487"/>
      <c r="HK27" s="487"/>
      <c r="HL27" s="487"/>
      <c r="HM27" s="487"/>
      <c r="HN27" s="487"/>
      <c r="HO27" s="487"/>
      <c r="HP27" s="487"/>
      <c r="HQ27" s="487"/>
      <c r="HR27" s="487"/>
      <c r="HS27" s="487"/>
      <c r="HT27" s="487"/>
      <c r="HU27" s="487"/>
      <c r="HV27" s="487"/>
      <c r="HW27" s="487"/>
      <c r="HX27" s="487"/>
      <c r="HY27" s="487"/>
      <c r="HZ27" s="487"/>
      <c r="IA27" s="487"/>
      <c r="IB27" s="487"/>
      <c r="IC27" s="487"/>
      <c r="ID27" s="487"/>
      <c r="IE27" s="487"/>
      <c r="IF27" s="487"/>
      <c r="IG27" s="487"/>
      <c r="IH27" s="487"/>
      <c r="II27" s="487"/>
      <c r="IJ27" s="487"/>
      <c r="IK27" s="487"/>
      <c r="IL27" s="487"/>
      <c r="IM27" s="487"/>
      <c r="IN27" s="487"/>
      <c r="IO27" s="487"/>
      <c r="IP27" s="487"/>
      <c r="IQ27" s="487"/>
      <c r="IR27" s="487"/>
      <c r="IS27" s="487"/>
      <c r="IT27" s="487"/>
      <c r="IU27" s="487"/>
      <c r="IV27" s="487"/>
      <c r="IW27" s="487"/>
      <c r="IX27" s="487"/>
    </row>
    <row r="28" spans="1:258" s="393" customFormat="1" ht="16.5" customHeight="1" thickBot="1">
      <c r="A28" s="487"/>
      <c r="B28" s="487"/>
      <c r="C28" s="1251">
        <f t="shared" si="30"/>
        <v>42387</v>
      </c>
      <c r="D28" s="443">
        <f t="shared" si="31"/>
        <v>42387</v>
      </c>
      <c r="E28" s="1293">
        <f ca="1">IF(D28&lt;TODAY(),IF(AT_!CG28="","",+AT_!CG28),"")</f>
        <v>93</v>
      </c>
      <c r="F28" s="1293">
        <f>IF(AT_!CH28="","",+AT_!CH28)</f>
        <v>124</v>
      </c>
      <c r="G28" s="1293">
        <f>IF(AT_!CF28="","",+AT_!CF28)</f>
        <v>93</v>
      </c>
      <c r="H28" s="1293">
        <f>IF(AT_!CI28="","",+AT_!CI28)</f>
        <v>57</v>
      </c>
      <c r="I28" s="1293">
        <f>IF(AT_!BS28="","",+AT_!BS28)</f>
        <v>17</v>
      </c>
      <c r="J28" s="1294">
        <f>IF(AT_!BU28="","",+AT_!BU28)</f>
        <v>6.6</v>
      </c>
      <c r="K28" s="1294">
        <f>IF(AT_!BT28="","",+AT_!BT28)</f>
        <v>7.3</v>
      </c>
      <c r="L28" s="1294">
        <f>IF(AT_!BV28="","",+AT_!BV28)</f>
        <v>6.9</v>
      </c>
      <c r="M28" s="1294">
        <f>IF(AT_!BX28="","",+AT_!BX28)</f>
        <v>6.6</v>
      </c>
      <c r="N28" s="1294">
        <f>IF(AT_!BW28="","",+AT_!BW28)</f>
        <v>6.8</v>
      </c>
      <c r="O28" s="1294">
        <f>IF(AT_!BY28="","",+AT_!BY28)</f>
        <v>6.7</v>
      </c>
      <c r="P28" s="425"/>
      <c r="Q28" s="425"/>
      <c r="R28" s="1293">
        <f>IF(AT_!AC28="","",+AT_!AC28)</f>
        <v>139</v>
      </c>
      <c r="S28" s="424">
        <f>IF(AT_!$AF28="","",AT_!$AF28)</f>
        <v>9</v>
      </c>
      <c r="T28" s="1293">
        <f>IF(AT_!G28="","",+AT_!G28)</f>
        <v>142</v>
      </c>
      <c r="U28" s="2660">
        <f>IF(AT_!$K28="","",AT_!$K28)</f>
        <v>28</v>
      </c>
      <c r="V28" s="444" t="str">
        <f t="shared" si="41"/>
        <v/>
      </c>
      <c r="W28" s="427">
        <f t="shared" si="3"/>
        <v>42387</v>
      </c>
      <c r="X28" s="488">
        <f t="shared" si="3"/>
        <v>42387</v>
      </c>
      <c r="Y28" s="1295" t="str">
        <f>+AT_!FJ28</f>
        <v/>
      </c>
      <c r="Z28" s="1295" t="str">
        <f>AT_!FX28</f>
        <v/>
      </c>
      <c r="AA28" s="1295" t="str">
        <f>+AT_!FI28</f>
        <v/>
      </c>
      <c r="AB28" s="1295" t="str">
        <f>AT_!FW28</f>
        <v/>
      </c>
      <c r="AC28" s="429">
        <f>IF(AT_!DW28="","",IF(+AT_!DW28&gt;1,ROUND(+AT_!DW28,1),+AT_!DW28))</f>
        <v>0.5</v>
      </c>
      <c r="AD28" s="430" t="str">
        <f>IF(AT_!CA28="","",+AT_!CA28)</f>
        <v/>
      </c>
      <c r="AE28" s="431">
        <f>IF(AT_!CB28="","",AT_!CB28)</f>
        <v>13</v>
      </c>
      <c r="AF28" s="2609"/>
      <c r="AG28" s="2610"/>
      <c r="AH28" s="2202"/>
      <c r="AI28" s="2682" t="str">
        <f>IF(AT_!$EN28="","",AT_!$EN28)</f>
        <v>Clear</v>
      </c>
      <c r="AJ28" s="489"/>
      <c r="AK28" s="427">
        <f t="shared" si="4"/>
        <v>42387</v>
      </c>
      <c r="AL28" s="488">
        <f t="shared" si="5"/>
        <v>42387</v>
      </c>
      <c r="AM28" s="1295">
        <f>AT_!FE28</f>
        <v>4.65E-2</v>
      </c>
      <c r="AN28" s="1295">
        <f>AT_!FF28</f>
        <v>7.6500000000000012E-2</v>
      </c>
      <c r="AO28" s="425">
        <f>IF(AT_!FG28= "","",(AT_!FG28*1.2143))</f>
        <v>29.307130499999996</v>
      </c>
      <c r="AP28" s="1294">
        <f>AT_!FH28</f>
        <v>38.08</v>
      </c>
      <c r="AQ28" s="1295">
        <f>AT_!FS28</f>
        <v>0.5</v>
      </c>
      <c r="AR28" s="1295">
        <f>AT_!FT28</f>
        <v>3.03</v>
      </c>
      <c r="AS28" s="425">
        <f>IF(AT_!FU28= "","",(AT_!FU28*1.2143))</f>
        <v>18.335929999999998</v>
      </c>
      <c r="AT28" s="1294">
        <f>AT_!FV28</f>
        <v>17.600000000000001</v>
      </c>
      <c r="AU28" s="1294">
        <f>IF(AT_!BO28="","",AT_!BO28)</f>
        <v>4.49</v>
      </c>
      <c r="AV28" s="1293" t="str">
        <f>IF(AT_!BR28="","",AT_!BR28)</f>
        <v/>
      </c>
      <c r="AW28" s="490"/>
      <c r="AX28" s="432">
        <f>IF((SUM(AT_!O28,AT_!P28))=0,"",ROUND(IF(ISNUMBER(AT_!O28),AT_!O28,AT_!$O$42)*0.6+IF(ISNUMBER(AT_!P28),AT_!P28,AT_!$P$42)*0.4,-1))</f>
        <v>4600</v>
      </c>
      <c r="AY28" s="432">
        <f>IF((SUM(AT_!M28,AT_!N28))=0,"",ROUND((IF(ISNUMBER(AT_!M28),AT_!M28,AT_!$M$42)*0.6)+(IF(ISNUMBER(AT_!N28),AT_!N28,AT_!$N$42)*0.4),-1))</f>
        <v>2960</v>
      </c>
      <c r="AZ28" s="1293">
        <f>PT_!AA28</f>
        <v>300</v>
      </c>
      <c r="BA28" s="433">
        <f>AT_!CK28</f>
        <v>59</v>
      </c>
      <c r="BB28" s="2635">
        <f ca="1">IF(E28="","",ROUND((PT_!BM28*IF(ISNUMBER(AT_!Q28),AT_!Q28,AT_!$Q$42)+IF(ISNUMBER(AT_!S28),AT_!S28,AT_!$S$42)*PT_!BN28)*8.34,0))</f>
        <v>68742</v>
      </c>
      <c r="BC28" s="489"/>
      <c r="BD28" s="490" t="s">
        <v>1038</v>
      </c>
      <c r="BE28" s="499"/>
      <c r="BF28" s="499"/>
      <c r="BG28" s="499"/>
      <c r="BH28" s="489"/>
      <c r="BI28" s="506" t="s">
        <v>1068</v>
      </c>
      <c r="BJ28" s="1237"/>
      <c r="BK28" s="1237"/>
      <c r="BL28" s="1237"/>
      <c r="BM28" s="506" t="s">
        <v>1098</v>
      </c>
      <c r="BN28" s="1237"/>
      <c r="BO28" s="1237"/>
      <c r="BP28" s="507" t="s">
        <v>89</v>
      </c>
      <c r="BQ28" s="2696" t="s">
        <v>93</v>
      </c>
      <c r="BR28" s="489"/>
      <c r="BS28" s="487"/>
      <c r="BT28" s="487"/>
      <c r="BU28" s="487"/>
      <c r="BV28" s="487"/>
      <c r="BW28" s="487"/>
      <c r="BX28" s="487"/>
      <c r="BY28" s="487"/>
      <c r="BZ28" s="487"/>
      <c r="CA28" s="487"/>
      <c r="CB28" s="253"/>
      <c r="CC28" s="253"/>
      <c r="CD28" s="235">
        <f t="shared" si="32"/>
        <v>42387</v>
      </c>
      <c r="CE28" s="236">
        <f t="shared" ca="1" si="6"/>
        <v>107811.18</v>
      </c>
      <c r="CF28" s="237">
        <f t="shared" ca="1" si="7"/>
        <v>6980.58</v>
      </c>
      <c r="CG28" s="238">
        <f t="shared" ca="1" si="8"/>
        <v>110138.04</v>
      </c>
      <c r="CH28" s="239">
        <f t="shared" ca="1" si="9"/>
        <v>21717.359999999997</v>
      </c>
      <c r="CI28" s="240">
        <f t="shared" ca="1" si="10"/>
        <v>107811.18</v>
      </c>
      <c r="CJ28" s="241">
        <f t="shared" ca="1" si="11"/>
        <v>6980.58</v>
      </c>
      <c r="CK28" s="241">
        <f t="shared" ca="1" si="12"/>
        <v>110138.04</v>
      </c>
      <c r="CL28" s="242">
        <f t="shared" ca="1" si="13"/>
        <v>21717.359999999997</v>
      </c>
      <c r="CM28" s="243">
        <f t="shared" ca="1" si="56"/>
        <v>139</v>
      </c>
      <c r="CN28" s="244">
        <f t="shared" ca="1" si="57"/>
        <v>9</v>
      </c>
      <c r="CO28" s="244">
        <f t="shared" ca="1" si="58"/>
        <v>142</v>
      </c>
      <c r="CP28" s="244">
        <f t="shared" ca="1" si="59"/>
        <v>28</v>
      </c>
      <c r="CQ28" s="1627">
        <f t="shared" ca="1" si="52"/>
        <v>4.65E-2</v>
      </c>
      <c r="CR28" s="1628">
        <f t="shared" ca="1" si="53"/>
        <v>7.6500000000000012E-2</v>
      </c>
      <c r="CS28" s="1629">
        <f t="shared" ca="1" si="54"/>
        <v>29.307130499999996</v>
      </c>
      <c r="CT28" s="1629">
        <f ca="1">IF($E28&gt;0,IF(SUM($AM28:$AP28)&gt;0,IF(CELL("type",AP28:AP28)="V",AP28,IF(CELL("type",AP28:AP28)="L",CT$8,"")),""),"")</f>
        <v>38.08</v>
      </c>
      <c r="CU28" s="248">
        <f t="shared" ca="1" si="63"/>
        <v>0.5</v>
      </c>
      <c r="CV28" s="246">
        <f t="shared" ca="1" si="63"/>
        <v>3.03</v>
      </c>
      <c r="CW28" s="247">
        <f t="shared" ca="1" si="63"/>
        <v>18.335929999999998</v>
      </c>
      <c r="CX28" s="247">
        <f t="shared" ca="1" si="63"/>
        <v>17.600000000000001</v>
      </c>
      <c r="CY28" s="249">
        <f t="shared" ca="1" si="33"/>
        <v>38.200000000000003</v>
      </c>
      <c r="CZ28" s="249">
        <f t="shared" ca="1" si="34"/>
        <v>21.1</v>
      </c>
      <c r="DA28" s="250">
        <f t="shared" ca="1" si="35"/>
        <v>29628.684000000001</v>
      </c>
      <c r="DB28" s="250">
        <f t="shared" ca="1" si="36"/>
        <v>16365.582000000002</v>
      </c>
      <c r="DC28" s="251">
        <f t="shared" si="20"/>
        <v>42387</v>
      </c>
      <c r="DD28" s="1416"/>
      <c r="DE28" s="484"/>
      <c r="DF28" s="418" t="s">
        <v>942</v>
      </c>
      <c r="DG28" s="508"/>
      <c r="DH28" s="496">
        <v>94</v>
      </c>
      <c r="DI28" s="496">
        <v>105</v>
      </c>
      <c r="DJ28" s="509">
        <v>130</v>
      </c>
      <c r="DK28" s="509">
        <v>8</v>
      </c>
      <c r="DL28" s="509">
        <v>139</v>
      </c>
      <c r="DM28" s="509">
        <v>4</v>
      </c>
      <c r="DN28" s="509">
        <v>11</v>
      </c>
      <c r="DO28" s="510"/>
      <c r="DP28" s="510"/>
      <c r="DQ28" s="510"/>
      <c r="DR28" s="510"/>
      <c r="DS28" s="417">
        <f t="shared" si="37"/>
        <v>2</v>
      </c>
      <c r="DT28" s="439">
        <f t="shared" si="38"/>
        <v>42387</v>
      </c>
      <c r="DU28" s="495">
        <f t="shared" si="61"/>
        <v>42387</v>
      </c>
      <c r="DV28" s="491" t="str">
        <f t="shared" si="22"/>
        <v/>
      </c>
      <c r="DW28" s="491" t="str">
        <f t="shared" si="22"/>
        <v/>
      </c>
      <c r="DX28" s="491" t="str">
        <f t="shared" si="22"/>
        <v/>
      </c>
      <c r="DY28" s="491" t="str">
        <f t="shared" si="39"/>
        <v/>
      </c>
      <c r="DZ28" s="491" t="str">
        <f t="shared" si="40"/>
        <v/>
      </c>
      <c r="EA28" s="491" t="str">
        <f t="shared" si="23"/>
        <v/>
      </c>
      <c r="EB28" s="491" t="str">
        <f t="shared" si="24"/>
        <v/>
      </c>
      <c r="EC28" s="491" t="str">
        <f t="shared" si="25"/>
        <v/>
      </c>
      <c r="ED28" s="491" t="str">
        <f t="shared" si="26"/>
        <v/>
      </c>
      <c r="EE28" s="491" t="str">
        <f t="shared" si="27"/>
        <v/>
      </c>
      <c r="EF28" s="491" t="str">
        <f t="shared" si="28"/>
        <v/>
      </c>
      <c r="EG28" s="492"/>
      <c r="EH28" s="406"/>
      <c r="EI28" s="406" t="s">
        <v>190</v>
      </c>
      <c r="EJ28" s="406"/>
      <c r="EK28" s="406"/>
      <c r="EL28" s="406"/>
      <c r="EM28" s="406"/>
      <c r="EN28" s="406"/>
      <c r="EO28" s="406"/>
      <c r="EP28" s="406"/>
      <c r="EQ28" s="406"/>
      <c r="ER28" s="406"/>
      <c r="ES28" s="406"/>
      <c r="ET28" s="406"/>
      <c r="EU28" s="406"/>
      <c r="EV28" s="487"/>
      <c r="EW28" s="189"/>
      <c r="EX28" s="442">
        <f t="shared" si="29"/>
        <v>0</v>
      </c>
      <c r="EY28" s="493"/>
      <c r="EZ28" s="487"/>
      <c r="FA28" s="487"/>
      <c r="FB28" s="487"/>
      <c r="FC28" s="487"/>
      <c r="FD28" s="487"/>
      <c r="FE28" s="487"/>
      <c r="FF28" s="487"/>
      <c r="FG28" s="487"/>
      <c r="FH28" s="487"/>
      <c r="FI28" s="487"/>
      <c r="FJ28" s="487"/>
      <c r="FK28" s="487"/>
      <c r="FL28" s="487"/>
      <c r="FM28" s="487"/>
      <c r="FN28" s="487"/>
      <c r="FO28" s="487"/>
      <c r="FP28" s="487"/>
      <c r="FQ28" s="487"/>
      <c r="FR28" s="487"/>
      <c r="FS28" s="487"/>
      <c r="FT28" s="487"/>
      <c r="FU28" s="487"/>
      <c r="FV28" s="487"/>
      <c r="FW28" s="487"/>
      <c r="FX28" s="487"/>
      <c r="FY28" s="487"/>
      <c r="FZ28" s="487"/>
      <c r="GA28" s="487"/>
      <c r="GB28" s="487"/>
      <c r="GC28" s="487"/>
      <c r="GD28" s="487"/>
      <c r="GE28" s="487"/>
      <c r="GF28" s="487"/>
      <c r="GG28" s="487"/>
      <c r="GH28" s="487"/>
      <c r="GI28" s="487"/>
      <c r="GJ28" s="487"/>
      <c r="GK28" s="487"/>
      <c r="GL28" s="487"/>
      <c r="GM28" s="487"/>
      <c r="GN28" s="487"/>
      <c r="GO28" s="487"/>
      <c r="GP28" s="487"/>
      <c r="GQ28" s="487"/>
      <c r="GR28" s="487"/>
      <c r="GS28" s="487"/>
      <c r="GT28" s="487"/>
      <c r="GU28" s="487"/>
      <c r="GV28" s="487"/>
      <c r="GW28" s="487"/>
      <c r="GX28" s="487"/>
      <c r="GY28" s="487"/>
      <c r="GZ28" s="487"/>
      <c r="HA28" s="487"/>
      <c r="HB28" s="487"/>
      <c r="HC28" s="487"/>
      <c r="HD28" s="487"/>
      <c r="HE28" s="487"/>
      <c r="HF28" s="487"/>
      <c r="HG28" s="487"/>
      <c r="HH28" s="487"/>
      <c r="HI28" s="487"/>
      <c r="HJ28" s="487"/>
      <c r="HK28" s="487"/>
      <c r="HL28" s="487"/>
      <c r="HM28" s="487"/>
      <c r="HN28" s="487"/>
      <c r="HO28" s="487"/>
      <c r="HP28" s="487"/>
      <c r="HQ28" s="487"/>
      <c r="HR28" s="487"/>
      <c r="HS28" s="487"/>
      <c r="HT28" s="487"/>
      <c r="HU28" s="487"/>
      <c r="HV28" s="487"/>
      <c r="HW28" s="487"/>
      <c r="HX28" s="487"/>
      <c r="HY28" s="487"/>
      <c r="HZ28" s="487"/>
      <c r="IA28" s="487"/>
      <c r="IB28" s="487"/>
      <c r="IC28" s="487"/>
      <c r="ID28" s="487"/>
      <c r="IE28" s="487"/>
      <c r="IF28" s="487"/>
      <c r="IG28" s="487"/>
      <c r="IH28" s="487"/>
      <c r="II28" s="487"/>
      <c r="IJ28" s="487"/>
      <c r="IK28" s="487"/>
      <c r="IL28" s="487"/>
      <c r="IM28" s="487"/>
      <c r="IN28" s="487"/>
      <c r="IO28" s="487"/>
      <c r="IP28" s="487"/>
      <c r="IQ28" s="487"/>
      <c r="IR28" s="487"/>
      <c r="IS28" s="487"/>
      <c r="IT28" s="487"/>
      <c r="IU28" s="487"/>
      <c r="IV28" s="487"/>
      <c r="IW28" s="487"/>
      <c r="IX28" s="487"/>
    </row>
    <row r="29" spans="1:258" s="21" customFormat="1" ht="16.5" customHeight="1">
      <c r="A29" s="487"/>
      <c r="B29" s="487"/>
      <c r="C29" s="1251">
        <f t="shared" si="30"/>
        <v>42388</v>
      </c>
      <c r="D29" s="443">
        <f t="shared" si="31"/>
        <v>42388</v>
      </c>
      <c r="E29" s="424">
        <f ca="1">IF(D29&lt;TODAY(),IF(AT_!CG29="","",+AT_!CG29),"")</f>
        <v>89</v>
      </c>
      <c r="F29" s="424">
        <f>IF(AT_!CH29="","",+AT_!CH29)</f>
        <v>110</v>
      </c>
      <c r="G29" s="424">
        <f>IF(AT_!CF29="","",+AT_!CF29)</f>
        <v>89</v>
      </c>
      <c r="H29" s="424">
        <f>IF(AT_!CI29="","",+AT_!CI29)</f>
        <v>57</v>
      </c>
      <c r="I29" s="424">
        <f>IF(AT_!BS29="","",+AT_!BS29)</f>
        <v>17</v>
      </c>
      <c r="J29" s="425">
        <f>IF(AT_!BU29="","",+AT_!BU29)</f>
        <v>6.5</v>
      </c>
      <c r="K29" s="425">
        <f>IF(AT_!BT29="","",+AT_!BT29)</f>
        <v>7.1</v>
      </c>
      <c r="L29" s="425">
        <f>IF(AT_!BV29="","",+AT_!BV29)</f>
        <v>6.8</v>
      </c>
      <c r="M29" s="425">
        <f>IF(AT_!BX29="","",+AT_!BX29)</f>
        <v>6</v>
      </c>
      <c r="N29" s="425">
        <f>IF(AT_!BW29="","",+AT_!BW29)</f>
        <v>7.1</v>
      </c>
      <c r="O29" s="425">
        <f>IF(AT_!BY29="","",+AT_!BY29)</f>
        <v>6.6</v>
      </c>
      <c r="P29" s="425"/>
      <c r="Q29" s="425"/>
      <c r="R29" s="424">
        <f>IF(AT_!AC29="","",+AT_!AC29)</f>
        <v>153</v>
      </c>
      <c r="S29" s="424">
        <f>IF(AT_!$AF29="","",AT_!$AF29)</f>
        <v>8</v>
      </c>
      <c r="T29" s="424">
        <f>IF(AT_!G29="","",+AT_!G29)</f>
        <v>121</v>
      </c>
      <c r="U29" s="2660">
        <f>IF(AT_!$K29="","",AT_!$K29)</f>
        <v>17</v>
      </c>
      <c r="V29" s="444" t="str">
        <f t="shared" si="41"/>
        <v/>
      </c>
      <c r="W29" s="427">
        <f t="shared" si="3"/>
        <v>42388</v>
      </c>
      <c r="X29" s="488">
        <f t="shared" si="3"/>
        <v>42388</v>
      </c>
      <c r="Y29" s="429">
        <f>+AT_!FJ29</f>
        <v>4.5964999999999998</v>
      </c>
      <c r="Z29" s="429">
        <f>AT_!FX29</f>
        <v>2.37</v>
      </c>
      <c r="AA29" s="429">
        <f>+AT_!FI29</f>
        <v>2.7464999999999997</v>
      </c>
      <c r="AB29" s="429">
        <f>AT_!FW29</f>
        <v>1.66</v>
      </c>
      <c r="AC29" s="429">
        <f>IF(AT_!DW29="","",IF(+AT_!DW29&gt;1,ROUND(+AT_!DW29,1),+AT_!DW29))</f>
        <v>0.47</v>
      </c>
      <c r="AD29" s="430" t="str">
        <f>IF(AT_!CA29="","",+AT_!CA29)</f>
        <v/>
      </c>
      <c r="AE29" s="431">
        <f>IF(AT_!CB29="","",AT_!CB29)</f>
        <v>13</v>
      </c>
      <c r="AF29" s="2609"/>
      <c r="AG29" s="2610"/>
      <c r="AH29" s="2533" t="s">
        <v>1399</v>
      </c>
      <c r="AI29" s="2681" t="str">
        <f>IF(AT_!$EN29="","",AT_!$EN29)</f>
        <v>Clear</v>
      </c>
      <c r="AJ29" s="489"/>
      <c r="AK29" s="427">
        <f t="shared" si="4"/>
        <v>42388</v>
      </c>
      <c r="AL29" s="488">
        <f t="shared" si="5"/>
        <v>42388</v>
      </c>
      <c r="AM29" s="429">
        <f>AT_!FE29</f>
        <v>0</v>
      </c>
      <c r="AN29" s="429">
        <f>AT_!FF29</f>
        <v>9.2999999999999999E-2</v>
      </c>
      <c r="AO29" s="425">
        <f>IF(AT_!FG29= "","",(AT_!FG29*1.2143))</f>
        <v>28.6149795</v>
      </c>
      <c r="AP29" s="425">
        <f>AT_!FH29</f>
        <v>38.120000000000005</v>
      </c>
      <c r="AQ29" s="429">
        <f>AT_!FS29</f>
        <v>0.57999999999999996</v>
      </c>
      <c r="AR29" s="429">
        <f>AT_!FT29</f>
        <v>3.57</v>
      </c>
      <c r="AS29" s="425">
        <f>IF(AT_!FU29= "","",(AT_!FU29*1.2143))</f>
        <v>15.54304</v>
      </c>
      <c r="AT29" s="425">
        <f>AT_!FV29</f>
        <v>16</v>
      </c>
      <c r="AU29" s="425">
        <f>IF(AT_!BO29="","",AT_!BO29)</f>
        <v>4.68</v>
      </c>
      <c r="AV29" s="424">
        <f>IF(AT_!BR29="","",AT_!BR29)</f>
        <v>100</v>
      </c>
      <c r="AW29" s="490"/>
      <c r="AX29" s="432">
        <f>IF((SUM(AT_!O29,AT_!P29))=0,"",ROUND(IF(ISNUMBER(AT_!O29),AT_!O29,AT_!$O$42)*0.6+IF(ISNUMBER(AT_!P29),AT_!P29,AT_!$P$42)*0.4,-1))</f>
        <v>3660</v>
      </c>
      <c r="AY29" s="432">
        <f>IF((SUM(AT_!M29,AT_!N29))=0,"",ROUND((IF(ISNUMBER(AT_!M29),AT_!M29,AT_!$M$42)*0.6)+(IF(ISNUMBER(AT_!N29),AT_!N29,AT_!$N$42)*0.4),-1))</f>
        <v>2540</v>
      </c>
      <c r="AZ29" s="1293">
        <f>PT_!AA29</f>
        <v>260</v>
      </c>
      <c r="BA29" s="433">
        <f>AT_!CK29</f>
        <v>60</v>
      </c>
      <c r="BB29" s="2635">
        <f ca="1">IF(E29="","",ROUND((PT_!BM29*IF(ISNUMBER(AT_!Q29),AT_!Q29,AT_!$Q$42)+IF(ISNUMBER(AT_!S29),AT_!S29,AT_!$S$42)*PT_!BN29)*8.34,0))</f>
        <v>83018</v>
      </c>
      <c r="BC29" s="489"/>
      <c r="BD29" s="489" t="s">
        <v>1039</v>
      </c>
      <c r="BE29" s="1239"/>
      <c r="BF29" s="1239"/>
      <c r="BG29" s="1239"/>
      <c r="BH29" s="489"/>
      <c r="BI29" s="490" t="s">
        <v>1069</v>
      </c>
      <c r="BJ29" s="499"/>
      <c r="BK29" s="499"/>
      <c r="BL29" s="499"/>
      <c r="BM29" s="490"/>
      <c r="BN29" s="499"/>
      <c r="BO29" s="499">
        <v>3</v>
      </c>
      <c r="BP29" s="511">
        <v>0</v>
      </c>
      <c r="BQ29" s="2697">
        <f>BO29*40</f>
        <v>120</v>
      </c>
      <c r="BR29" s="489"/>
      <c r="BS29" s="487"/>
      <c r="BT29" s="487"/>
      <c r="BU29" s="487"/>
      <c r="BV29" s="487"/>
      <c r="BW29" s="487"/>
      <c r="BX29" s="487"/>
      <c r="BY29" s="487"/>
      <c r="BZ29" s="487"/>
      <c r="CA29" s="487"/>
      <c r="CB29" s="253"/>
      <c r="CC29" s="253"/>
      <c r="CD29" s="235">
        <f t="shared" si="32"/>
        <v>42388</v>
      </c>
      <c r="CE29" s="236">
        <f t="shared" ca="1" si="6"/>
        <v>113565.78</v>
      </c>
      <c r="CF29" s="237">
        <f t="shared" ca="1" si="7"/>
        <v>5938.08</v>
      </c>
      <c r="CG29" s="238">
        <f t="shared" ca="1" si="8"/>
        <v>89813.459999999992</v>
      </c>
      <c r="CH29" s="239">
        <f t="shared" ca="1" si="9"/>
        <v>12618.42</v>
      </c>
      <c r="CI29" s="240">
        <f t="shared" ca="1" si="10"/>
        <v>113565.78</v>
      </c>
      <c r="CJ29" s="241">
        <f t="shared" ca="1" si="11"/>
        <v>5938.08</v>
      </c>
      <c r="CK29" s="241">
        <f t="shared" ca="1" si="12"/>
        <v>89813.459999999992</v>
      </c>
      <c r="CL29" s="242">
        <f t="shared" ca="1" si="13"/>
        <v>12618.42</v>
      </c>
      <c r="CM29" s="243">
        <f t="shared" ca="1" si="56"/>
        <v>153</v>
      </c>
      <c r="CN29" s="244">
        <f t="shared" ca="1" si="57"/>
        <v>8</v>
      </c>
      <c r="CO29" s="244">
        <f t="shared" ca="1" si="58"/>
        <v>121</v>
      </c>
      <c r="CP29" s="244">
        <f t="shared" ca="1" si="59"/>
        <v>17</v>
      </c>
      <c r="CQ29" s="1627">
        <f t="shared" ca="1" si="52"/>
        <v>0</v>
      </c>
      <c r="CR29" s="1628">
        <f t="shared" ca="1" si="53"/>
        <v>9.2999999999999999E-2</v>
      </c>
      <c r="CS29" s="1629">
        <f t="shared" ca="1" si="54"/>
        <v>28.6149795</v>
      </c>
      <c r="CT29" s="1629">
        <f ca="1">IF($E29&gt;0,IF(SUM($AM29:$AP29)&gt;0,IF(CELL("type",AP29:AP29)="V",AP29,IF(CELL("type",AP29:AP29)="L",CT$8,"")),""),"")</f>
        <v>38.120000000000005</v>
      </c>
      <c r="CU29" s="248">
        <f t="shared" ca="1" si="63"/>
        <v>0.57999999999999996</v>
      </c>
      <c r="CV29" s="246">
        <f t="shared" ca="1" si="63"/>
        <v>3.57</v>
      </c>
      <c r="CW29" s="247">
        <f t="shared" ca="1" si="63"/>
        <v>15.54304</v>
      </c>
      <c r="CX29" s="247">
        <f t="shared" ca="1" si="63"/>
        <v>16</v>
      </c>
      <c r="CY29" s="249">
        <f t="shared" ca="1" si="33"/>
        <v>38.200000000000003</v>
      </c>
      <c r="CZ29" s="249">
        <f t="shared" ca="1" si="34"/>
        <v>20.2</v>
      </c>
      <c r="DA29" s="250">
        <f t="shared" ca="1" si="35"/>
        <v>28354.332000000002</v>
      </c>
      <c r="DB29" s="250">
        <f t="shared" ca="1" si="36"/>
        <v>14993.651999999998</v>
      </c>
      <c r="DC29" s="251">
        <f t="shared" si="20"/>
        <v>42388</v>
      </c>
      <c r="DD29" s="1410"/>
      <c r="DE29" s="482"/>
      <c r="DF29" s="512"/>
      <c r="DG29" s="512"/>
      <c r="DH29" s="513" t="s">
        <v>169</v>
      </c>
      <c r="DI29" s="513"/>
      <c r="DJ29" s="513"/>
      <c r="DK29" s="513"/>
      <c r="DL29" s="513"/>
      <c r="DM29" s="513"/>
      <c r="DN29" s="513"/>
      <c r="DO29" s="513"/>
      <c r="DP29" s="513"/>
      <c r="DQ29" s="513"/>
      <c r="DR29" s="513"/>
      <c r="DS29" s="417">
        <f t="shared" si="37"/>
        <v>3</v>
      </c>
      <c r="DT29" s="439">
        <f t="shared" si="38"/>
        <v>42388</v>
      </c>
      <c r="DU29" s="495">
        <f t="shared" si="61"/>
        <v>42388</v>
      </c>
      <c r="DV29" s="403" t="str">
        <f t="shared" si="22"/>
        <v/>
      </c>
      <c r="DW29" s="403" t="str">
        <f t="shared" si="22"/>
        <v/>
      </c>
      <c r="DX29" s="403" t="str">
        <f t="shared" si="22"/>
        <v/>
      </c>
      <c r="DY29" s="403" t="str">
        <f t="shared" si="39"/>
        <v/>
      </c>
      <c r="DZ29" s="403" t="str">
        <f t="shared" si="40"/>
        <v/>
      </c>
      <c r="EA29" s="403" t="str">
        <f t="shared" si="23"/>
        <v/>
      </c>
      <c r="EB29" s="403" t="str">
        <f t="shared" si="24"/>
        <v/>
      </c>
      <c r="EC29" s="403" t="str">
        <f t="shared" si="25"/>
        <v/>
      </c>
      <c r="ED29" s="403" t="str">
        <f t="shared" si="26"/>
        <v/>
      </c>
      <c r="EE29" s="403" t="str">
        <f t="shared" si="27"/>
        <v/>
      </c>
      <c r="EF29" s="403" t="str">
        <f t="shared" si="28"/>
        <v/>
      </c>
      <c r="EG29" s="492"/>
      <c r="EH29" s="419"/>
      <c r="EI29" s="420" t="s">
        <v>191</v>
      </c>
      <c r="EJ29" s="421">
        <f t="shared" ref="EJ29:ES29" si="65">+EJ10</f>
        <v>42370</v>
      </c>
      <c r="EK29" s="421">
        <f>+EK10</f>
        <v>42036</v>
      </c>
      <c r="EL29" s="421">
        <f t="shared" si="65"/>
        <v>42064</v>
      </c>
      <c r="EM29" s="421">
        <f t="shared" si="65"/>
        <v>42095</v>
      </c>
      <c r="EN29" s="1762">
        <f t="shared" si="65"/>
        <v>42125</v>
      </c>
      <c r="EO29" s="421">
        <f t="shared" si="65"/>
        <v>42156</v>
      </c>
      <c r="EP29" s="421">
        <f t="shared" si="65"/>
        <v>42186</v>
      </c>
      <c r="EQ29" s="421">
        <f t="shared" si="65"/>
        <v>42217</v>
      </c>
      <c r="ER29" s="421">
        <f t="shared" si="65"/>
        <v>42248</v>
      </c>
      <c r="ES29" s="421">
        <f t="shared" si="65"/>
        <v>42278</v>
      </c>
      <c r="ET29" s="421">
        <f>+ET10</f>
        <v>42309</v>
      </c>
      <c r="EU29" s="421">
        <f>+EU10</f>
        <v>42339</v>
      </c>
      <c r="EV29" s="514"/>
      <c r="EW29" s="189"/>
      <c r="EX29" s="442">
        <f t="shared" si="29"/>
        <v>0</v>
      </c>
      <c r="EY29" s="493"/>
      <c r="EZ29" s="487"/>
      <c r="FA29" s="487"/>
      <c r="FB29" s="487"/>
      <c r="FC29" s="487"/>
      <c r="FD29" s="487"/>
      <c r="FE29" s="487"/>
      <c r="FF29" s="487"/>
      <c r="FG29" s="487"/>
      <c r="FH29" s="487"/>
      <c r="FI29" s="487"/>
      <c r="FJ29" s="487"/>
      <c r="FK29" s="487"/>
      <c r="FL29" s="487"/>
      <c r="FM29" s="487"/>
      <c r="FN29" s="487"/>
      <c r="FO29" s="487"/>
      <c r="FP29" s="487"/>
      <c r="FQ29" s="487"/>
      <c r="FR29" s="487"/>
      <c r="FS29" s="487"/>
      <c r="FT29" s="487"/>
      <c r="FU29" s="487"/>
      <c r="FV29" s="487"/>
      <c r="FW29" s="487"/>
      <c r="FX29" s="487"/>
      <c r="FY29" s="487"/>
      <c r="FZ29" s="487"/>
      <c r="GA29" s="487"/>
      <c r="GB29" s="487"/>
      <c r="GC29" s="487"/>
      <c r="GD29" s="487"/>
      <c r="GE29" s="487"/>
      <c r="GF29" s="487"/>
      <c r="GG29" s="487"/>
      <c r="GH29" s="487"/>
      <c r="GI29" s="487"/>
      <c r="GJ29" s="487"/>
      <c r="GK29" s="487"/>
      <c r="GL29" s="487"/>
      <c r="GM29" s="487"/>
      <c r="GN29" s="487"/>
      <c r="GO29" s="487"/>
      <c r="GP29" s="487"/>
      <c r="GQ29" s="487"/>
      <c r="GR29" s="487"/>
      <c r="GS29" s="487"/>
      <c r="GT29" s="487"/>
      <c r="GU29" s="487"/>
      <c r="GV29" s="487"/>
      <c r="GW29" s="487"/>
      <c r="GX29" s="487"/>
      <c r="GY29" s="487"/>
      <c r="GZ29" s="487"/>
      <c r="HA29" s="487"/>
      <c r="HB29" s="487"/>
      <c r="HC29" s="487"/>
      <c r="HD29" s="487"/>
      <c r="HE29" s="487"/>
      <c r="HF29" s="487"/>
      <c r="HG29" s="487"/>
      <c r="HH29" s="487"/>
      <c r="HI29" s="487"/>
      <c r="HJ29" s="487"/>
      <c r="HK29" s="487"/>
      <c r="HL29" s="487"/>
      <c r="HM29" s="487"/>
      <c r="HN29" s="487"/>
      <c r="HO29" s="487"/>
      <c r="HP29" s="487"/>
      <c r="HQ29" s="487"/>
      <c r="HR29" s="487"/>
      <c r="HS29" s="487"/>
      <c r="HT29" s="487"/>
      <c r="HU29" s="487"/>
      <c r="HV29" s="487"/>
      <c r="HW29" s="487"/>
      <c r="HX29" s="487"/>
      <c r="HY29" s="487"/>
      <c r="HZ29" s="487"/>
      <c r="IA29" s="487"/>
      <c r="IB29" s="487"/>
      <c r="IC29" s="487"/>
      <c r="ID29" s="487"/>
      <c r="IE29" s="487"/>
      <c r="IF29" s="487"/>
      <c r="IG29" s="487"/>
      <c r="IH29" s="487"/>
      <c r="II29" s="487"/>
      <c r="IJ29" s="487"/>
      <c r="IK29" s="487"/>
      <c r="IL29" s="487"/>
      <c r="IM29" s="487"/>
      <c r="IN29" s="487"/>
      <c r="IO29" s="487"/>
      <c r="IP29" s="487"/>
      <c r="IQ29" s="487"/>
      <c r="IR29" s="487"/>
      <c r="IS29" s="487"/>
      <c r="IT29" s="487"/>
      <c r="IU29" s="487"/>
      <c r="IV29" s="487"/>
      <c r="IW29" s="487"/>
      <c r="IX29" s="487"/>
    </row>
    <row r="30" spans="1:258" s="21" customFormat="1" ht="16.5" customHeight="1" thickBot="1">
      <c r="A30" s="487"/>
      <c r="B30" s="487"/>
      <c r="C30" s="1251">
        <f t="shared" si="30"/>
        <v>42389</v>
      </c>
      <c r="D30" s="443">
        <f t="shared" si="31"/>
        <v>42389</v>
      </c>
      <c r="E30" s="424">
        <f ca="1">IF(D30&lt;TODAY(),IF(AT_!CG30="","",+AT_!CG30),"")</f>
        <v>87</v>
      </c>
      <c r="F30" s="424">
        <f>IF(AT_!CH30="","",+AT_!CH30)</f>
        <v>112</v>
      </c>
      <c r="G30" s="424">
        <f>IF(AT_!CF30="","",+AT_!CF30)</f>
        <v>87</v>
      </c>
      <c r="H30" s="424">
        <f>IF(AT_!CI30="","",+AT_!CI30)</f>
        <v>60</v>
      </c>
      <c r="I30" s="424">
        <f>IF(AT_!BS30="","",+AT_!BS30)</f>
        <v>18</v>
      </c>
      <c r="J30" s="425">
        <f>IF(AT_!BU30="","",+AT_!BU30)</f>
        <v>6.5</v>
      </c>
      <c r="K30" s="425">
        <f>IF(AT_!BT30="","",+AT_!BT30)</f>
        <v>7</v>
      </c>
      <c r="L30" s="425">
        <f>IF(AT_!BV30="","",+AT_!BV30)</f>
        <v>6.8</v>
      </c>
      <c r="M30" s="425">
        <f>IF(AT_!BX30="","",+AT_!BX30)</f>
        <v>6.2</v>
      </c>
      <c r="N30" s="425">
        <f>IF(AT_!BW30="","",+AT_!BW30)</f>
        <v>6.8</v>
      </c>
      <c r="O30" s="425">
        <f>IF(AT_!BY30="","",+AT_!BY30)</f>
        <v>6.5</v>
      </c>
      <c r="P30" s="425"/>
      <c r="Q30" s="425"/>
      <c r="R30" s="424">
        <f>IF(AT_!AC30="","",+AT_!AC30)</f>
        <v>160</v>
      </c>
      <c r="S30" s="424">
        <f>IF(AT_!$AF30="","",AT_!$AF30)</f>
        <v>8</v>
      </c>
      <c r="T30" s="424">
        <f>IF(AT_!G30="","",+AT_!G30)</f>
        <v>120</v>
      </c>
      <c r="U30" s="2660">
        <f>IF(AT_!$K30="","",AT_!$K30)</f>
        <v>16</v>
      </c>
      <c r="V30" s="444" t="str">
        <f t="shared" si="41"/>
        <v/>
      </c>
      <c r="W30" s="427">
        <f t="shared" si="3"/>
        <v>42389</v>
      </c>
      <c r="X30" s="488">
        <f t="shared" si="3"/>
        <v>42389</v>
      </c>
      <c r="Y30" s="429" t="str">
        <f>+AT_!FJ30</f>
        <v/>
      </c>
      <c r="Z30" s="429" t="str">
        <f>AT_!FX30</f>
        <v/>
      </c>
      <c r="AA30" s="429" t="str">
        <f>+AT_!FI30</f>
        <v/>
      </c>
      <c r="AB30" s="429" t="str">
        <f>AT_!FW30</f>
        <v/>
      </c>
      <c r="AC30" s="429">
        <f>IF(AT_!DW30="","",IF(+AT_!DW30&gt;1,ROUND(+AT_!DW30,1),+AT_!DW30))</f>
        <v>0.42</v>
      </c>
      <c r="AD30" s="430" t="str">
        <f>IF(AT_!CA30="","",+AT_!CA30)</f>
        <v/>
      </c>
      <c r="AE30" s="431">
        <f>IF(AT_!CB30="","",AT_!CB30)</f>
        <v>73</v>
      </c>
      <c r="AF30" s="2609"/>
      <c r="AG30" s="2610"/>
      <c r="AH30" s="2064"/>
      <c r="AI30" s="2681" t="str">
        <f>IF(AT_!$EN30="","",AT_!$EN30)</f>
        <v>Clear</v>
      </c>
      <c r="AJ30" s="489"/>
      <c r="AK30" s="427">
        <f t="shared" si="4"/>
        <v>42389</v>
      </c>
      <c r="AL30" s="488">
        <f t="shared" si="5"/>
        <v>42389</v>
      </c>
      <c r="AM30" s="429">
        <f>AT_!FE30</f>
        <v>4.5999999999999999E-2</v>
      </c>
      <c r="AN30" s="429">
        <f>AT_!FF30</f>
        <v>0.08</v>
      </c>
      <c r="AO30" s="425">
        <f>IF(AT_!FG30= "","",(AT_!FG30*1.2143))</f>
        <v>28.402476999999998</v>
      </c>
      <c r="AP30" s="425">
        <f>AT_!FH30</f>
        <v>38.244999999999997</v>
      </c>
      <c r="AQ30" s="429">
        <f>AT_!FS30</f>
        <v>0.68</v>
      </c>
      <c r="AR30" s="429">
        <f>AT_!FT30</f>
        <v>3.48</v>
      </c>
      <c r="AS30" s="425">
        <f>IF(AT_!FU30= "","",(AT_!FU30*1.2143))</f>
        <v>17.60735</v>
      </c>
      <c r="AT30" s="425">
        <f>AT_!FV30</f>
        <v>17.3</v>
      </c>
      <c r="AU30" s="425">
        <f>IF(AT_!BO30="","",AT_!BO30)</f>
        <v>4.68</v>
      </c>
      <c r="AV30" s="424" t="str">
        <f>IF(AT_!BR30="","",AT_!BR30)</f>
        <v/>
      </c>
      <c r="AW30" s="490"/>
      <c r="AX30" s="432">
        <f>IF((SUM(AT_!O30,AT_!P30))=0,"",ROUND(IF(ISNUMBER(AT_!O30),AT_!O30,AT_!$O$42)*0.6+IF(ISNUMBER(AT_!P30),AT_!P30,AT_!$P$42)*0.4,-1))</f>
        <v>4020</v>
      </c>
      <c r="AY30" s="432">
        <f>IF((SUM(AT_!M30,AT_!N30))=0,"",ROUND((IF(ISNUMBER(AT_!M30),AT_!M30,AT_!$M$42)*0.6)+(IF(ISNUMBER(AT_!N30),AT_!N30,AT_!$N$42)*0.4),-1))</f>
        <v>3520</v>
      </c>
      <c r="AZ30" s="1293">
        <f>PT_!AA30</f>
        <v>270</v>
      </c>
      <c r="BA30" s="433">
        <f>AT_!CK30</f>
        <v>62</v>
      </c>
      <c r="BB30" s="2635">
        <f ca="1">IF(E30="","",ROUND((PT_!BM30*IF(ISNUMBER(AT_!Q30),AT_!Q30,AT_!$Q$42)+IF(ISNUMBER(AT_!S30),AT_!S30,AT_!$S$42)*PT_!BN30)*8.34,0))</f>
        <v>82829</v>
      </c>
      <c r="BC30" s="489"/>
      <c r="BD30" s="501"/>
      <c r="BE30" s="502"/>
      <c r="BF30" s="501" t="s">
        <v>1051</v>
      </c>
      <c r="BG30" s="501" t="s">
        <v>1054</v>
      </c>
      <c r="BH30" s="489"/>
      <c r="BI30" s="490" t="s">
        <v>1070</v>
      </c>
      <c r="BJ30" s="499"/>
      <c r="BK30" s="499"/>
      <c r="BL30" s="499"/>
      <c r="BM30" s="490"/>
      <c r="BN30" s="499"/>
      <c r="BO30" s="499">
        <v>5</v>
      </c>
      <c r="BP30" s="511">
        <v>0</v>
      </c>
      <c r="BQ30" s="2697">
        <f>BO30*40</f>
        <v>200</v>
      </c>
      <c r="BR30" s="489"/>
      <c r="BS30" s="487"/>
      <c r="BT30" s="487"/>
      <c r="BU30" s="487"/>
      <c r="BV30" s="487"/>
      <c r="BW30" s="487"/>
      <c r="BX30" s="487"/>
      <c r="BY30" s="487"/>
      <c r="BZ30" s="487"/>
      <c r="CA30" s="487"/>
      <c r="CB30" s="253"/>
      <c r="CC30" s="253"/>
      <c r="CD30" s="235">
        <f t="shared" si="32"/>
        <v>42389</v>
      </c>
      <c r="CE30" s="236">
        <f t="shared" ca="1" si="6"/>
        <v>116092.8</v>
      </c>
      <c r="CF30" s="237">
        <f t="shared" ca="1" si="7"/>
        <v>5804.64</v>
      </c>
      <c r="CG30" s="238">
        <f t="shared" ca="1" si="8"/>
        <v>87069.599999999991</v>
      </c>
      <c r="CH30" s="239">
        <f t="shared" ca="1" si="9"/>
        <v>11609.28</v>
      </c>
      <c r="CI30" s="240">
        <f t="shared" ca="1" si="10"/>
        <v>116092.8</v>
      </c>
      <c r="CJ30" s="241">
        <f t="shared" ca="1" si="11"/>
        <v>5804.64</v>
      </c>
      <c r="CK30" s="241">
        <f t="shared" ca="1" si="12"/>
        <v>87069.599999999991</v>
      </c>
      <c r="CL30" s="242">
        <f t="shared" ca="1" si="13"/>
        <v>11609.28</v>
      </c>
      <c r="CM30" s="243">
        <f t="shared" ca="1" si="56"/>
        <v>160</v>
      </c>
      <c r="CN30" s="244">
        <f t="shared" ca="1" si="57"/>
        <v>8</v>
      </c>
      <c r="CO30" s="244">
        <f t="shared" ca="1" si="58"/>
        <v>120</v>
      </c>
      <c r="CP30" s="244">
        <f t="shared" ca="1" si="59"/>
        <v>16</v>
      </c>
      <c r="CQ30" s="1627">
        <f t="shared" ca="1" si="52"/>
        <v>4.5999999999999999E-2</v>
      </c>
      <c r="CR30" s="1628">
        <f t="shared" ca="1" si="53"/>
        <v>0.08</v>
      </c>
      <c r="CS30" s="1629">
        <f t="shared" ca="1" si="54"/>
        <v>28.402476999999998</v>
      </c>
      <c r="CT30" s="1629">
        <f ca="1">IF($E30&gt;0,IF(SUM($AM30:$AP30)&gt;0,IF(CELL("type",AP30:AP30)="V",AP30,IF(CELL("type",AP30:AP30)="L",CT$8,"")),""),"")</f>
        <v>38.244999999999997</v>
      </c>
      <c r="CU30" s="248">
        <f t="shared" ca="1" si="63"/>
        <v>0.68</v>
      </c>
      <c r="CV30" s="246">
        <f t="shared" ca="1" si="63"/>
        <v>3.48</v>
      </c>
      <c r="CW30" s="247">
        <f t="shared" ca="1" si="63"/>
        <v>17.60735</v>
      </c>
      <c r="CX30" s="247">
        <f t="shared" ca="1" si="63"/>
        <v>17.3</v>
      </c>
      <c r="CY30" s="249">
        <f t="shared" ca="1" si="33"/>
        <v>38.4</v>
      </c>
      <c r="CZ30" s="249">
        <f t="shared" ca="1" si="34"/>
        <v>21.5</v>
      </c>
      <c r="DA30" s="250">
        <f t="shared" ca="1" si="35"/>
        <v>27862.271999999997</v>
      </c>
      <c r="DB30" s="250">
        <f t="shared" ca="1" si="36"/>
        <v>15599.97</v>
      </c>
      <c r="DC30" s="251">
        <f t="shared" si="20"/>
        <v>42389</v>
      </c>
      <c r="DD30" s="1410"/>
      <c r="DE30" s="484"/>
      <c r="DF30" s="365"/>
      <c r="DG30" s="365"/>
      <c r="DH30" s="365"/>
      <c r="DI30" s="365"/>
      <c r="DJ30" s="365"/>
      <c r="DK30" s="365"/>
      <c r="DL30" s="365"/>
      <c r="DM30" s="365"/>
      <c r="DN30" s="365"/>
      <c r="DO30" s="365"/>
      <c r="DP30" s="365"/>
      <c r="DQ30" s="365"/>
      <c r="DR30" s="365"/>
      <c r="DS30" s="417">
        <f t="shared" si="37"/>
        <v>4</v>
      </c>
      <c r="DT30" s="439">
        <f t="shared" si="38"/>
        <v>42389</v>
      </c>
      <c r="DU30" s="495">
        <f t="shared" si="61"/>
        <v>42389</v>
      </c>
      <c r="DV30" s="403" t="str">
        <f t="shared" si="22"/>
        <v/>
      </c>
      <c r="DW30" s="403" t="str">
        <f t="shared" si="22"/>
        <v/>
      </c>
      <c r="DX30" s="403" t="str">
        <f t="shared" si="22"/>
        <v/>
      </c>
      <c r="DY30" s="403" t="str">
        <f t="shared" si="39"/>
        <v/>
      </c>
      <c r="DZ30" s="403" t="str">
        <f t="shared" si="40"/>
        <v/>
      </c>
      <c r="EA30" s="403" t="str">
        <f t="shared" si="23"/>
        <v/>
      </c>
      <c r="EB30" s="403" t="str">
        <f t="shared" si="24"/>
        <v/>
      </c>
      <c r="EC30" s="403" t="str">
        <f t="shared" si="25"/>
        <v/>
      </c>
      <c r="ED30" s="403" t="str">
        <f t="shared" si="26"/>
        <v/>
      </c>
      <c r="EE30" s="403" t="str">
        <f t="shared" si="27"/>
        <v/>
      </c>
      <c r="EF30" s="403" t="str">
        <f t="shared" si="28"/>
        <v/>
      </c>
      <c r="EG30" s="492"/>
      <c r="EH30" s="419"/>
      <c r="EI30" s="441" t="s">
        <v>196</v>
      </c>
      <c r="EJ30" s="2578">
        <v>15028.51858</v>
      </c>
      <c r="EK30" s="2103">
        <v>13098.1785</v>
      </c>
      <c r="EL30" s="2103">
        <v>14660.966710000001</v>
      </c>
      <c r="EM30" s="2103">
        <v>11924.893400000001</v>
      </c>
      <c r="EN30" s="2103">
        <v>10200.384969999999</v>
      </c>
      <c r="EO30" s="2467">
        <v>10248.9426</v>
      </c>
      <c r="EP30" s="2470">
        <v>9299.99</v>
      </c>
      <c r="EQ30" s="2474">
        <v>9330.6843869999993</v>
      </c>
      <c r="ER30" s="2487">
        <v>11907.94</v>
      </c>
      <c r="ES30" s="2497">
        <v>9500.6299999999992</v>
      </c>
      <c r="ET30" s="2577">
        <v>10577.82</v>
      </c>
      <c r="EU30" s="2102">
        <v>12335.34</v>
      </c>
      <c r="EV30" s="514"/>
      <c r="EW30" s="189"/>
      <c r="EX30" s="442">
        <f t="shared" si="29"/>
        <v>0</v>
      </c>
      <c r="EY30" s="493"/>
      <c r="EZ30" s="487"/>
      <c r="FA30" s="487"/>
      <c r="FB30" s="487"/>
      <c r="FC30" s="487"/>
      <c r="FD30" s="487"/>
      <c r="FE30" s="487"/>
      <c r="FF30" s="487"/>
      <c r="FG30" s="487"/>
      <c r="FH30" s="487"/>
      <c r="FI30" s="487"/>
      <c r="FJ30" s="487"/>
      <c r="FK30" s="487"/>
      <c r="FL30" s="487"/>
      <c r="FM30" s="487"/>
      <c r="FN30" s="487"/>
      <c r="FO30" s="487"/>
      <c r="FP30" s="487"/>
      <c r="FQ30" s="487"/>
      <c r="FR30" s="487"/>
      <c r="FS30" s="487"/>
      <c r="FT30" s="487"/>
      <c r="FU30" s="487"/>
      <c r="FV30" s="487"/>
      <c r="FW30" s="487"/>
      <c r="FX30" s="487"/>
      <c r="FY30" s="487"/>
      <c r="FZ30" s="487"/>
      <c r="GA30" s="487"/>
      <c r="GB30" s="487"/>
      <c r="GC30" s="487"/>
      <c r="GD30" s="487"/>
      <c r="GE30" s="487"/>
      <c r="GF30" s="487"/>
      <c r="GG30" s="487"/>
      <c r="GH30" s="487"/>
      <c r="GI30" s="487"/>
      <c r="GJ30" s="487"/>
      <c r="GK30" s="487"/>
      <c r="GL30" s="487"/>
      <c r="GM30" s="487"/>
      <c r="GN30" s="487"/>
      <c r="GO30" s="487"/>
      <c r="GP30" s="487"/>
      <c r="GQ30" s="487"/>
      <c r="GR30" s="487"/>
      <c r="GS30" s="487"/>
      <c r="GT30" s="487"/>
      <c r="GU30" s="487"/>
      <c r="GV30" s="487"/>
      <c r="GW30" s="487"/>
      <c r="GX30" s="487"/>
      <c r="GY30" s="487"/>
      <c r="GZ30" s="487"/>
      <c r="HA30" s="487"/>
      <c r="HB30" s="487"/>
      <c r="HC30" s="487"/>
      <c r="HD30" s="487"/>
      <c r="HE30" s="487"/>
      <c r="HF30" s="487"/>
      <c r="HG30" s="487"/>
      <c r="HH30" s="487"/>
      <c r="HI30" s="487"/>
      <c r="HJ30" s="487"/>
      <c r="HK30" s="487"/>
      <c r="HL30" s="487"/>
      <c r="HM30" s="487"/>
      <c r="HN30" s="487"/>
      <c r="HO30" s="487"/>
      <c r="HP30" s="487"/>
      <c r="HQ30" s="487"/>
      <c r="HR30" s="487"/>
      <c r="HS30" s="487"/>
      <c r="HT30" s="487"/>
      <c r="HU30" s="487"/>
      <c r="HV30" s="487"/>
      <c r="HW30" s="487"/>
      <c r="HX30" s="487"/>
      <c r="HY30" s="487"/>
      <c r="HZ30" s="487"/>
      <c r="IA30" s="487"/>
      <c r="IB30" s="487"/>
      <c r="IC30" s="487"/>
      <c r="ID30" s="487"/>
      <c r="IE30" s="487"/>
      <c r="IF30" s="487"/>
      <c r="IG30" s="487"/>
      <c r="IH30" s="487"/>
      <c r="II30" s="487"/>
      <c r="IJ30" s="487"/>
      <c r="IK30" s="487"/>
      <c r="IL30" s="487"/>
      <c r="IM30" s="487"/>
      <c r="IN30" s="487"/>
      <c r="IO30" s="487"/>
      <c r="IP30" s="487"/>
      <c r="IQ30" s="487"/>
      <c r="IR30" s="487"/>
      <c r="IS30" s="487"/>
      <c r="IT30" s="487"/>
      <c r="IU30" s="487"/>
      <c r="IV30" s="487"/>
      <c r="IW30" s="487"/>
      <c r="IX30" s="487"/>
    </row>
    <row r="31" spans="1:258" s="21" customFormat="1" ht="16.5" customHeight="1" thickBot="1">
      <c r="A31" s="487"/>
      <c r="B31" s="487"/>
      <c r="C31" s="1251">
        <f t="shared" si="30"/>
        <v>42390</v>
      </c>
      <c r="D31" s="443">
        <f t="shared" si="31"/>
        <v>42390</v>
      </c>
      <c r="E31" s="424">
        <f ca="1">IF(D31&lt;TODAY(),IF(AT_!CG31="","",+AT_!CG31),"")</f>
        <v>87</v>
      </c>
      <c r="F31" s="424">
        <f>IF(AT_!CH31="","",+AT_!CH31)</f>
        <v>113</v>
      </c>
      <c r="G31" s="424">
        <f>IF(AT_!CF31="","",+AT_!CF31)</f>
        <v>87</v>
      </c>
      <c r="H31" s="424">
        <f>IF(AT_!CI31="","",+AT_!CI31)</f>
        <v>36</v>
      </c>
      <c r="I31" s="424">
        <f>IF(AT_!BS31="","",+AT_!BS31)</f>
        <v>17</v>
      </c>
      <c r="J31" s="425">
        <f>IF(AT_!BU31="","",+AT_!BU31)</f>
        <v>6.6</v>
      </c>
      <c r="K31" s="425">
        <f>IF(AT_!BT31="","",+AT_!BT31)</f>
        <v>7.1</v>
      </c>
      <c r="L31" s="425">
        <f>IF(AT_!BV31="","",+AT_!BV31)</f>
        <v>6.7</v>
      </c>
      <c r="M31" s="425">
        <f>IF(AT_!BX31="","",+AT_!BX31)</f>
        <v>6.3</v>
      </c>
      <c r="N31" s="425">
        <f>IF(AT_!BW31="","",+AT_!BW31)</f>
        <v>7.1</v>
      </c>
      <c r="O31" s="425">
        <f>IF(AT_!BY31="","",+AT_!BY31)</f>
        <v>6.5</v>
      </c>
      <c r="P31" s="425"/>
      <c r="Q31" s="425"/>
      <c r="R31" s="424">
        <f>IF(AT_!AC31="","",+AT_!AC31)</f>
        <v>160</v>
      </c>
      <c r="S31" s="424">
        <f>IF(AT_!$AF31="","",AT_!$AF31)</f>
        <v>5</v>
      </c>
      <c r="T31" s="424">
        <f>IF(AT_!G31="","",+AT_!G31)</f>
        <v>157</v>
      </c>
      <c r="U31" s="2660">
        <f>IF(AT_!$K31="","",AT_!$K31)</f>
        <v>10</v>
      </c>
      <c r="V31" s="444" t="str">
        <f t="shared" si="41"/>
        <v/>
      </c>
      <c r="W31" s="427">
        <f t="shared" si="3"/>
        <v>42390</v>
      </c>
      <c r="X31" s="488">
        <f t="shared" si="3"/>
        <v>42390</v>
      </c>
      <c r="Y31" s="429" t="str">
        <f>+AT_!FJ31</f>
        <v/>
      </c>
      <c r="Z31" s="429" t="str">
        <f>AT_!FX31</f>
        <v/>
      </c>
      <c r="AA31" s="429" t="str">
        <f>+AT_!FI31</f>
        <v/>
      </c>
      <c r="AB31" s="429" t="str">
        <f>AT_!FW31</f>
        <v/>
      </c>
      <c r="AC31" s="429">
        <f>IF(AT_!DW31="","",IF(+AT_!DW31&gt;1,ROUND(+AT_!DW31,1),+AT_!DW31))</f>
        <v>0.37</v>
      </c>
      <c r="AD31" s="430" t="str">
        <f>IF(AT_!CA31="","",+AT_!CA31)</f>
        <v/>
      </c>
      <c r="AE31" s="431">
        <f>IF(AT_!CB31="","",AT_!CB31)</f>
        <v>39</v>
      </c>
      <c r="AF31" s="2609"/>
      <c r="AG31" s="2610"/>
      <c r="AH31" s="2064"/>
      <c r="AI31" s="2681" t="str">
        <f>IF(AT_!$EN31="","",AT_!$EN31)</f>
        <v>Clear</v>
      </c>
      <c r="AJ31" s="489"/>
      <c r="AK31" s="427">
        <f t="shared" si="4"/>
        <v>42390</v>
      </c>
      <c r="AL31" s="488">
        <f t="shared" si="5"/>
        <v>42390</v>
      </c>
      <c r="AM31" s="429">
        <f>AT_!FE31</f>
        <v>4.2499999999999996E-2</v>
      </c>
      <c r="AN31" s="429">
        <f>AT_!FF31</f>
        <v>0.13250000000000001</v>
      </c>
      <c r="AO31" s="425">
        <f>IF(AT_!FG31= "","",(AT_!FG31*1.2143))</f>
        <v>30.199641</v>
      </c>
      <c r="AP31" s="425">
        <f>AT_!FH31</f>
        <v>41.505000000000003</v>
      </c>
      <c r="AQ31" s="429">
        <f>AT_!FS31</f>
        <v>0.68</v>
      </c>
      <c r="AR31" s="429">
        <f>AT_!FT31</f>
        <v>3.73</v>
      </c>
      <c r="AS31" s="425">
        <f>IF(AT_!FU31= "","",(AT_!FU31*1.2143))</f>
        <v>17.12163</v>
      </c>
      <c r="AT31" s="425">
        <f>AT_!FV31</f>
        <v>16.5</v>
      </c>
      <c r="AU31" s="425">
        <f>IF(AT_!BO31="","",AT_!BO31)</f>
        <v>4.6399999999999997</v>
      </c>
      <c r="AV31" s="424" t="str">
        <f>IF(AT_!BR31="","",AT_!BR31)</f>
        <v/>
      </c>
      <c r="AW31" s="490"/>
      <c r="AX31" s="432">
        <f>IF((SUM(AT_!O31,AT_!P31))=0,"",ROUND(IF(ISNUMBER(AT_!O31),AT_!O31,AT_!$O$42)*0.6+IF(ISNUMBER(AT_!P31),AT_!P31,AT_!$P$42)*0.4,-1))</f>
        <v>3600</v>
      </c>
      <c r="AY31" s="432">
        <f>IF((SUM(AT_!M31,AT_!N31))=0,"",ROUND((IF(ISNUMBER(AT_!M31),AT_!M31,AT_!$M$42)*0.6)+(IF(ISNUMBER(AT_!N31),AT_!N31,AT_!$N$42)*0.4),-1))</f>
        <v>3060</v>
      </c>
      <c r="AZ31" s="424">
        <f>PT_!AA31</f>
        <v>240</v>
      </c>
      <c r="BA31" s="433">
        <f>AT_!CK31</f>
        <v>62</v>
      </c>
      <c r="BB31" s="2635">
        <f ca="1">IF(E31="","",ROUND((PT_!BM31*IF(ISNUMBER(AT_!Q31),AT_!Q31,AT_!$Q$42)+IF(ISNUMBER(AT_!S31),AT_!S31,AT_!$S$42)*PT_!BN31)*8.34,0))</f>
        <v>84572</v>
      </c>
      <c r="BC31" s="489"/>
      <c r="BD31" s="501" t="s">
        <v>1040</v>
      </c>
      <c r="BE31" s="502"/>
      <c r="BF31" s="501">
        <f>+PT_!BS42</f>
        <v>1030992</v>
      </c>
      <c r="BG31" s="501">
        <f>+PT_!BS43</f>
        <v>60800</v>
      </c>
      <c r="BH31" s="489"/>
      <c r="BI31" s="490" t="s">
        <v>1071</v>
      </c>
      <c r="BJ31" s="499"/>
      <c r="BK31" s="499"/>
      <c r="BL31" s="499"/>
      <c r="BM31" s="490"/>
      <c r="BN31" s="499"/>
      <c r="BO31" s="499">
        <v>2</v>
      </c>
      <c r="BP31" s="511">
        <v>0</v>
      </c>
      <c r="BQ31" s="2697">
        <f>BO31*40</f>
        <v>80</v>
      </c>
      <c r="BR31" s="489"/>
      <c r="BS31" s="487"/>
      <c r="BT31" s="487"/>
      <c r="BU31" s="487"/>
      <c r="BV31" s="487"/>
      <c r="BW31" s="487"/>
      <c r="BX31" s="487"/>
      <c r="BY31" s="487"/>
      <c r="BZ31" s="487"/>
      <c r="CA31" s="487"/>
      <c r="CB31" s="253"/>
      <c r="CC31" s="253"/>
      <c r="CD31" s="235">
        <f t="shared" si="32"/>
        <v>42390</v>
      </c>
      <c r="CE31" s="236">
        <f t="shared" ca="1" si="6"/>
        <v>116092.8</v>
      </c>
      <c r="CF31" s="237">
        <f t="shared" ca="1" si="7"/>
        <v>3627.9</v>
      </c>
      <c r="CG31" s="238">
        <f t="shared" ca="1" si="8"/>
        <v>113916.05999999998</v>
      </c>
      <c r="CH31" s="239">
        <f t="shared" ca="1" si="9"/>
        <v>7255.8</v>
      </c>
      <c r="CI31" s="240">
        <f t="shared" ca="1" si="10"/>
        <v>116092.8</v>
      </c>
      <c r="CJ31" s="241">
        <f t="shared" ca="1" si="11"/>
        <v>3627.9</v>
      </c>
      <c r="CK31" s="241">
        <f t="shared" ca="1" si="12"/>
        <v>113916.05999999998</v>
      </c>
      <c r="CL31" s="242">
        <f t="shared" ca="1" si="13"/>
        <v>7255.8</v>
      </c>
      <c r="CM31" s="243">
        <f t="shared" ca="1" si="56"/>
        <v>160</v>
      </c>
      <c r="CN31" s="244">
        <f t="shared" ca="1" si="57"/>
        <v>5</v>
      </c>
      <c r="CO31" s="244">
        <f t="shared" ca="1" si="58"/>
        <v>157</v>
      </c>
      <c r="CP31" s="244">
        <f t="shared" ca="1" si="59"/>
        <v>10</v>
      </c>
      <c r="CQ31" s="1627">
        <f t="shared" ca="1" si="52"/>
        <v>4.2499999999999996E-2</v>
      </c>
      <c r="CR31" s="1628">
        <f t="shared" ca="1" si="53"/>
        <v>0.13250000000000001</v>
      </c>
      <c r="CS31" s="1629">
        <f t="shared" ca="1" si="54"/>
        <v>30.199641</v>
      </c>
      <c r="CT31" s="1629">
        <f t="shared" ca="1" si="62"/>
        <v>41.505000000000003</v>
      </c>
      <c r="CU31" s="248">
        <f t="shared" ca="1" si="63"/>
        <v>0.68</v>
      </c>
      <c r="CV31" s="246">
        <f t="shared" ca="1" si="63"/>
        <v>3.73</v>
      </c>
      <c r="CW31" s="247">
        <f t="shared" ca="1" si="63"/>
        <v>17.12163</v>
      </c>
      <c r="CX31" s="247">
        <f t="shared" ca="1" si="63"/>
        <v>16.5</v>
      </c>
      <c r="CY31" s="249">
        <f t="shared" ca="1" si="33"/>
        <v>41.7</v>
      </c>
      <c r="CZ31" s="249">
        <f t="shared" ca="1" si="34"/>
        <v>20.9</v>
      </c>
      <c r="DA31" s="250">
        <f t="shared" ca="1" si="35"/>
        <v>30256.686000000002</v>
      </c>
      <c r="DB31" s="250">
        <f t="shared" ca="1" si="36"/>
        <v>15164.621999999999</v>
      </c>
      <c r="DC31" s="251">
        <f t="shared" si="20"/>
        <v>42390</v>
      </c>
      <c r="DD31" s="1410"/>
      <c r="DE31" s="484"/>
      <c r="DF31" s="365" t="s">
        <v>161</v>
      </c>
      <c r="DG31" s="365"/>
      <c r="DH31" s="365"/>
      <c r="DI31" s="365" t="s">
        <v>173</v>
      </c>
      <c r="DJ31" s="365"/>
      <c r="DK31" s="365"/>
      <c r="DL31" s="365"/>
      <c r="DM31" s="365"/>
      <c r="DN31" s="365"/>
      <c r="DO31" s="365"/>
      <c r="DP31" s="365"/>
      <c r="DQ31" s="365"/>
      <c r="DR31" s="365"/>
      <c r="DS31" s="417">
        <f t="shared" si="37"/>
        <v>5</v>
      </c>
      <c r="DT31" s="439">
        <f t="shared" si="38"/>
        <v>42390</v>
      </c>
      <c r="DU31" s="495">
        <f t="shared" si="61"/>
        <v>42390</v>
      </c>
      <c r="DV31" s="403" t="str">
        <f t="shared" si="22"/>
        <v/>
      </c>
      <c r="DW31" s="403" t="str">
        <f t="shared" si="22"/>
        <v/>
      </c>
      <c r="DX31" s="403" t="str">
        <f t="shared" si="22"/>
        <v/>
      </c>
      <c r="DY31" s="403" t="str">
        <f t="shared" si="39"/>
        <v/>
      </c>
      <c r="DZ31" s="403" t="str">
        <f t="shared" si="40"/>
        <v/>
      </c>
      <c r="EA31" s="403" t="str">
        <f t="shared" si="23"/>
        <v/>
      </c>
      <c r="EB31" s="403" t="str">
        <f t="shared" si="24"/>
        <v/>
      </c>
      <c r="EC31" s="403" t="str">
        <f t="shared" si="25"/>
        <v/>
      </c>
      <c r="ED31" s="403" t="str">
        <f t="shared" si="26"/>
        <v/>
      </c>
      <c r="EE31" s="403" t="str">
        <f t="shared" si="27"/>
        <v/>
      </c>
      <c r="EF31" s="403" t="str">
        <f t="shared" si="28"/>
        <v/>
      </c>
      <c r="EG31" s="492"/>
      <c r="EH31" s="405"/>
      <c r="EI31" s="452" t="s">
        <v>197</v>
      </c>
      <c r="EJ31" s="452"/>
      <c r="EK31" s="452"/>
      <c r="EL31" s="452"/>
      <c r="EM31" s="452"/>
      <c r="EN31" s="452"/>
      <c r="EO31" s="452"/>
      <c r="EP31" s="452"/>
      <c r="EQ31" s="452"/>
      <c r="ER31" s="452"/>
      <c r="ES31" s="452"/>
      <c r="ET31" s="452"/>
      <c r="EU31" s="452"/>
      <c r="EV31" s="487"/>
      <c r="EW31" s="189"/>
      <c r="EX31" s="442">
        <f t="shared" si="29"/>
        <v>0</v>
      </c>
      <c r="EY31" s="493"/>
      <c r="EZ31" s="487"/>
      <c r="FA31" s="487"/>
      <c r="FB31" s="487"/>
      <c r="FC31" s="487"/>
      <c r="FD31" s="487"/>
      <c r="FE31" s="487"/>
      <c r="FF31" s="487"/>
      <c r="FG31" s="487"/>
      <c r="FH31" s="487"/>
      <c r="FI31" s="487"/>
      <c r="FJ31" s="487"/>
      <c r="FK31" s="487"/>
      <c r="FL31" s="487"/>
      <c r="FM31" s="487"/>
      <c r="FN31" s="487"/>
      <c r="FO31" s="487"/>
      <c r="FP31" s="487"/>
      <c r="FQ31" s="487"/>
      <c r="FR31" s="487"/>
      <c r="FS31" s="487"/>
      <c r="FT31" s="487"/>
      <c r="FU31" s="487"/>
      <c r="FV31" s="487"/>
      <c r="FW31" s="487"/>
      <c r="FX31" s="487"/>
      <c r="FY31" s="487"/>
      <c r="FZ31" s="487"/>
      <c r="GA31" s="487"/>
      <c r="GB31" s="487"/>
      <c r="GC31" s="487"/>
      <c r="GD31" s="487"/>
      <c r="GE31" s="487"/>
      <c r="GF31" s="487"/>
      <c r="GG31" s="487"/>
      <c r="GH31" s="487"/>
      <c r="GI31" s="487"/>
      <c r="GJ31" s="487"/>
      <c r="GK31" s="487"/>
      <c r="GL31" s="487"/>
      <c r="GM31" s="487"/>
      <c r="GN31" s="487"/>
      <c r="GO31" s="487"/>
      <c r="GP31" s="487"/>
      <c r="GQ31" s="487"/>
      <c r="GR31" s="487"/>
      <c r="GS31" s="487"/>
      <c r="GT31" s="487"/>
      <c r="GU31" s="487"/>
      <c r="GV31" s="487"/>
      <c r="GW31" s="487"/>
      <c r="GX31" s="487"/>
      <c r="GY31" s="487"/>
      <c r="GZ31" s="487"/>
      <c r="HA31" s="487"/>
      <c r="HB31" s="487"/>
      <c r="HC31" s="487"/>
      <c r="HD31" s="487"/>
      <c r="HE31" s="487"/>
      <c r="HF31" s="487"/>
      <c r="HG31" s="487"/>
      <c r="HH31" s="487"/>
      <c r="HI31" s="487"/>
      <c r="HJ31" s="487"/>
      <c r="HK31" s="487"/>
      <c r="HL31" s="487"/>
      <c r="HM31" s="487"/>
      <c r="HN31" s="487"/>
      <c r="HO31" s="487"/>
      <c r="HP31" s="487"/>
      <c r="HQ31" s="487"/>
      <c r="HR31" s="487"/>
      <c r="HS31" s="487"/>
      <c r="HT31" s="487"/>
      <c r="HU31" s="487"/>
      <c r="HV31" s="487"/>
      <c r="HW31" s="487"/>
      <c r="HX31" s="487"/>
      <c r="HY31" s="487"/>
      <c r="HZ31" s="487"/>
      <c r="IA31" s="487"/>
      <c r="IB31" s="487"/>
      <c r="IC31" s="487"/>
      <c r="ID31" s="487"/>
      <c r="IE31" s="487"/>
      <c r="IF31" s="487"/>
      <c r="IG31" s="487"/>
      <c r="IH31" s="487"/>
      <c r="II31" s="487"/>
      <c r="IJ31" s="487"/>
      <c r="IK31" s="487"/>
      <c r="IL31" s="487"/>
      <c r="IM31" s="487"/>
      <c r="IN31" s="487"/>
      <c r="IO31" s="487"/>
      <c r="IP31" s="487"/>
      <c r="IQ31" s="487"/>
      <c r="IR31" s="487"/>
      <c r="IS31" s="487"/>
      <c r="IT31" s="487"/>
      <c r="IU31" s="487"/>
      <c r="IV31" s="487"/>
      <c r="IW31" s="487"/>
      <c r="IX31" s="487"/>
    </row>
    <row r="32" spans="1:258" s="21" customFormat="1" ht="16.5" customHeight="1">
      <c r="A32" s="487"/>
      <c r="B32" s="487"/>
      <c r="C32" s="1251">
        <f t="shared" si="30"/>
        <v>42391</v>
      </c>
      <c r="D32" s="443">
        <f t="shared" si="31"/>
        <v>42391</v>
      </c>
      <c r="E32" s="424">
        <f ca="1">IF(D32&lt;TODAY(),IF(AT_!CG32="","",+AT_!CG32),"")</f>
        <v>89</v>
      </c>
      <c r="F32" s="424">
        <f>IF(AT_!CH32="","",+AT_!CH32)</f>
        <v>112</v>
      </c>
      <c r="G32" s="424">
        <f>IF(AT_!CF32="","",+AT_!CF32)</f>
        <v>89</v>
      </c>
      <c r="H32" s="424">
        <f>IF(AT_!CI32="","",+AT_!CI32)</f>
        <v>46</v>
      </c>
      <c r="I32" s="424">
        <f>IF(AT_!BS32="","",+AT_!BS32)</f>
        <v>17</v>
      </c>
      <c r="J32" s="425">
        <f>IF(AT_!BU32="","",+AT_!BU32)</f>
        <v>6.6</v>
      </c>
      <c r="K32" s="425">
        <f>IF(AT_!BT32="","",+AT_!BT32)</f>
        <v>7</v>
      </c>
      <c r="L32" s="425">
        <f>IF(AT_!BV32="","",+AT_!BV32)</f>
        <v>6.8</v>
      </c>
      <c r="M32" s="425">
        <f>IF(AT_!BX32="","",+AT_!BX32)</f>
        <v>6.3</v>
      </c>
      <c r="N32" s="425">
        <f>IF(AT_!BW32="","",+AT_!BW32)</f>
        <v>6.7</v>
      </c>
      <c r="O32" s="425">
        <f>IF(AT_!BY32="","",+AT_!BY32)</f>
        <v>6.5</v>
      </c>
      <c r="P32" s="425"/>
      <c r="Q32" s="425"/>
      <c r="R32" s="424">
        <f>IF(AT_!AC32="","",+AT_!AC32)</f>
        <v>148</v>
      </c>
      <c r="S32" s="424">
        <f>IF(AT_!$AF32="","",AT_!$AF32)</f>
        <v>4</v>
      </c>
      <c r="T32" s="424">
        <f>IF(AT_!G32="","",+AT_!G32)</f>
        <v>133</v>
      </c>
      <c r="U32" s="2660">
        <f>IF(AT_!$K32="","",AT_!$K32)</f>
        <v>10</v>
      </c>
      <c r="V32" s="444" t="str">
        <f t="shared" si="41"/>
        <v/>
      </c>
      <c r="W32" s="427">
        <f t="shared" si="3"/>
        <v>42391</v>
      </c>
      <c r="X32" s="488">
        <f t="shared" si="3"/>
        <v>42391</v>
      </c>
      <c r="Y32" s="429" t="str">
        <f>+AT_!FJ32</f>
        <v/>
      </c>
      <c r="Z32" s="429" t="str">
        <f>AT_!FX32</f>
        <v/>
      </c>
      <c r="AA32" s="429" t="str">
        <f>+AT_!FI32</f>
        <v/>
      </c>
      <c r="AB32" s="429" t="str">
        <f>AT_!FW32</f>
        <v/>
      </c>
      <c r="AC32" s="429">
        <f>IF(AT_!DW32="","",IF(+AT_!DW32&gt;1,ROUND(+AT_!DW32,1),+AT_!DW32))</f>
        <v>0.42</v>
      </c>
      <c r="AD32" s="430" t="str">
        <f>IF(AT_!CA32="","",+AT_!CA32)</f>
        <v/>
      </c>
      <c r="AE32" s="431">
        <f>IF(AT_!CB32="","",AT_!CB32)</f>
        <v>40</v>
      </c>
      <c r="AF32" s="2609"/>
      <c r="AG32" s="2610"/>
      <c r="AH32" s="2686"/>
      <c r="AI32" s="2681" t="str">
        <f>IF(AT_!$EN32="","",AT_!$EN32)</f>
        <v>Clear</v>
      </c>
      <c r="AJ32" s="489"/>
      <c r="AK32" s="427">
        <f t="shared" si="4"/>
        <v>42391</v>
      </c>
      <c r="AL32" s="488">
        <f t="shared" si="5"/>
        <v>42391</v>
      </c>
      <c r="AM32" s="429">
        <f>AT_!FE32</f>
        <v>5.6000000000000008E-2</v>
      </c>
      <c r="AN32" s="429">
        <f>AT_!FF32</f>
        <v>9.9500000000000005E-2</v>
      </c>
      <c r="AO32" s="425">
        <f>IF(AT_!FG32= "","",(AT_!FG32*1.2143))</f>
        <v>29.337487999999997</v>
      </c>
      <c r="AP32" s="425">
        <f>AT_!FH32</f>
        <v>39.83</v>
      </c>
      <c r="AQ32" s="429">
        <f>AT_!FS32</f>
        <v>0.71</v>
      </c>
      <c r="AR32" s="429">
        <f>AT_!FT32</f>
        <v>3.9</v>
      </c>
      <c r="AS32" s="425">
        <f>IF(AT_!FU32= "","",(AT_!FU32*1.2143))</f>
        <v>16.514479999999999</v>
      </c>
      <c r="AT32" s="425">
        <f>AT_!FV32</f>
        <v>16.3</v>
      </c>
      <c r="AU32" s="425">
        <f>IF(AT_!BO32="","",AT_!BO32)</f>
        <v>4.71</v>
      </c>
      <c r="AV32" s="424" t="str">
        <f>IF(AT_!BR32="","",AT_!BR32)</f>
        <v/>
      </c>
      <c r="AW32" s="490"/>
      <c r="AX32" s="432" t="str">
        <f>IF((SUM(AT_!O32,AT_!P32))=0,"",ROUND(IF(ISNUMBER(AT_!O32),AT_!O32,AT_!$O$42)*0.6+IF(ISNUMBER(AT_!P32),AT_!P32,AT_!$P$42)*0.4,-1))</f>
        <v/>
      </c>
      <c r="AY32" s="432" t="str">
        <f>IF((SUM(AT_!M32,AT_!N32))=0,"",ROUND((IF(ISNUMBER(AT_!M32),AT_!M32,AT_!$M$42)*0.6)+(IF(ISNUMBER(AT_!N32),AT_!N32,AT_!$N$42)*0.4),-1))</f>
        <v/>
      </c>
      <c r="AZ32" s="424">
        <f>PT_!AA32</f>
        <v>210</v>
      </c>
      <c r="BA32" s="433">
        <f>AT_!CK32</f>
        <v>62</v>
      </c>
      <c r="BB32" s="2635">
        <f ca="1">IF(E32="","",ROUND((PT_!BM32*IF(ISNUMBER(AT_!Q32),AT_!Q32,AT_!$Q$42)+IF(ISNUMBER(AT_!S32),AT_!S32,AT_!$S$42)*PT_!BN32)*8.34,0))</f>
        <v>94913</v>
      </c>
      <c r="BC32" s="489"/>
      <c r="BD32" s="503"/>
      <c r="BE32" s="504"/>
      <c r="BF32" s="504"/>
      <c r="BG32" s="504"/>
      <c r="BH32" s="489"/>
      <c r="BI32" s="490" t="s">
        <v>1072</v>
      </c>
      <c r="BJ32" s="499"/>
      <c r="BK32" s="499"/>
      <c r="BL32" s="499"/>
      <c r="BM32" s="490"/>
      <c r="BN32" s="499"/>
      <c r="BO32" s="499">
        <v>13</v>
      </c>
      <c r="BP32" s="511">
        <v>0</v>
      </c>
      <c r="BQ32" s="2697">
        <f>BO32*40</f>
        <v>520</v>
      </c>
      <c r="BR32" s="489"/>
      <c r="BS32" s="487"/>
      <c r="BT32" s="487"/>
      <c r="BU32" s="487"/>
      <c r="BV32" s="487"/>
      <c r="BW32" s="487"/>
      <c r="BX32" s="487"/>
      <c r="BY32" s="487"/>
      <c r="BZ32" s="487"/>
      <c r="CA32" s="487"/>
      <c r="CB32" s="253"/>
      <c r="CC32" s="253"/>
      <c r="CD32" s="235">
        <f t="shared" si="32"/>
        <v>42391</v>
      </c>
      <c r="CE32" s="236">
        <f t="shared" ca="1" si="6"/>
        <v>109854.48</v>
      </c>
      <c r="CF32" s="237">
        <f t="shared" ca="1" si="7"/>
        <v>2969.04</v>
      </c>
      <c r="CG32" s="238">
        <f t="shared" ca="1" si="8"/>
        <v>98720.58</v>
      </c>
      <c r="CH32" s="239">
        <f t="shared" ca="1" si="9"/>
        <v>7422.6</v>
      </c>
      <c r="CI32" s="240">
        <f t="shared" ca="1" si="10"/>
        <v>109854.48</v>
      </c>
      <c r="CJ32" s="241">
        <f t="shared" ca="1" si="11"/>
        <v>2969.04</v>
      </c>
      <c r="CK32" s="241">
        <f t="shared" ca="1" si="12"/>
        <v>98720.58</v>
      </c>
      <c r="CL32" s="242">
        <f t="shared" ca="1" si="13"/>
        <v>7422.6</v>
      </c>
      <c r="CM32" s="243">
        <f t="shared" ca="1" si="56"/>
        <v>148</v>
      </c>
      <c r="CN32" s="244">
        <f t="shared" ca="1" si="57"/>
        <v>4</v>
      </c>
      <c r="CO32" s="244">
        <f t="shared" ca="1" si="58"/>
        <v>133</v>
      </c>
      <c r="CP32" s="244">
        <f t="shared" ca="1" si="59"/>
        <v>10</v>
      </c>
      <c r="CQ32" s="1627">
        <f t="shared" ca="1" si="52"/>
        <v>5.6000000000000008E-2</v>
      </c>
      <c r="CR32" s="1628">
        <f t="shared" ca="1" si="53"/>
        <v>9.9500000000000005E-2</v>
      </c>
      <c r="CS32" s="1629">
        <f t="shared" ca="1" si="54"/>
        <v>29.337487999999997</v>
      </c>
      <c r="CT32" s="1629">
        <f t="shared" ca="1" si="62"/>
        <v>39.83</v>
      </c>
      <c r="CU32" s="248">
        <f t="shared" ref="CU32:CU41" ca="1" si="66">IF($E32&gt;0,IF(SUM($AQ32:$AT32)&gt;0,IF(CELL("type",AQ32:AQ32)="V",AQ32,IF(CELL("type",AQ32:AQ32)="L",CU$8,"")),""),"")</f>
        <v>0.71</v>
      </c>
      <c r="CV32" s="246">
        <f t="shared" ref="CV32:CV41" ca="1" si="67">IF($E32&gt;0,IF(SUM($AQ32:$AT32)&gt;0,IF(CELL("type",AR32:AR32)="V",AR32,IF(CELL("type",AR32:AR32)="L",CV$8,"")),""),"")</f>
        <v>3.9</v>
      </c>
      <c r="CW32" s="247">
        <f t="shared" ref="CW32:CW41" ca="1" si="68">IF($E32&gt;0,IF(SUM($AQ32:$AT32)&gt;0,IF(CELL("type",AS32:AS32)="V",AS32,IF(CELL("type",AS32:AS32)="L",CW$8,"")),""),"")</f>
        <v>16.514479999999999</v>
      </c>
      <c r="CX32" s="247">
        <f t="shared" ref="CX32:CX39" ca="1" si="69">IF($E32&gt;0,IF(SUM($AQ32:$AT32)&gt;0,IF(CELL("type",AT32:AT32)="V",AT32,IF(CELL("type",AT32:AT32)="L",CX$8,"")),""),"")</f>
        <v>16.3</v>
      </c>
      <c r="CY32" s="249">
        <f t="shared" ca="1" si="33"/>
        <v>40</v>
      </c>
      <c r="CZ32" s="249">
        <f t="shared" ca="1" si="34"/>
        <v>20.9</v>
      </c>
      <c r="DA32" s="250">
        <f t="shared" ca="1" si="35"/>
        <v>29690.400000000001</v>
      </c>
      <c r="DB32" s="250">
        <f t="shared" ca="1" si="36"/>
        <v>15513.233999999999</v>
      </c>
      <c r="DC32" s="251">
        <f t="shared" si="20"/>
        <v>42391</v>
      </c>
      <c r="DD32" s="1410"/>
      <c r="DE32" s="484"/>
      <c r="DF32" s="516" t="s">
        <v>974</v>
      </c>
      <c r="DG32" s="517" t="s">
        <v>975</v>
      </c>
      <c r="DH32" s="517" t="s">
        <v>168</v>
      </c>
      <c r="DI32" s="517" t="s">
        <v>172</v>
      </c>
      <c r="DJ32" s="518" t="s">
        <v>175</v>
      </c>
      <c r="DK32" s="518" t="s">
        <v>176</v>
      </c>
      <c r="DL32" s="518" t="s">
        <v>177</v>
      </c>
      <c r="DM32" s="518" t="s">
        <v>178</v>
      </c>
      <c r="DN32" s="518" t="s">
        <v>982</v>
      </c>
      <c r="DO32" s="518" t="s">
        <v>181</v>
      </c>
      <c r="DP32" s="518" t="s">
        <v>182</v>
      </c>
      <c r="DQ32" s="518" t="s">
        <v>183</v>
      </c>
      <c r="DR32" s="518" t="s">
        <v>184</v>
      </c>
      <c r="DS32" s="417">
        <f t="shared" si="37"/>
        <v>6</v>
      </c>
      <c r="DT32" s="439">
        <f t="shared" si="38"/>
        <v>42391</v>
      </c>
      <c r="DU32" s="495">
        <f t="shared" si="61"/>
        <v>42391</v>
      </c>
      <c r="DV32" s="403" t="str">
        <f t="shared" si="22"/>
        <v/>
      </c>
      <c r="DW32" s="403" t="str">
        <f t="shared" si="22"/>
        <v/>
      </c>
      <c r="DX32" s="403" t="str">
        <f t="shared" si="22"/>
        <v/>
      </c>
      <c r="DY32" s="403" t="str">
        <f t="shared" si="39"/>
        <v/>
      </c>
      <c r="DZ32" s="403" t="str">
        <f t="shared" si="40"/>
        <v/>
      </c>
      <c r="EA32" s="403" t="str">
        <f t="shared" si="23"/>
        <v/>
      </c>
      <c r="EB32" s="403" t="str">
        <f t="shared" si="24"/>
        <v/>
      </c>
      <c r="EC32" s="403" t="str">
        <f t="shared" si="25"/>
        <v/>
      </c>
      <c r="ED32" s="403" t="str">
        <f t="shared" si="26"/>
        <v/>
      </c>
      <c r="EE32" s="403" t="str">
        <f t="shared" si="27"/>
        <v/>
      </c>
      <c r="EF32" s="403" t="str">
        <f t="shared" si="28"/>
        <v/>
      </c>
      <c r="EG32" s="492"/>
      <c r="EH32" s="398"/>
      <c r="EI32" s="460" t="s">
        <v>198</v>
      </c>
      <c r="EJ32" s="367"/>
      <c r="EK32" s="367"/>
      <c r="EL32" s="367"/>
      <c r="EM32" s="367"/>
      <c r="EN32" s="367"/>
      <c r="EO32" s="367"/>
      <c r="EP32" s="367"/>
      <c r="EQ32" s="367"/>
      <c r="ER32" s="367"/>
      <c r="ES32" s="367"/>
      <c r="ET32" s="367"/>
      <c r="EU32" s="367"/>
      <c r="EV32" s="487"/>
      <c r="EW32" s="189"/>
      <c r="EX32" s="442">
        <f t="shared" si="29"/>
        <v>0</v>
      </c>
      <c r="EY32" s="493"/>
      <c r="EZ32" s="487"/>
      <c r="FA32" s="487"/>
      <c r="FB32" s="487"/>
      <c r="FC32" s="487"/>
      <c r="FD32" s="487"/>
      <c r="FE32" s="487"/>
      <c r="FF32" s="487"/>
      <c r="FG32" s="487"/>
      <c r="FH32" s="487"/>
      <c r="FI32" s="487"/>
      <c r="FJ32" s="487"/>
      <c r="FK32" s="487"/>
      <c r="FL32" s="487"/>
      <c r="FM32" s="487"/>
      <c r="FN32" s="487"/>
      <c r="FO32" s="487"/>
      <c r="FP32" s="487"/>
      <c r="FQ32" s="487"/>
      <c r="FR32" s="487"/>
      <c r="FS32" s="487"/>
      <c r="FT32" s="487"/>
      <c r="FU32" s="487"/>
      <c r="FV32" s="487"/>
      <c r="FW32" s="487"/>
      <c r="FX32" s="487"/>
      <c r="FY32" s="487"/>
      <c r="FZ32" s="487"/>
      <c r="GA32" s="487"/>
      <c r="GB32" s="487"/>
      <c r="GC32" s="487"/>
      <c r="GD32" s="487"/>
      <c r="GE32" s="487"/>
      <c r="GF32" s="487"/>
      <c r="GG32" s="487"/>
      <c r="GH32" s="487"/>
      <c r="GI32" s="487"/>
      <c r="GJ32" s="487"/>
      <c r="GK32" s="487"/>
      <c r="GL32" s="487"/>
      <c r="GM32" s="487"/>
      <c r="GN32" s="487"/>
      <c r="GO32" s="487"/>
      <c r="GP32" s="487"/>
      <c r="GQ32" s="487"/>
      <c r="GR32" s="487"/>
      <c r="GS32" s="487"/>
      <c r="GT32" s="487"/>
      <c r="GU32" s="487"/>
      <c r="GV32" s="487"/>
      <c r="GW32" s="487"/>
      <c r="GX32" s="487"/>
      <c r="GY32" s="487"/>
      <c r="GZ32" s="487"/>
      <c r="HA32" s="487"/>
      <c r="HB32" s="487"/>
      <c r="HC32" s="487"/>
      <c r="HD32" s="487"/>
      <c r="HE32" s="487"/>
      <c r="HF32" s="487"/>
      <c r="HG32" s="487"/>
      <c r="HH32" s="487"/>
      <c r="HI32" s="487"/>
      <c r="HJ32" s="487"/>
      <c r="HK32" s="487"/>
      <c r="HL32" s="487"/>
      <c r="HM32" s="487"/>
      <c r="HN32" s="487"/>
      <c r="HO32" s="487"/>
      <c r="HP32" s="487"/>
      <c r="HQ32" s="487"/>
      <c r="HR32" s="487"/>
      <c r="HS32" s="487"/>
      <c r="HT32" s="487"/>
      <c r="HU32" s="487"/>
      <c r="HV32" s="487"/>
      <c r="HW32" s="487"/>
      <c r="HX32" s="487"/>
      <c r="HY32" s="487"/>
      <c r="HZ32" s="487"/>
      <c r="IA32" s="487"/>
      <c r="IB32" s="487"/>
      <c r="IC32" s="487"/>
      <c r="ID32" s="487"/>
      <c r="IE32" s="487"/>
      <c r="IF32" s="487"/>
      <c r="IG32" s="487"/>
      <c r="IH32" s="487"/>
      <c r="II32" s="487"/>
      <c r="IJ32" s="487"/>
      <c r="IK32" s="487"/>
      <c r="IL32" s="487"/>
      <c r="IM32" s="487"/>
      <c r="IN32" s="487"/>
      <c r="IO32" s="487"/>
      <c r="IP32" s="487"/>
      <c r="IQ32" s="487"/>
      <c r="IR32" s="487"/>
      <c r="IS32" s="487"/>
      <c r="IT32" s="487"/>
      <c r="IU32" s="487"/>
      <c r="IV32" s="487"/>
      <c r="IW32" s="487"/>
      <c r="IX32" s="487"/>
    </row>
    <row r="33" spans="1:258" s="21" customFormat="1" ht="16.5" customHeight="1" thickBot="1">
      <c r="A33" s="487"/>
      <c r="B33" s="487"/>
      <c r="C33" s="1251">
        <f t="shared" si="30"/>
        <v>42392</v>
      </c>
      <c r="D33" s="443">
        <f t="shared" si="31"/>
        <v>42392</v>
      </c>
      <c r="E33" s="424">
        <f ca="1">IF(D33&lt;TODAY(),IF(AT_!CG33="","",+AT_!CG33),"")</f>
        <v>97</v>
      </c>
      <c r="F33" s="424">
        <f>IF(AT_!CH33="","",+AT_!CH33)</f>
        <v>220</v>
      </c>
      <c r="G33" s="424">
        <f>IF(AT_!CF33="","",+AT_!CF33)</f>
        <v>124</v>
      </c>
      <c r="H33" s="424">
        <f>IF(AT_!CI33="","",+AT_!CI33)</f>
        <v>53</v>
      </c>
      <c r="I33" s="424">
        <f>IF(AT_!BS33="","",+AT_!BS33)</f>
        <v>12</v>
      </c>
      <c r="J33" s="425">
        <f>IF(AT_!BU33="","",+AT_!BU33)</f>
        <v>6.7</v>
      </c>
      <c r="K33" s="425">
        <f>IF(AT_!BT33="","",+AT_!BT33)</f>
        <v>7</v>
      </c>
      <c r="L33" s="425">
        <f>IF(AT_!BV33="","",+AT_!BV33)</f>
        <v>6.8</v>
      </c>
      <c r="M33" s="425">
        <f>IF(AT_!BX33="","",+AT_!BX33)</f>
        <v>6.6</v>
      </c>
      <c r="N33" s="425">
        <f>IF(AT_!BW33="","",+AT_!BW33)</f>
        <v>6.8</v>
      </c>
      <c r="O33" s="425">
        <f>IF(AT_!BY33="","",+AT_!BY33)</f>
        <v>6.7</v>
      </c>
      <c r="P33" s="425"/>
      <c r="Q33" s="425"/>
      <c r="R33" s="424">
        <f>IF(AT_!AC33="","",+AT_!AC33)</f>
        <v>116</v>
      </c>
      <c r="S33" s="424">
        <f>IF(AT_!$AF33="","",AT_!$AF33)</f>
        <v>33</v>
      </c>
      <c r="T33" s="424">
        <f>IF(AT_!G33="","",+AT_!G33)</f>
        <v>153</v>
      </c>
      <c r="U33" s="2660">
        <f>IF(AT_!$K33="","",AT_!$K33)</f>
        <v>90</v>
      </c>
      <c r="V33" s="444" t="str">
        <f t="shared" si="41"/>
        <v>violation</v>
      </c>
      <c r="W33" s="427">
        <f t="shared" si="3"/>
        <v>42392</v>
      </c>
      <c r="X33" s="488">
        <f t="shared" si="3"/>
        <v>42392</v>
      </c>
      <c r="Y33" s="429" t="str">
        <f>+AT_!FJ33</f>
        <v/>
      </c>
      <c r="Z33" s="429" t="str">
        <f>AT_!FX33</f>
        <v/>
      </c>
      <c r="AA33" s="429" t="str">
        <f>+AT_!FI33</f>
        <v/>
      </c>
      <c r="AB33" s="429" t="str">
        <f>AT_!FW33</f>
        <v/>
      </c>
      <c r="AC33" s="429">
        <f>IF(AT_!DW33="","",IF(+AT_!DW33&gt;1,ROUND(+AT_!DW33,1),+AT_!DW33))</f>
        <v>0.42</v>
      </c>
      <c r="AD33" s="430" t="str">
        <f>IF(AT_!CA33="","",+AT_!CA33)</f>
        <v/>
      </c>
      <c r="AE33" s="431" t="str">
        <f>IF(AT_!CB33="","",AT_!CB33)</f>
        <v/>
      </c>
      <c r="AF33" s="2609"/>
      <c r="AG33" s="2685"/>
      <c r="AH33" s="2688" t="s">
        <v>1468</v>
      </c>
      <c r="AI33" s="2681" t="str">
        <f>IF(AT_!$EN33="","",AT_!$EN33)</f>
        <v>Snow</v>
      </c>
      <c r="AJ33" s="489"/>
      <c r="AK33" s="427">
        <f t="shared" si="4"/>
        <v>42392</v>
      </c>
      <c r="AL33" s="488">
        <f t="shared" si="5"/>
        <v>42392</v>
      </c>
      <c r="AM33" s="429">
        <f>AT_!FE33</f>
        <v>5.2500000000000005E-2</v>
      </c>
      <c r="AN33" s="429">
        <f>AT_!FF33</f>
        <v>0.11700000000000001</v>
      </c>
      <c r="AO33" s="425">
        <f>IF(AT_!FG33= "","",(AT_!FG33*1.2143))</f>
        <v>14.383383499999997</v>
      </c>
      <c r="AP33" s="425">
        <f>AT_!FH33</f>
        <v>30.954999999999998</v>
      </c>
      <c r="AQ33" s="429">
        <f>AT_!FS33</f>
        <v>0.54</v>
      </c>
      <c r="AR33" s="429">
        <f>AT_!FT33</f>
        <v>2.3199999999999998</v>
      </c>
      <c r="AS33" s="425">
        <f>IF(AT_!FU33= "","",(AT_!FU33*1.2143))</f>
        <v>20.15738</v>
      </c>
      <c r="AT33" s="425">
        <f>AT_!FV33</f>
        <v>22.3</v>
      </c>
      <c r="AU33" s="425">
        <f>IF(AT_!BO33="","",AT_!BO33)</f>
        <v>4.41</v>
      </c>
      <c r="AV33" s="424" t="str">
        <f>IF(AT_!BR33="","",AT_!BR33)</f>
        <v/>
      </c>
      <c r="AW33" s="490"/>
      <c r="AX33" s="432" t="str">
        <f>IF((SUM(AT_!O33,AT_!P33))=0,"",ROUND(IF(ISNUMBER(AT_!O33),AT_!O33,AT_!$O$42)*0.6+IF(ISNUMBER(AT_!P33),AT_!P33,AT_!$P$42)*0.4,-1))</f>
        <v/>
      </c>
      <c r="AY33" s="432" t="str">
        <f>IF((SUM(AT_!M33,AT_!N33))=0,"",ROUND((IF(ISNUMBER(AT_!M33),AT_!M33,AT_!$M$42)*0.6)+(IF(ISNUMBER(AT_!N33),AT_!N33,AT_!$N$42)*0.4),-1))</f>
        <v/>
      </c>
      <c r="AZ33" s="424">
        <f>PT_!AA33</f>
        <v>210</v>
      </c>
      <c r="BA33" s="433">
        <f>AT_!CK33</f>
        <v>62</v>
      </c>
      <c r="BB33" s="2635">
        <f ca="1">IF(E33="","",ROUND((PT_!BM33*IF(ISNUMBER(AT_!Q33),AT_!Q33,AT_!$Q$42)+IF(ISNUMBER(AT_!S33),AT_!S33,AT_!$S$42)*PT_!BN33)*8.34,0))</f>
        <v>102225</v>
      </c>
      <c r="BC33" s="489"/>
      <c r="BD33" s="490" t="s">
        <v>1041</v>
      </c>
      <c r="BE33" s="499"/>
      <c r="BF33" s="499"/>
      <c r="BG33" s="499"/>
      <c r="BH33" s="489"/>
      <c r="BI33" s="490" t="s">
        <v>1073</v>
      </c>
      <c r="BJ33" s="499"/>
      <c r="BK33" s="499"/>
      <c r="BL33" s="499"/>
      <c r="BM33" s="490"/>
      <c r="BN33" s="499"/>
      <c r="BO33" s="499">
        <v>39</v>
      </c>
      <c r="BP33" s="511">
        <v>0</v>
      </c>
      <c r="BQ33" s="2697">
        <f>BO33*40</f>
        <v>1560</v>
      </c>
      <c r="BR33" s="489"/>
      <c r="BS33" s="487"/>
      <c r="BT33" s="487"/>
      <c r="BU33" s="487"/>
      <c r="BV33" s="487"/>
      <c r="BW33" s="487"/>
      <c r="BX33" s="487"/>
      <c r="BY33" s="487"/>
      <c r="BZ33" s="487"/>
      <c r="CA33" s="487"/>
      <c r="CB33" s="253"/>
      <c r="CC33" s="253"/>
      <c r="CD33" s="235">
        <f t="shared" si="32"/>
        <v>42392</v>
      </c>
      <c r="CE33" s="236">
        <f t="shared" ca="1" si="6"/>
        <v>93841.68</v>
      </c>
      <c r="CF33" s="237">
        <f ca="1">IF(CD33&gt;TODAY()-2,"",IF(OR(CELL("type",S33)="L",S33=0),CF$8*8.34*$E33,S33*8.34*$E33))</f>
        <v>26696.339999999997</v>
      </c>
      <c r="CG33" s="238">
        <f t="shared" ca="1" si="8"/>
        <v>123773.94</v>
      </c>
      <c r="CH33" s="239">
        <f t="shared" ca="1" si="9"/>
        <v>72808.2</v>
      </c>
      <c r="CI33" s="240">
        <f t="shared" ca="1" si="10"/>
        <v>119962.56</v>
      </c>
      <c r="CJ33" s="241">
        <f t="shared" ca="1" si="11"/>
        <v>34127.279999999999</v>
      </c>
      <c r="CK33" s="241">
        <f t="shared" ca="1" si="12"/>
        <v>158226.48000000001</v>
      </c>
      <c r="CL33" s="242">
        <f t="shared" ca="1" si="13"/>
        <v>93074.400000000009</v>
      </c>
      <c r="CM33" s="243">
        <f t="shared" ca="1" si="56"/>
        <v>116</v>
      </c>
      <c r="CN33" s="244">
        <f t="shared" ca="1" si="57"/>
        <v>33</v>
      </c>
      <c r="CO33" s="244">
        <f t="shared" ca="1" si="58"/>
        <v>153</v>
      </c>
      <c r="CP33" s="244">
        <f t="shared" ca="1" si="59"/>
        <v>90</v>
      </c>
      <c r="CQ33" s="1627">
        <f t="shared" ca="1" si="52"/>
        <v>5.2500000000000005E-2</v>
      </c>
      <c r="CR33" s="1628">
        <f t="shared" ca="1" si="53"/>
        <v>0.11700000000000001</v>
      </c>
      <c r="CS33" s="1629">
        <f t="shared" ca="1" si="54"/>
        <v>14.383383499999997</v>
      </c>
      <c r="CT33" s="1629">
        <f t="shared" ca="1" si="62"/>
        <v>30.954999999999998</v>
      </c>
      <c r="CU33" s="248">
        <f t="shared" ca="1" si="66"/>
        <v>0.54</v>
      </c>
      <c r="CV33" s="246">
        <f t="shared" ca="1" si="67"/>
        <v>2.3199999999999998</v>
      </c>
      <c r="CW33" s="247">
        <f t="shared" ca="1" si="68"/>
        <v>20.15738</v>
      </c>
      <c r="CX33" s="247">
        <f t="shared" ca="1" si="69"/>
        <v>22.3</v>
      </c>
      <c r="CY33" s="249">
        <f t="shared" ca="1" si="33"/>
        <v>31.1</v>
      </c>
      <c r="CZ33" s="249">
        <f t="shared" ca="1" si="34"/>
        <v>25.2</v>
      </c>
      <c r="DA33" s="250">
        <f t="shared" ca="1" si="35"/>
        <v>32162.376000000004</v>
      </c>
      <c r="DB33" s="250">
        <f t="shared" ca="1" si="36"/>
        <v>26060.831999999999</v>
      </c>
      <c r="DC33" s="251">
        <f t="shared" si="20"/>
        <v>42392</v>
      </c>
      <c r="DD33" s="1410"/>
      <c r="DE33" s="484"/>
      <c r="DF33" s="439">
        <f t="shared" ref="DF33:DF38" si="70">+DG33</f>
        <v>42395</v>
      </c>
      <c r="DG33" s="519">
        <f t="shared" ref="DG33:DH38" si="71">IF(+$DI$6=31,D36,IF($DI$6=30,D35,IF($DI$6=29,D34,D33)))</f>
        <v>42395</v>
      </c>
      <c r="DH33" s="491">
        <f t="shared" ca="1" si="71"/>
        <v>98</v>
      </c>
      <c r="DI33" s="491">
        <f t="shared" ref="DI33:DI38" si="72">IF(+$DI$6=31,G36,IF($DI$6=30,G35,IF($DI$6=29,G34,G33)))</f>
        <v>161</v>
      </c>
      <c r="DJ33" s="491">
        <f t="shared" ref="DJ33:DK38" si="73">IF(+$DI$6=31,T36,IF($DI$6=30,T35,IF($DI$6=29,T34,T33)))</f>
        <v>215</v>
      </c>
      <c r="DK33" s="491">
        <f t="shared" si="73"/>
        <v>17</v>
      </c>
      <c r="DL33" s="491">
        <f t="shared" ref="DL33:DM38" si="74">IF(+$DI$6=31,R36,IF($DI$6=30,R35,IF($DI$6=29,R34,R33)))</f>
        <v>169</v>
      </c>
      <c r="DM33" s="491">
        <f t="shared" si="74"/>
        <v>10</v>
      </c>
      <c r="DN33" s="491">
        <f t="shared" ref="DN33:DN38" si="75">IF(+$DI$6=31,AE36,IF($DI$6=30,AE35,IF($DI$6=29,AE34,AE33)))</f>
        <v>72</v>
      </c>
      <c r="DO33" s="520">
        <f t="shared" ref="DO33:DP38" ca="1" si="76">IF(+$DI$6=31,CK36,IF($DI$6=30,CK35,IF($DI$6=29,CK34,CK33)))</f>
        <v>288689.09999999998</v>
      </c>
      <c r="DP33" s="520">
        <f t="shared" ca="1" si="76"/>
        <v>22826.58</v>
      </c>
      <c r="DQ33" s="520">
        <f t="shared" ref="DQ33:DR38" ca="1" si="77">IF(+$DI$6=31,CI36,IF($DI$6=30,CI35,IF($DI$6=29,CI34,CI33)))</f>
        <v>226923.06</v>
      </c>
      <c r="DR33" s="520">
        <f t="shared" ca="1" si="77"/>
        <v>13427.400000000001</v>
      </c>
      <c r="DS33" s="417">
        <f t="shared" si="37"/>
        <v>7</v>
      </c>
      <c r="DT33" s="439">
        <f t="shared" si="38"/>
        <v>42392</v>
      </c>
      <c r="DU33" s="495">
        <f t="shared" si="61"/>
        <v>42392</v>
      </c>
      <c r="DV33" s="403">
        <f t="shared" ca="1" si="22"/>
        <v>91</v>
      </c>
      <c r="DW33" s="403">
        <f t="shared" ca="1" si="22"/>
        <v>95</v>
      </c>
      <c r="DX33" s="403">
        <f t="shared" ca="1" si="22"/>
        <v>138</v>
      </c>
      <c r="DY33" s="403">
        <f t="shared" ca="1" si="39"/>
        <v>109900</v>
      </c>
      <c r="DZ33" s="403">
        <f t="shared" ca="1" si="40"/>
        <v>27</v>
      </c>
      <c r="EA33" s="403">
        <f t="shared" ca="1" si="23"/>
        <v>23900</v>
      </c>
      <c r="EB33" s="403">
        <f t="shared" ca="1" si="24"/>
        <v>142</v>
      </c>
      <c r="EC33" s="403">
        <f t="shared" ca="1" si="25"/>
        <v>111000</v>
      </c>
      <c r="ED33" s="403">
        <f t="shared" ca="1" si="26"/>
        <v>11</v>
      </c>
      <c r="EE33" s="403">
        <f t="shared" ca="1" si="27"/>
        <v>9300</v>
      </c>
      <c r="EF33" s="403">
        <f t="shared" ca="1" si="28"/>
        <v>25</v>
      </c>
      <c r="EG33" s="492"/>
      <c r="EH33" s="398"/>
      <c r="EI33" s="367"/>
      <c r="EJ33" s="367"/>
      <c r="EK33" s="367"/>
      <c r="EL33" s="367"/>
      <c r="EM33" s="367"/>
      <c r="EN33" s="367"/>
      <c r="EO33" s="367"/>
      <c r="EP33" s="1781"/>
      <c r="EQ33" s="367"/>
      <c r="ER33" s="367"/>
      <c r="ES33" s="367"/>
      <c r="ET33" s="367"/>
      <c r="EU33" s="367"/>
      <c r="EV33" s="487"/>
      <c r="EW33" s="189"/>
      <c r="EX33" s="442">
        <f t="shared" si="29"/>
        <v>0</v>
      </c>
      <c r="EY33" s="493"/>
      <c r="EZ33" s="487"/>
      <c r="FA33" s="487"/>
      <c r="FB33" s="487"/>
      <c r="FC33" s="487"/>
      <c r="FD33" s="487"/>
      <c r="FE33" s="487"/>
      <c r="FF33" s="487"/>
      <c r="FG33" s="487"/>
      <c r="FH33" s="487"/>
      <c r="FI33" s="487"/>
      <c r="FJ33" s="487"/>
      <c r="FK33" s="487"/>
      <c r="FL33" s="487"/>
      <c r="FM33" s="487"/>
      <c r="FN33" s="487"/>
      <c r="FO33" s="487"/>
      <c r="FP33" s="487"/>
      <c r="FQ33" s="487"/>
      <c r="FR33" s="487"/>
      <c r="FS33" s="487"/>
      <c r="FT33" s="487"/>
      <c r="FU33" s="487"/>
      <c r="FV33" s="487"/>
      <c r="FW33" s="487"/>
      <c r="FX33" s="487"/>
      <c r="FY33" s="487"/>
      <c r="FZ33" s="487"/>
      <c r="GA33" s="487"/>
      <c r="GB33" s="487"/>
      <c r="GC33" s="487"/>
      <c r="GD33" s="487"/>
      <c r="GE33" s="487"/>
      <c r="GF33" s="487"/>
      <c r="GG33" s="487"/>
      <c r="GH33" s="487"/>
      <c r="GI33" s="487"/>
      <c r="GJ33" s="487"/>
      <c r="GK33" s="487"/>
      <c r="GL33" s="487"/>
      <c r="GM33" s="487"/>
      <c r="GN33" s="487"/>
      <c r="GO33" s="487"/>
      <c r="GP33" s="487"/>
      <c r="GQ33" s="487"/>
      <c r="GR33" s="487"/>
      <c r="GS33" s="487"/>
      <c r="GT33" s="487"/>
      <c r="GU33" s="487"/>
      <c r="GV33" s="487"/>
      <c r="GW33" s="487"/>
      <c r="GX33" s="487"/>
      <c r="GY33" s="487"/>
      <c r="GZ33" s="487"/>
      <c r="HA33" s="487"/>
      <c r="HB33" s="487"/>
      <c r="HC33" s="487"/>
      <c r="HD33" s="487"/>
      <c r="HE33" s="487"/>
      <c r="HF33" s="487"/>
      <c r="HG33" s="487"/>
      <c r="HH33" s="487"/>
      <c r="HI33" s="487"/>
      <c r="HJ33" s="487"/>
      <c r="HK33" s="487"/>
      <c r="HL33" s="487"/>
      <c r="HM33" s="487"/>
      <c r="HN33" s="487"/>
      <c r="HO33" s="487"/>
      <c r="HP33" s="487"/>
      <c r="HQ33" s="487"/>
      <c r="HR33" s="487"/>
      <c r="HS33" s="487"/>
      <c r="HT33" s="487"/>
      <c r="HU33" s="487"/>
      <c r="HV33" s="487"/>
      <c r="HW33" s="487"/>
      <c r="HX33" s="487"/>
      <c r="HY33" s="487"/>
      <c r="HZ33" s="487"/>
      <c r="IA33" s="487"/>
      <c r="IB33" s="487"/>
      <c r="IC33" s="487"/>
      <c r="ID33" s="487"/>
      <c r="IE33" s="487"/>
      <c r="IF33" s="487"/>
      <c r="IG33" s="487"/>
      <c r="IH33" s="487"/>
      <c r="II33" s="487"/>
      <c r="IJ33" s="487"/>
      <c r="IK33" s="487"/>
      <c r="IL33" s="487"/>
      <c r="IM33" s="487"/>
      <c r="IN33" s="487"/>
      <c r="IO33" s="487"/>
      <c r="IP33" s="487"/>
      <c r="IQ33" s="487"/>
      <c r="IR33" s="487"/>
      <c r="IS33" s="487"/>
      <c r="IT33" s="487"/>
      <c r="IU33" s="487"/>
      <c r="IV33" s="487"/>
      <c r="IW33" s="487"/>
      <c r="IX33" s="487"/>
    </row>
    <row r="34" spans="1:258" s="21" customFormat="1" ht="16.5" customHeight="1" thickBot="1">
      <c r="A34" s="487"/>
      <c r="B34" s="487"/>
      <c r="C34" s="1251">
        <f t="shared" si="30"/>
        <v>42393</v>
      </c>
      <c r="D34" s="443">
        <f t="shared" si="31"/>
        <v>42393</v>
      </c>
      <c r="E34" s="424">
        <f ca="1">IF(D34&lt;TODAY(),IF(AT_!CG34="","",+AT_!CG34),"")</f>
        <v>98</v>
      </c>
      <c r="F34" s="424">
        <f>IF(AT_!CH34="","",+AT_!CH34)</f>
        <v>178</v>
      </c>
      <c r="G34" s="424">
        <f>IF(AT_!CF34="","",+AT_!CF34)</f>
        <v>120</v>
      </c>
      <c r="H34" s="424">
        <f>IF(AT_!CI34="","",+AT_!CI34)</f>
        <v>72</v>
      </c>
      <c r="I34" s="424">
        <f>IF(AT_!BS34="","",+AT_!BS34)</f>
        <v>14</v>
      </c>
      <c r="J34" s="425">
        <f>IF(AT_!BU34="","",+AT_!BU34)</f>
        <v>6.7</v>
      </c>
      <c r="K34" s="425">
        <f>IF(AT_!BT34="","",+AT_!BT34)</f>
        <v>7</v>
      </c>
      <c r="L34" s="425">
        <f>IF(AT_!BV34="","",+AT_!BV34)</f>
        <v>6.8</v>
      </c>
      <c r="M34" s="425">
        <f>IF(AT_!BX34="","",+AT_!BX34)</f>
        <v>6.6</v>
      </c>
      <c r="N34" s="425">
        <f>IF(AT_!BW34="","",+AT_!BW34)</f>
        <v>6.9</v>
      </c>
      <c r="O34" s="425">
        <f>IF(AT_!BY34="","",+AT_!BY34)</f>
        <v>6.7</v>
      </c>
      <c r="P34" s="425"/>
      <c r="Q34" s="425"/>
      <c r="R34" s="424">
        <f>IF(AT_!AC34="","",+AT_!AC34)</f>
        <v>115</v>
      </c>
      <c r="S34" s="424">
        <f>IF(AT_!$AF34="","",AT_!$AF34)</f>
        <v>16</v>
      </c>
      <c r="T34" s="424">
        <f>IF(AT_!G34="","",+AT_!G34)</f>
        <v>131</v>
      </c>
      <c r="U34" s="2660">
        <f>IF(AT_!$K34="","",AT_!$K34)</f>
        <v>22</v>
      </c>
      <c r="V34" s="444" t="str">
        <f t="shared" si="41"/>
        <v/>
      </c>
      <c r="W34" s="427">
        <f t="shared" si="3"/>
        <v>42393</v>
      </c>
      <c r="X34" s="488">
        <f t="shared" si="3"/>
        <v>42393</v>
      </c>
      <c r="Y34" s="429" t="str">
        <f>+AT_!FJ34</f>
        <v/>
      </c>
      <c r="Z34" s="429" t="str">
        <f>AT_!FX34</f>
        <v/>
      </c>
      <c r="AA34" s="429" t="str">
        <f>+AT_!FI34</f>
        <v/>
      </c>
      <c r="AB34" s="429" t="str">
        <f>AT_!FW34</f>
        <v/>
      </c>
      <c r="AC34" s="429">
        <f>IF(AT_!DW34="","",IF(+AT_!DW34&gt;1,ROUND(+AT_!DW34,1),+AT_!DW34))</f>
        <v>0.48</v>
      </c>
      <c r="AD34" s="430" t="str">
        <f>IF(AT_!CA34="","",+AT_!CA34)</f>
        <v/>
      </c>
      <c r="AE34" s="431">
        <f>IF(AT_!CB34="","",AT_!CB34)</f>
        <v>25</v>
      </c>
      <c r="AF34" s="2609"/>
      <c r="AG34" s="2610"/>
      <c r="AH34" s="2687"/>
      <c r="AI34" s="2681" t="str">
        <f>IF(AT_!$EN34="","",AT_!$EN34)</f>
        <v>Snow Melt</v>
      </c>
      <c r="AJ34" s="489"/>
      <c r="AK34" s="427">
        <f t="shared" si="4"/>
        <v>42393</v>
      </c>
      <c r="AL34" s="488">
        <f t="shared" si="5"/>
        <v>42393</v>
      </c>
      <c r="AM34" s="429">
        <f>AT_!FE34</f>
        <v>9.1999999999999998E-2</v>
      </c>
      <c r="AN34" s="429">
        <f>AT_!FF34</f>
        <v>0.13700000000000001</v>
      </c>
      <c r="AO34" s="425">
        <f>IF(AT_!FG34= "","",(AT_!FG34*1.2143))</f>
        <v>15.889115499999997</v>
      </c>
      <c r="AP34" s="425">
        <f>AT_!FH34</f>
        <v>31.949999999999996</v>
      </c>
      <c r="AQ34" s="429">
        <f>AT_!FS34</f>
        <v>0.96</v>
      </c>
      <c r="AR34" s="429">
        <f>AT_!FT34</f>
        <v>2.86</v>
      </c>
      <c r="AS34" s="425">
        <f>IF(AT_!FU34= "","",(AT_!FU34*1.2143))</f>
        <v>16.393049999999999</v>
      </c>
      <c r="AT34" s="425">
        <f>AT_!FV34</f>
        <v>18.2</v>
      </c>
      <c r="AU34" s="425">
        <f>IF(AT_!BO34="","",AT_!BO34)</f>
        <v>6.68</v>
      </c>
      <c r="AV34" s="424" t="str">
        <f>IF(AT_!BR34="","",AT_!BR34)</f>
        <v/>
      </c>
      <c r="AW34" s="490"/>
      <c r="AX34" s="432">
        <f>IF((SUM(AT_!O34,AT_!P34))=0,"",ROUND(IF(ISNUMBER(AT_!O34),AT_!O34,AT_!$O$42)*0.6+IF(ISNUMBER(AT_!P34),AT_!P34,AT_!$P$42)*0.4,-1))</f>
        <v>3520</v>
      </c>
      <c r="AY34" s="432">
        <f>IF((SUM(AT_!M34,AT_!N34))=0,"",ROUND((IF(ISNUMBER(AT_!M34),AT_!M34,AT_!$M$42)*0.6)+(IF(ISNUMBER(AT_!N34),AT_!N34,AT_!$N$42)*0.4),-1))</f>
        <v>2600</v>
      </c>
      <c r="AZ34" s="424">
        <f>PT_!AA34</f>
        <v>280</v>
      </c>
      <c r="BA34" s="433">
        <f>AT_!CK34</f>
        <v>62</v>
      </c>
      <c r="BB34" s="2635">
        <f ca="1">IF(E34="","",ROUND((PT_!BM34*IF(ISNUMBER(AT_!Q34),AT_!Q34,AT_!$Q$42)+IF(ISNUMBER(AT_!S34),AT_!S34,AT_!$S$42)*PT_!BN34)*8.34,0))</f>
        <v>122280</v>
      </c>
      <c r="BC34" s="489"/>
      <c r="BD34" s="489" t="s">
        <v>1042</v>
      </c>
      <c r="BE34" s="1239"/>
      <c r="BF34" s="1239"/>
      <c r="BG34" s="1239"/>
      <c r="BH34" s="489"/>
      <c r="BI34" s="490" t="s">
        <v>1074</v>
      </c>
      <c r="BJ34" s="499"/>
      <c r="BK34" s="499"/>
      <c r="BL34" s="499"/>
      <c r="BM34" s="490"/>
      <c r="BN34" s="499"/>
      <c r="BO34" s="499">
        <v>1</v>
      </c>
      <c r="BP34" s="511">
        <v>0</v>
      </c>
      <c r="BQ34" s="2697">
        <f>BO34*35</f>
        <v>35</v>
      </c>
      <c r="BR34" s="489"/>
      <c r="BS34" s="487"/>
      <c r="BT34" s="487"/>
      <c r="BU34" s="487"/>
      <c r="BV34" s="487"/>
      <c r="BW34" s="487"/>
      <c r="BX34" s="487"/>
      <c r="BY34" s="487"/>
      <c r="BZ34" s="487"/>
      <c r="CA34" s="487"/>
      <c r="CB34" s="253"/>
      <c r="CC34" s="253"/>
      <c r="CD34" s="235">
        <f t="shared" si="32"/>
        <v>42393</v>
      </c>
      <c r="CE34" s="236">
        <f t="shared" ca="1" si="6"/>
        <v>93991.8</v>
      </c>
      <c r="CF34" s="237">
        <f t="shared" ca="1" si="7"/>
        <v>13077.119999999999</v>
      </c>
      <c r="CG34" s="238">
        <f t="shared" ca="1" si="8"/>
        <v>107068.92</v>
      </c>
      <c r="CH34" s="239">
        <f t="shared" ca="1" si="9"/>
        <v>17981.039999999997</v>
      </c>
      <c r="CI34" s="240">
        <f t="shared" ca="1" si="10"/>
        <v>115092</v>
      </c>
      <c r="CJ34" s="241">
        <f t="shared" ca="1" si="11"/>
        <v>16012.8</v>
      </c>
      <c r="CK34" s="241">
        <f t="shared" ca="1" si="12"/>
        <v>131104.79999999999</v>
      </c>
      <c r="CL34" s="242">
        <f t="shared" ca="1" si="13"/>
        <v>22017.599999999999</v>
      </c>
      <c r="CM34" s="243">
        <f t="shared" ca="1" si="56"/>
        <v>115</v>
      </c>
      <c r="CN34" s="244">
        <f t="shared" ca="1" si="57"/>
        <v>16</v>
      </c>
      <c r="CO34" s="244">
        <f t="shared" ca="1" si="58"/>
        <v>131</v>
      </c>
      <c r="CP34" s="244">
        <f ca="1">IF($E34&gt;0,IF($G34&gt;$C$44," ",IF(CELL("type",U34:U34)="v",U34,IF(CELL("type",U34:U34)="L",U$44,""))),"")</f>
        <v>22</v>
      </c>
      <c r="CQ34" s="1627">
        <f t="shared" ca="1" si="52"/>
        <v>9.1999999999999998E-2</v>
      </c>
      <c r="CR34" s="1628">
        <f t="shared" ca="1" si="53"/>
        <v>0.13700000000000001</v>
      </c>
      <c r="CS34" s="1629">
        <f t="shared" ca="1" si="54"/>
        <v>15.889115499999997</v>
      </c>
      <c r="CT34" s="1629">
        <f ca="1">IF($E34&gt;0,IF(SUM($AM34:$AP34)&gt;0,IF(CELL("type",AP34:AP34)="V",AP34,IF(CELL("type",AP34:AP34)="L",CT$8,"")),""),"")</f>
        <v>31.949999999999996</v>
      </c>
      <c r="CU34" s="248">
        <f t="shared" ca="1" si="66"/>
        <v>0.96</v>
      </c>
      <c r="CV34" s="246">
        <f t="shared" ca="1" si="67"/>
        <v>2.86</v>
      </c>
      <c r="CW34" s="247">
        <f t="shared" ca="1" si="68"/>
        <v>16.393049999999999</v>
      </c>
      <c r="CX34" s="247">
        <f t="shared" ca="1" si="69"/>
        <v>18.2</v>
      </c>
      <c r="CY34" s="249">
        <f t="shared" ca="1" si="33"/>
        <v>32.200000000000003</v>
      </c>
      <c r="CZ34" s="249">
        <f t="shared" ca="1" si="34"/>
        <v>22</v>
      </c>
      <c r="DA34" s="250">
        <f t="shared" ca="1" si="35"/>
        <v>32225.760000000002</v>
      </c>
      <c r="DB34" s="250">
        <f t="shared" ca="1" si="36"/>
        <v>22017.599999999999</v>
      </c>
      <c r="DC34" s="251">
        <f t="shared" si="20"/>
        <v>42393</v>
      </c>
      <c r="DD34" s="1410"/>
      <c r="DE34" s="484"/>
      <c r="DF34" s="439">
        <f t="shared" si="70"/>
        <v>42396</v>
      </c>
      <c r="DG34" s="519">
        <f t="shared" si="71"/>
        <v>42396</v>
      </c>
      <c r="DH34" s="491">
        <f t="shared" ca="1" si="71"/>
        <v>95</v>
      </c>
      <c r="DI34" s="491">
        <f t="shared" si="72"/>
        <v>140</v>
      </c>
      <c r="DJ34" s="491">
        <f t="shared" si="73"/>
        <v>131</v>
      </c>
      <c r="DK34" s="491">
        <f t="shared" si="73"/>
        <v>13</v>
      </c>
      <c r="DL34" s="491">
        <f t="shared" si="74"/>
        <v>130</v>
      </c>
      <c r="DM34" s="491">
        <f t="shared" si="74"/>
        <v>8</v>
      </c>
      <c r="DN34" s="491">
        <f t="shared" si="75"/>
        <v>56</v>
      </c>
      <c r="DO34" s="520">
        <f t="shared" ca="1" si="76"/>
        <v>152955.6</v>
      </c>
      <c r="DP34" s="520">
        <f t="shared" ca="1" si="76"/>
        <v>15178.800000000001</v>
      </c>
      <c r="DQ34" s="520">
        <f t="shared" ca="1" si="77"/>
        <v>151788</v>
      </c>
      <c r="DR34" s="520">
        <f t="shared" ca="1" si="77"/>
        <v>9340.7999999999993</v>
      </c>
      <c r="DS34" s="417">
        <f t="shared" si="37"/>
        <v>1</v>
      </c>
      <c r="DT34" s="439">
        <f t="shared" si="38"/>
        <v>42393</v>
      </c>
      <c r="DU34" s="495">
        <f t="shared" si="61"/>
        <v>42393</v>
      </c>
      <c r="DV34" s="403" t="str">
        <f t="shared" si="22"/>
        <v/>
      </c>
      <c r="DW34" s="403" t="str">
        <f t="shared" si="22"/>
        <v/>
      </c>
      <c r="DX34" s="403" t="str">
        <f t="shared" si="22"/>
        <v/>
      </c>
      <c r="DY34" s="403" t="str">
        <f t="shared" si="39"/>
        <v/>
      </c>
      <c r="DZ34" s="403" t="str">
        <f t="shared" si="40"/>
        <v/>
      </c>
      <c r="EA34" s="403" t="str">
        <f t="shared" si="23"/>
        <v/>
      </c>
      <c r="EB34" s="403" t="str">
        <f t="shared" si="24"/>
        <v/>
      </c>
      <c r="EC34" s="403" t="str">
        <f t="shared" si="25"/>
        <v/>
      </c>
      <c r="ED34" s="403" t="str">
        <f t="shared" si="26"/>
        <v/>
      </c>
      <c r="EE34" s="403" t="str">
        <f t="shared" si="27"/>
        <v/>
      </c>
      <c r="EF34" s="403" t="str">
        <f t="shared" si="28"/>
        <v/>
      </c>
      <c r="EG34" s="492"/>
      <c r="EH34" s="398"/>
      <c r="EI34" s="463" t="s">
        <v>947</v>
      </c>
      <c r="EJ34" s="464"/>
      <c r="EK34" s="465"/>
      <c r="EL34" s="463" t="s">
        <v>200</v>
      </c>
      <c r="EM34" s="464"/>
      <c r="EN34" s="466"/>
      <c r="EO34" s="367"/>
      <c r="EP34" s="367"/>
      <c r="EQ34" s="467"/>
      <c r="ER34" s="467"/>
      <c r="ES34" s="467"/>
      <c r="ET34" s="467"/>
      <c r="EU34" s="467"/>
      <c r="EV34" s="487"/>
      <c r="EW34" s="189"/>
      <c r="EX34" s="442">
        <f t="shared" si="29"/>
        <v>0</v>
      </c>
      <c r="EY34" s="493"/>
      <c r="EZ34" s="487"/>
      <c r="FA34" s="487"/>
      <c r="FB34" s="487"/>
      <c r="FC34" s="487"/>
      <c r="FD34" s="487"/>
      <c r="FE34" s="487"/>
      <c r="FF34" s="487"/>
      <c r="FG34" s="487"/>
      <c r="FH34" s="487"/>
      <c r="FI34" s="487"/>
      <c r="FJ34" s="487"/>
      <c r="FK34" s="487"/>
      <c r="FL34" s="487"/>
      <c r="FM34" s="487"/>
      <c r="FN34" s="487"/>
      <c r="FO34" s="487"/>
      <c r="FP34" s="487"/>
      <c r="FQ34" s="487"/>
      <c r="FR34" s="487"/>
      <c r="FS34" s="487"/>
      <c r="FT34" s="487"/>
      <c r="FU34" s="487"/>
      <c r="FV34" s="487"/>
      <c r="FW34" s="487"/>
      <c r="FX34" s="487"/>
      <c r="FY34" s="487"/>
      <c r="FZ34" s="487"/>
      <c r="GA34" s="487"/>
      <c r="GB34" s="487"/>
      <c r="GC34" s="487"/>
      <c r="GD34" s="487"/>
      <c r="GE34" s="487"/>
      <c r="GF34" s="487"/>
      <c r="GG34" s="487"/>
      <c r="GH34" s="487"/>
      <c r="GI34" s="487"/>
      <c r="GJ34" s="487"/>
      <c r="GK34" s="487"/>
      <c r="GL34" s="487"/>
      <c r="GM34" s="487"/>
      <c r="GN34" s="487"/>
      <c r="GO34" s="487"/>
      <c r="GP34" s="487"/>
      <c r="GQ34" s="487"/>
      <c r="GR34" s="487"/>
      <c r="GS34" s="487"/>
      <c r="GT34" s="487"/>
      <c r="GU34" s="487"/>
      <c r="GV34" s="487"/>
      <c r="GW34" s="487"/>
      <c r="GX34" s="487"/>
      <c r="GY34" s="487"/>
      <c r="GZ34" s="487"/>
      <c r="HA34" s="487"/>
      <c r="HB34" s="487"/>
      <c r="HC34" s="487"/>
      <c r="HD34" s="487"/>
      <c r="HE34" s="487"/>
      <c r="HF34" s="487"/>
      <c r="HG34" s="487"/>
      <c r="HH34" s="487"/>
      <c r="HI34" s="487"/>
      <c r="HJ34" s="487"/>
      <c r="HK34" s="487"/>
      <c r="HL34" s="487"/>
      <c r="HM34" s="487"/>
      <c r="HN34" s="487"/>
      <c r="HO34" s="487"/>
      <c r="HP34" s="487"/>
      <c r="HQ34" s="487"/>
      <c r="HR34" s="487"/>
      <c r="HS34" s="487"/>
      <c r="HT34" s="487"/>
      <c r="HU34" s="487"/>
      <c r="HV34" s="487"/>
      <c r="HW34" s="487"/>
      <c r="HX34" s="487"/>
      <c r="HY34" s="487"/>
      <c r="HZ34" s="487"/>
      <c r="IA34" s="487"/>
      <c r="IB34" s="487"/>
      <c r="IC34" s="487"/>
      <c r="ID34" s="487"/>
      <c r="IE34" s="487"/>
      <c r="IF34" s="487"/>
      <c r="IG34" s="487"/>
      <c r="IH34" s="487"/>
      <c r="II34" s="487"/>
      <c r="IJ34" s="487"/>
      <c r="IK34" s="487"/>
      <c r="IL34" s="487"/>
      <c r="IM34" s="487"/>
      <c r="IN34" s="487"/>
      <c r="IO34" s="487"/>
      <c r="IP34" s="487"/>
      <c r="IQ34" s="487"/>
      <c r="IR34" s="487"/>
      <c r="IS34" s="487"/>
      <c r="IT34" s="487"/>
      <c r="IU34" s="487"/>
      <c r="IV34" s="487"/>
      <c r="IW34" s="487"/>
      <c r="IX34" s="487"/>
    </row>
    <row r="35" spans="1:258" s="21" customFormat="1" ht="16.5" customHeight="1">
      <c r="A35" s="487"/>
      <c r="B35" s="487"/>
      <c r="C35" s="1251">
        <f t="shared" si="30"/>
        <v>42394</v>
      </c>
      <c r="D35" s="443">
        <f t="shared" si="31"/>
        <v>42394</v>
      </c>
      <c r="E35" s="424">
        <f ca="1">IF(D35&lt;TODAY(),IF(AT_!CG35="","",+AT_!CG35),"")</f>
        <v>106</v>
      </c>
      <c r="F35" s="424">
        <f>IF(AT_!CH35="","",+AT_!CH35)</f>
        <v>127</v>
      </c>
      <c r="G35" s="424">
        <f>IF(AT_!CF35="","",+AT_!CF35)</f>
        <v>106</v>
      </c>
      <c r="H35" s="424">
        <f>IF(AT_!CI35="","",+AT_!CI35)</f>
        <v>73</v>
      </c>
      <c r="I35" s="424">
        <f>IF(AT_!BS35="","",+AT_!BS35)</f>
        <v>17</v>
      </c>
      <c r="J35" s="425">
        <f>IF(AT_!BU35="","",+AT_!BU35)</f>
        <v>6.7</v>
      </c>
      <c r="K35" s="425">
        <f>IF(AT_!BT35="","",+AT_!BT35)</f>
        <v>7.1</v>
      </c>
      <c r="L35" s="425">
        <f>IF(AT_!BV35="","",+AT_!BV35)</f>
        <v>7</v>
      </c>
      <c r="M35" s="425">
        <f>IF(AT_!BX35="","",+AT_!BX35)</f>
        <v>6.5</v>
      </c>
      <c r="N35" s="425">
        <f>IF(AT_!BW35="","",+AT_!BW35)</f>
        <v>6.9</v>
      </c>
      <c r="O35" s="425">
        <f>IF(AT_!BY35="","",+AT_!BY35)</f>
        <v>6.7</v>
      </c>
      <c r="P35" s="425"/>
      <c r="Q35" s="425"/>
      <c r="R35" s="424">
        <f>IF(AT_!AC35="","",+AT_!AC35)</f>
        <v>132</v>
      </c>
      <c r="S35" s="424">
        <f>IF(AT_!$AF35="","",AT_!$AF35)</f>
        <v>6</v>
      </c>
      <c r="T35" s="424">
        <f>IF(AT_!G35="","",+AT_!G35)</f>
        <v>145</v>
      </c>
      <c r="U35" s="2660">
        <f>IF(AT_!$K35="","",AT_!$K35)</f>
        <v>9</v>
      </c>
      <c r="V35" s="444" t="str">
        <f t="shared" si="41"/>
        <v/>
      </c>
      <c r="W35" s="427">
        <f t="shared" si="3"/>
        <v>42394</v>
      </c>
      <c r="X35" s="488">
        <f t="shared" si="3"/>
        <v>42394</v>
      </c>
      <c r="Y35" s="429" t="str">
        <f>+AT_!FJ35</f>
        <v/>
      </c>
      <c r="Z35" s="429" t="str">
        <f>AT_!FX35</f>
        <v/>
      </c>
      <c r="AA35" s="429" t="str">
        <f>+AT_!FI35</f>
        <v/>
      </c>
      <c r="AB35" s="429" t="str">
        <f>AT_!FW35</f>
        <v/>
      </c>
      <c r="AC35" s="429">
        <f>IF(AT_!DW35="","",IF(+AT_!DW35&gt;1,ROUND(+AT_!DW35,1),+AT_!DW35))</f>
        <v>0.43</v>
      </c>
      <c r="AD35" s="430" t="str">
        <f>IF(AT_!CA35="","",+AT_!CA35)</f>
        <v/>
      </c>
      <c r="AE35" s="431">
        <f>IF(AT_!CB35="","",AT_!CB35)</f>
        <v>31</v>
      </c>
      <c r="AF35" s="2609"/>
      <c r="AG35" s="2610"/>
      <c r="AH35" s="2064"/>
      <c r="AI35" s="2681" t="str">
        <f>IF(AT_!$EN35="","",AT_!$EN35)</f>
        <v>Clear</v>
      </c>
      <c r="AJ35" s="489"/>
      <c r="AK35" s="427">
        <f t="shared" si="4"/>
        <v>42394</v>
      </c>
      <c r="AL35" s="488">
        <f t="shared" si="5"/>
        <v>42394</v>
      </c>
      <c r="AM35" s="429">
        <f>AT_!FE35</f>
        <v>8.2500000000000004E-2</v>
      </c>
      <c r="AN35" s="429">
        <f>AT_!FF35</f>
        <v>6.0499999999999998E-2</v>
      </c>
      <c r="AO35" s="425">
        <f>IF(AT_!FG35= "","",(AT_!FG35*1.2143))</f>
        <v>14.425883999999998</v>
      </c>
      <c r="AP35" s="425">
        <f>AT_!FH35</f>
        <v>34.245000000000005</v>
      </c>
      <c r="AQ35" s="429">
        <f>AT_!FS35</f>
        <v>1.07</v>
      </c>
      <c r="AR35" s="429">
        <f>AT_!FT35</f>
        <v>3.37</v>
      </c>
      <c r="AS35" s="425">
        <f>IF(AT_!FU35= "","",(AT_!FU35*1.2143))</f>
        <v>12.142999999999999</v>
      </c>
      <c r="AT35" s="425">
        <f>AT_!FV35</f>
        <v>12.1</v>
      </c>
      <c r="AU35" s="425">
        <f>IF(AT_!BO35="","",AT_!BO35)</f>
        <v>4.8</v>
      </c>
      <c r="AV35" s="424" t="str">
        <f>IF(AT_!BR35="","",AT_!BR35)</f>
        <v/>
      </c>
      <c r="AW35" s="490"/>
      <c r="AX35" s="432">
        <f>IF((SUM(AT_!O35,AT_!P35))=0,"",ROUND(IF(ISNUMBER(AT_!O35),AT_!O35,AT_!$O$42)*0.6+IF(ISNUMBER(AT_!P35),AT_!P35,AT_!$P$42)*0.4,-1))</f>
        <v>3180</v>
      </c>
      <c r="AY35" s="432">
        <f>IF((SUM(AT_!M35,AT_!N35))=0,"",ROUND((IF(ISNUMBER(AT_!M35),AT_!M35,AT_!$M$42)*0.6)+(IF(ISNUMBER(AT_!N35),AT_!N35,AT_!$N$42)*0.4),-1))</f>
        <v>2100</v>
      </c>
      <c r="AZ35" s="424">
        <f>PT_!AA35</f>
        <v>140</v>
      </c>
      <c r="BA35" s="433">
        <f>AT_!CK35</f>
        <v>62</v>
      </c>
      <c r="BB35" s="2635">
        <f ca="1">IF(E35="","",ROUND((PT_!BM35*IF(ISNUMBER(AT_!Q35),AT_!Q35,AT_!$Q$42)+IF(ISNUMBER(AT_!S35),AT_!S35,AT_!$S$42)*PT_!BN35)*8.34,0))</f>
        <v>83353</v>
      </c>
      <c r="BC35" s="489"/>
      <c r="BD35" s="501"/>
      <c r="BE35" s="502"/>
      <c r="BF35" s="501" t="s">
        <v>1051</v>
      </c>
      <c r="BG35" s="501" t="s">
        <v>1054</v>
      </c>
      <c r="BH35" s="489"/>
      <c r="BI35" s="490"/>
      <c r="BJ35" s="499"/>
      <c r="BK35" s="499"/>
      <c r="BL35" s="499"/>
      <c r="BM35" s="490"/>
      <c r="BN35" s="499"/>
      <c r="BO35" s="499"/>
      <c r="BP35" s="505"/>
      <c r="BQ35" s="2695"/>
      <c r="BR35" s="489"/>
      <c r="BS35" s="487"/>
      <c r="BT35" s="487"/>
      <c r="BU35" s="487"/>
      <c r="BV35" s="487"/>
      <c r="BW35" s="487"/>
      <c r="BX35" s="487"/>
      <c r="BY35" s="487"/>
      <c r="BZ35" s="487"/>
      <c r="CA35" s="487"/>
      <c r="CB35" s="253"/>
      <c r="CC35" s="253"/>
      <c r="CD35" s="235">
        <f t="shared" si="32"/>
        <v>42394</v>
      </c>
      <c r="CE35" s="236">
        <f t="shared" ca="1" si="6"/>
        <v>116693.27999999998</v>
      </c>
      <c r="CF35" s="237">
        <f t="shared" ca="1" si="7"/>
        <v>5304.24</v>
      </c>
      <c r="CG35" s="238">
        <f t="shared" ca="1" si="8"/>
        <v>128185.79999999999</v>
      </c>
      <c r="CH35" s="239">
        <f t="shared" ca="1" si="9"/>
        <v>7956.3600000000006</v>
      </c>
      <c r="CI35" s="240">
        <f t="shared" ca="1" si="10"/>
        <v>116693.27999999998</v>
      </c>
      <c r="CJ35" s="241">
        <f t="shared" ca="1" si="11"/>
        <v>5304.24</v>
      </c>
      <c r="CK35" s="241">
        <f t="shared" ca="1" si="12"/>
        <v>128185.79999999999</v>
      </c>
      <c r="CL35" s="242">
        <f t="shared" ca="1" si="13"/>
        <v>7956.3600000000006</v>
      </c>
      <c r="CM35" s="243">
        <f t="shared" ref="CM35" ca="1" si="78">IF($E35&gt;0,IF($G35&gt;$C$44," ",IF(CELL("type",R35:R35)="v",R35,IF(CELL("type",R35:R35)="L",R$44,""))),"")</f>
        <v>132</v>
      </c>
      <c r="CN35" s="244">
        <f t="shared" ref="CN35" ca="1" si="79">IF($E35&gt;0,IF($G35&gt;$C$44," ",IF(CELL("type",S35:S35)="v",S35,IF(CELL("type",S35:S35)="L",S$44,""))),"")</f>
        <v>6</v>
      </c>
      <c r="CO35" s="244">
        <f t="shared" ref="CO35" ca="1" si="80">IF($E35&gt;0,IF($G35&gt;$C$44," ",IF(CELL("type",T35:T35)="v",T35,IF(CELL("type",T35:T35)="L",T$44,""))),"")</f>
        <v>145</v>
      </c>
      <c r="CP35" s="244">
        <f t="shared" ref="CP35" ca="1" si="81">IF($E35&gt;0,IF($G35&gt;$C$44," ",IF(CELL("type",U35:U35)="v",U35,IF(CELL("type",U35:U35)="L",U$44,""))),"")</f>
        <v>9</v>
      </c>
      <c r="CQ35" s="1627">
        <f t="shared" ref="CQ35:CQ40" ca="1" si="82">IF($E35&gt;0,IF(SUM($AM35:$AP35)&gt;0,IF(CELL("type",AM35:AM35)="V",AM35,IF(CELL("type",AM35:AM35)="L",CQ$8,"")),""),"")</f>
        <v>8.2500000000000004E-2</v>
      </c>
      <c r="CR35" s="1628">
        <f t="shared" ref="CR35:CR40" ca="1" si="83">IF($E35&gt;0,IF(SUM($AM35:$AP35)&gt;0,IF(CELL("type",AN35:AN35)="V",AN35,IF(CELL("type",AN35:AN35)="L",CR$8,"")),""),"")</f>
        <v>6.0499999999999998E-2</v>
      </c>
      <c r="CS35" s="1629">
        <f t="shared" ref="CS35:CS40" ca="1" si="84">IF($E35&gt;0,IF(SUM($AM35:$AP35)&gt;0,IF(CELL("type",AO35:AO35)="V",AO35,IF(CELL("type",AO35:AO35)="L",CS$8,"")),""),"")</f>
        <v>14.425883999999998</v>
      </c>
      <c r="CT35" s="1629">
        <f t="shared" ref="CT35:CT40" ca="1" si="85">IF($E35&gt;0,IF(SUM($AM35:$AP35)&gt;0,IF(CELL("type",AP35:AP35)="V",AP35,IF(CELL("type",AP35:AP35)="L",CT$8,"")),""),"")</f>
        <v>34.245000000000005</v>
      </c>
      <c r="CU35" s="248">
        <f t="shared" ca="1" si="66"/>
        <v>1.07</v>
      </c>
      <c r="CV35" s="246">
        <f t="shared" ca="1" si="67"/>
        <v>3.37</v>
      </c>
      <c r="CW35" s="247">
        <f t="shared" ca="1" si="68"/>
        <v>12.142999999999999</v>
      </c>
      <c r="CX35" s="247">
        <f t="shared" ca="1" si="69"/>
        <v>12.1</v>
      </c>
      <c r="CY35" s="249">
        <f t="shared" ca="1" si="33"/>
        <v>34.4</v>
      </c>
      <c r="CZ35" s="249">
        <f t="shared" ca="1" si="34"/>
        <v>16.5</v>
      </c>
      <c r="DA35" s="250">
        <f t="shared" ca="1" si="35"/>
        <v>30410.975999999995</v>
      </c>
      <c r="DB35" s="250">
        <f t="shared" ca="1" si="36"/>
        <v>14586.659999999998</v>
      </c>
      <c r="DC35" s="251">
        <f t="shared" si="20"/>
        <v>42394</v>
      </c>
      <c r="DD35" s="1410"/>
      <c r="DE35" s="484"/>
      <c r="DF35" s="439">
        <f t="shared" si="70"/>
        <v>42397</v>
      </c>
      <c r="DG35" s="519">
        <f t="shared" si="71"/>
        <v>42397</v>
      </c>
      <c r="DH35" s="491">
        <f t="shared" ca="1" si="71"/>
        <v>98</v>
      </c>
      <c r="DI35" s="491">
        <f t="shared" si="72"/>
        <v>107</v>
      </c>
      <c r="DJ35" s="491">
        <f t="shared" si="73"/>
        <v>109</v>
      </c>
      <c r="DK35" s="491">
        <f t="shared" si="73"/>
        <v>9</v>
      </c>
      <c r="DL35" s="491">
        <f t="shared" si="74"/>
        <v>131</v>
      </c>
      <c r="DM35" s="491">
        <f t="shared" si="74"/>
        <v>8</v>
      </c>
      <c r="DN35" s="491">
        <f t="shared" si="75"/>
        <v>20</v>
      </c>
      <c r="DO35" s="520">
        <f t="shared" ca="1" si="76"/>
        <v>97269.42</v>
      </c>
      <c r="DP35" s="520">
        <f t="shared" ca="1" si="76"/>
        <v>8031.42</v>
      </c>
      <c r="DQ35" s="520">
        <f t="shared" ca="1" si="77"/>
        <v>116901.78</v>
      </c>
      <c r="DR35" s="520">
        <f t="shared" ca="1" si="77"/>
        <v>7139.04</v>
      </c>
      <c r="DS35" s="417">
        <f t="shared" si="37"/>
        <v>2</v>
      </c>
      <c r="DT35" s="439">
        <f t="shared" si="38"/>
        <v>42394</v>
      </c>
      <c r="DU35" s="495">
        <f t="shared" si="61"/>
        <v>42394</v>
      </c>
      <c r="DV35" s="403" t="str">
        <f t="shared" si="22"/>
        <v/>
      </c>
      <c r="DW35" s="403" t="str">
        <f t="shared" si="22"/>
        <v/>
      </c>
      <c r="DX35" s="403" t="str">
        <f t="shared" si="22"/>
        <v/>
      </c>
      <c r="DY35" s="403" t="str">
        <f t="shared" si="39"/>
        <v/>
      </c>
      <c r="DZ35" s="403" t="str">
        <f t="shared" si="40"/>
        <v/>
      </c>
      <c r="EA35" s="403" t="str">
        <f t="shared" si="23"/>
        <v/>
      </c>
      <c r="EB35" s="403" t="str">
        <f t="shared" si="24"/>
        <v/>
      </c>
      <c r="EC35" s="403" t="str">
        <f t="shared" si="25"/>
        <v/>
      </c>
      <c r="ED35" s="403" t="str">
        <f t="shared" si="26"/>
        <v/>
      </c>
      <c r="EE35" s="403" t="str">
        <f t="shared" si="27"/>
        <v/>
      </c>
      <c r="EF35" s="403" t="str">
        <f t="shared" si="28"/>
        <v/>
      </c>
      <c r="EG35" s="492"/>
      <c r="EH35" s="398"/>
      <c r="EI35" s="468" t="s">
        <v>942</v>
      </c>
      <c r="EJ35" s="469"/>
      <c r="EK35" s="470"/>
      <c r="EL35" s="471" t="str">
        <f>I9</f>
        <v>Effluent</v>
      </c>
      <c r="EM35" s="421">
        <f>D11</f>
        <v>42370</v>
      </c>
      <c r="EN35" s="466"/>
      <c r="EO35" s="467"/>
      <c r="EP35" s="467"/>
      <c r="EQ35" s="467"/>
      <c r="ER35" s="467"/>
      <c r="ES35" s="467"/>
      <c r="ET35" s="467"/>
      <c r="EU35" s="467"/>
      <c r="EV35" s="487"/>
      <c r="EW35" s="189"/>
      <c r="EX35" s="442">
        <f t="shared" si="29"/>
        <v>0</v>
      </c>
      <c r="EY35" s="493"/>
      <c r="EZ35" s="487"/>
      <c r="FA35" s="487"/>
      <c r="FB35" s="487"/>
      <c r="FC35" s="487"/>
      <c r="FD35" s="487"/>
      <c r="FE35" s="487"/>
      <c r="FF35" s="487"/>
      <c r="FG35" s="487"/>
      <c r="FH35" s="487"/>
      <c r="FI35" s="487"/>
      <c r="FJ35" s="487"/>
      <c r="FK35" s="487"/>
      <c r="FL35" s="487"/>
      <c r="FM35" s="487"/>
      <c r="FN35" s="487"/>
      <c r="FO35" s="487"/>
      <c r="FP35" s="487"/>
      <c r="FQ35" s="487"/>
      <c r="FR35" s="487"/>
      <c r="FS35" s="487"/>
      <c r="FT35" s="487"/>
      <c r="FU35" s="487"/>
      <c r="FV35" s="487"/>
      <c r="FW35" s="487"/>
      <c r="FX35" s="487"/>
      <c r="FY35" s="487"/>
      <c r="FZ35" s="487"/>
      <c r="GA35" s="487"/>
      <c r="GB35" s="487"/>
      <c r="GC35" s="487"/>
      <c r="GD35" s="487"/>
      <c r="GE35" s="487"/>
      <c r="GF35" s="487"/>
      <c r="GG35" s="487"/>
      <c r="GH35" s="487"/>
      <c r="GI35" s="487"/>
      <c r="GJ35" s="487"/>
      <c r="GK35" s="487"/>
      <c r="GL35" s="487"/>
      <c r="GM35" s="487"/>
      <c r="GN35" s="487"/>
      <c r="GO35" s="487"/>
      <c r="GP35" s="487"/>
      <c r="GQ35" s="487"/>
      <c r="GR35" s="487"/>
      <c r="GS35" s="487"/>
      <c r="GT35" s="487"/>
      <c r="GU35" s="487"/>
      <c r="GV35" s="487"/>
      <c r="GW35" s="487"/>
      <c r="GX35" s="487"/>
      <c r="GY35" s="487"/>
      <c r="GZ35" s="487"/>
      <c r="HA35" s="487"/>
      <c r="HB35" s="487"/>
      <c r="HC35" s="487"/>
      <c r="HD35" s="487"/>
      <c r="HE35" s="487"/>
      <c r="HF35" s="487"/>
      <c r="HG35" s="487"/>
      <c r="HH35" s="487"/>
      <c r="HI35" s="487"/>
      <c r="HJ35" s="487"/>
      <c r="HK35" s="487"/>
      <c r="HL35" s="487"/>
      <c r="HM35" s="487"/>
      <c r="HN35" s="487"/>
      <c r="HO35" s="487"/>
      <c r="HP35" s="487"/>
      <c r="HQ35" s="487"/>
      <c r="HR35" s="487"/>
      <c r="HS35" s="487"/>
      <c r="HT35" s="487"/>
      <c r="HU35" s="487"/>
      <c r="HV35" s="487"/>
      <c r="HW35" s="487"/>
      <c r="HX35" s="487"/>
      <c r="HY35" s="487"/>
      <c r="HZ35" s="487"/>
      <c r="IA35" s="487"/>
      <c r="IB35" s="487"/>
      <c r="IC35" s="487"/>
      <c r="ID35" s="487"/>
      <c r="IE35" s="487"/>
      <c r="IF35" s="487"/>
      <c r="IG35" s="487"/>
      <c r="IH35" s="487"/>
      <c r="II35" s="487"/>
      <c r="IJ35" s="487"/>
      <c r="IK35" s="487"/>
      <c r="IL35" s="487"/>
      <c r="IM35" s="487"/>
      <c r="IN35" s="487"/>
      <c r="IO35" s="487"/>
      <c r="IP35" s="487"/>
      <c r="IQ35" s="487"/>
      <c r="IR35" s="487"/>
      <c r="IS35" s="487"/>
      <c r="IT35" s="487"/>
      <c r="IU35" s="487"/>
      <c r="IV35" s="487"/>
      <c r="IW35" s="487"/>
      <c r="IX35" s="487"/>
    </row>
    <row r="36" spans="1:258" s="21" customFormat="1" ht="16.5" customHeight="1" thickBot="1">
      <c r="A36" s="487"/>
      <c r="B36" s="487"/>
      <c r="C36" s="1251">
        <f t="shared" si="30"/>
        <v>42395</v>
      </c>
      <c r="D36" s="443">
        <f t="shared" si="31"/>
        <v>42395</v>
      </c>
      <c r="E36" s="424">
        <f ca="1">IF(D36&lt;TODAY(),IF(AT_!CG36="","",+AT_!CG36),"")</f>
        <v>98</v>
      </c>
      <c r="F36" s="424">
        <f>IF(AT_!CH36="","",+AT_!CH36)</f>
        <v>213</v>
      </c>
      <c r="G36" s="424">
        <f>IF(AT_!CF36="","",+AT_!CF36)</f>
        <v>161</v>
      </c>
      <c r="H36" s="424">
        <f>IF(AT_!CI36="","",+AT_!CI36)</f>
        <v>76</v>
      </c>
      <c r="I36" s="424">
        <f>IF(AT_!BS36="","",+AT_!BS36)</f>
        <v>17</v>
      </c>
      <c r="J36" s="425">
        <f>IF(AT_!BU36="","",+AT_!BU36)</f>
        <v>6.7</v>
      </c>
      <c r="K36" s="425">
        <f>IF(AT_!BT36="","",+AT_!BT36)</f>
        <v>7.1</v>
      </c>
      <c r="L36" s="425">
        <f>IF(AT_!BV36="","",+AT_!BV36)</f>
        <v>7</v>
      </c>
      <c r="M36" s="425">
        <f>IF(AT_!BX36="","",+AT_!BX36)</f>
        <v>6.4</v>
      </c>
      <c r="N36" s="425">
        <f>IF(AT_!BW36="","",+AT_!BW36)</f>
        <v>6.8</v>
      </c>
      <c r="O36" s="425">
        <f>IF(AT_!BY36="","",+AT_!BY36)</f>
        <v>6.6</v>
      </c>
      <c r="P36" s="425"/>
      <c r="Q36" s="425"/>
      <c r="R36" s="424">
        <f>IF(AT_!AC36="","",+AT_!AC36)</f>
        <v>169</v>
      </c>
      <c r="S36" s="424">
        <f>IF(AT_!$AF36="","",AT_!$AF36)</f>
        <v>10</v>
      </c>
      <c r="T36" s="424">
        <f>IF(AT_!G36="","",+AT_!G36)</f>
        <v>215</v>
      </c>
      <c r="U36" s="2660">
        <f>IF(AT_!$K36="","",AT_!$K36)</f>
        <v>17</v>
      </c>
      <c r="V36" s="444" t="str">
        <f t="shared" si="41"/>
        <v/>
      </c>
      <c r="W36" s="427">
        <f t="shared" si="3"/>
        <v>42395</v>
      </c>
      <c r="X36" s="488">
        <f t="shared" si="3"/>
        <v>42395</v>
      </c>
      <c r="Y36" s="429" t="str">
        <f>+AT_!FJ36</f>
        <v/>
      </c>
      <c r="Z36" s="429" t="str">
        <f>AT_!FX36</f>
        <v/>
      </c>
      <c r="AA36" s="429" t="str">
        <f>+AT_!FI36</f>
        <v/>
      </c>
      <c r="AB36" s="429" t="str">
        <f>AT_!FW36</f>
        <v/>
      </c>
      <c r="AC36" s="429">
        <f>IF(AT_!DW36="","",IF(+AT_!DW36&gt;1,ROUND(+AT_!DW36,1),+AT_!DW36))</f>
        <v>0.41</v>
      </c>
      <c r="AD36" s="430" t="str">
        <f>IF(AT_!CA36="","",+AT_!CA36)</f>
        <v/>
      </c>
      <c r="AE36" s="431">
        <f>IF(AT_!CB36="","",AT_!CB36)</f>
        <v>72</v>
      </c>
      <c r="AF36" s="2609"/>
      <c r="AG36" s="2610"/>
      <c r="AH36" s="2064"/>
      <c r="AI36" s="2681" t="str">
        <f>IF(AT_!$EN36="","",AT_!$EN36)</f>
        <v>Snow Melt</v>
      </c>
      <c r="AJ36" s="489"/>
      <c r="AK36" s="427">
        <f t="shared" si="4"/>
        <v>42395</v>
      </c>
      <c r="AL36" s="488">
        <f t="shared" si="5"/>
        <v>42395</v>
      </c>
      <c r="AM36" s="429">
        <f>AT_!FE36</f>
        <v>0.06</v>
      </c>
      <c r="AN36" s="429">
        <f>AT_!FF36</f>
        <v>0.29699999999999999</v>
      </c>
      <c r="AO36" s="425">
        <f>IF(AT_!FG36= "","",(AT_!FG36*1.2143))</f>
        <v>16.295906000000002</v>
      </c>
      <c r="AP36" s="425">
        <f>AT_!FH36</f>
        <v>33.97</v>
      </c>
      <c r="AQ36" s="429">
        <f>AT_!FS36</f>
        <v>0.96</v>
      </c>
      <c r="AR36" s="429">
        <f>AT_!FT36</f>
        <v>2.4</v>
      </c>
      <c r="AS36" s="425">
        <f>IF(AT_!FU36= "","",(AT_!FU36*1.2143))</f>
        <v>12.264429999999999</v>
      </c>
      <c r="AT36" s="425">
        <f>AT_!FV36</f>
        <v>12.9</v>
      </c>
      <c r="AU36" s="425">
        <f>IF(AT_!BO36="","",AT_!BO36)</f>
        <v>4.59</v>
      </c>
      <c r="AV36" s="424">
        <f>IF(AT_!BR36="","",AT_!BR36)</f>
        <v>1540</v>
      </c>
      <c r="AW36" s="490"/>
      <c r="AX36" s="432">
        <f>IF((SUM(AT_!O36,AT_!P36))=0,"",ROUND(IF(ISNUMBER(AT_!O36),AT_!O36,AT_!$O$42)*0.6+IF(ISNUMBER(AT_!P36),AT_!P36,AT_!$P$42)*0.4,-1))</f>
        <v>3880</v>
      </c>
      <c r="AY36" s="432">
        <f>IF((SUM(AT_!M36,AT_!N36))=0,"",ROUND((IF(ISNUMBER(AT_!M36),AT_!M36,AT_!$M$42)*0.6)+(IF(ISNUMBER(AT_!N36),AT_!N36,AT_!$N$42)*0.4),-1))</f>
        <v>2880</v>
      </c>
      <c r="AZ36" s="424">
        <f>PT_!AA36</f>
        <v>190</v>
      </c>
      <c r="BA36" s="433">
        <f>AT_!CK36</f>
        <v>62</v>
      </c>
      <c r="BB36" s="2635">
        <f ca="1">IF(E36="","",ROUND((PT_!BM36*IF(ISNUMBER(AT_!Q36),AT_!Q36,AT_!$Q$42)+IF(ISNUMBER(AT_!S36),AT_!S36,AT_!$S$42)*PT_!BN36)*8.34,0))</f>
        <v>85253</v>
      </c>
      <c r="BC36" s="489"/>
      <c r="BD36" s="501" t="s">
        <v>1040</v>
      </c>
      <c r="BE36" s="502"/>
      <c r="BF36" s="501" t="s">
        <v>999</v>
      </c>
      <c r="BG36" s="501" t="s">
        <v>999</v>
      </c>
      <c r="BH36" s="489"/>
      <c r="BI36" s="490"/>
      <c r="BJ36" s="499"/>
      <c r="BK36" s="499"/>
      <c r="BL36" s="499"/>
      <c r="BM36" s="490"/>
      <c r="BN36" s="499"/>
      <c r="BO36" s="499"/>
      <c r="BP36" s="505"/>
      <c r="BQ36" s="2695"/>
      <c r="BR36" s="489"/>
      <c r="BS36" s="487"/>
      <c r="BT36" s="487"/>
      <c r="BU36" s="487"/>
      <c r="BV36" s="487"/>
      <c r="BW36" s="487"/>
      <c r="BX36" s="487"/>
      <c r="BY36" s="487"/>
      <c r="BZ36" s="487"/>
      <c r="CA36" s="487"/>
      <c r="CB36" s="253"/>
      <c r="CC36" s="253"/>
      <c r="CD36" s="235">
        <f t="shared" si="32"/>
        <v>42395</v>
      </c>
      <c r="CE36" s="236">
        <f t="shared" ca="1" si="6"/>
        <v>138127.08000000002</v>
      </c>
      <c r="CF36" s="237">
        <f t="shared" ca="1" si="7"/>
        <v>8173.2000000000007</v>
      </c>
      <c r="CG36" s="238">
        <f t="shared" ca="1" si="8"/>
        <v>175723.8</v>
      </c>
      <c r="CH36" s="239">
        <f t="shared" ca="1" si="9"/>
        <v>13894.44</v>
      </c>
      <c r="CI36" s="240">
        <f t="shared" ca="1" si="10"/>
        <v>226923.06</v>
      </c>
      <c r="CJ36" s="241">
        <f t="shared" ca="1" si="11"/>
        <v>13427.400000000001</v>
      </c>
      <c r="CK36" s="241">
        <f t="shared" ca="1" si="12"/>
        <v>288689.09999999998</v>
      </c>
      <c r="CL36" s="242">
        <f t="shared" ca="1" si="13"/>
        <v>22826.58</v>
      </c>
      <c r="CM36" s="243" t="str">
        <f t="shared" ca="1" si="42"/>
        <v xml:space="preserve"> </v>
      </c>
      <c r="CN36" s="244" t="str">
        <f t="shared" ref="CN36:CN41" ca="1" si="86">IF($E36&gt;0,IF($G36&gt;$C$44," ",IF(CELL("type",S36:S36)="v",S36,IF(CELL("type",S36:S36)="L",S$44,""))),"")</f>
        <v xml:space="preserve"> </v>
      </c>
      <c r="CO36" s="244" t="str">
        <f t="shared" ref="CO36:CO41" ca="1" si="87">IF($E36&gt;0,IF($G36&gt;$C$44," ",IF(CELL("type",T36:T36)="v",T36,IF(CELL("type",T36:T36)="L",T$44,""))),"")</f>
        <v xml:space="preserve"> </v>
      </c>
      <c r="CP36" s="244" t="str">
        <f t="shared" ref="CP36:CP41" ca="1" si="88">IF($E36&gt;0,IF($G36&gt;$C$44," ",IF(CELL("type",U36:U36)="v",U36,IF(CELL("type",U36:U36)="L",U$44,""))),"")</f>
        <v xml:space="preserve"> </v>
      </c>
      <c r="CQ36" s="1627">
        <f t="shared" ca="1" si="82"/>
        <v>0.06</v>
      </c>
      <c r="CR36" s="1628">
        <f ca="1">IF($E36&gt;0,IF(SUM($AM36:$AP36)&gt;0,IF(CELL("type",AN36:AN36)="V",AN36,IF(CELL("type",AN36:AN36)="L",CR$8,"")),""),"")</f>
        <v>0.29699999999999999</v>
      </c>
      <c r="CS36" s="1629">
        <f ca="1">IF($E36&gt;0,IF(SUM($AM36:$AP36)&gt;0,IF(CELL("type",AO36:AO36)="V",AO36,IF(CELL("type",AO36:AO36)="L",CS$8,"")),""),"")</f>
        <v>16.295906000000002</v>
      </c>
      <c r="CT36" s="1629">
        <f ca="1">IF($E36&gt;0,IF(SUM($AM36:$AP36)&gt;0,IF(CELL("type",AP36:AP36)="V",AP36,IF(CELL("type",AP36:AP36)="L",CT$8,"")),""),"")</f>
        <v>33.97</v>
      </c>
      <c r="CU36" s="248">
        <f t="shared" ca="1" si="66"/>
        <v>0.96</v>
      </c>
      <c r="CV36" s="246">
        <f t="shared" ca="1" si="67"/>
        <v>2.4</v>
      </c>
      <c r="CW36" s="247">
        <f t="shared" ca="1" si="68"/>
        <v>12.264429999999999</v>
      </c>
      <c r="CX36" s="247">
        <f ca="1">IF($E36&gt;0,IF(SUM($AQ36:$AT36)&gt;0,IF(CELL("type",AT36:AT36)="V",AT36,IF(CELL("type",AT36:AT36)="L",CX$8,"")),""),"")</f>
        <v>12.9</v>
      </c>
      <c r="CY36" s="249">
        <f t="shared" ca="1" si="33"/>
        <v>34.299999999999997</v>
      </c>
      <c r="CZ36" s="249">
        <f t="shared" ca="1" si="34"/>
        <v>16.3</v>
      </c>
      <c r="DA36" s="250">
        <f t="shared" ca="1" si="35"/>
        <v>46055.981999999996</v>
      </c>
      <c r="DB36" s="250">
        <f t="shared" ca="1" si="36"/>
        <v>21886.662</v>
      </c>
      <c r="DC36" s="251">
        <f t="shared" si="20"/>
        <v>42395</v>
      </c>
      <c r="DD36" s="1410"/>
      <c r="DE36" s="484"/>
      <c r="DF36" s="439">
        <f t="shared" si="70"/>
        <v>42398</v>
      </c>
      <c r="DG36" s="519">
        <f t="shared" si="71"/>
        <v>42398</v>
      </c>
      <c r="DH36" s="491">
        <f t="shared" ca="1" si="71"/>
        <v>101</v>
      </c>
      <c r="DI36" s="491">
        <f t="shared" si="72"/>
        <v>101</v>
      </c>
      <c r="DJ36" s="491">
        <f t="shared" si="73"/>
        <v>158</v>
      </c>
      <c r="DK36" s="491">
        <f t="shared" si="73"/>
        <v>8</v>
      </c>
      <c r="DL36" s="491">
        <f t="shared" si="74"/>
        <v>123</v>
      </c>
      <c r="DM36" s="491">
        <f t="shared" si="74"/>
        <v>5</v>
      </c>
      <c r="DN36" s="491">
        <f t="shared" si="75"/>
        <v>372</v>
      </c>
      <c r="DO36" s="520">
        <f t="shared" ca="1" si="76"/>
        <v>133089.72</v>
      </c>
      <c r="DP36" s="520">
        <f t="shared" ca="1" si="76"/>
        <v>6738.72</v>
      </c>
      <c r="DQ36" s="520">
        <f t="shared" ca="1" si="77"/>
        <v>103607.81999999999</v>
      </c>
      <c r="DR36" s="520">
        <f t="shared" ca="1" si="77"/>
        <v>4211.7000000000007</v>
      </c>
      <c r="DS36" s="417">
        <f t="shared" si="37"/>
        <v>3</v>
      </c>
      <c r="DT36" s="439">
        <f t="shared" si="38"/>
        <v>42395</v>
      </c>
      <c r="DU36" s="495">
        <f t="shared" si="61"/>
        <v>42395</v>
      </c>
      <c r="DV36" s="403" t="str">
        <f t="shared" si="22"/>
        <v/>
      </c>
      <c r="DW36" s="403" t="str">
        <f t="shared" si="22"/>
        <v/>
      </c>
      <c r="DX36" s="403" t="str">
        <f t="shared" si="22"/>
        <v/>
      </c>
      <c r="DY36" s="403" t="str">
        <f t="shared" si="39"/>
        <v/>
      </c>
      <c r="DZ36" s="403" t="str">
        <f t="shared" si="40"/>
        <v/>
      </c>
      <c r="EA36" s="403" t="str">
        <f t="shared" si="23"/>
        <v/>
      </c>
      <c r="EB36" s="403" t="str">
        <f t="shared" si="24"/>
        <v/>
      </c>
      <c r="EC36" s="403" t="str">
        <f t="shared" si="25"/>
        <v/>
      </c>
      <c r="ED36" s="403" t="str">
        <f t="shared" si="26"/>
        <v/>
      </c>
      <c r="EE36" s="403" t="str">
        <f t="shared" si="27"/>
        <v/>
      </c>
      <c r="EF36" s="403" t="str">
        <f t="shared" si="28"/>
        <v/>
      </c>
      <c r="EG36" s="492"/>
      <c r="EH36" s="398"/>
      <c r="EI36" s="441" t="s">
        <v>199</v>
      </c>
      <c r="EJ36" s="479">
        <f>+ROUND(AVERAGE(EJ30:EU30),-2)</f>
        <v>11500</v>
      </c>
      <c r="EK36" s="480"/>
      <c r="EL36" s="441" t="s">
        <v>199</v>
      </c>
      <c r="EM36" s="1836">
        <f ca="1">DB42</f>
        <v>15028.518580645159</v>
      </c>
      <c r="EN36" s="466"/>
      <c r="EO36" s="467"/>
      <c r="EP36" s="467"/>
      <c r="EQ36" s="467"/>
      <c r="ER36" s="467"/>
      <c r="ES36" s="467"/>
      <c r="ET36" s="467"/>
      <c r="EU36" s="467"/>
      <c r="EV36" s="487"/>
      <c r="EW36" s="189"/>
      <c r="EX36" s="442">
        <f t="shared" si="29"/>
        <v>0</v>
      </c>
      <c r="EY36" s="493"/>
      <c r="EZ36" s="487"/>
      <c r="FA36" s="487"/>
      <c r="FB36" s="487"/>
      <c r="FC36" s="487"/>
      <c r="FD36" s="487"/>
      <c r="FE36" s="487"/>
      <c r="FF36" s="487"/>
      <c r="FG36" s="487"/>
      <c r="FH36" s="487"/>
      <c r="FI36" s="487"/>
      <c r="FJ36" s="487"/>
      <c r="FK36" s="487"/>
      <c r="FL36" s="487"/>
      <c r="FM36" s="487"/>
      <c r="FN36" s="487"/>
      <c r="FO36" s="487"/>
      <c r="FP36" s="487"/>
      <c r="FQ36" s="487"/>
      <c r="FR36" s="487"/>
      <c r="FS36" s="487"/>
      <c r="FT36" s="487"/>
      <c r="FU36" s="487"/>
      <c r="FV36" s="487"/>
      <c r="FW36" s="487"/>
      <c r="FX36" s="487"/>
      <c r="FY36" s="487"/>
      <c r="FZ36" s="487"/>
      <c r="GA36" s="487"/>
      <c r="GB36" s="487"/>
      <c r="GC36" s="487"/>
      <c r="GD36" s="487"/>
      <c r="GE36" s="487"/>
      <c r="GF36" s="487"/>
      <c r="GG36" s="487"/>
      <c r="GH36" s="487"/>
      <c r="GI36" s="487"/>
      <c r="GJ36" s="487"/>
      <c r="GK36" s="487"/>
      <c r="GL36" s="487"/>
      <c r="GM36" s="487"/>
      <c r="GN36" s="487"/>
      <c r="GO36" s="487"/>
      <c r="GP36" s="487"/>
      <c r="GQ36" s="487"/>
      <c r="GR36" s="487"/>
      <c r="GS36" s="487"/>
      <c r="GT36" s="487"/>
      <c r="GU36" s="487"/>
      <c r="GV36" s="487"/>
      <c r="GW36" s="487"/>
      <c r="GX36" s="487"/>
      <c r="GY36" s="487"/>
      <c r="GZ36" s="487"/>
      <c r="HA36" s="487"/>
      <c r="HB36" s="487"/>
      <c r="HC36" s="487"/>
      <c r="HD36" s="487"/>
      <c r="HE36" s="487"/>
      <c r="HF36" s="487"/>
      <c r="HG36" s="487"/>
      <c r="HH36" s="487"/>
      <c r="HI36" s="487"/>
      <c r="HJ36" s="487"/>
      <c r="HK36" s="487"/>
      <c r="HL36" s="487"/>
      <c r="HM36" s="487"/>
      <c r="HN36" s="487"/>
      <c r="HO36" s="487"/>
      <c r="HP36" s="487"/>
      <c r="HQ36" s="487"/>
      <c r="HR36" s="487"/>
      <c r="HS36" s="487"/>
      <c r="HT36" s="487"/>
      <c r="HU36" s="487"/>
      <c r="HV36" s="487"/>
      <c r="HW36" s="487"/>
      <c r="HX36" s="487"/>
      <c r="HY36" s="487"/>
      <c r="HZ36" s="487"/>
      <c r="IA36" s="487"/>
      <c r="IB36" s="487"/>
      <c r="IC36" s="487"/>
      <c r="ID36" s="487"/>
      <c r="IE36" s="487"/>
      <c r="IF36" s="487"/>
      <c r="IG36" s="487"/>
      <c r="IH36" s="487"/>
      <c r="II36" s="487"/>
      <c r="IJ36" s="487"/>
      <c r="IK36" s="487"/>
      <c r="IL36" s="487"/>
      <c r="IM36" s="487"/>
      <c r="IN36" s="487"/>
      <c r="IO36" s="487"/>
      <c r="IP36" s="487"/>
      <c r="IQ36" s="487"/>
      <c r="IR36" s="487"/>
      <c r="IS36" s="487"/>
      <c r="IT36" s="487"/>
      <c r="IU36" s="487"/>
      <c r="IV36" s="487"/>
      <c r="IW36" s="487"/>
      <c r="IX36" s="487"/>
    </row>
    <row r="37" spans="1:258" s="21" customFormat="1" ht="16.5" customHeight="1">
      <c r="A37" s="487"/>
      <c r="B37" s="487"/>
      <c r="C37" s="1251">
        <f t="shared" si="30"/>
        <v>42396</v>
      </c>
      <c r="D37" s="443">
        <f t="shared" si="31"/>
        <v>42396</v>
      </c>
      <c r="E37" s="424">
        <f ca="1">IF(D37&lt;TODAY(),IF(AT_!CG37="","",+AT_!CG37),"")</f>
        <v>95</v>
      </c>
      <c r="F37" s="424">
        <f>IF(AT_!CH37="","",+AT_!CH37)</f>
        <v>195</v>
      </c>
      <c r="G37" s="424">
        <f>IF(AT_!CF37="","",+AT_!CF37)</f>
        <v>140</v>
      </c>
      <c r="H37" s="424">
        <f>IF(AT_!CI37="","",+AT_!CI37)</f>
        <v>58</v>
      </c>
      <c r="I37" s="424">
        <f>IF(AT_!BS37="","",+AT_!BS37)</f>
        <v>13</v>
      </c>
      <c r="J37" s="425">
        <f>IF(AT_!BU37="","",+AT_!BU37)</f>
        <v>6.4</v>
      </c>
      <c r="K37" s="425">
        <f>IF(AT_!BT37="","",+AT_!BT37)</f>
        <v>6.9</v>
      </c>
      <c r="L37" s="425">
        <f>IF(AT_!BV37="","",+AT_!BV37)</f>
        <v>6.7</v>
      </c>
      <c r="M37" s="425">
        <f>IF(AT_!BX37="","",+AT_!BX37)</f>
        <v>6.2</v>
      </c>
      <c r="N37" s="425">
        <f>IF(AT_!BW37="","",+AT_!BW37)</f>
        <v>6.9</v>
      </c>
      <c r="O37" s="425">
        <f>IF(AT_!BY37="","",+AT_!BY37)</f>
        <v>6.5</v>
      </c>
      <c r="P37" s="425"/>
      <c r="Q37" s="425"/>
      <c r="R37" s="424">
        <f>IF(AT_!AC37="","",+AT_!AC37)</f>
        <v>130</v>
      </c>
      <c r="S37" s="424">
        <f>IF(AT_!$AF37="","",AT_!$AF37)</f>
        <v>8</v>
      </c>
      <c r="T37" s="424">
        <f>IF(AT_!G37="","",+AT_!G37)</f>
        <v>131</v>
      </c>
      <c r="U37" s="2660">
        <f>IF(AT_!$K37="","",AT_!$K37)</f>
        <v>13</v>
      </c>
      <c r="V37" s="444" t="str">
        <f t="shared" si="41"/>
        <v/>
      </c>
      <c r="W37" s="427">
        <f t="shared" si="3"/>
        <v>42396</v>
      </c>
      <c r="X37" s="488">
        <f t="shared" si="3"/>
        <v>42396</v>
      </c>
      <c r="Y37" s="429" t="str">
        <f>+AT_!FJ37</f>
        <v/>
      </c>
      <c r="Z37" s="429" t="str">
        <f>AT_!FX37</f>
        <v/>
      </c>
      <c r="AA37" s="429" t="str">
        <f>+AT_!FI37</f>
        <v/>
      </c>
      <c r="AB37" s="429" t="str">
        <f>AT_!FW37</f>
        <v/>
      </c>
      <c r="AC37" s="429">
        <f>IF(AT_!DW37="","",IF(+AT_!DW37&gt;1,ROUND(+AT_!DW37,1),+AT_!DW37))</f>
        <v>0.45</v>
      </c>
      <c r="AD37" s="430" t="str">
        <f>IF(AT_!CA37="","",+AT_!CA37)</f>
        <v/>
      </c>
      <c r="AE37" s="431">
        <f>IF(AT_!CB37="","",AT_!CB37)</f>
        <v>56</v>
      </c>
      <c r="AF37" s="2609"/>
      <c r="AG37" s="2610"/>
      <c r="AH37" s="2064"/>
      <c r="AI37" s="2681" t="str">
        <f>IF(AT_!$EN37="","",AT_!$EN37)</f>
        <v>Snow Melt</v>
      </c>
      <c r="AJ37" s="489"/>
      <c r="AK37" s="427">
        <f t="shared" si="4"/>
        <v>42396</v>
      </c>
      <c r="AL37" s="488">
        <f t="shared" si="5"/>
        <v>42396</v>
      </c>
      <c r="AM37" s="429">
        <f>AT_!FE37</f>
        <v>6.3500000000000001E-2</v>
      </c>
      <c r="AN37" s="429">
        <f>AT_!FF37</f>
        <v>0.42300000000000004</v>
      </c>
      <c r="AO37" s="425">
        <f>IF(AT_!FG37= "","",(AT_!FG37*1.2143))</f>
        <v>14.122308999999998</v>
      </c>
      <c r="AP37" s="425">
        <f>AT_!FH37</f>
        <v>25</v>
      </c>
      <c r="AQ37" s="429">
        <f>AT_!FS37</f>
        <v>0.82</v>
      </c>
      <c r="AR37" s="429">
        <f>AT_!FT37</f>
        <v>2.38</v>
      </c>
      <c r="AS37" s="425">
        <f>IF(AT_!FU37= "","",(AT_!FU37*1.2143))</f>
        <v>9.5929699999999993</v>
      </c>
      <c r="AT37" s="425">
        <f>AT_!FV37</f>
        <v>10.6</v>
      </c>
      <c r="AU37" s="425">
        <f>IF(AT_!BO37="","",AT_!BO37)</f>
        <v>5.86</v>
      </c>
      <c r="AV37" s="424" t="str">
        <f>IF(AT_!BR37="","",AT_!BR37)</f>
        <v/>
      </c>
      <c r="AW37" s="490"/>
      <c r="AX37" s="432">
        <f>IF((SUM(AT_!O37,AT_!P37))=0,"",ROUND(IF(ISNUMBER(AT_!O37),AT_!O37,AT_!$O$42)*0.6+IF(ISNUMBER(AT_!P37),AT_!P37,AT_!$P$42)*0.4,-1))</f>
        <v>4520</v>
      </c>
      <c r="AY37" s="432">
        <f>IF((SUM(AT_!M37,AT_!N37))=0,"",ROUND((IF(ISNUMBER(AT_!M37),AT_!M37,AT_!$M$42)*0.6)+(IF(ISNUMBER(AT_!N37),AT_!N37,AT_!$N$42)*0.4),-1))</f>
        <v>2560</v>
      </c>
      <c r="AZ37" s="424">
        <f>PT_!AA37</f>
        <v>190</v>
      </c>
      <c r="BA37" s="433">
        <f>AT_!CK37</f>
        <v>61</v>
      </c>
      <c r="BB37" s="2635">
        <f ca="1">IF(E37="","",ROUND((PT_!BM37*IF(ISNUMBER(AT_!Q37),AT_!Q37,AT_!$Q$42)+IF(ISNUMBER(AT_!S37),AT_!S37,AT_!$S$42)*PT_!BN37)*8.34,0))</f>
        <v>96561</v>
      </c>
      <c r="BC37" s="489"/>
      <c r="BD37" s="503"/>
      <c r="BE37" s="504"/>
      <c r="BF37" s="504"/>
      <c r="BG37" s="504"/>
      <c r="BH37" s="489"/>
      <c r="BI37" s="490" t="s">
        <v>1075</v>
      </c>
      <c r="BJ37" s="499"/>
      <c r="BK37" s="499"/>
      <c r="BL37" s="499"/>
      <c r="BM37" s="499"/>
      <c r="BN37" s="499"/>
      <c r="BO37" s="499"/>
      <c r="BP37" s="499"/>
      <c r="BQ37" s="2698"/>
      <c r="BR37" s="489"/>
      <c r="BS37" s="487"/>
      <c r="BT37" s="487"/>
      <c r="BU37" s="487"/>
      <c r="BV37" s="487"/>
      <c r="BW37" s="487"/>
      <c r="BX37" s="487"/>
      <c r="BY37" s="487"/>
      <c r="BZ37" s="487"/>
      <c r="CA37" s="487"/>
      <c r="CB37" s="253"/>
      <c r="CC37" s="253"/>
      <c r="CD37" s="235">
        <f t="shared" si="32"/>
        <v>42396</v>
      </c>
      <c r="CE37" s="236">
        <f t="shared" ca="1" si="6"/>
        <v>102999</v>
      </c>
      <c r="CF37" s="237">
        <f t="shared" ca="1" si="7"/>
        <v>6338.4</v>
      </c>
      <c r="CG37" s="238">
        <f t="shared" ca="1" si="8"/>
        <v>103791.3</v>
      </c>
      <c r="CH37" s="239">
        <f t="shared" ca="1" si="9"/>
        <v>10299.9</v>
      </c>
      <c r="CI37" s="240">
        <f t="shared" ca="1" si="10"/>
        <v>151788</v>
      </c>
      <c r="CJ37" s="238">
        <f t="shared" ca="1" si="11"/>
        <v>9340.7999999999993</v>
      </c>
      <c r="CK37" s="238">
        <f t="shared" ca="1" si="12"/>
        <v>152955.6</v>
      </c>
      <c r="CL37" s="242">
        <f t="shared" ca="1" si="13"/>
        <v>15178.800000000001</v>
      </c>
      <c r="CM37" s="243">
        <f t="shared" ref="CM37:CM38" ca="1" si="89">IF($E37&gt;0,IF($G37&gt;$C$44," ",IF(CELL("type",R37:R37)="v",R37,IF(CELL("type",R37:R37)="L",R$44,""))),"")</f>
        <v>130</v>
      </c>
      <c r="CN37" s="244">
        <f t="shared" ref="CN37:CN38" ca="1" si="90">IF($E37&gt;0,IF($G37&gt;$C$44," ",IF(CELL("type",S37:S37)="v",S37,IF(CELL("type",S37:S37)="L",S$44,""))),"")</f>
        <v>8</v>
      </c>
      <c r="CO37" s="244">
        <f t="shared" ref="CO37:CO38" ca="1" si="91">IF($E37&gt;0,IF($G37&gt;$C$44," ",IF(CELL("type",T37:T37)="v",T37,IF(CELL("type",T37:T37)="L",T$44,""))),"")</f>
        <v>131</v>
      </c>
      <c r="CP37" s="244">
        <f t="shared" ref="CP37:CP38" ca="1" si="92">IF($E37&gt;0,IF($G37&gt;$C$44," ",IF(CELL("type",U37:U37)="v",U37,IF(CELL("type",U37:U37)="L",U$44,""))),"")</f>
        <v>13</v>
      </c>
      <c r="CQ37" s="1627">
        <f t="shared" ca="1" si="82"/>
        <v>6.3500000000000001E-2</v>
      </c>
      <c r="CR37" s="1628">
        <f t="shared" ca="1" si="83"/>
        <v>0.42300000000000004</v>
      </c>
      <c r="CS37" s="1629">
        <f t="shared" ca="1" si="84"/>
        <v>14.122308999999998</v>
      </c>
      <c r="CT37" s="1629">
        <f t="shared" ca="1" si="85"/>
        <v>25</v>
      </c>
      <c r="CU37" s="248">
        <f t="shared" ca="1" si="66"/>
        <v>0.82</v>
      </c>
      <c r="CV37" s="246">
        <f t="shared" ca="1" si="67"/>
        <v>2.38</v>
      </c>
      <c r="CW37" s="247">
        <f t="shared" ca="1" si="68"/>
        <v>9.5929699999999993</v>
      </c>
      <c r="CX37" s="247">
        <f t="shared" ca="1" si="69"/>
        <v>10.6</v>
      </c>
      <c r="CY37" s="249">
        <f t="shared" ca="1" si="33"/>
        <v>25.5</v>
      </c>
      <c r="CZ37" s="249">
        <f t="shared" ca="1" si="34"/>
        <v>13.8</v>
      </c>
      <c r="DA37" s="250">
        <f t="shared" ca="1" si="35"/>
        <v>29773.8</v>
      </c>
      <c r="DB37" s="250">
        <f t="shared" ca="1" si="36"/>
        <v>16112.88</v>
      </c>
      <c r="DC37" s="251">
        <f t="shared" si="20"/>
        <v>42396</v>
      </c>
      <c r="DD37" s="1410"/>
      <c r="DE37" s="484"/>
      <c r="DF37" s="439">
        <f t="shared" si="70"/>
        <v>42399</v>
      </c>
      <c r="DG37" s="519">
        <f t="shared" si="71"/>
        <v>42399</v>
      </c>
      <c r="DH37" s="491">
        <f t="shared" ca="1" si="71"/>
        <v>100</v>
      </c>
      <c r="DI37" s="491">
        <f t="shared" si="72"/>
        <v>100</v>
      </c>
      <c r="DJ37" s="491">
        <f t="shared" si="73"/>
        <v>136</v>
      </c>
      <c r="DK37" s="491">
        <f t="shared" si="73"/>
        <v>8</v>
      </c>
      <c r="DL37" s="491">
        <f t="shared" si="74"/>
        <v>116</v>
      </c>
      <c r="DM37" s="491">
        <f t="shared" si="74"/>
        <v>4</v>
      </c>
      <c r="DN37" s="491">
        <f t="shared" si="75"/>
        <v>4000</v>
      </c>
      <c r="DO37" s="520">
        <f t="shared" ca="1" si="76"/>
        <v>113424</v>
      </c>
      <c r="DP37" s="520">
        <f t="shared" ca="1" si="76"/>
        <v>6672</v>
      </c>
      <c r="DQ37" s="520">
        <f t="shared" ca="1" si="77"/>
        <v>96744</v>
      </c>
      <c r="DR37" s="520">
        <f t="shared" ca="1" si="77"/>
        <v>3336</v>
      </c>
      <c r="DS37" s="417">
        <f t="shared" si="37"/>
        <v>4</v>
      </c>
      <c r="DT37" s="439">
        <f t="shared" si="38"/>
        <v>42396</v>
      </c>
      <c r="DU37" s="495">
        <f t="shared" si="61"/>
        <v>42396</v>
      </c>
      <c r="DV37" s="403" t="str">
        <f t="shared" si="22"/>
        <v/>
      </c>
      <c r="DW37" s="403" t="str">
        <f t="shared" si="22"/>
        <v/>
      </c>
      <c r="DX37" s="403" t="str">
        <f t="shared" si="22"/>
        <v/>
      </c>
      <c r="DY37" s="403" t="str">
        <f t="shared" si="39"/>
        <v/>
      </c>
      <c r="DZ37" s="403" t="str">
        <f t="shared" si="40"/>
        <v/>
      </c>
      <c r="EA37" s="403" t="str">
        <f t="shared" si="23"/>
        <v/>
      </c>
      <c r="EB37" s="403" t="str">
        <f t="shared" si="24"/>
        <v/>
      </c>
      <c r="EC37" s="403" t="str">
        <f t="shared" si="25"/>
        <v/>
      </c>
      <c r="ED37" s="403" t="str">
        <f t="shared" si="26"/>
        <v/>
      </c>
      <c r="EE37" s="403" t="str">
        <f t="shared" si="27"/>
        <v/>
      </c>
      <c r="EF37" s="403" t="str">
        <f t="shared" si="28"/>
        <v/>
      </c>
      <c r="EG37" s="492"/>
      <c r="EH37" s="367"/>
      <c r="EI37" s="521"/>
      <c r="EJ37" s="521"/>
      <c r="EK37" s="367"/>
      <c r="EL37" s="521"/>
      <c r="EM37" s="521"/>
      <c r="EN37" s="367"/>
      <c r="EO37" s="367"/>
      <c r="EP37" s="367"/>
      <c r="EQ37" s="367"/>
      <c r="ER37" s="367"/>
      <c r="ES37" s="367"/>
      <c r="ET37" s="367"/>
      <c r="EU37" s="367"/>
      <c r="EV37" s="487"/>
      <c r="EW37" s="189"/>
      <c r="EX37" s="442">
        <f t="shared" si="29"/>
        <v>0</v>
      </c>
      <c r="EY37" s="493"/>
      <c r="EZ37" s="487"/>
      <c r="FA37" s="487"/>
      <c r="FB37" s="487"/>
      <c r="FC37" s="487"/>
      <c r="FD37" s="487"/>
      <c r="FE37" s="487"/>
      <c r="FF37" s="487"/>
      <c r="FG37" s="487"/>
      <c r="FH37" s="487"/>
      <c r="FI37" s="487"/>
      <c r="FJ37" s="487"/>
      <c r="FK37" s="487"/>
      <c r="FL37" s="487"/>
      <c r="FM37" s="487"/>
      <c r="FN37" s="487"/>
      <c r="FO37" s="487"/>
      <c r="FP37" s="487"/>
      <c r="FQ37" s="487"/>
      <c r="FR37" s="487"/>
      <c r="FS37" s="487"/>
      <c r="FT37" s="487"/>
      <c r="FU37" s="487"/>
      <c r="FV37" s="487"/>
      <c r="FW37" s="487"/>
      <c r="FX37" s="487"/>
      <c r="FY37" s="487"/>
      <c r="FZ37" s="487"/>
      <c r="GA37" s="487"/>
      <c r="GB37" s="487"/>
      <c r="GC37" s="487"/>
      <c r="GD37" s="487"/>
      <c r="GE37" s="487"/>
      <c r="GF37" s="487"/>
      <c r="GG37" s="487"/>
      <c r="GH37" s="487"/>
      <c r="GI37" s="487"/>
      <c r="GJ37" s="487"/>
      <c r="GK37" s="487"/>
      <c r="GL37" s="487"/>
      <c r="GM37" s="487"/>
      <c r="GN37" s="487"/>
      <c r="GO37" s="487"/>
      <c r="GP37" s="487"/>
      <c r="GQ37" s="487"/>
      <c r="GR37" s="487"/>
      <c r="GS37" s="487"/>
      <c r="GT37" s="487"/>
      <c r="GU37" s="487"/>
      <c r="GV37" s="487"/>
      <c r="GW37" s="487"/>
      <c r="GX37" s="487"/>
      <c r="GY37" s="487"/>
      <c r="GZ37" s="487"/>
      <c r="HA37" s="487"/>
      <c r="HB37" s="487"/>
      <c r="HC37" s="487"/>
      <c r="HD37" s="487"/>
      <c r="HE37" s="487"/>
      <c r="HF37" s="487"/>
      <c r="HG37" s="487"/>
      <c r="HH37" s="487"/>
      <c r="HI37" s="487"/>
      <c r="HJ37" s="487"/>
      <c r="HK37" s="487"/>
      <c r="HL37" s="487"/>
      <c r="HM37" s="487"/>
      <c r="HN37" s="487"/>
      <c r="HO37" s="487"/>
      <c r="HP37" s="487"/>
      <c r="HQ37" s="487"/>
      <c r="HR37" s="487"/>
      <c r="HS37" s="487"/>
      <c r="HT37" s="487"/>
      <c r="HU37" s="487"/>
      <c r="HV37" s="487"/>
      <c r="HW37" s="487"/>
      <c r="HX37" s="487"/>
      <c r="HY37" s="487"/>
      <c r="HZ37" s="487"/>
      <c r="IA37" s="487"/>
      <c r="IB37" s="487"/>
      <c r="IC37" s="487"/>
      <c r="ID37" s="487"/>
      <c r="IE37" s="487"/>
      <c r="IF37" s="487"/>
      <c r="IG37" s="487"/>
      <c r="IH37" s="487"/>
      <c r="II37" s="487"/>
      <c r="IJ37" s="487"/>
      <c r="IK37" s="487"/>
      <c r="IL37" s="487"/>
      <c r="IM37" s="487"/>
      <c r="IN37" s="487"/>
      <c r="IO37" s="487"/>
      <c r="IP37" s="487"/>
      <c r="IQ37" s="487"/>
      <c r="IR37" s="487"/>
      <c r="IS37" s="487"/>
      <c r="IT37" s="487"/>
      <c r="IU37" s="487"/>
      <c r="IV37" s="487"/>
      <c r="IW37" s="487"/>
      <c r="IX37" s="487"/>
    </row>
    <row r="38" spans="1:258" s="21" customFormat="1" ht="16.5" customHeight="1">
      <c r="A38" s="289"/>
      <c r="B38" s="289"/>
      <c r="C38" s="1251">
        <f t="shared" si="30"/>
        <v>42397</v>
      </c>
      <c r="D38" s="443">
        <f t="shared" si="31"/>
        <v>42397</v>
      </c>
      <c r="E38" s="424">
        <f ca="1">IF(D38&lt;TODAY(),IF(AT_!CG38="","",+AT_!CG38),"")</f>
        <v>98</v>
      </c>
      <c r="F38" s="424">
        <f>IF(AT_!CH38="","",+AT_!CH38)</f>
        <v>143</v>
      </c>
      <c r="G38" s="424">
        <f>IF(AT_!CF38="","",+AT_!CF38)</f>
        <v>107</v>
      </c>
      <c r="H38" s="424">
        <f>IF(AT_!CI38="","",+AT_!CI38)</f>
        <v>59</v>
      </c>
      <c r="I38" s="424">
        <f>IF(AT_!BS38="","",+AT_!BS38)</f>
        <v>15</v>
      </c>
      <c r="J38" s="425">
        <f>IF(AT_!BU38="","",+AT_!BU38)</f>
        <v>6.6</v>
      </c>
      <c r="K38" s="425">
        <f>IF(AT_!BT38="","",+AT_!BT38)</f>
        <v>6.9</v>
      </c>
      <c r="L38" s="425">
        <f>IF(AT_!BV38="","",+AT_!BV38)</f>
        <v>6.8</v>
      </c>
      <c r="M38" s="425">
        <f>IF(AT_!BX38="","",+AT_!BX38)</f>
        <v>6.3</v>
      </c>
      <c r="N38" s="425">
        <f>IF(AT_!BW38="","",+AT_!BW38)</f>
        <v>6.6</v>
      </c>
      <c r="O38" s="425">
        <f>IF(AT_!BY38="","",+AT_!BY38)</f>
        <v>6.4</v>
      </c>
      <c r="P38" s="425"/>
      <c r="Q38" s="425"/>
      <c r="R38" s="424">
        <f>IF(AT_!AC38="","",+AT_!AC38)</f>
        <v>131</v>
      </c>
      <c r="S38" s="424">
        <f>IF(AT_!$AF38="","",AT_!$AF38)</f>
        <v>8</v>
      </c>
      <c r="T38" s="424">
        <f>IF(AT_!G38="","",+AT_!G38)</f>
        <v>109</v>
      </c>
      <c r="U38" s="2660">
        <f>IF(AT_!$K38="","",AT_!$K38)</f>
        <v>9</v>
      </c>
      <c r="V38" s="444" t="str">
        <f t="shared" si="41"/>
        <v/>
      </c>
      <c r="W38" s="427">
        <f t="shared" si="3"/>
        <v>42397</v>
      </c>
      <c r="X38" s="428">
        <f t="shared" si="3"/>
        <v>42397</v>
      </c>
      <c r="Y38" s="429" t="str">
        <f>+AT_!FJ38</f>
        <v/>
      </c>
      <c r="Z38" s="429" t="str">
        <f>AT_!FX38</f>
        <v/>
      </c>
      <c r="AA38" s="429" t="str">
        <f>+AT_!FI38</f>
        <v/>
      </c>
      <c r="AB38" s="429" t="str">
        <f>AT_!FW38</f>
        <v/>
      </c>
      <c r="AC38" s="429">
        <f>IF(AT_!DW38="","",IF(+AT_!DW38&gt;1,ROUND(+AT_!DW38,1),+AT_!DW38))</f>
        <v>0.45</v>
      </c>
      <c r="AD38" s="430" t="str">
        <f>IF(AT_!CA38="","",+AT_!CA38)</f>
        <v/>
      </c>
      <c r="AE38" s="431">
        <f>IF(AT_!CB38="","",AT_!CB38)</f>
        <v>20</v>
      </c>
      <c r="AF38" s="2609"/>
      <c r="AG38" s="2610"/>
      <c r="AH38" s="2064"/>
      <c r="AI38" s="2681" t="str">
        <f>IF(AT_!$EN38="","",AT_!$EN38)</f>
        <v>Snow Melt</v>
      </c>
      <c r="AJ38" s="373"/>
      <c r="AK38" s="427">
        <f t="shared" si="4"/>
        <v>42397</v>
      </c>
      <c r="AL38" s="428">
        <f t="shared" si="5"/>
        <v>42397</v>
      </c>
      <c r="AM38" s="429">
        <f>AT_!FE38</f>
        <v>7.5999999999999998E-2</v>
      </c>
      <c r="AN38" s="429">
        <f>AT_!FF38</f>
        <v>0.26350000000000001</v>
      </c>
      <c r="AO38" s="425">
        <f>IF(AT_!FG38= "","",(AT_!FG38*1.2143))</f>
        <v>20.564170499999996</v>
      </c>
      <c r="AP38" s="425">
        <f>AT_!FH38</f>
        <v>30.845000000000002</v>
      </c>
      <c r="AQ38" s="429">
        <f>AT_!FS38</f>
        <v>0.72</v>
      </c>
      <c r="AR38" s="429">
        <f>AT_!FT38</f>
        <v>2.11</v>
      </c>
      <c r="AS38" s="425">
        <f>IF(AT_!FU38= "","",(AT_!FU38*1.2143))</f>
        <v>13.11444</v>
      </c>
      <c r="AT38" s="425">
        <f>AT_!FV38</f>
        <v>12.7</v>
      </c>
      <c r="AU38" s="425">
        <f>IF(AT_!BO38="","",AT_!BO38)</f>
        <v>4.79</v>
      </c>
      <c r="AV38" s="424" t="str">
        <f>IF(AT_!BR38="","",AT_!BR38)</f>
        <v/>
      </c>
      <c r="AW38" s="3"/>
      <c r="AX38" s="432">
        <f>IF((SUM(AT_!O38,AT_!P38))=0,"",ROUND(IF(ISNUMBER(AT_!O38),AT_!O38,AT_!$O$42)*0.6+IF(ISNUMBER(AT_!P38),AT_!P38,AT_!$P$42)*0.4,-1))</f>
        <v>3500</v>
      </c>
      <c r="AY38" s="432">
        <f>IF((SUM(AT_!M38,AT_!N38))=0,"",ROUND((IF(ISNUMBER(AT_!M38),AT_!M38,AT_!$M$42)*0.6)+(IF(ISNUMBER(AT_!N38),AT_!N38,AT_!$N$42)*0.4),-1))</f>
        <v>2220</v>
      </c>
      <c r="AZ38" s="424">
        <f>PT_!AA38</f>
        <v>170</v>
      </c>
      <c r="BA38" s="433">
        <f>AT_!CK38</f>
        <v>61</v>
      </c>
      <c r="BB38" s="2635">
        <f ca="1">IF(E38="","",ROUND((PT_!BM38*IF(ISNUMBER(AT_!Q38),AT_!Q38,AT_!$Q$42)+IF(ISNUMBER(AT_!S38),AT_!S38,AT_!$S$42)*PT_!BN38)*8.34,0))</f>
        <v>84444</v>
      </c>
      <c r="BC38" s="373"/>
      <c r="BD38" s="3" t="s">
        <v>1043</v>
      </c>
      <c r="BE38" s="369"/>
      <c r="BF38" s="369"/>
      <c r="BG38" s="369"/>
      <c r="BH38" s="373"/>
      <c r="BI38" s="499"/>
      <c r="BJ38" s="499"/>
      <c r="BK38" s="499"/>
      <c r="BL38" s="499"/>
      <c r="BM38" s="499"/>
      <c r="BN38" s="499"/>
      <c r="BO38" s="499"/>
      <c r="BP38" s="499"/>
      <c r="BQ38" s="2698"/>
      <c r="BR38" s="373"/>
      <c r="BS38" s="289"/>
      <c r="BT38" s="289"/>
      <c r="BU38" s="289"/>
      <c r="BV38" s="289"/>
      <c r="BW38" s="289"/>
      <c r="BX38" s="289"/>
      <c r="BY38" s="289"/>
      <c r="BZ38" s="289"/>
      <c r="CA38" s="289"/>
      <c r="CB38" s="189"/>
      <c r="CC38" s="189"/>
      <c r="CD38" s="235">
        <f t="shared" si="32"/>
        <v>42397</v>
      </c>
      <c r="CE38" s="1345">
        <f t="shared" ca="1" si="6"/>
        <v>107068.92</v>
      </c>
      <c r="CF38" s="1344">
        <f t="shared" ca="1" si="7"/>
        <v>6538.5599999999995</v>
      </c>
      <c r="CG38" s="238">
        <f t="shared" ca="1" si="8"/>
        <v>89087.87999999999</v>
      </c>
      <c r="CH38" s="239">
        <f t="shared" ca="1" si="9"/>
        <v>7355.88</v>
      </c>
      <c r="CI38" s="1354">
        <f t="shared" ca="1" si="10"/>
        <v>116901.78</v>
      </c>
      <c r="CJ38" s="1357">
        <f t="shared" ca="1" si="11"/>
        <v>7139.04</v>
      </c>
      <c r="CK38" s="1357">
        <f t="shared" ca="1" si="12"/>
        <v>97269.42</v>
      </c>
      <c r="CL38" s="1353">
        <f t="shared" ca="1" si="13"/>
        <v>8031.42</v>
      </c>
      <c r="CM38" s="243">
        <f t="shared" ca="1" si="89"/>
        <v>131</v>
      </c>
      <c r="CN38" s="244">
        <f t="shared" ca="1" si="90"/>
        <v>8</v>
      </c>
      <c r="CO38" s="244">
        <f t="shared" ca="1" si="91"/>
        <v>109</v>
      </c>
      <c r="CP38" s="244">
        <f t="shared" ca="1" si="92"/>
        <v>9</v>
      </c>
      <c r="CQ38" s="1627">
        <f t="shared" ca="1" si="82"/>
        <v>7.5999999999999998E-2</v>
      </c>
      <c r="CR38" s="1628">
        <f t="shared" ca="1" si="83"/>
        <v>0.26350000000000001</v>
      </c>
      <c r="CS38" s="1629">
        <f t="shared" ca="1" si="84"/>
        <v>20.564170499999996</v>
      </c>
      <c r="CT38" s="1629">
        <f t="shared" ca="1" si="85"/>
        <v>30.845000000000002</v>
      </c>
      <c r="CU38" s="248">
        <f t="shared" ca="1" si="66"/>
        <v>0.72</v>
      </c>
      <c r="CV38" s="246">
        <f t="shared" ca="1" si="67"/>
        <v>2.11</v>
      </c>
      <c r="CW38" s="247">
        <f t="shared" ca="1" si="68"/>
        <v>13.11444</v>
      </c>
      <c r="CX38" s="247">
        <f t="shared" ca="1" si="69"/>
        <v>12.7</v>
      </c>
      <c r="CY38" s="249">
        <f t="shared" ca="1" si="33"/>
        <v>31.2</v>
      </c>
      <c r="CZ38" s="249">
        <f t="shared" ca="1" si="34"/>
        <v>15.5</v>
      </c>
      <c r="DA38" s="250">
        <f t="shared" ca="1" si="35"/>
        <v>27842.255999999998</v>
      </c>
      <c r="DB38" s="250">
        <f t="shared" ca="1" si="36"/>
        <v>13831.890000000001</v>
      </c>
      <c r="DC38" s="251">
        <f t="shared" si="20"/>
        <v>42397</v>
      </c>
      <c r="DD38" s="1410"/>
      <c r="DE38" s="482"/>
      <c r="DF38" s="439">
        <f t="shared" si="70"/>
        <v>42400</v>
      </c>
      <c r="DG38" s="519">
        <f t="shared" si="71"/>
        <v>42400</v>
      </c>
      <c r="DH38" s="491">
        <f t="shared" ca="1" si="71"/>
        <v>96</v>
      </c>
      <c r="DI38" s="491">
        <f t="shared" si="72"/>
        <v>113</v>
      </c>
      <c r="DJ38" s="491">
        <f t="shared" si="73"/>
        <v>131</v>
      </c>
      <c r="DK38" s="491">
        <f t="shared" si="73"/>
        <v>12</v>
      </c>
      <c r="DL38" s="491">
        <f t="shared" si="74"/>
        <v>116</v>
      </c>
      <c r="DM38" s="491">
        <f t="shared" si="74"/>
        <v>8</v>
      </c>
      <c r="DN38" s="491">
        <f t="shared" si="75"/>
        <v>21</v>
      </c>
      <c r="DO38" s="520">
        <f t="shared" ca="1" si="76"/>
        <v>123457.01999999999</v>
      </c>
      <c r="DP38" s="520">
        <f t="shared" ca="1" si="76"/>
        <v>11309.039999999999</v>
      </c>
      <c r="DQ38" s="520">
        <f t="shared" ca="1" si="77"/>
        <v>109320.71999999999</v>
      </c>
      <c r="DR38" s="520">
        <f t="shared" ca="1" si="77"/>
        <v>7539.36</v>
      </c>
      <c r="DS38" s="417">
        <f t="shared" si="37"/>
        <v>5</v>
      </c>
      <c r="DT38" s="439">
        <f t="shared" si="38"/>
        <v>42397</v>
      </c>
      <c r="DU38" s="495">
        <f t="shared" si="61"/>
        <v>42397</v>
      </c>
      <c r="DV38" s="403" t="str">
        <f t="shared" si="22"/>
        <v/>
      </c>
      <c r="DW38" s="403" t="str">
        <f t="shared" si="22"/>
        <v/>
      </c>
      <c r="DX38" s="403" t="str">
        <f t="shared" si="22"/>
        <v/>
      </c>
      <c r="DY38" s="403" t="str">
        <f t="shared" si="39"/>
        <v/>
      </c>
      <c r="DZ38" s="403" t="str">
        <f t="shared" si="40"/>
        <v/>
      </c>
      <c r="EA38" s="403" t="str">
        <f t="shared" si="23"/>
        <v/>
      </c>
      <c r="EB38" s="403" t="str">
        <f t="shared" si="24"/>
        <v/>
      </c>
      <c r="EC38" s="403" t="str">
        <f t="shared" si="25"/>
        <v/>
      </c>
      <c r="ED38" s="403" t="str">
        <f t="shared" si="26"/>
        <v/>
      </c>
      <c r="EE38" s="403" t="str">
        <f t="shared" si="27"/>
        <v/>
      </c>
      <c r="EF38" s="403" t="str">
        <f t="shared" si="28"/>
        <v/>
      </c>
      <c r="EG38" s="404"/>
      <c r="EH38" s="367"/>
      <c r="EI38" s="367"/>
      <c r="EJ38" s="367"/>
      <c r="EK38" s="367"/>
      <c r="EL38" s="367"/>
      <c r="EM38" s="367"/>
      <c r="EN38" s="367"/>
      <c r="EO38" s="367"/>
      <c r="EP38" s="367"/>
      <c r="EQ38" s="367"/>
      <c r="ER38" s="367"/>
      <c r="ES38" s="367"/>
      <c r="ET38" s="367"/>
      <c r="EU38" s="367"/>
      <c r="EV38" s="289"/>
      <c r="EW38" s="189"/>
      <c r="EX38" s="442">
        <f t="shared" si="29"/>
        <v>0</v>
      </c>
      <c r="EY38" s="408"/>
      <c r="EZ38" s="289"/>
      <c r="FA38" s="289"/>
      <c r="FB38" s="289"/>
      <c r="FC38" s="289"/>
      <c r="FD38" s="289"/>
      <c r="FE38" s="289"/>
      <c r="FF38" s="289"/>
      <c r="FG38" s="289"/>
      <c r="FH38" s="289"/>
      <c r="FI38" s="289"/>
      <c r="FJ38" s="289"/>
      <c r="FK38" s="289"/>
      <c r="FL38" s="289"/>
      <c r="FM38" s="289"/>
      <c r="FN38" s="289"/>
      <c r="FO38" s="289"/>
      <c r="FP38" s="289"/>
      <c r="FQ38" s="289"/>
      <c r="FR38" s="289"/>
      <c r="FS38" s="289"/>
      <c r="FT38" s="289"/>
      <c r="FU38" s="289"/>
      <c r="FV38" s="289"/>
      <c r="FW38" s="289"/>
      <c r="FX38" s="289"/>
      <c r="FY38" s="289"/>
      <c r="FZ38" s="289"/>
      <c r="GA38" s="289"/>
      <c r="GB38" s="289"/>
      <c r="GC38" s="289"/>
      <c r="GD38" s="289"/>
      <c r="GE38" s="289"/>
      <c r="GF38" s="289"/>
      <c r="GG38" s="289"/>
      <c r="GH38" s="289"/>
      <c r="GI38" s="289"/>
      <c r="GJ38" s="289"/>
      <c r="GK38" s="289"/>
      <c r="GL38" s="289"/>
      <c r="GM38" s="289"/>
      <c r="GN38" s="289"/>
      <c r="GO38" s="289"/>
      <c r="GP38" s="289"/>
      <c r="GQ38" s="289"/>
      <c r="GR38" s="289"/>
      <c r="GS38" s="289"/>
      <c r="GT38" s="289"/>
      <c r="GU38" s="289"/>
      <c r="GV38" s="289"/>
      <c r="GW38" s="289"/>
      <c r="GX38" s="289"/>
      <c r="GY38" s="289"/>
      <c r="GZ38" s="289"/>
      <c r="HA38" s="289"/>
      <c r="HB38" s="289"/>
      <c r="HC38" s="289"/>
      <c r="HD38" s="289"/>
      <c r="HE38" s="289"/>
      <c r="HF38" s="289"/>
      <c r="HG38" s="289"/>
      <c r="HH38" s="289"/>
      <c r="HI38" s="289"/>
      <c r="HJ38" s="289"/>
      <c r="HK38" s="289"/>
      <c r="HL38" s="289"/>
      <c r="HM38" s="289"/>
      <c r="HN38" s="289"/>
      <c r="HO38" s="289"/>
      <c r="HP38" s="289"/>
      <c r="HQ38" s="289"/>
      <c r="HR38" s="289"/>
      <c r="HS38" s="289"/>
      <c r="HT38" s="289"/>
      <c r="HU38" s="289"/>
      <c r="HV38" s="289"/>
      <c r="HW38" s="289"/>
      <c r="HX38" s="289"/>
      <c r="HY38" s="289"/>
      <c r="HZ38" s="289"/>
      <c r="IA38" s="289"/>
      <c r="IB38" s="289"/>
      <c r="IC38" s="289"/>
      <c r="ID38" s="289"/>
      <c r="IE38" s="289"/>
      <c r="IF38" s="289"/>
      <c r="IG38" s="289"/>
      <c r="IH38" s="289"/>
      <c r="II38" s="289"/>
      <c r="IJ38" s="289"/>
      <c r="IK38" s="289"/>
      <c r="IL38" s="289"/>
      <c r="IM38" s="289"/>
      <c r="IN38" s="289"/>
      <c r="IO38" s="289"/>
      <c r="IP38" s="289"/>
      <c r="IQ38" s="289"/>
      <c r="IR38" s="289"/>
      <c r="IS38" s="289"/>
      <c r="IT38" s="289"/>
      <c r="IU38" s="289"/>
      <c r="IV38" s="289"/>
      <c r="IW38" s="289"/>
      <c r="IX38" s="289"/>
    </row>
    <row r="39" spans="1:258" s="21" customFormat="1" ht="16.5" customHeight="1" thickBot="1">
      <c r="A39" s="289"/>
      <c r="B39" s="289"/>
      <c r="C39" s="1251">
        <f t="shared" si="30"/>
        <v>42398</v>
      </c>
      <c r="D39" s="443">
        <f>IF(MONTH(D38+1)=MONTH(D38),+D38+1,"")</f>
        <v>42398</v>
      </c>
      <c r="E39" s="424">
        <f ca="1">IF(D39&lt;TODAY(),IF(AT_!CG39="","",+AT_!CG39),"")</f>
        <v>101</v>
      </c>
      <c r="F39" s="424">
        <f>IF(AT_!CH39="","",+AT_!CH39)</f>
        <v>120</v>
      </c>
      <c r="G39" s="424">
        <f>IF(AT_!CF39="","",+AT_!CF39)</f>
        <v>101</v>
      </c>
      <c r="H39" s="424">
        <f>IF(AT_!CI39="","",+AT_!CI39)</f>
        <v>58</v>
      </c>
      <c r="I39" s="424">
        <f>IF(AT_!BS39="","",+AT_!BS39)</f>
        <v>16</v>
      </c>
      <c r="J39" s="425">
        <f>IF(AT_!BU39="","",+AT_!BU39)</f>
        <v>6.3</v>
      </c>
      <c r="K39" s="425">
        <f>IF(AT_!BT39="","",+AT_!BT39)</f>
        <v>7.1</v>
      </c>
      <c r="L39" s="425">
        <f>IF(AT_!BV39="","",+AT_!BV39)</f>
        <v>6.6</v>
      </c>
      <c r="M39" s="425">
        <f>IF(AT_!BX39="","",+AT_!BX39)</f>
        <v>6.3</v>
      </c>
      <c r="N39" s="425">
        <f>IF(AT_!BW39="","",+AT_!BW39)</f>
        <v>6.5</v>
      </c>
      <c r="O39" s="425">
        <f>IF(AT_!BY39="","",+AT_!BY39)</f>
        <v>6.3</v>
      </c>
      <c r="P39" s="425"/>
      <c r="Q39" s="425"/>
      <c r="R39" s="424">
        <f>IF(AT_!AC39="","",+AT_!AC39)</f>
        <v>123</v>
      </c>
      <c r="S39" s="424">
        <f>IF(AT_!$AF39="","",AT_!$AF39)</f>
        <v>5</v>
      </c>
      <c r="T39" s="424">
        <f>IF(AT_!G39="","",+AT_!G39)</f>
        <v>158</v>
      </c>
      <c r="U39" s="2660">
        <f>IF(AT_!$K39="","",AT_!$K39)</f>
        <v>8</v>
      </c>
      <c r="V39" s="444" t="str">
        <f t="shared" si="41"/>
        <v/>
      </c>
      <c r="W39" s="427">
        <f t="shared" si="3"/>
        <v>42398</v>
      </c>
      <c r="X39" s="428">
        <f t="shared" si="3"/>
        <v>42398</v>
      </c>
      <c r="Y39" s="429" t="str">
        <f>+AT_!FJ39</f>
        <v/>
      </c>
      <c r="Z39" s="429" t="str">
        <f>AT_!FX39</f>
        <v/>
      </c>
      <c r="AA39" s="429" t="str">
        <f>+AT_!FI39</f>
        <v/>
      </c>
      <c r="AB39" s="429" t="str">
        <f>AT_!FW39</f>
        <v/>
      </c>
      <c r="AC39" s="429">
        <f>IF(AT_!DW39="","",IF(+AT_!DW39&gt;1,ROUND(+AT_!DW39,1),+AT_!DW39))</f>
        <v>0.42</v>
      </c>
      <c r="AD39" s="430" t="str">
        <f>IF(AT_!CA39="","",+AT_!CA39)</f>
        <v/>
      </c>
      <c r="AE39" s="431">
        <f>IF(AT_!CB39="","",AT_!CB39)</f>
        <v>372</v>
      </c>
      <c r="AF39" s="2609"/>
      <c r="AG39" s="2610"/>
      <c r="AH39" s="2064"/>
      <c r="AI39" s="2681" t="str">
        <f>IF(AT_!$EN39="","",AT_!$EN39)</f>
        <v>Clear</v>
      </c>
      <c r="AJ39" s="373"/>
      <c r="AK39" s="427">
        <f t="shared" si="4"/>
        <v>42398</v>
      </c>
      <c r="AL39" s="428">
        <f t="shared" si="5"/>
        <v>42398</v>
      </c>
      <c r="AM39" s="429">
        <f>AT_!FE39</f>
        <v>0.06</v>
      </c>
      <c r="AN39" s="429">
        <f>AT_!FF39</f>
        <v>0.16300000000000001</v>
      </c>
      <c r="AO39" s="425">
        <f>IF(AT_!FG39= "","",(AT_!FG39*1.2143))</f>
        <v>24.176712999999999</v>
      </c>
      <c r="AP39" s="425">
        <f>AT_!FH39</f>
        <v>35.64</v>
      </c>
      <c r="AQ39" s="429">
        <f>AT_!FS39</f>
        <v>0.77</v>
      </c>
      <c r="AR39" s="429">
        <f>AT_!FT39</f>
        <v>2.5</v>
      </c>
      <c r="AS39" s="425">
        <f>IF(AT_!FU39= "","",(AT_!FU39*1.2143))</f>
        <v>12.993009999999998</v>
      </c>
      <c r="AT39" s="425">
        <f>AT_!FV39</f>
        <v>13.3</v>
      </c>
      <c r="AU39" s="425">
        <f>IF(AT_!BO39="","",AT_!BO39)</f>
        <v>3.94</v>
      </c>
      <c r="AV39" s="424" t="str">
        <f>IF(AT_!BR39="","",AT_!BR39)</f>
        <v/>
      </c>
      <c r="AW39" s="3"/>
      <c r="AX39" s="432" t="str">
        <f>IF((SUM(AT_!O39,AT_!P39))=0,"",ROUND(IF(ISNUMBER(AT_!O39),AT_!O39,AT_!$O$42)*0.6+IF(ISNUMBER(AT_!P39),AT_!P39,AT_!$P$42)*0.4,-1))</f>
        <v/>
      </c>
      <c r="AY39" s="432" t="str">
        <f>IF((SUM(AT_!M39,AT_!N39))=0,"",ROUND((IF(ISNUMBER(AT_!M39),AT_!M39,AT_!$M$42)*0.6)+(IF(ISNUMBER(AT_!N39),AT_!N39,AT_!$N$42)*0.4),-1))</f>
        <v/>
      </c>
      <c r="AZ39" s="424">
        <f>PT_!AA39</f>
        <v>170</v>
      </c>
      <c r="BA39" s="433">
        <f>AT_!CK39</f>
        <v>61</v>
      </c>
      <c r="BB39" s="2635">
        <f ca="1">IF(E39="","",ROUND((PT_!BM39*IF(ISNUMBER(AT_!Q39),AT_!Q39,AT_!$Q$42)+IF(ISNUMBER(AT_!S39),AT_!S39,AT_!$S$42)*PT_!BN39)*8.34,0))</f>
        <v>88636</v>
      </c>
      <c r="BC39" s="373"/>
      <c r="BD39" s="373" t="s">
        <v>1044</v>
      </c>
      <c r="BE39" s="377"/>
      <c r="BF39" s="377"/>
      <c r="BG39" s="377"/>
      <c r="BH39" s="373"/>
      <c r="BI39" s="377"/>
      <c r="BJ39" s="377"/>
      <c r="BK39" s="377"/>
      <c r="BL39" s="377"/>
      <c r="BM39" s="377"/>
      <c r="BN39" s="377"/>
      <c r="BO39" s="377"/>
      <c r="BP39" s="377"/>
      <c r="BQ39" s="2629"/>
      <c r="BR39" s="373"/>
      <c r="BS39" s="289"/>
      <c r="BT39" s="289"/>
      <c r="BU39" s="289"/>
      <c r="BV39" s="289"/>
      <c r="BW39" s="289"/>
      <c r="BX39" s="289"/>
      <c r="BY39" s="289"/>
      <c r="BZ39" s="289"/>
      <c r="CA39" s="289"/>
      <c r="CB39" s="189"/>
      <c r="CC39" s="189"/>
      <c r="CD39" s="235">
        <f t="shared" si="32"/>
        <v>42398</v>
      </c>
      <c r="CE39" s="1345">
        <f t="shared" ca="1" si="6"/>
        <v>103607.81999999999</v>
      </c>
      <c r="CF39" s="1348">
        <f t="shared" ca="1" si="7"/>
        <v>4211.7000000000007</v>
      </c>
      <c r="CG39" s="1348">
        <f t="shared" ca="1" si="8"/>
        <v>133089.72</v>
      </c>
      <c r="CH39" s="1344">
        <f t="shared" ca="1" si="9"/>
        <v>6738.72</v>
      </c>
      <c r="CI39" s="1354">
        <f t="shared" ca="1" si="10"/>
        <v>103607.81999999999</v>
      </c>
      <c r="CJ39" s="1358">
        <f t="shared" ca="1" si="11"/>
        <v>4211.7000000000007</v>
      </c>
      <c r="CK39" s="1358">
        <f t="shared" ca="1" si="12"/>
        <v>133089.72</v>
      </c>
      <c r="CL39" s="1353">
        <f t="shared" ca="1" si="13"/>
        <v>6738.72</v>
      </c>
      <c r="CM39" s="243">
        <f ca="1">IF($E39&gt;0,IF($G39&gt;$C$44," ",IF(CELL("type",R39:R39)="v",R39,IF(CELL("type",R39:R39)="L",R$44,""))),"")</f>
        <v>123</v>
      </c>
      <c r="CN39" s="244">
        <f t="shared" ca="1" si="86"/>
        <v>5</v>
      </c>
      <c r="CO39" s="244">
        <f t="shared" ca="1" si="87"/>
        <v>158</v>
      </c>
      <c r="CP39" s="244">
        <f t="shared" ca="1" si="88"/>
        <v>8</v>
      </c>
      <c r="CQ39" s="1627">
        <f t="shared" ca="1" si="82"/>
        <v>0.06</v>
      </c>
      <c r="CR39" s="1628">
        <f t="shared" ca="1" si="83"/>
        <v>0.16300000000000001</v>
      </c>
      <c r="CS39" s="1629">
        <f t="shared" ca="1" si="84"/>
        <v>24.176712999999999</v>
      </c>
      <c r="CT39" s="1629">
        <f t="shared" ca="1" si="85"/>
        <v>35.64</v>
      </c>
      <c r="CU39" s="248">
        <f t="shared" ca="1" si="66"/>
        <v>0.77</v>
      </c>
      <c r="CV39" s="246">
        <f t="shared" ca="1" si="67"/>
        <v>2.5</v>
      </c>
      <c r="CW39" s="247">
        <f t="shared" ca="1" si="68"/>
        <v>12.993009999999998</v>
      </c>
      <c r="CX39" s="247">
        <f t="shared" ca="1" si="69"/>
        <v>13.3</v>
      </c>
      <c r="CY39" s="249">
        <f t="shared" ca="1" si="33"/>
        <v>35.9</v>
      </c>
      <c r="CZ39" s="249">
        <f t="shared" ca="1" si="34"/>
        <v>16.600000000000001</v>
      </c>
      <c r="DA39" s="250">
        <f t="shared" ca="1" si="35"/>
        <v>30240.006000000001</v>
      </c>
      <c r="DB39" s="250">
        <f t="shared" ca="1" si="36"/>
        <v>13982.844000000001</v>
      </c>
      <c r="DC39" s="251">
        <f>D39</f>
        <v>42398</v>
      </c>
      <c r="DD39" s="205"/>
      <c r="DE39" s="482"/>
      <c r="DF39" s="522" t="s">
        <v>942</v>
      </c>
      <c r="DG39" s="508"/>
      <c r="DH39" s="491">
        <f ca="1">E44</f>
        <v>93</v>
      </c>
      <c r="DI39" s="491">
        <f>G44</f>
        <v>103</v>
      </c>
      <c r="DJ39" s="523">
        <f>T44</f>
        <v>139</v>
      </c>
      <c r="DK39" s="523">
        <f>U44</f>
        <v>16</v>
      </c>
      <c r="DL39" s="523">
        <f>R44</f>
        <v>140</v>
      </c>
      <c r="DM39" s="523">
        <f>S44</f>
        <v>7</v>
      </c>
      <c r="DN39" s="523">
        <f>AE44</f>
        <v>28</v>
      </c>
      <c r="DO39" s="524"/>
      <c r="DP39" s="524"/>
      <c r="DQ39" s="524"/>
      <c r="DR39" s="524"/>
      <c r="DS39" s="417">
        <f t="shared" si="37"/>
        <v>6</v>
      </c>
      <c r="DT39" s="439">
        <f t="shared" si="38"/>
        <v>42398</v>
      </c>
      <c r="DU39" s="495">
        <f>IF($D39="","",$D39)</f>
        <v>42398</v>
      </c>
      <c r="DV39" s="403" t="str">
        <f t="shared" si="22"/>
        <v/>
      </c>
      <c r="DW39" s="403" t="str">
        <f t="shared" si="22"/>
        <v/>
      </c>
      <c r="DX39" s="403" t="str">
        <f t="shared" si="22"/>
        <v/>
      </c>
      <c r="DY39" s="403" t="str">
        <f t="shared" si="39"/>
        <v/>
      </c>
      <c r="DZ39" s="403" t="str">
        <f t="shared" si="40"/>
        <v/>
      </c>
      <c r="EA39" s="403" t="str">
        <f t="shared" si="23"/>
        <v/>
      </c>
      <c r="EB39" s="403" t="str">
        <f t="shared" si="24"/>
        <v/>
      </c>
      <c r="EC39" s="403" t="str">
        <f t="shared" si="25"/>
        <v/>
      </c>
      <c r="ED39" s="403" t="str">
        <f t="shared" si="26"/>
        <v/>
      </c>
      <c r="EE39" s="403" t="str">
        <f t="shared" si="27"/>
        <v/>
      </c>
      <c r="EF39" s="403" t="str">
        <f t="shared" si="28"/>
        <v/>
      </c>
      <c r="EG39" s="404"/>
      <c r="EH39" s="367"/>
      <c r="EI39" s="367"/>
      <c r="EJ39" s="367"/>
      <c r="EK39" s="367"/>
      <c r="EL39" s="367"/>
      <c r="EM39" s="367"/>
      <c r="EN39" s="367"/>
      <c r="EO39" s="367"/>
      <c r="EP39" s="367"/>
      <c r="EQ39" s="367"/>
      <c r="ER39" s="367"/>
      <c r="ES39" s="367"/>
      <c r="ET39" s="367"/>
      <c r="EU39" s="367"/>
      <c r="EV39" s="289"/>
      <c r="EW39" s="189"/>
      <c r="EX39" s="442">
        <f t="shared" si="29"/>
        <v>0</v>
      </c>
      <c r="EY39" s="408"/>
      <c r="EZ39" s="289"/>
      <c r="FA39" s="289"/>
      <c r="FB39" s="289"/>
      <c r="FC39" s="289"/>
      <c r="FD39" s="289"/>
      <c r="FE39" s="289"/>
      <c r="FF39" s="289"/>
      <c r="FG39" s="289"/>
      <c r="FH39" s="289"/>
      <c r="FI39" s="289"/>
      <c r="FJ39" s="289"/>
      <c r="FK39" s="289"/>
      <c r="FL39" s="289"/>
      <c r="FM39" s="289"/>
      <c r="FN39" s="289"/>
      <c r="FO39" s="289"/>
      <c r="FP39" s="289"/>
      <c r="FQ39" s="289"/>
      <c r="FR39" s="289"/>
      <c r="FS39" s="289"/>
      <c r="FT39" s="289"/>
      <c r="FU39" s="289"/>
      <c r="FV39" s="289"/>
      <c r="FW39" s="289"/>
      <c r="FX39" s="289"/>
      <c r="FY39" s="289"/>
      <c r="FZ39" s="289"/>
      <c r="GA39" s="289"/>
      <c r="GB39" s="289"/>
      <c r="GC39" s="289"/>
      <c r="GD39" s="289"/>
      <c r="GE39" s="289"/>
      <c r="GF39" s="289"/>
      <c r="GG39" s="289"/>
      <c r="GH39" s="289"/>
      <c r="GI39" s="289"/>
      <c r="GJ39" s="289"/>
      <c r="GK39" s="289"/>
      <c r="GL39" s="289"/>
      <c r="GM39" s="289"/>
      <c r="GN39" s="289"/>
      <c r="GO39" s="289"/>
      <c r="GP39" s="289"/>
      <c r="GQ39" s="289"/>
      <c r="GR39" s="289"/>
      <c r="GS39" s="289"/>
      <c r="GT39" s="289"/>
      <c r="GU39" s="289"/>
      <c r="GV39" s="289"/>
      <c r="GW39" s="289"/>
      <c r="GX39" s="289"/>
      <c r="GY39" s="289"/>
      <c r="GZ39" s="289"/>
      <c r="HA39" s="289"/>
      <c r="HB39" s="289"/>
      <c r="HC39" s="289"/>
      <c r="HD39" s="289"/>
      <c r="HE39" s="289"/>
      <c r="HF39" s="289"/>
      <c r="HG39" s="289"/>
      <c r="HH39" s="289"/>
      <c r="HI39" s="289"/>
      <c r="HJ39" s="289"/>
      <c r="HK39" s="289"/>
      <c r="HL39" s="289"/>
      <c r="HM39" s="289"/>
      <c r="HN39" s="289"/>
      <c r="HO39" s="289"/>
      <c r="HP39" s="289"/>
      <c r="HQ39" s="289"/>
      <c r="HR39" s="289"/>
      <c r="HS39" s="289"/>
      <c r="HT39" s="289"/>
      <c r="HU39" s="289"/>
      <c r="HV39" s="289"/>
      <c r="HW39" s="289"/>
      <c r="HX39" s="289"/>
      <c r="HY39" s="289"/>
      <c r="HZ39" s="289"/>
      <c r="IA39" s="289"/>
      <c r="IB39" s="289"/>
      <c r="IC39" s="289"/>
      <c r="ID39" s="289"/>
      <c r="IE39" s="289"/>
      <c r="IF39" s="289"/>
      <c r="IG39" s="289"/>
      <c r="IH39" s="289"/>
      <c r="II39" s="289"/>
      <c r="IJ39" s="289"/>
      <c r="IK39" s="289"/>
      <c r="IL39" s="289"/>
      <c r="IM39" s="289"/>
      <c r="IN39" s="289"/>
      <c r="IO39" s="289"/>
      <c r="IP39" s="289"/>
      <c r="IQ39" s="289"/>
      <c r="IR39" s="289"/>
      <c r="IS39" s="289"/>
      <c r="IT39" s="289"/>
      <c r="IU39" s="289"/>
      <c r="IV39" s="289"/>
      <c r="IW39" s="289"/>
      <c r="IX39" s="289"/>
    </row>
    <row r="40" spans="1:258" s="21" customFormat="1" ht="16.5" customHeight="1">
      <c r="A40" s="525"/>
      <c r="B40" s="289"/>
      <c r="C40" s="1251">
        <f t="shared" si="30"/>
        <v>42399</v>
      </c>
      <c r="D40" s="443">
        <f>IF(D39="","",IF(MONTH(D39+1)=MONTH(D39),+D39+1,""))</f>
        <v>42399</v>
      </c>
      <c r="E40" s="424">
        <f ca="1">IF(D40&lt;TODAY(),IF(AT_!CG40="","",+AT_!CG40),"")</f>
        <v>100</v>
      </c>
      <c r="F40" s="424">
        <f>IF(AT_!CH40="","",+AT_!CH40)</f>
        <v>126</v>
      </c>
      <c r="G40" s="424">
        <f>IF(AT_!CF40="","",+AT_!CF40)</f>
        <v>100</v>
      </c>
      <c r="H40" s="424">
        <f>IF(AT_!CI40="","",+AT_!CI40)</f>
        <v>57</v>
      </c>
      <c r="I40" s="424">
        <f>IF(AT_!BS40="","",+AT_!BS40)</f>
        <v>16</v>
      </c>
      <c r="J40" s="425">
        <f>IF(AT_!BU40="","",+AT_!BU40)</f>
        <v>6.4</v>
      </c>
      <c r="K40" s="425">
        <f>IF(AT_!BT40="","",+AT_!BT40)</f>
        <v>7</v>
      </c>
      <c r="L40" s="425">
        <f>IF(AT_!BV40="","",+AT_!BV40)</f>
        <v>6.6</v>
      </c>
      <c r="M40" s="425">
        <f>IF(AT_!BX40="","",+AT_!BX40)</f>
        <v>6.3</v>
      </c>
      <c r="N40" s="425">
        <f>IF(AT_!BW40="","",+AT_!BW40)</f>
        <v>6.8</v>
      </c>
      <c r="O40" s="425">
        <f>IF(AT_!BY40="","",+AT_!BY40)</f>
        <v>6.6</v>
      </c>
      <c r="P40" s="425"/>
      <c r="Q40" s="425"/>
      <c r="R40" s="424">
        <f>IF(AT_!AC40="","",+AT_!AC40)</f>
        <v>116</v>
      </c>
      <c r="S40" s="424">
        <f>IF(AT_!$AF40="","",AT_!$AF40)</f>
        <v>4</v>
      </c>
      <c r="T40" s="424">
        <f>IF(AT_!G40="","",+AT_!G40)</f>
        <v>136</v>
      </c>
      <c r="U40" s="2660">
        <f>IF(AT_!$K40="","",AT_!$K40)</f>
        <v>8</v>
      </c>
      <c r="V40" s="444" t="str">
        <f t="shared" si="41"/>
        <v/>
      </c>
      <c r="W40" s="427">
        <f t="shared" si="3"/>
        <v>42399</v>
      </c>
      <c r="X40" s="428">
        <f t="shared" si="3"/>
        <v>42399</v>
      </c>
      <c r="Y40" s="429" t="str">
        <f>+AT_!FJ40</f>
        <v/>
      </c>
      <c r="Z40" s="429" t="str">
        <f>AT_!FX40</f>
        <v/>
      </c>
      <c r="AA40" s="429" t="str">
        <f>+AT_!FI40</f>
        <v/>
      </c>
      <c r="AB40" s="429" t="str">
        <f>AT_!FW40</f>
        <v/>
      </c>
      <c r="AC40" s="429">
        <f>IF(AT_!DW40="","",IF(+AT_!DW40&gt;1,ROUND(+AT_!DW40,1),+AT_!DW40))</f>
        <v>0.49</v>
      </c>
      <c r="AD40" s="430" t="str">
        <f>IF(AT_!CA40="","",+AT_!CA40)</f>
        <v>&gt;</v>
      </c>
      <c r="AE40" s="431">
        <f>IF(AT_!CB40="","",AT_!CB40)</f>
        <v>4000</v>
      </c>
      <c r="AF40" s="2609"/>
      <c r="AG40" s="2610"/>
      <c r="AH40" s="2064"/>
      <c r="AI40" s="2681" t="str">
        <f>IF(AT_!$EN40="","",AT_!$EN40)</f>
        <v>Clear</v>
      </c>
      <c r="AJ40" s="373"/>
      <c r="AK40" s="427">
        <f t="shared" si="4"/>
        <v>42399</v>
      </c>
      <c r="AL40" s="428">
        <f t="shared" si="5"/>
        <v>42399</v>
      </c>
      <c r="AM40" s="429">
        <f>AT_!FE40</f>
        <v>2.6499999999999999E-2</v>
      </c>
      <c r="AN40" s="429">
        <f>AT_!FF40</f>
        <v>0.15950000000000003</v>
      </c>
      <c r="AO40" s="425">
        <f>IF(AT_!FG40= "","",(AT_!FG40*1.2143))</f>
        <v>27.831755999999995</v>
      </c>
      <c r="AP40" s="425">
        <f>AT_!FH40</f>
        <v>36.805</v>
      </c>
      <c r="AQ40" s="429">
        <f>AT_!FS40</f>
        <v>0.7</v>
      </c>
      <c r="AR40" s="429">
        <f>AT_!FT40</f>
        <v>2.8</v>
      </c>
      <c r="AS40" s="425">
        <f>IF(AT_!FU40= "","",(AT_!FU40*1.2143))</f>
        <v>14.08588</v>
      </c>
      <c r="AT40" s="425">
        <f>AT_!FV40</f>
        <v>13.6</v>
      </c>
      <c r="AU40" s="425">
        <f>IF(AT_!BO40="","",AT_!BO40)</f>
        <v>4.05</v>
      </c>
      <c r="AV40" s="424" t="str">
        <f>IF(AT_!BR40="","",AT_!BR40)</f>
        <v/>
      </c>
      <c r="AW40" s="3"/>
      <c r="AX40" s="432" t="str">
        <f>IF((SUM(AT_!O40,AT_!P40))=0,"",ROUND(IF(ISNUMBER(AT_!O40),AT_!O40,AT_!$O$42)*0.6+IF(ISNUMBER(AT_!P40),AT_!P40,AT_!$P$42)*0.4,-1))</f>
        <v/>
      </c>
      <c r="AY40" s="432" t="str">
        <f>IF((SUM(AT_!M40,AT_!N40))=0,"",ROUND((IF(ISNUMBER(AT_!M40),AT_!M40,AT_!$M$42)*0.6)+(IF(ISNUMBER(AT_!N40),AT_!N40,AT_!$N$42)*0.4),-1))</f>
        <v/>
      </c>
      <c r="AZ40" s="424">
        <f>PT_!AA40</f>
        <v>160</v>
      </c>
      <c r="BA40" s="433">
        <f>AT_!CK40</f>
        <v>61</v>
      </c>
      <c r="BB40" s="2635">
        <f ca="1">IF(E40="","",ROUND((PT_!BM40*IF(ISNUMBER(AT_!Q40),AT_!Q40,AT_!$Q$42)+IF(ISNUMBER(AT_!S40),AT_!S40,AT_!$S$42)*PT_!BN40)*8.34,0))</f>
        <v>86721</v>
      </c>
      <c r="BC40" s="373"/>
      <c r="BD40" s="373" t="s">
        <v>1045</v>
      </c>
      <c r="BE40" s="377"/>
      <c r="BF40" s="377"/>
      <c r="BG40" s="377"/>
      <c r="BH40" s="373"/>
      <c r="BI40" s="377"/>
      <c r="BJ40" s="377"/>
      <c r="BK40" s="377"/>
      <c r="BL40" s="377"/>
      <c r="BM40" s="377"/>
      <c r="BN40" s="377"/>
      <c r="BO40" s="377"/>
      <c r="BP40" s="377"/>
      <c r="BQ40" s="2629"/>
      <c r="BR40" s="373"/>
      <c r="BS40" s="289"/>
      <c r="BT40" s="289"/>
      <c r="BU40" s="289"/>
      <c r="BV40" s="289"/>
      <c r="BW40" s="289"/>
      <c r="BX40" s="289"/>
      <c r="BY40" s="289"/>
      <c r="BZ40" s="289"/>
      <c r="CA40" s="289"/>
      <c r="CB40" s="189"/>
      <c r="CC40" s="189"/>
      <c r="CD40" s="235">
        <f t="shared" si="32"/>
        <v>42399</v>
      </c>
      <c r="CE40" s="1345">
        <f ca="1">IF($CD40&gt;TODAY()-2,"",IF(OR(CELL("type",R40)="L",R40=0),CE$8*8.34*$E40,R40*8.34*$E40))</f>
        <v>96744</v>
      </c>
      <c r="CF40" s="1349">
        <f t="shared" ca="1" si="7"/>
        <v>3336</v>
      </c>
      <c r="CG40" s="1350">
        <f t="shared" ca="1" si="8"/>
        <v>113424</v>
      </c>
      <c r="CH40" s="1344">
        <f t="shared" ca="1" si="9"/>
        <v>6672</v>
      </c>
      <c r="CI40" s="1355">
        <f t="shared" ca="1" si="10"/>
        <v>96744</v>
      </c>
      <c r="CJ40" s="1350">
        <f t="shared" ca="1" si="11"/>
        <v>3336</v>
      </c>
      <c r="CK40" s="1358">
        <f t="shared" ca="1" si="12"/>
        <v>113424</v>
      </c>
      <c r="CL40" s="1353">
        <f t="shared" ca="1" si="13"/>
        <v>6672</v>
      </c>
      <c r="CM40" s="243">
        <f ca="1">IF($E40&gt;0,IF($G40&gt;$C$44," ",IF(CELL("type",R40:R40)="v",R40,IF(CELL("type",R40:R40)="L",R$44,""))),"")</f>
        <v>116</v>
      </c>
      <c r="CN40" s="244">
        <f t="shared" ca="1" si="86"/>
        <v>4</v>
      </c>
      <c r="CO40" s="244">
        <f t="shared" ca="1" si="87"/>
        <v>136</v>
      </c>
      <c r="CP40" s="244">
        <f t="shared" ca="1" si="88"/>
        <v>8</v>
      </c>
      <c r="CQ40" s="1627">
        <f t="shared" ca="1" si="82"/>
        <v>2.6499999999999999E-2</v>
      </c>
      <c r="CR40" s="1628">
        <f t="shared" ca="1" si="83"/>
        <v>0.15950000000000003</v>
      </c>
      <c r="CS40" s="1629">
        <f t="shared" ca="1" si="84"/>
        <v>27.831755999999995</v>
      </c>
      <c r="CT40" s="1629">
        <f t="shared" ca="1" si="85"/>
        <v>36.805</v>
      </c>
      <c r="CU40" s="248">
        <f t="shared" ca="1" si="66"/>
        <v>0.7</v>
      </c>
      <c r="CV40" s="246">
        <f t="shared" ca="1" si="67"/>
        <v>2.8</v>
      </c>
      <c r="CW40" s="247">
        <f t="shared" ca="1" si="68"/>
        <v>14.08588</v>
      </c>
      <c r="CX40" s="247">
        <f ca="1">IF($E40&gt;0,IF(SUM($AQ40:$AT40)&gt;0,IF(CELL("type",AT40:AT40)="V",AT40,IF(CELL("type",AT40:AT40)="L",CX$8,"")),""),"")</f>
        <v>13.6</v>
      </c>
      <c r="CY40" s="249">
        <f t="shared" ca="1" si="33"/>
        <v>37</v>
      </c>
      <c r="CZ40" s="249">
        <f t="shared" ca="1" si="34"/>
        <v>17.100000000000001</v>
      </c>
      <c r="DA40" s="250">
        <f t="shared" ca="1" si="35"/>
        <v>30858</v>
      </c>
      <c r="DB40" s="250">
        <f t="shared" ca="1" si="36"/>
        <v>14261.4</v>
      </c>
      <c r="DC40" s="251">
        <f>D40</f>
        <v>42399</v>
      </c>
      <c r="DD40" s="205"/>
      <c r="DE40" s="482"/>
      <c r="DF40" s="526"/>
      <c r="DG40" s="526"/>
      <c r="DH40" s="526"/>
      <c r="DI40" s="526"/>
      <c r="DJ40" s="526"/>
      <c r="DK40" s="526"/>
      <c r="DL40" s="526"/>
      <c r="DM40" s="526"/>
      <c r="DN40" s="526"/>
      <c r="DO40" s="526"/>
      <c r="DP40" s="526"/>
      <c r="DQ40" s="526"/>
      <c r="DR40" s="526"/>
      <c r="DS40" s="417">
        <f t="shared" si="37"/>
        <v>7</v>
      </c>
      <c r="DT40" s="439">
        <f t="shared" si="38"/>
        <v>42399</v>
      </c>
      <c r="DU40" s="495">
        <f>IF($D40="","",$D40)</f>
        <v>42399</v>
      </c>
      <c r="DV40" s="403">
        <f t="shared" ref="DV40:DX41" ca="1" si="93">IF($DS40=7,ROUND(AVERAGE(DV77:DV83),0),"")</f>
        <v>99</v>
      </c>
      <c r="DW40" s="403">
        <f t="shared" ca="1" si="93"/>
        <v>119</v>
      </c>
      <c r="DX40" s="403">
        <f t="shared" ca="1" si="93"/>
        <v>146</v>
      </c>
      <c r="DY40" s="403">
        <f t="shared" ca="1" si="39"/>
        <v>149200</v>
      </c>
      <c r="DZ40" s="403">
        <f t="shared" ca="1" si="40"/>
        <v>12</v>
      </c>
      <c r="EA40" s="403">
        <f t="shared" ca="1" si="23"/>
        <v>12800</v>
      </c>
      <c r="EB40" s="403">
        <f t="shared" ca="1" si="24"/>
        <v>131</v>
      </c>
      <c r="EC40" s="403">
        <f t="shared" ca="1" si="25"/>
        <v>132500</v>
      </c>
      <c r="ED40" s="403">
        <f t="shared" ca="1" si="26"/>
        <v>8</v>
      </c>
      <c r="EE40" s="403">
        <f t="shared" ca="1" si="27"/>
        <v>8400</v>
      </c>
      <c r="EF40" s="403">
        <f t="shared" ca="1" si="28"/>
        <v>99</v>
      </c>
      <c r="EG40" s="404"/>
      <c r="EH40" s="367"/>
      <c r="EI40" s="367"/>
      <c r="EJ40" s="367"/>
      <c r="EK40" s="367"/>
      <c r="EL40" s="367"/>
      <c r="EM40" s="367"/>
      <c r="EN40" s="367"/>
      <c r="EO40" s="367"/>
      <c r="EP40" s="367"/>
      <c r="EQ40" s="367"/>
      <c r="ER40" s="367"/>
      <c r="ES40" s="367"/>
      <c r="ET40" s="367"/>
      <c r="EU40" s="367"/>
      <c r="EV40" s="289"/>
      <c r="EW40" s="189"/>
      <c r="EX40" s="442">
        <f t="shared" si="29"/>
        <v>0</v>
      </c>
      <c r="EY40" s="408"/>
      <c r="EZ40" s="289"/>
      <c r="FA40" s="289"/>
      <c r="FB40" s="289"/>
      <c r="FC40" s="289"/>
      <c r="FD40" s="289"/>
      <c r="FE40" s="289"/>
      <c r="FF40" s="289"/>
      <c r="FG40" s="289"/>
      <c r="FH40" s="289"/>
      <c r="FI40" s="289"/>
      <c r="FJ40" s="289"/>
      <c r="FK40" s="289"/>
      <c r="FL40" s="289"/>
      <c r="FM40" s="289"/>
      <c r="FN40" s="289"/>
      <c r="FO40" s="289"/>
      <c r="FP40" s="289"/>
      <c r="FQ40" s="289"/>
      <c r="FR40" s="289"/>
      <c r="FS40" s="289"/>
      <c r="FT40" s="289"/>
      <c r="FU40" s="289"/>
      <c r="FV40" s="289"/>
      <c r="FW40" s="289"/>
      <c r="FX40" s="289"/>
      <c r="FY40" s="289"/>
      <c r="FZ40" s="289"/>
      <c r="GA40" s="289"/>
      <c r="GB40" s="289"/>
      <c r="GC40" s="289"/>
      <c r="GD40" s="289"/>
      <c r="GE40" s="289"/>
      <c r="GF40" s="289"/>
      <c r="GG40" s="289"/>
      <c r="GH40" s="289"/>
      <c r="GI40" s="289"/>
      <c r="GJ40" s="289"/>
      <c r="GK40" s="289"/>
      <c r="GL40" s="289"/>
      <c r="GM40" s="289"/>
      <c r="GN40" s="289"/>
      <c r="GO40" s="289"/>
      <c r="GP40" s="289"/>
      <c r="GQ40" s="289"/>
      <c r="GR40" s="289"/>
      <c r="GS40" s="289"/>
      <c r="GT40" s="289"/>
      <c r="GU40" s="289"/>
      <c r="GV40" s="289"/>
      <c r="GW40" s="289"/>
      <c r="GX40" s="289"/>
      <c r="GY40" s="289"/>
      <c r="GZ40" s="289"/>
      <c r="HA40" s="289"/>
      <c r="HB40" s="289"/>
      <c r="HC40" s="289"/>
      <c r="HD40" s="289"/>
      <c r="HE40" s="289"/>
      <c r="HF40" s="289"/>
      <c r="HG40" s="289"/>
      <c r="HH40" s="289"/>
      <c r="HI40" s="289"/>
      <c r="HJ40" s="289"/>
      <c r="HK40" s="289"/>
      <c r="HL40" s="289"/>
      <c r="HM40" s="289"/>
      <c r="HN40" s="289"/>
      <c r="HO40" s="289"/>
      <c r="HP40" s="289"/>
      <c r="HQ40" s="289"/>
      <c r="HR40" s="289"/>
      <c r="HS40" s="289"/>
      <c r="HT40" s="289"/>
      <c r="HU40" s="289"/>
      <c r="HV40" s="289"/>
      <c r="HW40" s="289"/>
      <c r="HX40" s="289"/>
      <c r="HY40" s="289"/>
      <c r="HZ40" s="289"/>
      <c r="IA40" s="289"/>
      <c r="IB40" s="289"/>
      <c r="IC40" s="289"/>
      <c r="ID40" s="289"/>
      <c r="IE40" s="289"/>
      <c r="IF40" s="289"/>
      <c r="IG40" s="289"/>
      <c r="IH40" s="289"/>
      <c r="II40" s="289"/>
      <c r="IJ40" s="289"/>
      <c r="IK40" s="289"/>
      <c r="IL40" s="289"/>
      <c r="IM40" s="289"/>
      <c r="IN40" s="289"/>
      <c r="IO40" s="289"/>
      <c r="IP40" s="289"/>
      <c r="IQ40" s="289"/>
      <c r="IR40" s="289"/>
      <c r="IS40" s="289"/>
      <c r="IT40" s="289"/>
      <c r="IU40" s="289"/>
      <c r="IV40" s="289"/>
      <c r="IW40" s="289"/>
      <c r="IX40" s="289"/>
    </row>
    <row r="41" spans="1:258" s="21" customFormat="1" ht="17.100000000000001" customHeight="1" thickBot="1">
      <c r="A41" s="289"/>
      <c r="B41" s="289"/>
      <c r="C41" s="1252">
        <f t="shared" si="30"/>
        <v>42400</v>
      </c>
      <c r="D41" s="2616">
        <f>IF(D40="","",IF(MONTH(D40+1)=MONTH(D40),+D40+1,""))</f>
        <v>42400</v>
      </c>
      <c r="E41" s="2617">
        <f ca="1">IF(D41&lt;TODAY(),IF(AT_!CG41="","",+AT_!CG41),"")</f>
        <v>96</v>
      </c>
      <c r="F41" s="2617">
        <f>IF(AT_!CH41="","",+AT_!CH41)</f>
        <v>161</v>
      </c>
      <c r="G41" s="2617">
        <f>IF(AT_!CF41="","",+AT_!CF41)</f>
        <v>113</v>
      </c>
      <c r="H41" s="2617">
        <f>IF(AT_!CI41="","",+AT_!CI41)</f>
        <v>62</v>
      </c>
      <c r="I41" s="2617">
        <f>IF(AT_!BS41="","",+AT_!BS41)</f>
        <v>17</v>
      </c>
      <c r="J41" s="2618">
        <f>IF(AT_!BU41="","",+AT_!BU41)</f>
        <v>6.6</v>
      </c>
      <c r="K41" s="2618">
        <f>IF(AT_!BT41="","",+AT_!BT41)</f>
        <v>7.1</v>
      </c>
      <c r="L41" s="2618">
        <f>IF(AT_!BV41="","",+AT_!BV41)</f>
        <v>6.9</v>
      </c>
      <c r="M41" s="2618">
        <f>IF(AT_!BX41="","",+AT_!BX41)</f>
        <v>6.6</v>
      </c>
      <c r="N41" s="2618">
        <f>IF(AT_!BW41="","",+AT_!BW41)</f>
        <v>7</v>
      </c>
      <c r="O41" s="2618">
        <f>IF(AT_!BY41="","",+AT_!BY41)</f>
        <v>6.8</v>
      </c>
      <c r="P41" s="2618"/>
      <c r="Q41" s="2618"/>
      <c r="R41" s="2617">
        <f>IF(AT_!AC41="","",+AT_!AC41)</f>
        <v>116</v>
      </c>
      <c r="S41" s="2619">
        <f>IF(AT_!$AF41="","",AT_!$AF41)</f>
        <v>8</v>
      </c>
      <c r="T41" s="2617">
        <f>IF(AT_!G41="","",+AT_!G41)</f>
        <v>131</v>
      </c>
      <c r="U41" s="2620">
        <f>IF(AT_!$K41="","",AT_!$K41)</f>
        <v>12</v>
      </c>
      <c r="V41" s="444" t="str">
        <f t="shared" si="41"/>
        <v/>
      </c>
      <c r="W41" s="2622">
        <f t="shared" si="3"/>
        <v>42400</v>
      </c>
      <c r="X41" s="2623">
        <f t="shared" si="3"/>
        <v>42400</v>
      </c>
      <c r="Y41" s="2624" t="str">
        <f>+AT_!FJ41</f>
        <v/>
      </c>
      <c r="Z41" s="2624" t="str">
        <f>AT_!FX41</f>
        <v/>
      </c>
      <c r="AA41" s="2624" t="str">
        <f>+AT_!FI41</f>
        <v/>
      </c>
      <c r="AB41" s="2624" t="str">
        <f>AT_!FW41</f>
        <v/>
      </c>
      <c r="AC41" s="2624">
        <f>IF(AT_!DW41="","",IF(+AT_!DW41&gt;1,ROUND(+AT_!DW41,1),+AT_!DW41))</f>
        <v>0.5</v>
      </c>
      <c r="AD41" s="2625" t="str">
        <f>IF(AT_!CA41="","",+AT_!CA41)</f>
        <v/>
      </c>
      <c r="AE41" s="2626">
        <f>IF(AT_!CB41="","",AT_!CB41)</f>
        <v>21</v>
      </c>
      <c r="AF41" s="2611"/>
      <c r="AG41" s="2612"/>
      <c r="AH41" s="2430"/>
      <c r="AI41" s="2627" t="str">
        <f>IF(AT_!$EN41="","",AT_!$EN41)</f>
        <v>Snow Melt</v>
      </c>
      <c r="AJ41" s="373"/>
      <c r="AK41" s="427">
        <f t="shared" si="4"/>
        <v>42400</v>
      </c>
      <c r="AL41" s="428">
        <f t="shared" si="5"/>
        <v>42400</v>
      </c>
      <c r="AM41" s="429">
        <f>AT_!FE41</f>
        <v>1.7000000000000001E-2</v>
      </c>
      <c r="AN41" s="429">
        <f>AT_!FF41</f>
        <v>0.15300000000000002</v>
      </c>
      <c r="AO41" s="425">
        <f>IF(AT_!FG41= "","",(AT_!FG41*1.2143))</f>
        <v>25.129938499999998</v>
      </c>
      <c r="AP41" s="425">
        <f>AT_!FH41</f>
        <v>35.125</v>
      </c>
      <c r="AQ41" s="429">
        <f>AT_!FS41</f>
        <v>0.56999999999999995</v>
      </c>
      <c r="AR41" s="429">
        <f>AT_!FT41</f>
        <v>2.0099999999999998</v>
      </c>
      <c r="AS41" s="425">
        <f>IF(AT_!FU41= "","",(AT_!FU41*1.2143))</f>
        <v>17.24306</v>
      </c>
      <c r="AT41" s="425">
        <f>AT_!FV41</f>
        <v>16.100000000000001</v>
      </c>
      <c r="AU41" s="425">
        <f>IF(AT_!BO41="","",AT_!BO41)</f>
        <v>4.63</v>
      </c>
      <c r="AV41" s="424" t="str">
        <f>IF(AT_!BR41="","",AT_!BR41)</f>
        <v/>
      </c>
      <c r="AW41" s="3"/>
      <c r="AX41" s="432">
        <f>IF((SUM(AT_!O41,AT_!P41))=0,"",ROUND(IF(ISNUMBER(AT_!O41),AT_!O41,AT_!$O$42)*0.6+IF(ISNUMBER(AT_!P41),AT_!P41,AT_!$P$42)*0.4,-1))</f>
        <v>2100</v>
      </c>
      <c r="AY41" s="432">
        <f>IF((SUM(AT_!M41,AT_!N41))=0,"",ROUND((IF(ISNUMBER(AT_!M41),AT_!M41,AT_!$M$42)*0.6)+(IF(ISNUMBER(AT_!N41),AT_!N41,AT_!$N$42)*0.4),-1))</f>
        <v>2160</v>
      </c>
      <c r="AZ41" s="424">
        <f>PT_!AA41</f>
        <v>190</v>
      </c>
      <c r="BA41" s="433">
        <f>AT_!CK41</f>
        <v>61</v>
      </c>
      <c r="BB41" s="2635">
        <f ca="1">IF(E41="","",ROUND((PT_!BM41*IF(ISNUMBER(AT_!Q41),AT_!Q41,AT_!$Q$42)+IF(ISNUMBER(AT_!S41),AT_!S41,AT_!$S$42)*PT_!BN41)*8.34,0))</f>
        <v>85061</v>
      </c>
      <c r="BC41" s="373"/>
      <c r="BD41" s="384" t="s">
        <v>1046</v>
      </c>
      <c r="BE41" s="383"/>
      <c r="BF41" s="3">
        <v>25</v>
      </c>
      <c r="BG41" s="3"/>
      <c r="BH41" s="373"/>
      <c r="BI41" s="377" t="s">
        <v>1076</v>
      </c>
      <c r="BJ41" s="377"/>
      <c r="BK41" s="377"/>
      <c r="BL41" s="377"/>
      <c r="BM41" s="377"/>
      <c r="BN41" s="377"/>
      <c r="BO41" s="377"/>
      <c r="BP41" s="377"/>
      <c r="BQ41" s="2629"/>
      <c r="BR41" s="373"/>
      <c r="BS41" s="289"/>
      <c r="BT41" s="289"/>
      <c r="BU41" s="289"/>
      <c r="BV41" s="289"/>
      <c r="BW41" s="289"/>
      <c r="BX41" s="289"/>
      <c r="BY41" s="289"/>
      <c r="BZ41" s="289"/>
      <c r="CA41" s="289"/>
      <c r="CB41" s="189"/>
      <c r="CC41" s="189"/>
      <c r="CD41" s="254">
        <f t="shared" si="32"/>
        <v>42400</v>
      </c>
      <c r="CE41" s="1346">
        <f t="shared" ca="1" si="6"/>
        <v>92874.239999999991</v>
      </c>
      <c r="CF41" s="1352">
        <f t="shared" ca="1" si="7"/>
        <v>6405.12</v>
      </c>
      <c r="CG41" s="1351">
        <f t="shared" ca="1" si="8"/>
        <v>104883.84</v>
      </c>
      <c r="CH41" s="1361">
        <f t="shared" ca="1" si="9"/>
        <v>9607.68</v>
      </c>
      <c r="CI41" s="1360">
        <f t="shared" ca="1" si="10"/>
        <v>109320.71999999999</v>
      </c>
      <c r="CJ41" s="1359">
        <f t="shared" ca="1" si="11"/>
        <v>7539.36</v>
      </c>
      <c r="CK41" s="1352">
        <f t="shared" ca="1" si="12"/>
        <v>123457.01999999999</v>
      </c>
      <c r="CL41" s="1353">
        <f t="shared" ca="1" si="13"/>
        <v>11309.039999999999</v>
      </c>
      <c r="CM41" s="243">
        <f t="shared" ca="1" si="42"/>
        <v>116</v>
      </c>
      <c r="CN41" s="244">
        <f t="shared" ca="1" si="86"/>
        <v>8</v>
      </c>
      <c r="CO41" s="244">
        <f t="shared" ca="1" si="87"/>
        <v>131</v>
      </c>
      <c r="CP41" s="244">
        <f t="shared" ca="1" si="88"/>
        <v>12</v>
      </c>
      <c r="CQ41" s="245">
        <f ca="1">IF($E41&gt;0,IF(SUM($AM41:$AP41)&gt;0,IF(CELL("type",AM41:AM41)="V",AM41,IF(CELL("type",AM41:AM41)="L",CQ$8,"")),""),"")</f>
        <v>1.7000000000000001E-2</v>
      </c>
      <c r="CR41" s="246">
        <f ca="1">IF($E41&gt;0,IF(SUM($AM41:$AP41)&gt;0,IF(CELL("type",AN41:AN41)="V",AN41,IF(CELL("type",AN41:AN41)="L",CR$8,"")),""),"")</f>
        <v>0.15300000000000002</v>
      </c>
      <c r="CS41" s="247">
        <f ca="1">IF($E41&gt;0,IF(SUM($AM41:$AP41)&gt;0,IF(CELL("type",AO41:AO41)="V",AO41,IF(CELL("type",AO41:AO41)="L",CS$8,"")),""),"")</f>
        <v>25.129938499999998</v>
      </c>
      <c r="CT41" s="247">
        <f ca="1">IF($E41&gt;0,IF(SUM($AM41:$AP41)&gt;0,IF(CELL("type",AP41:AP41)="V",AP41,IF(CELL("type",AP41:AP41)="L",CT$8,"")),""),"")</f>
        <v>35.125</v>
      </c>
      <c r="CU41" s="248">
        <f t="shared" ca="1" si="66"/>
        <v>0.56999999999999995</v>
      </c>
      <c r="CV41" s="246">
        <f t="shared" ca="1" si="67"/>
        <v>2.0099999999999998</v>
      </c>
      <c r="CW41" s="247">
        <f t="shared" ca="1" si="68"/>
        <v>17.24306</v>
      </c>
      <c r="CX41" s="247">
        <f ca="1">IF($E41&gt;0,IF(SUM($AQ41:$AT41)&gt;0,IF(CELL("type",AT41:AT41)="V",AT41,IF(CELL("type",AT41:AT41)="L",CX$8,"")),""),"")</f>
        <v>16.100000000000001</v>
      </c>
      <c r="CY41" s="249">
        <f t="shared" ca="1" si="33"/>
        <v>35.299999999999997</v>
      </c>
      <c r="CZ41" s="249">
        <f t="shared" ca="1" si="34"/>
        <v>18.7</v>
      </c>
      <c r="DA41" s="250">
        <f t="shared" ca="1" si="35"/>
        <v>33267.425999999999</v>
      </c>
      <c r="DB41" s="250">
        <f t="shared" ca="1" si="36"/>
        <v>17623.254000000001</v>
      </c>
      <c r="DC41" s="251">
        <f>D41</f>
        <v>42400</v>
      </c>
      <c r="DD41" s="205"/>
      <c r="DE41" s="482"/>
      <c r="DF41" s="365"/>
      <c r="DG41" s="365"/>
      <c r="DH41" s="365"/>
      <c r="DI41" s="365"/>
      <c r="DJ41" s="365"/>
      <c r="DK41" s="365"/>
      <c r="DL41" s="365"/>
      <c r="DM41" s="365"/>
      <c r="DN41" s="365"/>
      <c r="DO41" s="365"/>
      <c r="DP41" s="365"/>
      <c r="DQ41" s="365"/>
      <c r="DR41" s="365"/>
      <c r="DS41" s="417">
        <f t="shared" si="37"/>
        <v>1</v>
      </c>
      <c r="DT41" s="439">
        <f t="shared" si="38"/>
        <v>42400</v>
      </c>
      <c r="DU41" s="495">
        <f>IF($D41="","",$D41)</f>
        <v>42400</v>
      </c>
      <c r="DV41" s="403" t="str">
        <f t="shared" si="93"/>
        <v/>
      </c>
      <c r="DW41" s="403" t="str">
        <f t="shared" si="93"/>
        <v/>
      </c>
      <c r="DX41" s="403" t="str">
        <f t="shared" si="93"/>
        <v/>
      </c>
      <c r="DY41" s="403" t="str">
        <f t="shared" si="39"/>
        <v/>
      </c>
      <c r="DZ41" s="403" t="str">
        <f t="shared" si="40"/>
        <v/>
      </c>
      <c r="EA41" s="403" t="str">
        <f t="shared" si="23"/>
        <v/>
      </c>
      <c r="EB41" s="403" t="str">
        <f t="shared" si="24"/>
        <v/>
      </c>
      <c r="EC41" s="403" t="str">
        <f t="shared" si="25"/>
        <v/>
      </c>
      <c r="ED41" s="403" t="str">
        <f t="shared" si="26"/>
        <v/>
      </c>
      <c r="EE41" s="403" t="str">
        <f t="shared" si="27"/>
        <v/>
      </c>
      <c r="EF41" s="403" t="str">
        <f t="shared" si="28"/>
        <v/>
      </c>
      <c r="EG41" s="404"/>
      <c r="EH41" s="398"/>
      <c r="EI41" s="398"/>
      <c r="EJ41" s="486"/>
      <c r="EK41" s="367"/>
      <c r="EL41" s="367"/>
      <c r="EM41" s="367"/>
      <c r="EN41" s="367"/>
      <c r="EO41" s="367"/>
      <c r="EP41" s="367"/>
      <c r="EQ41" s="367"/>
      <c r="ER41" s="367"/>
      <c r="ES41" s="367"/>
      <c r="ET41" s="367"/>
      <c r="EU41" s="367"/>
      <c r="EV41" s="289"/>
      <c r="EW41" s="189"/>
      <c r="EX41" s="442">
        <f t="shared" si="29"/>
        <v>0</v>
      </c>
      <c r="EY41" s="408"/>
      <c r="EZ41" s="289"/>
      <c r="FA41" s="289"/>
      <c r="FB41" s="289"/>
      <c r="FC41" s="289"/>
      <c r="FD41" s="289"/>
      <c r="FE41" s="289"/>
      <c r="FF41" s="289"/>
      <c r="FG41" s="289"/>
      <c r="FH41" s="289"/>
      <c r="FI41" s="289"/>
      <c r="FJ41" s="289"/>
      <c r="FK41" s="289"/>
      <c r="FL41" s="289"/>
      <c r="FM41" s="289"/>
      <c r="FN41" s="289"/>
      <c r="FO41" s="289"/>
      <c r="FP41" s="289"/>
      <c r="FQ41" s="289"/>
      <c r="FR41" s="289"/>
      <c r="FS41" s="289"/>
      <c r="FT41" s="289"/>
      <c r="FU41" s="289"/>
      <c r="FV41" s="289"/>
      <c r="FW41" s="289"/>
      <c r="FX41" s="289"/>
      <c r="FY41" s="289"/>
      <c r="FZ41" s="289"/>
      <c r="GA41" s="289"/>
      <c r="GB41" s="289"/>
      <c r="GC41" s="289"/>
      <c r="GD41" s="289"/>
      <c r="GE41" s="289"/>
      <c r="GF41" s="289"/>
      <c r="GG41" s="289"/>
      <c r="GH41" s="289"/>
      <c r="GI41" s="289"/>
      <c r="GJ41" s="289"/>
      <c r="GK41" s="289"/>
      <c r="GL41" s="289"/>
      <c r="GM41" s="289"/>
      <c r="GN41" s="289"/>
      <c r="GO41" s="289"/>
      <c r="GP41" s="289"/>
      <c r="GQ41" s="289"/>
      <c r="GR41" s="289"/>
      <c r="GS41" s="289"/>
      <c r="GT41" s="289"/>
      <c r="GU41" s="289"/>
      <c r="GV41" s="289"/>
      <c r="GW41" s="289"/>
      <c r="GX41" s="289"/>
      <c r="GY41" s="289"/>
      <c r="GZ41" s="289"/>
      <c r="HA41" s="289"/>
      <c r="HB41" s="289"/>
      <c r="HC41" s="289"/>
      <c r="HD41" s="289"/>
      <c r="HE41" s="289"/>
      <c r="HF41" s="289"/>
      <c r="HG41" s="289"/>
      <c r="HH41" s="289"/>
      <c r="HI41" s="289"/>
      <c r="HJ41" s="289"/>
      <c r="HK41" s="289"/>
      <c r="HL41" s="289"/>
      <c r="HM41" s="289"/>
      <c r="HN41" s="289"/>
      <c r="HO41" s="289"/>
      <c r="HP41" s="289"/>
      <c r="HQ41" s="289"/>
      <c r="HR41" s="289"/>
      <c r="HS41" s="289"/>
      <c r="HT41" s="289"/>
      <c r="HU41" s="289"/>
      <c r="HV41" s="289"/>
      <c r="HW41" s="289"/>
      <c r="HX41" s="289"/>
      <c r="HY41" s="289"/>
      <c r="HZ41" s="289"/>
      <c r="IA41" s="289"/>
      <c r="IB41" s="289"/>
      <c r="IC41" s="289"/>
      <c r="ID41" s="289"/>
      <c r="IE41" s="289"/>
      <c r="IF41" s="289"/>
      <c r="IG41" s="289"/>
      <c r="IH41" s="289"/>
      <c r="II41" s="289"/>
      <c r="IJ41" s="289"/>
      <c r="IK41" s="289"/>
      <c r="IL41" s="289"/>
      <c r="IM41" s="289"/>
      <c r="IN41" s="289"/>
      <c r="IO41" s="289"/>
      <c r="IP41" s="289"/>
      <c r="IQ41" s="289"/>
      <c r="IR41" s="289"/>
      <c r="IS41" s="289"/>
      <c r="IT41" s="289"/>
      <c r="IU41" s="289"/>
      <c r="IV41" s="289"/>
      <c r="IW41" s="289"/>
      <c r="IX41" s="289"/>
    </row>
    <row r="42" spans="1:258" s="21" customFormat="1" ht="17.100000000000001" customHeight="1" thickBot="1">
      <c r="A42" s="289"/>
      <c r="B42" s="289"/>
      <c r="C42" s="527" t="s">
        <v>932</v>
      </c>
      <c r="D42" s="410"/>
      <c r="E42" s="2652" t="s">
        <v>941</v>
      </c>
      <c r="F42" s="2653" t="s">
        <v>941</v>
      </c>
      <c r="G42" s="2652" t="s">
        <v>941</v>
      </c>
      <c r="H42" s="410"/>
      <c r="I42" s="376" t="s">
        <v>942</v>
      </c>
      <c r="J42" s="2655" t="s">
        <v>957</v>
      </c>
      <c r="K42" s="2615">
        <f>MIN(J11:J41)</f>
        <v>6.2</v>
      </c>
      <c r="L42" s="1215"/>
      <c r="M42" s="2655" t="s">
        <v>957</v>
      </c>
      <c r="N42" s="2615">
        <f>MIN(M11:M41)</f>
        <v>6</v>
      </c>
      <c r="O42" s="1215"/>
      <c r="P42" s="2652" t="s">
        <v>941</v>
      </c>
      <c r="Q42" s="2652" t="s">
        <v>941</v>
      </c>
      <c r="R42" s="376" t="s">
        <v>964</v>
      </c>
      <c r="S42" s="1221"/>
      <c r="T42" s="376" t="s">
        <v>964</v>
      </c>
      <c r="U42" s="2632"/>
      <c r="V42" s="4"/>
      <c r="W42" s="444"/>
      <c r="X42" s="2608"/>
      <c r="Y42" s="1341" t="s">
        <v>964</v>
      </c>
      <c r="Z42" s="2621"/>
      <c r="AA42" s="1341" t="s">
        <v>964</v>
      </c>
      <c r="AB42" s="2621"/>
      <c r="AC42" s="2671" t="s">
        <v>942</v>
      </c>
      <c r="AD42" s="376" t="s">
        <v>984</v>
      </c>
      <c r="AE42" s="1221"/>
      <c r="AF42" s="2715" t="s">
        <v>1462</v>
      </c>
      <c r="AG42" s="2717"/>
      <c r="AH42" s="2446" t="s">
        <v>1391</v>
      </c>
      <c r="AI42" s="2629"/>
      <c r="AJ42" s="373"/>
      <c r="AK42" s="530" t="s">
        <v>994</v>
      </c>
      <c r="AL42" s="531"/>
      <c r="AM42" s="532">
        <f>ROUND(AVERAGE(AM11:AM41),2)</f>
        <v>0.05</v>
      </c>
      <c r="AN42" s="532">
        <f>ROUND(AVERAGE(AN11:AN41),2)</f>
        <v>0.13</v>
      </c>
      <c r="AO42" s="533">
        <f>ROUND(AVERAGE(AO11:AO41),1)</f>
        <v>25.3</v>
      </c>
      <c r="AP42" s="533">
        <f>ROUND(AVERAGE(AP11:AP41),1)</f>
        <v>36</v>
      </c>
      <c r="AQ42" s="532">
        <f>ROUND(AVERAGE(AQ11:AQ41),2)</f>
        <v>0.65</v>
      </c>
      <c r="AR42" s="532">
        <f>ROUND(AVERAGE(AR11:AR41),2)</f>
        <v>3.27</v>
      </c>
      <c r="AS42" s="533">
        <f>ROUND(AVERAGE(AS11:AS41),1)</f>
        <v>13.4</v>
      </c>
      <c r="AT42" s="533">
        <f>ROUND(AVERAGE(AT11:AT41),1)</f>
        <v>13.6</v>
      </c>
      <c r="AU42" s="533">
        <f>MIN(AU11:AU41)</f>
        <v>3.94</v>
      </c>
      <c r="AV42" s="2614">
        <f>MAX(AV11:AV41)</f>
        <v>1540</v>
      </c>
      <c r="AW42" s="528"/>
      <c r="AX42" s="529"/>
      <c r="AY42" s="529"/>
      <c r="AZ42" s="529"/>
      <c r="BA42" s="529"/>
      <c r="BB42" s="2636"/>
      <c r="BC42" s="373"/>
      <c r="BD42" s="384" t="s">
        <v>1047</v>
      </c>
      <c r="BE42" s="383"/>
      <c r="BF42" s="3"/>
      <c r="BG42" s="3"/>
      <c r="BH42" s="373"/>
      <c r="BI42" s="377" t="s">
        <v>1077</v>
      </c>
      <c r="BJ42" s="377"/>
      <c r="BK42" s="377"/>
      <c r="BL42" s="377"/>
      <c r="BM42" s="377"/>
      <c r="BN42" s="377"/>
      <c r="BO42" s="377"/>
      <c r="BP42" s="377"/>
      <c r="BQ42" s="2629"/>
      <c r="BR42" s="373"/>
      <c r="BS42" s="289"/>
      <c r="BT42" s="289"/>
      <c r="BU42" s="289"/>
      <c r="BV42" s="289"/>
      <c r="BW42" s="289"/>
      <c r="BX42" s="289"/>
      <c r="BY42" s="289"/>
      <c r="BZ42" s="289"/>
      <c r="CA42" s="289"/>
      <c r="CB42" s="189"/>
      <c r="CC42" s="189"/>
      <c r="CD42" s="297" t="s">
        <v>131</v>
      </c>
      <c r="CE42" s="255">
        <f t="shared" ref="CE42:CL42" ca="1" si="94">ROUND(AVERAGE(CE11:CE41),-2)</f>
        <v>108300</v>
      </c>
      <c r="CF42" s="1347">
        <f t="shared" ca="1" si="94"/>
        <v>5500</v>
      </c>
      <c r="CG42" s="256">
        <f t="shared" ca="1" si="94"/>
        <v>108500</v>
      </c>
      <c r="CH42" s="256">
        <f t="shared" ca="1" si="94"/>
        <v>12200</v>
      </c>
      <c r="CI42" s="1356">
        <f t="shared" ca="1" si="94"/>
        <v>118400</v>
      </c>
      <c r="CJ42" s="1347">
        <f t="shared" ca="1" si="94"/>
        <v>6500</v>
      </c>
      <c r="CK42" s="1347">
        <f t="shared" ca="1" si="94"/>
        <v>120600</v>
      </c>
      <c r="CL42" s="256">
        <f t="shared" ca="1" si="94"/>
        <v>14200</v>
      </c>
      <c r="CM42" s="228">
        <f ca="1">ROUND(AVERAGE(CM11:CM41),0)</f>
        <v>141</v>
      </c>
      <c r="CN42" s="229">
        <f ca="1">ROUND(AVERAGE(CN11:CN41),0)</f>
        <v>7</v>
      </c>
      <c r="CO42" s="229">
        <f ca="1">ROUND(AVERAGE(CO11:CO41),0)</f>
        <v>138</v>
      </c>
      <c r="CP42" s="229">
        <f ca="1">ROUND(AVERAGE(CP11:CP41),0)</f>
        <v>15</v>
      </c>
      <c r="CQ42" s="257"/>
      <c r="CR42" s="258"/>
      <c r="CS42" s="258"/>
      <c r="CT42" s="258"/>
      <c r="CU42" s="258"/>
      <c r="CV42" s="258"/>
      <c r="CW42" s="258"/>
      <c r="CX42" s="258"/>
      <c r="CY42" s="259">
        <f ca="1">ROUND(AVERAGE(CY11:CY41),1)</f>
        <v>36.200000000000003</v>
      </c>
      <c r="CZ42" s="259">
        <f ca="1">ROUND(AVERAGE(CZ11:CZ41),1)</f>
        <v>17.5</v>
      </c>
      <c r="DA42" s="233">
        <f ca="1">AVERAGE(DA11:DA41)</f>
        <v>30508.90374193549</v>
      </c>
      <c r="DB42" s="233">
        <f ca="1">AVERAGE(DB11:DB41)</f>
        <v>15028.518580645159</v>
      </c>
      <c r="DC42" s="260" t="s">
        <v>1117</v>
      </c>
      <c r="DD42" s="258"/>
      <c r="DE42" s="534"/>
      <c r="DF42" s="535" t="s">
        <v>162</v>
      </c>
      <c r="DG42" s="536"/>
      <c r="DH42" s="482"/>
      <c r="DI42" s="482"/>
      <c r="DJ42" s="482"/>
      <c r="DK42" s="482"/>
      <c r="DL42" s="482"/>
      <c r="DM42" s="482"/>
      <c r="DN42" s="482"/>
      <c r="DO42" s="482"/>
      <c r="DP42" s="482"/>
      <c r="DQ42" s="482"/>
      <c r="DR42" s="482"/>
      <c r="DS42" s="366"/>
      <c r="DT42" s="389"/>
      <c r="DU42" s="389"/>
      <c r="DV42" s="389"/>
      <c r="DW42" s="389"/>
      <c r="DX42" s="389"/>
      <c r="DY42" s="389"/>
      <c r="DZ42" s="389"/>
      <c r="EA42" s="389"/>
      <c r="EB42" s="389"/>
      <c r="EC42" s="389"/>
      <c r="ED42" s="389"/>
      <c r="EE42" s="389"/>
      <c r="EF42" s="389"/>
      <c r="EG42" s="366"/>
      <c r="EH42" s="367"/>
      <c r="EI42" s="367"/>
      <c r="EJ42" s="367"/>
      <c r="EK42" s="367"/>
      <c r="EL42" s="367"/>
      <c r="EM42" s="367"/>
      <c r="EN42" s="367"/>
      <c r="EO42" s="367"/>
      <c r="EP42" s="367"/>
      <c r="EQ42" s="367"/>
      <c r="ER42" s="367"/>
      <c r="ES42" s="367"/>
      <c r="ET42" s="367"/>
      <c r="EU42" s="367"/>
      <c r="EV42" s="289"/>
      <c r="EW42" s="537" t="s">
        <v>203</v>
      </c>
      <c r="EX42" s="538">
        <f>SUM(EX11:EX41)</f>
        <v>0</v>
      </c>
      <c r="EY42" s="408"/>
      <c r="EZ42" s="289"/>
      <c r="FA42" s="289"/>
      <c r="FB42" s="289"/>
      <c r="FC42" s="289"/>
      <c r="FD42" s="289"/>
      <c r="FE42" s="289"/>
      <c r="FF42" s="289"/>
      <c r="FG42" s="289"/>
      <c r="FH42" s="289"/>
      <c r="FI42" s="289"/>
      <c r="FJ42" s="289"/>
      <c r="FK42" s="289"/>
      <c r="FL42" s="289"/>
      <c r="FM42" s="289"/>
      <c r="FN42" s="289"/>
      <c r="FO42" s="289"/>
      <c r="FP42" s="289"/>
      <c r="FQ42" s="289"/>
      <c r="FR42" s="289"/>
      <c r="FS42" s="289"/>
      <c r="FT42" s="289"/>
      <c r="FU42" s="289"/>
      <c r="FV42" s="289"/>
      <c r="FW42" s="289"/>
      <c r="FX42" s="289"/>
      <c r="FY42" s="289"/>
      <c r="FZ42" s="289"/>
      <c r="GA42" s="289"/>
      <c r="GB42" s="289"/>
      <c r="GC42" s="289"/>
      <c r="GD42" s="289"/>
      <c r="GE42" s="289"/>
      <c r="GF42" s="289"/>
      <c r="GG42" s="289"/>
      <c r="GH42" s="289"/>
      <c r="GI42" s="289"/>
      <c r="GJ42" s="289"/>
      <c r="GK42" s="289"/>
      <c r="GL42" s="289"/>
      <c r="GM42" s="289"/>
      <c r="GN42" s="289"/>
      <c r="GO42" s="289"/>
      <c r="GP42" s="289"/>
      <c r="GQ42" s="289"/>
      <c r="GR42" s="289"/>
      <c r="GS42" s="289"/>
      <c r="GT42" s="289"/>
      <c r="GU42" s="289"/>
      <c r="GV42" s="289"/>
      <c r="GW42" s="289"/>
      <c r="GX42" s="289"/>
      <c r="GY42" s="289"/>
      <c r="GZ42" s="289"/>
      <c r="HA42" s="289"/>
      <c r="HB42" s="289"/>
      <c r="HC42" s="289"/>
      <c r="HD42" s="289"/>
      <c r="HE42" s="289"/>
      <c r="HF42" s="289"/>
      <c r="HG42" s="289"/>
      <c r="HH42" s="289"/>
      <c r="HI42" s="289"/>
      <c r="HJ42" s="289"/>
      <c r="HK42" s="289"/>
      <c r="HL42" s="289"/>
      <c r="HM42" s="289"/>
      <c r="HN42" s="289"/>
      <c r="HO42" s="289"/>
      <c r="HP42" s="289"/>
      <c r="HQ42" s="289"/>
      <c r="HR42" s="289"/>
      <c r="HS42" s="289"/>
      <c r="HT42" s="289"/>
      <c r="HU42" s="289"/>
      <c r="HV42" s="289"/>
      <c r="HW42" s="289"/>
      <c r="HX42" s="289"/>
      <c r="HY42" s="289"/>
      <c r="HZ42" s="289"/>
      <c r="IA42" s="289"/>
      <c r="IB42" s="289"/>
      <c r="IC42" s="289"/>
      <c r="ID42" s="289"/>
      <c r="IE42" s="289"/>
      <c r="IF42" s="289"/>
      <c r="IG42" s="289"/>
      <c r="IH42" s="289"/>
      <c r="II42" s="289"/>
      <c r="IJ42" s="289"/>
      <c r="IK42" s="289"/>
      <c r="IL42" s="289"/>
      <c r="IM42" s="289"/>
      <c r="IN42" s="289"/>
      <c r="IO42" s="289"/>
      <c r="IP42" s="289"/>
      <c r="IQ42" s="289"/>
      <c r="IR42" s="289"/>
      <c r="IS42" s="289"/>
      <c r="IT42" s="289"/>
      <c r="IU42" s="289"/>
      <c r="IV42" s="289"/>
      <c r="IW42" s="289"/>
      <c r="IX42" s="289"/>
    </row>
    <row r="43" spans="1:258" s="21" customFormat="1" ht="17.100000000000001" customHeight="1" thickBot="1">
      <c r="A43" s="289"/>
      <c r="B43" s="289"/>
      <c r="C43" s="527" t="s">
        <v>933</v>
      </c>
      <c r="D43" s="410"/>
      <c r="E43" s="2652" t="s">
        <v>942</v>
      </c>
      <c r="F43" s="2653" t="s">
        <v>954</v>
      </c>
      <c r="G43" s="2652" t="s">
        <v>942</v>
      </c>
      <c r="H43" s="410"/>
      <c r="I43" s="539">
        <f>ROUND(AVERAGE(I11:I41),0)</f>
        <v>17</v>
      </c>
      <c r="J43" s="2655" t="s">
        <v>954</v>
      </c>
      <c r="K43" s="2615">
        <f>MAX(K11:K41)</f>
        <v>7.5</v>
      </c>
      <c r="L43" s="1215"/>
      <c r="M43" s="2655" t="s">
        <v>954</v>
      </c>
      <c r="N43" s="2615">
        <f>MAX(N11:N41)</f>
        <v>7.1</v>
      </c>
      <c r="O43" s="1215"/>
      <c r="P43" s="2652" t="s">
        <v>954</v>
      </c>
      <c r="Q43" s="2652" t="s">
        <v>954</v>
      </c>
      <c r="R43" s="2652" t="s">
        <v>956</v>
      </c>
      <c r="S43" s="2652" t="s">
        <v>952</v>
      </c>
      <c r="T43" s="2652" t="s">
        <v>956</v>
      </c>
      <c r="U43" s="2634" t="s">
        <v>952</v>
      </c>
      <c r="V43" s="5"/>
      <c r="W43" s="444"/>
      <c r="X43" s="2608"/>
      <c r="Y43" s="540" t="s">
        <v>956</v>
      </c>
      <c r="Z43" s="540" t="s">
        <v>952</v>
      </c>
      <c r="AA43" s="540" t="s">
        <v>956</v>
      </c>
      <c r="AB43" s="540" t="s">
        <v>952</v>
      </c>
      <c r="AC43" s="2672">
        <f>(AVERAGE(AC11:AC41))</f>
        <v>0.4548387096774193</v>
      </c>
      <c r="AD43" s="376" t="s">
        <v>985</v>
      </c>
      <c r="AE43" s="1221"/>
      <c r="AF43" s="2715"/>
      <c r="AG43" s="2717"/>
      <c r="AH43" s="2447" t="s">
        <v>1392</v>
      </c>
      <c r="AI43" s="2629"/>
      <c r="AJ43" s="373"/>
      <c r="AK43" s="373" t="s">
        <v>995</v>
      </c>
      <c r="AL43" s="377"/>
      <c r="AM43" s="541" t="s">
        <v>1003</v>
      </c>
      <c r="AN43" s="542"/>
      <c r="AO43" s="542"/>
      <c r="AP43" s="542"/>
      <c r="AQ43" s="541" t="s">
        <v>1003</v>
      </c>
      <c r="AR43" s="542"/>
      <c r="AS43" s="542"/>
      <c r="AT43" s="542"/>
      <c r="AU43" s="543" t="s">
        <v>957</v>
      </c>
      <c r="AV43" s="539" t="s">
        <v>954</v>
      </c>
      <c r="AW43" s="444"/>
      <c r="AX43" s="2608"/>
      <c r="AY43" s="2608"/>
      <c r="AZ43" s="2608"/>
      <c r="BA43" s="2608"/>
      <c r="BB43" s="2637"/>
      <c r="BC43" s="373"/>
      <c r="BD43" s="3"/>
      <c r="BE43" s="369"/>
      <c r="BF43" s="369"/>
      <c r="BG43" s="369"/>
      <c r="BH43" s="377"/>
      <c r="BI43" s="377"/>
      <c r="BJ43" s="377"/>
      <c r="BK43" s="377"/>
      <c r="BL43" s="377"/>
      <c r="BM43" s="377"/>
      <c r="BN43" s="377"/>
      <c r="BO43" s="377"/>
      <c r="BP43" s="377"/>
      <c r="BQ43" s="2629"/>
      <c r="BR43" s="373"/>
      <c r="BS43" s="289"/>
      <c r="BT43" s="289"/>
      <c r="BU43" s="289"/>
      <c r="BV43" s="289"/>
      <c r="BW43" s="289"/>
      <c r="BX43" s="289"/>
      <c r="BY43" s="289"/>
      <c r="BZ43" s="289"/>
      <c r="CA43" s="289"/>
      <c r="CB43" s="189"/>
      <c r="CC43" s="189"/>
      <c r="CD43" s="261"/>
      <c r="CE43" s="262" t="s">
        <v>134</v>
      </c>
      <c r="CF43" s="263"/>
      <c r="CG43" s="263"/>
      <c r="CH43" s="263"/>
      <c r="CI43" s="262" t="s">
        <v>1118</v>
      </c>
      <c r="CJ43" s="263"/>
      <c r="CK43" s="263"/>
      <c r="CL43" s="263"/>
      <c r="CM43" s="264" t="s">
        <v>145</v>
      </c>
      <c r="CN43" s="265"/>
      <c r="CO43" s="265"/>
      <c r="CP43" s="265"/>
      <c r="CQ43" s="544" t="s">
        <v>150</v>
      </c>
      <c r="CR43" s="280" t="s">
        <v>1119</v>
      </c>
      <c r="CS43" s="191"/>
      <c r="CT43" s="191"/>
      <c r="CU43" s="191"/>
      <c r="CV43" s="191"/>
      <c r="CW43" s="191"/>
      <c r="CX43" s="191"/>
      <c r="CY43" s="212" t="s">
        <v>1120</v>
      </c>
      <c r="CZ43" s="211"/>
      <c r="DA43" s="266">
        <f ca="1">ROUND(AVERAGE(DA11:DA41),-2)</f>
        <v>30500</v>
      </c>
      <c r="DB43" s="266">
        <f ca="1">ROUND(AVERAGE(DB11:DB41),-2)</f>
        <v>15000</v>
      </c>
      <c r="DC43" s="260" t="s">
        <v>1121</v>
      </c>
      <c r="DD43" s="258"/>
      <c r="DE43" s="534"/>
      <c r="DF43" s="535"/>
      <c r="DG43" s="545" t="s">
        <v>163</v>
      </c>
      <c r="DH43" s="482"/>
      <c r="DI43" s="482"/>
      <c r="DJ43" s="482"/>
      <c r="DK43" s="482"/>
      <c r="DL43" s="482"/>
      <c r="DM43" s="482"/>
      <c r="DN43" s="482"/>
      <c r="DO43" s="482"/>
      <c r="DP43" s="482"/>
      <c r="DQ43" s="482"/>
      <c r="DR43" s="482"/>
      <c r="DS43" s="366"/>
      <c r="DT43" s="365"/>
      <c r="DU43" s="365"/>
      <c r="DV43" s="365"/>
      <c r="DW43" s="365"/>
      <c r="DX43" s="365"/>
      <c r="DY43" s="365"/>
      <c r="DZ43" s="365"/>
      <c r="EA43" s="365"/>
      <c r="EB43" s="365"/>
      <c r="EC43" s="365"/>
      <c r="ED43" s="365"/>
      <c r="EE43" s="365"/>
      <c r="EF43" s="365"/>
      <c r="EG43" s="366"/>
      <c r="EH43" s="367"/>
      <c r="EI43" s="367"/>
      <c r="EJ43" s="367"/>
      <c r="EK43" s="367"/>
      <c r="EL43" s="367"/>
      <c r="EM43" s="367"/>
      <c r="EN43" s="367"/>
      <c r="EO43" s="367"/>
      <c r="EP43" s="367"/>
      <c r="EQ43" s="367"/>
      <c r="ER43" s="367"/>
      <c r="ES43" s="367"/>
      <c r="ET43" s="367"/>
      <c r="EU43" s="367"/>
      <c r="EV43" s="289"/>
      <c r="EW43" s="189"/>
      <c r="EX43" s="546"/>
      <c r="EY43" s="368"/>
      <c r="EZ43" s="289"/>
      <c r="FA43" s="289"/>
      <c r="FB43" s="289"/>
      <c r="FC43" s="289"/>
      <c r="FD43" s="289"/>
      <c r="FE43" s="289"/>
      <c r="FF43" s="289"/>
      <c r="FG43" s="289"/>
      <c r="FH43" s="289"/>
      <c r="FI43" s="289"/>
      <c r="FJ43" s="289"/>
      <c r="FK43" s="289"/>
      <c r="FL43" s="289"/>
      <c r="FM43" s="289"/>
      <c r="FN43" s="289"/>
      <c r="FO43" s="289"/>
      <c r="FP43" s="289"/>
      <c r="FQ43" s="289"/>
      <c r="FR43" s="289"/>
      <c r="FS43" s="289"/>
      <c r="FT43" s="289"/>
      <c r="FU43" s="289"/>
      <c r="FV43" s="289"/>
      <c r="FW43" s="289"/>
      <c r="FX43" s="289"/>
      <c r="FY43" s="289"/>
      <c r="FZ43" s="289"/>
      <c r="GA43" s="289"/>
      <c r="GB43" s="289"/>
      <c r="GC43" s="289"/>
      <c r="GD43" s="289"/>
      <c r="GE43" s="289"/>
      <c r="GF43" s="289"/>
      <c r="GG43" s="289"/>
      <c r="GH43" s="289"/>
      <c r="GI43" s="289"/>
      <c r="GJ43" s="289"/>
      <c r="GK43" s="289"/>
      <c r="GL43" s="289"/>
      <c r="GM43" s="289"/>
      <c r="GN43" s="289"/>
      <c r="GO43" s="289"/>
      <c r="GP43" s="289"/>
      <c r="GQ43" s="289"/>
      <c r="GR43" s="289"/>
      <c r="GS43" s="289"/>
      <c r="GT43" s="289"/>
      <c r="GU43" s="289"/>
      <c r="GV43" s="289"/>
      <c r="GW43" s="289"/>
      <c r="GX43" s="289"/>
      <c r="GY43" s="289"/>
      <c r="GZ43" s="289"/>
      <c r="HA43" s="289"/>
      <c r="HB43" s="289"/>
      <c r="HC43" s="289"/>
      <c r="HD43" s="289"/>
      <c r="HE43" s="289"/>
      <c r="HF43" s="289"/>
      <c r="HG43" s="289"/>
      <c r="HH43" s="289"/>
      <c r="HI43" s="289"/>
      <c r="HJ43" s="289"/>
      <c r="HK43" s="289"/>
      <c r="HL43" s="289"/>
      <c r="HM43" s="289"/>
      <c r="HN43" s="289"/>
      <c r="HO43" s="289"/>
      <c r="HP43" s="289"/>
      <c r="HQ43" s="289"/>
      <c r="HR43" s="289"/>
      <c r="HS43" s="289"/>
      <c r="HT43" s="289"/>
      <c r="HU43" s="289"/>
      <c r="HV43" s="289"/>
      <c r="HW43" s="289"/>
      <c r="HX43" s="289"/>
      <c r="HY43" s="289"/>
      <c r="HZ43" s="289"/>
      <c r="IA43" s="289"/>
      <c r="IB43" s="289"/>
      <c r="IC43" s="289"/>
      <c r="ID43" s="289"/>
      <c r="IE43" s="289"/>
      <c r="IF43" s="289"/>
      <c r="IG43" s="289"/>
      <c r="IH43" s="289"/>
      <c r="II43" s="289"/>
      <c r="IJ43" s="289"/>
      <c r="IK43" s="289"/>
      <c r="IL43" s="289"/>
      <c r="IM43" s="289"/>
      <c r="IN43" s="289"/>
      <c r="IO43" s="289"/>
      <c r="IP43" s="289"/>
      <c r="IQ43" s="289"/>
      <c r="IR43" s="289"/>
      <c r="IS43" s="289"/>
      <c r="IT43" s="289"/>
      <c r="IU43" s="289"/>
      <c r="IV43" s="289"/>
      <c r="IW43" s="289"/>
      <c r="IX43" s="289"/>
    </row>
    <row r="44" spans="1:258" s="21" customFormat="1" ht="17.100000000000001" customHeight="1" thickBot="1">
      <c r="A44" s="289"/>
      <c r="B44" s="289"/>
      <c r="C44" s="527">
        <v>150</v>
      </c>
      <c r="D44" s="410"/>
      <c r="E44" s="2652">
        <f ca="1">ROUND(AVERAGE(E11:E41),0)</f>
        <v>93</v>
      </c>
      <c r="F44" s="2654">
        <f>ROUND(MAX(F11:F41),0)</f>
        <v>224</v>
      </c>
      <c r="G44" s="539">
        <f>ROUND(AVERAGE(G11:G41),0)</f>
        <v>103</v>
      </c>
      <c r="H44" s="410"/>
      <c r="I44" s="2651" t="s">
        <v>954</v>
      </c>
      <c r="J44" s="2655" t="s">
        <v>958</v>
      </c>
      <c r="K44" s="1221"/>
      <c r="L44" s="2663"/>
      <c r="M44" s="2655" t="s">
        <v>958</v>
      </c>
      <c r="N44" s="1221"/>
      <c r="O44" s="2664"/>
      <c r="P44" s="543"/>
      <c r="Q44" s="543"/>
      <c r="R44" s="547">
        <f>ROUND(AVERAGE(R11:R41),0)</f>
        <v>140</v>
      </c>
      <c r="S44" s="547">
        <f>ROUND(AVERAGE(S11:S41),0)</f>
        <v>7</v>
      </c>
      <c r="T44" s="547">
        <f>ROUND(AVERAGE(T11:T41),0)</f>
        <v>139</v>
      </c>
      <c r="U44" s="2665">
        <f>ROUND(AVERAGE(U11:U41),0)</f>
        <v>16</v>
      </c>
      <c r="V44" s="5"/>
      <c r="W44" s="444"/>
      <c r="X44" s="2608"/>
      <c r="Y44" s="543">
        <f>IF(AVERAGE(Y11:Y41)&lt;1,ROUND(AVERAGE(Y11:Y41),2),ROUND(AVERAGE(Y11:Y41),1))</f>
        <v>4.8</v>
      </c>
      <c r="Z44" s="543">
        <f>IF(AVERAGE(Z11:Z41)&lt;1,ROUND(AVERAGE(Z11:Z41),2),ROUND(AVERAGE(Z11:Z41),1))</f>
        <v>2.6</v>
      </c>
      <c r="AA44" s="543">
        <f>IF(AVERAGE(AA11:AA41)&lt;1,ROUND(AVERAGE(AA11:AA41),2),ROUND(AVERAGE(AA11:AA41),1))</f>
        <v>2.8</v>
      </c>
      <c r="AB44" s="543">
        <f>IF(AVERAGE(AB11:AB41)&lt;1,ROUND(AVERAGE(AB11:AB41),2),ROUND(AVERAGE(AB11:AB41),2))</f>
        <v>2.11</v>
      </c>
      <c r="AC44" s="2673" t="s">
        <v>954</v>
      </c>
      <c r="AD44" s="2065" t="s">
        <v>972</v>
      </c>
      <c r="AE44" s="1221">
        <f>ROUND(PRODUCT(AE11:AE41)^(1/COUNT(AE11:AE41)),0)</f>
        <v>28</v>
      </c>
      <c r="AF44" s="2675"/>
      <c r="AG44" s="2676">
        <f>MAX(AG11:AG41)</f>
        <v>1</v>
      </c>
      <c r="AH44" s="2447" t="s">
        <v>1393</v>
      </c>
      <c r="AI44" s="2629"/>
      <c r="AJ44" s="373"/>
      <c r="AK44" s="3" t="s">
        <v>996</v>
      </c>
      <c r="AL44" s="369"/>
      <c r="AM44" s="548"/>
      <c r="AN44" s="549"/>
      <c r="AO44" s="549"/>
      <c r="AP44" s="549"/>
      <c r="AQ44" s="549"/>
      <c r="AR44" s="549"/>
      <c r="AS44" s="549"/>
      <c r="AT44" s="549"/>
      <c r="AU44" s="550">
        <f>ROUND(AVERAGE(AU11:AU41),1)</f>
        <v>4.9000000000000004</v>
      </c>
      <c r="AV44" s="551">
        <f>ROUND(AVERAGE(AV11:AV41),-1)</f>
        <v>530</v>
      </c>
      <c r="AW44" s="444"/>
      <c r="AX44" s="2608"/>
      <c r="AY44" s="2608"/>
      <c r="AZ44" s="2608"/>
      <c r="BA44" s="2608"/>
      <c r="BB44" s="2637"/>
      <c r="BC44" s="373"/>
      <c r="BD44" s="373"/>
      <c r="BE44" s="377"/>
      <c r="BF44" s="377"/>
      <c r="BG44" s="377"/>
      <c r="BH44" s="377"/>
      <c r="BI44" s="377"/>
      <c r="BJ44" s="377"/>
      <c r="BK44" s="377"/>
      <c r="BL44" s="377"/>
      <c r="BM44" s="377"/>
      <c r="BN44" s="377"/>
      <c r="BO44" s="377"/>
      <c r="BP44" s="377"/>
      <c r="BQ44" s="2699"/>
      <c r="BR44" s="373"/>
      <c r="BS44" s="289"/>
      <c r="BT44" s="289"/>
      <c r="BU44" s="289"/>
      <c r="BV44" s="289"/>
      <c r="BW44" s="289"/>
      <c r="BX44" s="289"/>
      <c r="BY44" s="289"/>
      <c r="BZ44" s="289"/>
      <c r="CA44" s="289"/>
      <c r="CB44" s="189"/>
      <c r="CC44" s="189"/>
      <c r="CD44" s="189"/>
      <c r="CE44" s="267" t="s">
        <v>135</v>
      </c>
      <c r="CF44" s="268" t="s">
        <v>138</v>
      </c>
      <c r="CG44" s="268" t="s">
        <v>1122</v>
      </c>
      <c r="CH44" s="268" t="s">
        <v>141</v>
      </c>
      <c r="CI44" s="267" t="s">
        <v>135</v>
      </c>
      <c r="CJ44" s="268" t="s">
        <v>138</v>
      </c>
      <c r="CK44" s="268" t="s">
        <v>1122</v>
      </c>
      <c r="CL44" s="268" t="s">
        <v>141</v>
      </c>
      <c r="CM44" s="269" t="s">
        <v>965</v>
      </c>
      <c r="CN44" s="1822">
        <f ca="1">ROUND(+(CM42-CN42)/CM42,2)</f>
        <v>0.95</v>
      </c>
      <c r="CO44" s="1779" t="s">
        <v>965</v>
      </c>
      <c r="CP44" s="1822">
        <f ca="1">ROUND(+(CO42-CP42)/CO42,2)</f>
        <v>0.89</v>
      </c>
      <c r="CQ44" s="270"/>
      <c r="CR44" s="280" t="s">
        <v>1123</v>
      </c>
      <c r="CS44" s="191"/>
      <c r="CT44" s="191"/>
      <c r="CU44" s="191"/>
      <c r="CV44" s="191"/>
      <c r="CW44" s="191"/>
      <c r="CX44" s="191"/>
      <c r="CY44" s="258"/>
      <c r="CZ44" s="258"/>
      <c r="DA44" s="213" t="s">
        <v>1124</v>
      </c>
      <c r="DB44" s="213" t="s">
        <v>1125</v>
      </c>
      <c r="DC44" s="260"/>
      <c r="DD44" s="258"/>
      <c r="DE44" s="482"/>
      <c r="DF44" s="535"/>
      <c r="DG44" s="552" t="s">
        <v>164</v>
      </c>
      <c r="DH44" s="482"/>
      <c r="DI44" s="482"/>
      <c r="DJ44" s="482"/>
      <c r="DK44" s="482"/>
      <c r="DL44" s="482"/>
      <c r="DM44" s="482"/>
      <c r="DN44" s="482"/>
      <c r="DO44" s="482"/>
      <c r="DP44" s="482"/>
      <c r="DQ44" s="482"/>
      <c r="DR44" s="482"/>
      <c r="DS44" s="366"/>
      <c r="DT44" s="1209"/>
      <c r="DU44" s="365"/>
      <c r="DV44" s="553"/>
      <c r="DW44" s="365"/>
      <c r="DX44" s="365"/>
      <c r="DY44" s="365"/>
      <c r="DZ44" s="365"/>
      <c r="EA44" s="365"/>
      <c r="EB44" s="365"/>
      <c r="EC44" s="365"/>
      <c r="ED44" s="365"/>
      <c r="EE44" s="365"/>
      <c r="EF44" s="365"/>
      <c r="EG44" s="366"/>
      <c r="EH44" s="554"/>
      <c r="EI44" s="554"/>
      <c r="EJ44" s="554"/>
      <c r="EK44" s="554"/>
      <c r="EL44" s="554"/>
      <c r="EM44" s="554"/>
      <c r="EN44" s="554"/>
      <c r="EO44" s="554"/>
      <c r="EP44" s="554"/>
      <c r="EQ44" s="554"/>
      <c r="ER44" s="554"/>
      <c r="ES44" s="554"/>
      <c r="ET44" s="554"/>
      <c r="EU44" s="554"/>
      <c r="EV44" s="554"/>
      <c r="EW44" s="554"/>
      <c r="EX44" s="554"/>
      <c r="EY44" s="368"/>
      <c r="EZ44" s="289"/>
      <c r="FA44" s="289"/>
      <c r="FB44" s="289"/>
      <c r="FC44" s="289"/>
      <c r="FD44" s="289"/>
      <c r="FE44" s="289"/>
      <c r="FF44" s="289"/>
      <c r="FG44" s="289"/>
      <c r="FH44" s="289"/>
      <c r="FI44" s="289"/>
      <c r="FJ44" s="289"/>
      <c r="FK44" s="289"/>
      <c r="FL44" s="289"/>
      <c r="FM44" s="289"/>
      <c r="FN44" s="289"/>
      <c r="FO44" s="289"/>
      <c r="FP44" s="289"/>
      <c r="FQ44" s="289"/>
      <c r="FR44" s="289"/>
      <c r="FS44" s="289"/>
      <c r="FT44" s="289"/>
      <c r="FU44" s="289"/>
      <c r="FV44" s="289"/>
      <c r="FW44" s="289"/>
      <c r="FX44" s="289"/>
      <c r="FY44" s="289"/>
      <c r="FZ44" s="289"/>
      <c r="GA44" s="289"/>
      <c r="GB44" s="289"/>
      <c r="GC44" s="289"/>
      <c r="GD44" s="289"/>
      <c r="GE44" s="289"/>
      <c r="GF44" s="289"/>
      <c r="GG44" s="289"/>
      <c r="GH44" s="289"/>
      <c r="GI44" s="289"/>
      <c r="GJ44" s="289"/>
      <c r="GK44" s="289"/>
      <c r="GL44" s="289"/>
      <c r="GM44" s="289"/>
      <c r="GN44" s="289"/>
      <c r="GO44" s="289"/>
      <c r="GP44" s="289"/>
      <c r="GQ44" s="289"/>
      <c r="GR44" s="289"/>
      <c r="GS44" s="289"/>
      <c r="GT44" s="289"/>
      <c r="GU44" s="289"/>
      <c r="GV44" s="289"/>
      <c r="GW44" s="289"/>
      <c r="GX44" s="289"/>
      <c r="GY44" s="289"/>
      <c r="GZ44" s="289"/>
      <c r="HA44" s="289"/>
      <c r="HB44" s="289"/>
      <c r="HC44" s="289"/>
      <c r="HD44" s="289"/>
      <c r="HE44" s="289"/>
      <c r="HF44" s="289"/>
      <c r="HG44" s="289"/>
      <c r="HH44" s="289"/>
      <c r="HI44" s="289"/>
      <c r="HJ44" s="289"/>
      <c r="HK44" s="289"/>
      <c r="HL44" s="289"/>
      <c r="HM44" s="289"/>
      <c r="HN44" s="289"/>
      <c r="HO44" s="289"/>
      <c r="HP44" s="289"/>
      <c r="HQ44" s="289"/>
      <c r="HR44" s="289"/>
      <c r="HS44" s="289"/>
      <c r="HT44" s="289"/>
      <c r="HU44" s="289"/>
      <c r="HV44" s="289"/>
      <c r="HW44" s="289"/>
      <c r="HX44" s="289"/>
      <c r="HY44" s="289"/>
      <c r="HZ44" s="289"/>
      <c r="IA44" s="289"/>
      <c r="IB44" s="289"/>
      <c r="IC44" s="289"/>
      <c r="ID44" s="289"/>
      <c r="IE44" s="289"/>
      <c r="IF44" s="289"/>
      <c r="IG44" s="289"/>
      <c r="IH44" s="289"/>
      <c r="II44" s="289"/>
      <c r="IJ44" s="289"/>
      <c r="IK44" s="289"/>
      <c r="IL44" s="289"/>
      <c r="IM44" s="289"/>
      <c r="IN44" s="289"/>
      <c r="IO44" s="289"/>
      <c r="IP44" s="289"/>
      <c r="IQ44" s="289"/>
      <c r="IR44" s="289"/>
      <c r="IS44" s="289"/>
      <c r="IT44" s="289"/>
      <c r="IU44" s="289"/>
      <c r="IV44" s="289"/>
      <c r="IW44" s="289"/>
      <c r="IX44" s="289"/>
    </row>
    <row r="45" spans="1:258" s="21" customFormat="1" ht="17.100000000000001" customHeight="1" thickBot="1">
      <c r="A45" s="289"/>
      <c r="B45" s="289"/>
      <c r="C45" s="555"/>
      <c r="D45" s="2666"/>
      <c r="E45" s="1721"/>
      <c r="F45" s="2666"/>
      <c r="G45" s="2651" t="s">
        <v>947</v>
      </c>
      <c r="H45" s="410"/>
      <c r="I45" s="539">
        <f>MAX(I11:I41)</f>
        <v>19</v>
      </c>
      <c r="J45" s="555"/>
      <c r="K45" s="556"/>
      <c r="L45" s="556"/>
      <c r="M45" s="556"/>
      <c r="N45" s="556"/>
      <c r="O45" s="556"/>
      <c r="P45" s="557"/>
      <c r="Q45" s="558"/>
      <c r="R45" s="496" t="s">
        <v>965</v>
      </c>
      <c r="S45" s="559">
        <f ca="1">CN44</f>
        <v>0.95</v>
      </c>
      <c r="T45" s="496" t="s">
        <v>965</v>
      </c>
      <c r="U45" s="2667">
        <f ca="1">CP44</f>
        <v>0.89</v>
      </c>
      <c r="V45" s="5"/>
      <c r="W45" s="444"/>
      <c r="X45" s="2608"/>
      <c r="Y45" s="556"/>
      <c r="Z45" s="556"/>
      <c r="AA45" s="556"/>
      <c r="AB45" s="556"/>
      <c r="AC45" s="2674">
        <f>MAX(AC11:AC41)</f>
        <v>0.52</v>
      </c>
      <c r="AD45" s="556"/>
      <c r="AE45" s="556"/>
      <c r="AF45" s="2608"/>
      <c r="AG45" s="2608"/>
      <c r="AH45" s="2447" t="s">
        <v>1394</v>
      </c>
      <c r="AI45" s="2683"/>
      <c r="AJ45" s="373"/>
      <c r="AK45" s="373" t="s">
        <v>997</v>
      </c>
      <c r="AL45" s="377"/>
      <c r="AM45" s="560"/>
      <c r="AN45" s="2638"/>
      <c r="AO45" s="2638"/>
      <c r="AP45" s="2638"/>
      <c r="AQ45" s="496" t="s">
        <v>1011</v>
      </c>
      <c r="AR45" s="2613">
        <f ca="1">ROUND(AVERAGE(DB11:DB41),-2)</f>
        <v>15000</v>
      </c>
      <c r="AS45" s="560"/>
      <c r="AT45" s="2638"/>
      <c r="AU45" s="2652" t="s">
        <v>942</v>
      </c>
      <c r="AV45" s="2652" t="s">
        <v>942</v>
      </c>
      <c r="AW45" s="444"/>
      <c r="AX45" s="2608"/>
      <c r="AY45" s="2608"/>
      <c r="AZ45" s="2608"/>
      <c r="BA45" s="2608"/>
      <c r="BB45" s="2637"/>
      <c r="BC45" s="373"/>
      <c r="BD45" s="373"/>
      <c r="BE45" s="377"/>
      <c r="BF45" s="377"/>
      <c r="BG45" s="377"/>
      <c r="BH45" s="377"/>
      <c r="BI45" s="377"/>
      <c r="BJ45" s="377"/>
      <c r="BK45" s="377"/>
      <c r="BL45" s="377"/>
      <c r="BM45" s="377"/>
      <c r="BN45" s="377"/>
      <c r="BO45" s="377"/>
      <c r="BP45" s="377"/>
      <c r="BQ45" s="2629"/>
      <c r="BR45" s="373"/>
      <c r="BS45" s="289"/>
      <c r="BT45" s="289"/>
      <c r="BU45" s="289"/>
      <c r="BV45" s="289"/>
      <c r="BW45" s="289"/>
      <c r="BX45" s="289"/>
      <c r="BY45" s="289"/>
      <c r="BZ45" s="289"/>
      <c r="CA45" s="289"/>
      <c r="CB45" s="189"/>
      <c r="CC45" s="189"/>
      <c r="CD45" s="189"/>
      <c r="CE45" s="271">
        <f ca="1">ROUND(SUM(CE11:CE41)/SUM($E$11:$E$41)/8.34,0)</f>
        <v>139</v>
      </c>
      <c r="CF45" s="272">
        <f ca="1">ROUND(SUM(CF11:CF41)/SUM($E$11:$E$41)/8.34,0)</f>
        <v>7</v>
      </c>
      <c r="CG45" s="272">
        <f ca="1">ROUND(SUM(CG11:CG41)/SUM($E$11:$E$41)/8.34,0)</f>
        <v>139</v>
      </c>
      <c r="CH45" s="272">
        <f ca="1">ROUND(SUM(CH11:CH41)/SUM($E$11:$E$41)/8.34,0)</f>
        <v>16</v>
      </c>
      <c r="CI45" s="271">
        <f ca="1">ROUND(SUM(CI11:CI41)/SUM($G$11:$G$41)/8.34,0)</f>
        <v>137</v>
      </c>
      <c r="CJ45" s="272">
        <f ca="1">ROUND(SUM(CJ11:CJ41)/SUM($G$11:$G$41)/8.34,0)</f>
        <v>8</v>
      </c>
      <c r="CK45" s="272">
        <f ca="1">ROUND(SUM(CK11:CK41)/SUM($G$11:$G$41)/8.34,0)</f>
        <v>140</v>
      </c>
      <c r="CL45" s="272">
        <f ca="1">ROUND(SUM(CL11:CL41)/SUM($G$11:$G$41)/8.34,0)</f>
        <v>16</v>
      </c>
      <c r="CM45" s="273" t="str">
        <f>CM9</f>
        <v>Inf. CBOD</v>
      </c>
      <c r="CN45" s="274" t="str">
        <f>CN9</f>
        <v>Eff. CBOD</v>
      </c>
      <c r="CO45" s="274" t="str">
        <f>CO9</f>
        <v>Inf. TSS</v>
      </c>
      <c r="CP45" s="274" t="str">
        <f>CP9</f>
        <v>Eff. TSS</v>
      </c>
      <c r="CQ45" s="270"/>
      <c r="CR45" s="561" t="s">
        <v>1126</v>
      </c>
      <c r="CS45" s="191"/>
      <c r="CT45" s="191"/>
      <c r="CU45" s="191"/>
      <c r="CV45" s="191"/>
      <c r="CW45" s="191"/>
      <c r="CX45" s="191"/>
      <c r="CY45" s="191"/>
      <c r="CZ45" s="191"/>
      <c r="DA45" s="258"/>
      <c r="DB45" s="258"/>
      <c r="DC45" s="191"/>
      <c r="DD45" s="191"/>
      <c r="DE45" s="482"/>
      <c r="DF45" s="562"/>
      <c r="DG45" s="545" t="s">
        <v>165</v>
      </c>
      <c r="DH45" s="482"/>
      <c r="DI45" s="482"/>
      <c r="DJ45" s="482"/>
      <c r="DK45" s="482"/>
      <c r="DL45" s="482"/>
      <c r="DM45" s="482"/>
      <c r="DN45" s="482"/>
      <c r="DO45" s="482"/>
      <c r="DP45" s="482"/>
      <c r="DQ45" s="482"/>
      <c r="DR45" s="482"/>
      <c r="DS45" s="366"/>
      <c r="DT45" s="365"/>
      <c r="DU45" s="365"/>
      <c r="DV45" s="365"/>
      <c r="DW45" s="365"/>
      <c r="DX45" s="365"/>
      <c r="DY45" s="365"/>
      <c r="DZ45" s="365"/>
      <c r="EA45" s="365"/>
      <c r="EB45" s="365"/>
      <c r="EC45" s="365"/>
      <c r="ED45" s="365"/>
      <c r="EE45" s="365"/>
      <c r="EF45" s="365"/>
      <c r="EG45" s="366"/>
      <c r="EH45" s="554"/>
      <c r="EI45" s="554"/>
      <c r="EJ45" s="554"/>
      <c r="EK45" s="554"/>
      <c r="EL45" s="554"/>
      <c r="EM45" s="554"/>
      <c r="EN45" s="554"/>
      <c r="EO45" s="554"/>
      <c r="EP45" s="554"/>
      <c r="EQ45" s="554"/>
      <c r="ER45" s="554"/>
      <c r="ES45" s="554"/>
      <c r="ET45" s="554"/>
      <c r="EU45" s="554"/>
      <c r="EV45" s="554"/>
      <c r="EW45" s="554"/>
      <c r="EX45" s="554"/>
      <c r="EY45" s="368"/>
      <c r="EZ45" s="289"/>
      <c r="FA45" s="289"/>
      <c r="FB45" s="289"/>
      <c r="FC45" s="289"/>
      <c r="FD45" s="289"/>
      <c r="FE45" s="289"/>
      <c r="FF45" s="289"/>
      <c r="FG45" s="289"/>
      <c r="FH45" s="289"/>
      <c r="FI45" s="289"/>
      <c r="FJ45" s="289"/>
      <c r="FK45" s="289"/>
      <c r="FL45" s="289"/>
      <c r="FM45" s="289"/>
      <c r="FN45" s="289"/>
      <c r="FO45" s="289"/>
      <c r="FP45" s="289"/>
      <c r="FQ45" s="289"/>
      <c r="FR45" s="289"/>
      <c r="FS45" s="289"/>
      <c r="FT45" s="289"/>
      <c r="FU45" s="289"/>
      <c r="FV45" s="289"/>
      <c r="FW45" s="289"/>
      <c r="FX45" s="289"/>
      <c r="FY45" s="289"/>
      <c r="FZ45" s="289"/>
      <c r="GA45" s="289"/>
      <c r="GB45" s="289"/>
      <c r="GC45" s="289"/>
      <c r="GD45" s="289"/>
      <c r="GE45" s="289"/>
      <c r="GF45" s="289"/>
      <c r="GG45" s="289"/>
      <c r="GH45" s="289"/>
      <c r="GI45" s="289"/>
      <c r="GJ45" s="289"/>
      <c r="GK45" s="289"/>
      <c r="GL45" s="289"/>
      <c r="GM45" s="289"/>
      <c r="GN45" s="289"/>
      <c r="GO45" s="289"/>
      <c r="GP45" s="289"/>
      <c r="GQ45" s="289"/>
      <c r="GR45" s="289"/>
      <c r="GS45" s="289"/>
      <c r="GT45" s="289"/>
      <c r="GU45" s="289"/>
      <c r="GV45" s="289"/>
      <c r="GW45" s="289"/>
      <c r="GX45" s="289"/>
      <c r="GY45" s="289"/>
      <c r="GZ45" s="289"/>
      <c r="HA45" s="289"/>
      <c r="HB45" s="289"/>
      <c r="HC45" s="289"/>
      <c r="HD45" s="289"/>
      <c r="HE45" s="289"/>
      <c r="HF45" s="289"/>
      <c r="HG45" s="289"/>
      <c r="HH45" s="289"/>
      <c r="HI45" s="289"/>
      <c r="HJ45" s="289"/>
      <c r="HK45" s="289"/>
      <c r="HL45" s="289"/>
      <c r="HM45" s="289"/>
      <c r="HN45" s="289"/>
      <c r="HO45" s="289"/>
      <c r="HP45" s="289"/>
      <c r="HQ45" s="289"/>
      <c r="HR45" s="289"/>
      <c r="HS45" s="289"/>
      <c r="HT45" s="289"/>
      <c r="HU45" s="289"/>
      <c r="HV45" s="289"/>
      <c r="HW45" s="289"/>
      <c r="HX45" s="289"/>
      <c r="HY45" s="289"/>
      <c r="HZ45" s="289"/>
      <c r="IA45" s="289"/>
      <c r="IB45" s="289"/>
      <c r="IC45" s="289"/>
      <c r="ID45" s="289"/>
      <c r="IE45" s="289"/>
      <c r="IF45" s="289"/>
      <c r="IG45" s="289"/>
      <c r="IH45" s="289"/>
      <c r="II45" s="289"/>
      <c r="IJ45" s="289"/>
      <c r="IK45" s="289"/>
      <c r="IL45" s="289"/>
      <c r="IM45" s="289"/>
      <c r="IN45" s="289"/>
      <c r="IO45" s="289"/>
      <c r="IP45" s="289"/>
      <c r="IQ45" s="289"/>
      <c r="IR45" s="289"/>
      <c r="IS45" s="289"/>
      <c r="IT45" s="289"/>
      <c r="IU45" s="289"/>
      <c r="IV45" s="289"/>
      <c r="IW45" s="289"/>
      <c r="IX45" s="289"/>
    </row>
    <row r="46" spans="1:258" s="21" customFormat="1" ht="17.100000000000001" customHeight="1">
      <c r="A46" s="289"/>
      <c r="B46" s="289"/>
      <c r="C46" s="444"/>
      <c r="D46" s="2608"/>
      <c r="E46" s="2608"/>
      <c r="F46" s="2608"/>
      <c r="G46" s="539">
        <f>EJ17</f>
        <v>105</v>
      </c>
      <c r="H46" s="444"/>
      <c r="I46" s="556"/>
      <c r="J46" s="2703" t="s">
        <v>959</v>
      </c>
      <c r="K46" s="2704"/>
      <c r="L46" s="2704"/>
      <c r="M46" s="2704"/>
      <c r="N46" s="2705"/>
      <c r="O46" s="1215"/>
      <c r="P46" s="1215"/>
      <c r="Q46" s="1215"/>
      <c r="R46" s="2656">
        <f ca="1">IF(AVERAGE(CJ$11:CJ$41)&gt;10000,ROUND(AVERAGE(CJ$11:CJ$41),-3),ROUND(AVERAGE(CJ$11:CJ$41),-2))</f>
        <v>6500</v>
      </c>
      <c r="S46" s="370" t="s">
        <v>966</v>
      </c>
      <c r="T46" s="2656">
        <f ca="1">IF(AVERAGE(CL$11:CL$41)&gt;10000,ROUND(AVERAGE(CL$11:CL$41),-3),ROUND(AVERAGE(CL$11:CL$41),-2))</f>
        <v>14000</v>
      </c>
      <c r="U46" s="2628" t="s">
        <v>966</v>
      </c>
      <c r="V46" s="5"/>
      <c r="W46" s="444"/>
      <c r="X46" s="2608"/>
      <c r="Y46" s="2608"/>
      <c r="Z46" s="2608"/>
      <c r="AA46" s="2608"/>
      <c r="AB46" s="2608"/>
      <c r="AC46" s="2608"/>
      <c r="AD46" s="2608"/>
      <c r="AE46" s="2608"/>
      <c r="AF46" s="2608"/>
      <c r="AG46" s="2608"/>
      <c r="AH46" s="2447" t="s">
        <v>1395</v>
      </c>
      <c r="AI46" s="2637"/>
      <c r="AJ46" s="373"/>
      <c r="AK46" s="373" t="s">
        <v>998</v>
      </c>
      <c r="AL46" s="377"/>
      <c r="AM46" s="563"/>
      <c r="AN46" s="2638"/>
      <c r="AO46" s="2638"/>
      <c r="AP46" s="2638"/>
      <c r="AQ46" s="564" t="s">
        <v>952</v>
      </c>
      <c r="AR46" s="2652" t="s">
        <v>966</v>
      </c>
      <c r="AS46" s="563"/>
      <c r="AT46" s="2638"/>
      <c r="AU46" s="556"/>
      <c r="AV46" s="556"/>
      <c r="AW46" s="2608"/>
      <c r="AX46" s="2608"/>
      <c r="AY46" s="2608"/>
      <c r="AZ46" s="2608"/>
      <c r="BA46" s="2608"/>
      <c r="BB46" s="2637"/>
      <c r="BC46" s="373"/>
      <c r="BD46" s="373"/>
      <c r="BE46" s="1217"/>
      <c r="BF46" s="1217"/>
      <c r="BG46" s="1217"/>
      <c r="BH46" s="1217"/>
      <c r="BI46" s="377"/>
      <c r="BJ46" s="377"/>
      <c r="BK46" s="377"/>
      <c r="BL46" s="377"/>
      <c r="BM46" s="377"/>
      <c r="BN46" s="377"/>
      <c r="BO46" s="377"/>
      <c r="BP46" s="377"/>
      <c r="BQ46" s="2629"/>
      <c r="BR46" s="373"/>
      <c r="BS46" s="382"/>
      <c r="BT46" s="382"/>
      <c r="BU46" s="382"/>
      <c r="BV46" s="289"/>
      <c r="BW46" s="289"/>
      <c r="BX46" s="289"/>
      <c r="BY46" s="289"/>
      <c r="BZ46" s="289"/>
      <c r="CA46" s="289"/>
      <c r="CB46" s="189"/>
      <c r="CC46" s="189"/>
      <c r="CD46" s="189"/>
      <c r="CE46" s="262" t="s">
        <v>136</v>
      </c>
      <c r="CF46" s="263"/>
      <c r="CG46" s="275"/>
      <c r="CH46" s="263"/>
      <c r="CI46" s="276"/>
      <c r="CJ46" s="277"/>
      <c r="CK46" s="277"/>
      <c r="CL46" s="277"/>
      <c r="CM46" s="278" t="s">
        <v>146</v>
      </c>
      <c r="CN46" s="279"/>
      <c r="CO46" s="279"/>
      <c r="CP46" s="279"/>
      <c r="CQ46" s="270"/>
      <c r="CR46" s="280" t="s">
        <v>1127</v>
      </c>
      <c r="CS46" s="191"/>
      <c r="CT46" s="191"/>
      <c r="CU46" s="191"/>
      <c r="CV46" s="191"/>
      <c r="CW46" s="191"/>
      <c r="CX46" s="2565" t="s">
        <v>1370</v>
      </c>
      <c r="CY46" s="2566">
        <f ca="1">AVERAGE(CY11:CY25)</f>
        <v>37.6</v>
      </c>
      <c r="CZ46" s="2566">
        <f ca="1">AVERAGE(CZ11:CZ25)</f>
        <v>15.760000000000002</v>
      </c>
      <c r="DA46" s="2567">
        <f ca="1">(CY46-CZ46)/CY46</f>
        <v>0.58085106382978724</v>
      </c>
      <c r="DB46" s="191"/>
      <c r="DC46" s="191"/>
      <c r="DD46" s="191"/>
      <c r="DE46" s="482"/>
      <c r="DF46" s="482"/>
      <c r="DG46" s="535"/>
      <c r="DH46" s="482"/>
      <c r="DI46" s="482"/>
      <c r="DJ46" s="482"/>
      <c r="DK46" s="482"/>
      <c r="DL46" s="482"/>
      <c r="DM46" s="482"/>
      <c r="DN46" s="482"/>
      <c r="DO46" s="482"/>
      <c r="DP46" s="482"/>
      <c r="DQ46" s="482"/>
      <c r="DR46" s="482"/>
      <c r="DS46" s="366"/>
      <c r="DT46" s="366"/>
      <c r="DU46" s="366"/>
      <c r="DV46" s="366"/>
      <c r="DW46" s="366"/>
      <c r="DX46" s="366"/>
      <c r="DY46" s="366"/>
      <c r="DZ46" s="366"/>
      <c r="EA46" s="366"/>
      <c r="EB46" s="366"/>
      <c r="EC46" s="366"/>
      <c r="ED46" s="366"/>
      <c r="EE46" s="366"/>
      <c r="EF46" s="366"/>
      <c r="EG46" s="366"/>
      <c r="EH46" s="554"/>
      <c r="EI46" s="554"/>
      <c r="EJ46" s="554"/>
      <c r="EK46" s="554"/>
      <c r="EL46" s="554"/>
      <c r="EM46" s="554"/>
      <c r="EN46" s="554"/>
      <c r="EO46" s="554"/>
      <c r="EP46" s="554"/>
      <c r="EQ46" s="554"/>
      <c r="ER46" s="554"/>
      <c r="ES46" s="554"/>
      <c r="ET46" s="554"/>
      <c r="EU46" s="554"/>
      <c r="EV46" s="554"/>
      <c r="EW46" s="554"/>
      <c r="EX46" s="554"/>
      <c r="EY46" s="368"/>
      <c r="EZ46" s="289"/>
      <c r="FA46" s="289"/>
      <c r="FB46" s="289"/>
      <c r="FC46" s="289"/>
      <c r="FD46" s="289"/>
      <c r="FE46" s="289"/>
      <c r="FF46" s="289"/>
      <c r="FG46" s="289"/>
      <c r="FH46" s="289"/>
      <c r="FI46" s="289"/>
      <c r="FJ46" s="289"/>
      <c r="FK46" s="289"/>
      <c r="FL46" s="289"/>
      <c r="FM46" s="289"/>
      <c r="FN46" s="289"/>
      <c r="FO46" s="289"/>
      <c r="FP46" s="289"/>
      <c r="FQ46" s="289"/>
      <c r="FR46" s="289"/>
      <c r="FS46" s="289"/>
      <c r="FT46" s="289"/>
      <c r="FU46" s="289"/>
      <c r="FV46" s="289"/>
      <c r="FW46" s="289"/>
      <c r="FX46" s="289"/>
      <c r="FY46" s="289"/>
      <c r="FZ46" s="289"/>
      <c r="GA46" s="289"/>
      <c r="GB46" s="289"/>
      <c r="GC46" s="289"/>
      <c r="GD46" s="289"/>
      <c r="GE46" s="289"/>
      <c r="GF46" s="289"/>
      <c r="GG46" s="289"/>
      <c r="GH46" s="289"/>
      <c r="GI46" s="289"/>
      <c r="GJ46" s="289"/>
      <c r="GK46" s="289"/>
      <c r="GL46" s="289"/>
      <c r="GM46" s="289"/>
      <c r="GN46" s="289"/>
      <c r="GO46" s="289"/>
      <c r="GP46" s="289"/>
      <c r="GQ46" s="289"/>
      <c r="GR46" s="289"/>
      <c r="GS46" s="289"/>
      <c r="GT46" s="289"/>
      <c r="GU46" s="289"/>
      <c r="GV46" s="289"/>
      <c r="GW46" s="289"/>
      <c r="GX46" s="289"/>
      <c r="GY46" s="289"/>
      <c r="GZ46" s="289"/>
      <c r="HA46" s="289"/>
      <c r="HB46" s="289"/>
      <c r="HC46" s="289"/>
      <c r="HD46" s="289"/>
      <c r="HE46" s="289"/>
      <c r="HF46" s="289"/>
      <c r="HG46" s="289"/>
      <c r="HH46" s="289"/>
      <c r="HI46" s="289"/>
      <c r="HJ46" s="289"/>
      <c r="HK46" s="289"/>
      <c r="HL46" s="289"/>
      <c r="HM46" s="289"/>
      <c r="HN46" s="289"/>
      <c r="HO46" s="289"/>
      <c r="HP46" s="289"/>
      <c r="HQ46" s="289"/>
      <c r="HR46" s="289"/>
      <c r="HS46" s="289"/>
      <c r="HT46" s="289"/>
      <c r="HU46" s="289"/>
      <c r="HV46" s="289"/>
      <c r="HW46" s="289"/>
      <c r="HX46" s="289"/>
      <c r="HY46" s="289"/>
      <c r="HZ46" s="289"/>
      <c r="IA46" s="289"/>
      <c r="IB46" s="289"/>
      <c r="IC46" s="289"/>
      <c r="ID46" s="289"/>
      <c r="IE46" s="289"/>
      <c r="IF46" s="289"/>
      <c r="IG46" s="289"/>
      <c r="IH46" s="289"/>
      <c r="II46" s="289"/>
      <c r="IJ46" s="289"/>
      <c r="IK46" s="289"/>
      <c r="IL46" s="289"/>
      <c r="IM46" s="289"/>
      <c r="IN46" s="289"/>
      <c r="IO46" s="289"/>
      <c r="IP46" s="289"/>
      <c r="IQ46" s="289"/>
      <c r="IR46" s="289"/>
      <c r="IS46" s="289"/>
      <c r="IT46" s="289"/>
      <c r="IU46" s="289"/>
      <c r="IV46" s="289"/>
      <c r="IW46" s="289"/>
      <c r="IX46" s="289"/>
    </row>
    <row r="47" spans="1:258" s="21" customFormat="1" ht="17.100000000000001" customHeight="1" thickBot="1">
      <c r="A47" s="289"/>
      <c r="B47" s="289"/>
      <c r="C47" s="515" t="s">
        <v>934</v>
      </c>
      <c r="D47" s="369"/>
      <c r="E47" s="369"/>
      <c r="F47" s="369"/>
      <c r="G47" s="369"/>
      <c r="H47" s="369"/>
      <c r="I47" s="369"/>
      <c r="J47" s="377"/>
      <c r="K47" s="377"/>
      <c r="L47" s="377"/>
      <c r="M47" s="377"/>
      <c r="N47" s="377"/>
      <c r="O47" s="369"/>
      <c r="P47" s="369"/>
      <c r="Q47" s="369"/>
      <c r="R47" s="369"/>
      <c r="S47" s="369"/>
      <c r="T47" s="369"/>
      <c r="U47" s="2639"/>
      <c r="V47" s="5"/>
      <c r="W47" s="515" t="s">
        <v>934</v>
      </c>
      <c r="X47" s="369"/>
      <c r="Y47" s="369"/>
      <c r="Z47" s="369"/>
      <c r="AA47" s="369"/>
      <c r="AB47" s="369"/>
      <c r="AC47" s="369"/>
      <c r="AD47" s="369"/>
      <c r="AE47" s="369"/>
      <c r="AF47" s="369"/>
      <c r="AG47" s="369"/>
      <c r="AH47" s="369"/>
      <c r="AI47" s="2639"/>
      <c r="AJ47" s="373"/>
      <c r="AK47" s="515" t="s">
        <v>934</v>
      </c>
      <c r="AL47" s="369"/>
      <c r="AM47" s="369"/>
      <c r="AN47" s="369"/>
      <c r="AO47" s="369"/>
      <c r="AP47" s="369"/>
      <c r="AQ47" s="369"/>
      <c r="AR47" s="369"/>
      <c r="AS47" s="369"/>
      <c r="AT47" s="369"/>
      <c r="AU47" s="369"/>
      <c r="AV47" s="369"/>
      <c r="AW47" s="369"/>
      <c r="AX47" s="369"/>
      <c r="AY47" s="369"/>
      <c r="AZ47" s="369"/>
      <c r="BA47" s="369"/>
      <c r="BB47" s="2639"/>
      <c r="BC47" s="373"/>
      <c r="BD47" s="373"/>
      <c r="BE47" s="1217"/>
      <c r="BF47" s="1217"/>
      <c r="BG47" s="1217"/>
      <c r="BH47" s="1217"/>
      <c r="BI47" s="369" t="s">
        <v>1078</v>
      </c>
      <c r="BJ47" s="369"/>
      <c r="BK47" s="369"/>
      <c r="BL47" s="369"/>
      <c r="BM47" s="372"/>
      <c r="BN47" s="372"/>
      <c r="BO47" s="369"/>
      <c r="BP47" s="369"/>
      <c r="BQ47" s="2639" t="s">
        <v>937</v>
      </c>
      <c r="BR47" s="373"/>
      <c r="BS47" s="565"/>
      <c r="BT47" s="382"/>
      <c r="BU47" s="382"/>
      <c r="BV47" s="289"/>
      <c r="BW47" s="289"/>
      <c r="BX47" s="289"/>
      <c r="BY47" s="289"/>
      <c r="BZ47" s="289"/>
      <c r="CA47" s="289"/>
      <c r="CB47" s="189"/>
      <c r="CC47" s="189"/>
      <c r="CD47" s="189"/>
      <c r="CE47" s="267" t="s">
        <v>135</v>
      </c>
      <c r="CF47" s="268" t="s">
        <v>138</v>
      </c>
      <c r="CG47" s="268" t="s">
        <v>1122</v>
      </c>
      <c r="CH47" s="268" t="s">
        <v>141</v>
      </c>
      <c r="CI47" s="281" t="s">
        <v>1128</v>
      </c>
      <c r="CJ47" s="197"/>
      <c r="CK47" s="197"/>
      <c r="CL47" s="197"/>
      <c r="CM47" s="278" t="s">
        <v>965</v>
      </c>
      <c r="CN47" s="282">
        <f>ROUND(+(CE8-CF8)/CE8,2)</f>
        <v>0.95</v>
      </c>
      <c r="CO47" s="283" t="s">
        <v>965</v>
      </c>
      <c r="CP47" s="282">
        <f>ROUND(+(CG8-CH8)/CG8,2)</f>
        <v>0.88</v>
      </c>
      <c r="CQ47" s="270"/>
      <c r="CR47" s="280" t="s">
        <v>1129</v>
      </c>
      <c r="CS47" s="191"/>
      <c r="CT47" s="191"/>
      <c r="CU47" s="191"/>
      <c r="CV47" s="191"/>
      <c r="CW47" s="191"/>
      <c r="CX47" s="2568" t="s">
        <v>1371</v>
      </c>
      <c r="CY47" s="2569">
        <f ca="1">AVERAGE(CY26:CY41)</f>
        <v>34.887499999999996</v>
      </c>
      <c r="CZ47" s="2569">
        <f ca="1">AVERAGE(CZ26:CZ41)</f>
        <v>19.193750000000001</v>
      </c>
      <c r="DA47" s="2570">
        <f ca="1">(CY47-CZ47)/CY47</f>
        <v>0.44983876746685764</v>
      </c>
      <c r="DB47" s="191"/>
      <c r="DC47" s="191"/>
      <c r="DD47" s="191"/>
      <c r="DE47" s="482"/>
      <c r="DF47" s="482"/>
      <c r="DG47" s="482"/>
      <c r="DH47" s="482"/>
      <c r="DI47" s="482"/>
      <c r="DJ47" s="482"/>
      <c r="DK47" s="482"/>
      <c r="DL47" s="482"/>
      <c r="DM47" s="482"/>
      <c r="DN47" s="482"/>
      <c r="DO47" s="366"/>
      <c r="DP47" s="366"/>
      <c r="DQ47" s="366"/>
      <c r="DR47" s="366"/>
      <c r="DS47" s="366"/>
      <c r="DT47" s="418" t="s">
        <v>974</v>
      </c>
      <c r="DU47" s="418" t="s">
        <v>975</v>
      </c>
      <c r="DV47" s="401" t="s">
        <v>168</v>
      </c>
      <c r="DW47" s="401" t="s">
        <v>172</v>
      </c>
      <c r="DX47" s="403" t="s">
        <v>175</v>
      </c>
      <c r="DY47" s="403" t="s">
        <v>181</v>
      </c>
      <c r="DZ47" s="403" t="s">
        <v>176</v>
      </c>
      <c r="EA47" s="403" t="s">
        <v>186</v>
      </c>
      <c r="EB47" s="403" t="s">
        <v>177</v>
      </c>
      <c r="EC47" s="403" t="s">
        <v>183</v>
      </c>
      <c r="ED47" s="403" t="s">
        <v>178</v>
      </c>
      <c r="EE47" s="403" t="s">
        <v>187</v>
      </c>
      <c r="EF47" s="403" t="s">
        <v>982</v>
      </c>
      <c r="EG47" s="404"/>
      <c r="EH47" s="554"/>
      <c r="EI47" s="554"/>
      <c r="EJ47" s="554"/>
      <c r="EK47" s="554"/>
      <c r="EL47" s="554"/>
      <c r="EM47" s="554"/>
      <c r="EN47" s="554"/>
      <c r="EO47" s="554"/>
      <c r="EP47" s="554"/>
      <c r="EQ47" s="554"/>
      <c r="ER47" s="554"/>
      <c r="ES47" s="554"/>
      <c r="ET47" s="554"/>
      <c r="EU47" s="554"/>
      <c r="EV47" s="554"/>
      <c r="EW47" s="554"/>
      <c r="EX47" s="554"/>
      <c r="EY47" s="368"/>
      <c r="EZ47" s="289"/>
      <c r="FA47" s="289"/>
      <c r="FB47" s="289"/>
      <c r="FC47" s="289"/>
      <c r="FD47" s="289"/>
      <c r="FE47" s="289"/>
      <c r="FF47" s="289"/>
      <c r="FG47" s="289"/>
      <c r="FH47" s="289"/>
      <c r="FI47" s="289"/>
      <c r="FJ47" s="289"/>
      <c r="FK47" s="289"/>
      <c r="FL47" s="289"/>
      <c r="FM47" s="289"/>
      <c r="FN47" s="289"/>
      <c r="FO47" s="289"/>
      <c r="FP47" s="289"/>
      <c r="FQ47" s="289"/>
      <c r="FR47" s="289"/>
      <c r="FS47" s="289"/>
      <c r="FT47" s="289"/>
      <c r="FU47" s="289"/>
      <c r="FV47" s="289"/>
      <c r="FW47" s="289"/>
      <c r="FX47" s="289"/>
      <c r="FY47" s="289"/>
      <c r="FZ47" s="289"/>
      <c r="GA47" s="289"/>
      <c r="GB47" s="289"/>
      <c r="GC47" s="289"/>
      <c r="GD47" s="289"/>
      <c r="GE47" s="289"/>
      <c r="GF47" s="289"/>
      <c r="GG47" s="289"/>
      <c r="GH47" s="289"/>
      <c r="GI47" s="289"/>
      <c r="GJ47" s="289"/>
      <c r="GK47" s="289"/>
      <c r="GL47" s="289"/>
      <c r="GM47" s="289"/>
      <c r="GN47" s="289"/>
      <c r="GO47" s="289"/>
      <c r="GP47" s="289"/>
      <c r="GQ47" s="289"/>
      <c r="GR47" s="289"/>
      <c r="GS47" s="289"/>
      <c r="GT47" s="289"/>
      <c r="GU47" s="289"/>
      <c r="GV47" s="289"/>
      <c r="GW47" s="289"/>
      <c r="GX47" s="289"/>
      <c r="GY47" s="289"/>
      <c r="GZ47" s="289"/>
      <c r="HA47" s="289"/>
      <c r="HB47" s="289"/>
      <c r="HC47" s="289"/>
      <c r="HD47" s="289"/>
      <c r="HE47" s="289"/>
      <c r="HF47" s="289"/>
      <c r="HG47" s="289"/>
      <c r="HH47" s="289"/>
      <c r="HI47" s="289"/>
      <c r="HJ47" s="289"/>
      <c r="HK47" s="289"/>
      <c r="HL47" s="289"/>
      <c r="HM47" s="289"/>
      <c r="HN47" s="289"/>
      <c r="HO47" s="289"/>
      <c r="HP47" s="289"/>
      <c r="HQ47" s="289"/>
      <c r="HR47" s="289"/>
      <c r="HS47" s="289"/>
      <c r="HT47" s="289"/>
      <c r="HU47" s="289"/>
      <c r="HV47" s="289"/>
      <c r="HW47" s="289"/>
      <c r="HX47" s="289"/>
      <c r="HY47" s="289"/>
      <c r="HZ47" s="289"/>
      <c r="IA47" s="289"/>
      <c r="IB47" s="289"/>
      <c r="IC47" s="289"/>
      <c r="ID47" s="289"/>
      <c r="IE47" s="289"/>
      <c r="IF47" s="289"/>
      <c r="IG47" s="289"/>
      <c r="IH47" s="289"/>
      <c r="II47" s="289"/>
      <c r="IJ47" s="289"/>
      <c r="IK47" s="289"/>
      <c r="IL47" s="289"/>
      <c r="IM47" s="289"/>
      <c r="IN47" s="289"/>
      <c r="IO47" s="289"/>
      <c r="IP47" s="289"/>
      <c r="IQ47" s="289"/>
      <c r="IR47" s="289"/>
      <c r="IS47" s="289"/>
      <c r="IT47" s="289"/>
      <c r="IU47" s="289"/>
      <c r="IV47" s="289"/>
      <c r="IW47" s="289"/>
      <c r="IX47" s="289"/>
    </row>
    <row r="48" spans="1:258" s="21" customFormat="1" ht="17.100000000000001" customHeight="1" thickBot="1">
      <c r="A48" s="289"/>
      <c r="B48" s="289"/>
      <c r="C48" s="373" t="s">
        <v>935</v>
      </c>
      <c r="D48" s="377"/>
      <c r="E48" s="377"/>
      <c r="F48" s="377"/>
      <c r="G48" s="377"/>
      <c r="H48" s="377"/>
      <c r="I48" s="377"/>
      <c r="J48" s="377"/>
      <c r="K48" s="377"/>
      <c r="L48" s="377"/>
      <c r="M48" s="377"/>
      <c r="N48" s="377"/>
      <c r="O48" s="377"/>
      <c r="P48" s="377"/>
      <c r="Q48" s="377"/>
      <c r="R48" s="377"/>
      <c r="S48" s="377"/>
      <c r="T48" s="377"/>
      <c r="U48" s="2629"/>
      <c r="V48" s="5"/>
      <c r="W48" s="373" t="s">
        <v>935</v>
      </c>
      <c r="X48" s="377"/>
      <c r="Y48" s="377"/>
      <c r="Z48" s="377"/>
      <c r="AA48" s="377"/>
      <c r="AB48" s="377"/>
      <c r="AC48" s="377"/>
      <c r="AD48" s="377"/>
      <c r="AE48" s="377"/>
      <c r="AF48" s="377"/>
      <c r="AG48" s="377"/>
      <c r="AH48" s="377"/>
      <c r="AI48" s="2629"/>
      <c r="AJ48" s="373"/>
      <c r="AK48" s="373" t="s">
        <v>935</v>
      </c>
      <c r="AL48" s="377"/>
      <c r="AM48" s="377"/>
      <c r="AN48" s="377"/>
      <c r="AO48" s="377"/>
      <c r="AP48" s="377"/>
      <c r="AQ48" s="377"/>
      <c r="AR48" s="377"/>
      <c r="AS48" s="377"/>
      <c r="AT48" s="377"/>
      <c r="AU48" s="377"/>
      <c r="AV48" s="377"/>
      <c r="AW48" s="377"/>
      <c r="AX48" s="377"/>
      <c r="AY48" s="377"/>
      <c r="AZ48" s="377"/>
      <c r="BA48" s="377"/>
      <c r="BB48" s="2629"/>
      <c r="BC48" s="373"/>
      <c r="BD48" s="373"/>
      <c r="BE48" s="1217"/>
      <c r="BF48" s="1217"/>
      <c r="BG48" s="1217"/>
      <c r="BH48" s="1217"/>
      <c r="BI48" s="377"/>
      <c r="BJ48" s="377"/>
      <c r="BK48" s="377"/>
      <c r="BL48" s="377"/>
      <c r="BM48" s="377"/>
      <c r="BN48" s="377"/>
      <c r="BO48" s="377"/>
      <c r="BP48" s="377"/>
      <c r="BQ48" s="2629"/>
      <c r="BR48" s="373"/>
      <c r="BS48" s="565"/>
      <c r="BT48" s="382"/>
      <c r="BU48" s="382"/>
      <c r="BV48" s="289"/>
      <c r="BW48" s="289"/>
      <c r="BX48" s="289"/>
      <c r="BY48" s="289"/>
      <c r="BZ48" s="289"/>
      <c r="CA48" s="289"/>
      <c r="CB48" s="189"/>
      <c r="CC48" s="189"/>
      <c r="CD48" s="189"/>
      <c r="CE48" s="271">
        <f>CE8</f>
        <v>140</v>
      </c>
      <c r="CF48" s="272">
        <f>CF8</f>
        <v>7</v>
      </c>
      <c r="CG48" s="272">
        <f>CG8</f>
        <v>139</v>
      </c>
      <c r="CH48" s="272">
        <f>CH8</f>
        <v>16</v>
      </c>
      <c r="CI48" s="284"/>
      <c r="CJ48" s="252"/>
      <c r="CK48" s="252"/>
      <c r="CL48" s="252"/>
      <c r="CM48" s="285">
        <f>CE8</f>
        <v>140</v>
      </c>
      <c r="CN48" s="286">
        <f>CF8</f>
        <v>7</v>
      </c>
      <c r="CO48" s="286">
        <f>CG8</f>
        <v>139</v>
      </c>
      <c r="CP48" s="286">
        <f>CH8</f>
        <v>16</v>
      </c>
      <c r="CQ48" s="287"/>
      <c r="CR48" s="191"/>
      <c r="CS48" s="191"/>
      <c r="CT48" s="191"/>
      <c r="CU48" s="191"/>
      <c r="CV48" s="191"/>
      <c r="CW48" s="191"/>
      <c r="CX48" s="191"/>
      <c r="CY48" s="191"/>
      <c r="CZ48" s="191"/>
      <c r="DA48" s="191"/>
      <c r="DB48" s="191"/>
      <c r="DC48" s="191"/>
      <c r="DD48" s="191"/>
      <c r="DE48" s="482"/>
      <c r="DF48" s="482"/>
      <c r="DG48" s="482"/>
      <c r="DH48" s="482"/>
      <c r="DI48" s="482"/>
      <c r="DJ48" s="482"/>
      <c r="DK48" s="482"/>
      <c r="DL48" s="482"/>
      <c r="DM48" s="482"/>
      <c r="DN48" s="482"/>
      <c r="DO48" s="366"/>
      <c r="DP48" s="366"/>
      <c r="DQ48" s="366"/>
      <c r="DR48" s="366"/>
      <c r="DS48" s="366"/>
      <c r="DT48" s="566">
        <f t="shared" ref="DT48:DU53" si="95">+DF22</f>
        <v>42364</v>
      </c>
      <c r="DU48" s="567">
        <f t="shared" si="95"/>
        <v>42364</v>
      </c>
      <c r="DV48" s="568">
        <f t="shared" ref="DV48:DX53" si="96">IF(ISNUMBER(DH22),DH22,DH$28)</f>
        <v>91</v>
      </c>
      <c r="DW48" s="568">
        <f t="shared" si="96"/>
        <v>102</v>
      </c>
      <c r="DX48" s="568">
        <f t="shared" si="96"/>
        <v>124</v>
      </c>
      <c r="DY48" s="568">
        <f t="shared" ref="DY48:DY53" si="97">IF($DW48&gt;0,+$DW48*DX48*8.34,"")</f>
        <v>105484.31999999999</v>
      </c>
      <c r="DZ48" s="568">
        <f t="shared" ref="DZ48:DZ53" si="98">IF(ISNUMBER(DK22),DK22,DK$28)</f>
        <v>4</v>
      </c>
      <c r="EA48" s="568">
        <f t="shared" ref="EA48:EA53" si="99">IF(DW48&gt;0,+$DW48*DZ48*8.34,"")</f>
        <v>3402.72</v>
      </c>
      <c r="EB48" s="568">
        <f t="shared" ref="EB48:EB53" si="100">IF(ISNUMBER(DL22),DL22,DL$28)</f>
        <v>175</v>
      </c>
      <c r="EC48" s="568">
        <f t="shared" ref="EC48:EC53" si="101">IF($DW48&gt;0,+$DW48*EB48*8.34,"")</f>
        <v>148869</v>
      </c>
      <c r="ED48" s="568">
        <f t="shared" ref="ED48:ED53" si="102">IF(ISNUMBER(DM22),DM22,DM$28)</f>
        <v>3</v>
      </c>
      <c r="EE48" s="568">
        <f t="shared" ref="EE48:EE53" si="103">IF(DW48&gt;0,+$DW48*ED48*8.34,"")</f>
        <v>2552.04</v>
      </c>
      <c r="EF48" s="568">
        <f t="shared" ref="EF48:EF53" si="104">IF(DN22&gt;0,DN22,"")</f>
        <v>1</v>
      </c>
      <c r="EG48" s="404"/>
      <c r="EH48" s="554"/>
      <c r="EI48" s="554"/>
      <c r="EJ48" s="554"/>
      <c r="EK48" s="554"/>
      <c r="EL48" s="554"/>
      <c r="EM48" s="554"/>
      <c r="EN48" s="554"/>
      <c r="EO48" s="554"/>
      <c r="EP48" s="554"/>
      <c r="EQ48" s="554"/>
      <c r="ER48" s="554"/>
      <c r="ES48" s="554"/>
      <c r="ET48" s="554"/>
      <c r="EU48" s="554"/>
      <c r="EV48" s="554"/>
      <c r="EW48" s="554"/>
      <c r="EX48" s="554"/>
      <c r="EY48" s="368"/>
      <c r="EZ48" s="289"/>
      <c r="FA48" s="289"/>
      <c r="FB48" s="289"/>
      <c r="FC48" s="289"/>
      <c r="FD48" s="289"/>
      <c r="FE48" s="289"/>
      <c r="FF48" s="289"/>
      <c r="FG48" s="289"/>
      <c r="FH48" s="289"/>
      <c r="FI48" s="289"/>
      <c r="FJ48" s="289"/>
      <c r="FK48" s="289"/>
      <c r="FL48" s="289"/>
      <c r="FM48" s="289"/>
      <c r="FN48" s="289"/>
      <c r="FO48" s="289"/>
      <c r="FP48" s="289"/>
      <c r="FQ48" s="289"/>
      <c r="FR48" s="289"/>
      <c r="FS48" s="289"/>
      <c r="FT48" s="289"/>
      <c r="FU48" s="289"/>
      <c r="FV48" s="289"/>
      <c r="FW48" s="289"/>
      <c r="FX48" s="289"/>
      <c r="FY48" s="289"/>
      <c r="FZ48" s="289"/>
      <c r="GA48" s="289"/>
      <c r="GB48" s="289"/>
      <c r="GC48" s="289"/>
      <c r="GD48" s="289"/>
      <c r="GE48" s="289"/>
      <c r="GF48" s="289"/>
      <c r="GG48" s="289"/>
      <c r="GH48" s="289"/>
      <c r="GI48" s="289"/>
      <c r="GJ48" s="289"/>
      <c r="GK48" s="289"/>
      <c r="GL48" s="289"/>
      <c r="GM48" s="289"/>
      <c r="GN48" s="289"/>
      <c r="GO48" s="289"/>
      <c r="GP48" s="289"/>
      <c r="GQ48" s="289"/>
      <c r="GR48" s="289"/>
      <c r="GS48" s="289"/>
      <c r="GT48" s="289"/>
      <c r="GU48" s="289"/>
      <c r="GV48" s="289"/>
      <c r="GW48" s="289"/>
      <c r="GX48" s="289"/>
      <c r="GY48" s="289"/>
      <c r="GZ48" s="289"/>
      <c r="HA48" s="289"/>
      <c r="HB48" s="289"/>
      <c r="HC48" s="289"/>
      <c r="HD48" s="289"/>
      <c r="HE48" s="289"/>
      <c r="HF48" s="289"/>
      <c r="HG48" s="289"/>
      <c r="HH48" s="289"/>
      <c r="HI48" s="289"/>
      <c r="HJ48" s="289"/>
      <c r="HK48" s="289"/>
      <c r="HL48" s="289"/>
      <c r="HM48" s="289"/>
      <c r="HN48" s="289"/>
      <c r="HO48" s="289"/>
      <c r="HP48" s="289"/>
      <c r="HQ48" s="289"/>
      <c r="HR48" s="289"/>
      <c r="HS48" s="289"/>
      <c r="HT48" s="289"/>
      <c r="HU48" s="289"/>
      <c r="HV48" s="289"/>
      <c r="HW48" s="289"/>
      <c r="HX48" s="289"/>
      <c r="HY48" s="289"/>
      <c r="HZ48" s="289"/>
      <c r="IA48" s="289"/>
      <c r="IB48" s="289"/>
      <c r="IC48" s="289"/>
      <c r="ID48" s="289"/>
      <c r="IE48" s="289"/>
      <c r="IF48" s="289"/>
      <c r="IG48" s="289"/>
      <c r="IH48" s="289"/>
      <c r="II48" s="289"/>
      <c r="IJ48" s="289"/>
      <c r="IK48" s="289"/>
      <c r="IL48" s="289"/>
      <c r="IM48" s="289"/>
      <c r="IN48" s="289"/>
      <c r="IO48" s="289"/>
      <c r="IP48" s="289"/>
      <c r="IQ48" s="289"/>
      <c r="IR48" s="289"/>
      <c r="IS48" s="289"/>
      <c r="IT48" s="289"/>
      <c r="IU48" s="289"/>
      <c r="IV48" s="289"/>
      <c r="IW48" s="289"/>
      <c r="IX48" s="289"/>
    </row>
    <row r="49" spans="1:258" s="21" customFormat="1" ht="17.100000000000001" customHeight="1">
      <c r="A49" s="289"/>
      <c r="B49" s="289"/>
      <c r="C49" s="2668" t="s">
        <v>936</v>
      </c>
      <c r="D49" s="2669"/>
      <c r="E49" s="2669"/>
      <c r="F49" s="2669"/>
      <c r="G49" s="2669"/>
      <c r="H49" s="2669"/>
      <c r="I49" s="2669"/>
      <c r="J49" s="2669"/>
      <c r="K49" s="2669"/>
      <c r="L49" s="2669"/>
      <c r="M49" s="2669"/>
      <c r="N49" s="2669"/>
      <c r="O49" s="2669"/>
      <c r="P49" s="2669"/>
      <c r="Q49" s="2669"/>
      <c r="R49" s="2669"/>
      <c r="S49" s="2669"/>
      <c r="T49" s="2669"/>
      <c r="U49" s="2670"/>
      <c r="V49" s="5"/>
      <c r="W49" s="2668" t="s">
        <v>936</v>
      </c>
      <c r="X49" s="2669"/>
      <c r="Y49" s="2669"/>
      <c r="Z49" s="2669"/>
      <c r="AA49" s="2669"/>
      <c r="AB49" s="2669"/>
      <c r="AC49" s="2669"/>
      <c r="AD49" s="2669"/>
      <c r="AE49" s="2669"/>
      <c r="AF49" s="2669"/>
      <c r="AG49" s="2669"/>
      <c r="AH49" s="2669"/>
      <c r="AI49" s="2670"/>
      <c r="AJ49" s="373"/>
      <c r="AK49" s="373" t="s">
        <v>936</v>
      </c>
      <c r="AL49" s="377"/>
      <c r="AM49" s="377"/>
      <c r="AN49" s="377"/>
      <c r="AO49" s="377"/>
      <c r="AP49" s="377"/>
      <c r="AQ49" s="377"/>
      <c r="AR49" s="377"/>
      <c r="AS49" s="377"/>
      <c r="AT49" s="377"/>
      <c r="AU49" s="377"/>
      <c r="AV49" s="1215"/>
      <c r="AW49" s="377"/>
      <c r="AX49" s="377"/>
      <c r="AY49" s="1215"/>
      <c r="AZ49" s="1215"/>
      <c r="BA49" s="1215"/>
      <c r="BB49" s="2640"/>
      <c r="BC49" s="373"/>
      <c r="BD49" s="2668"/>
      <c r="BE49" s="2700"/>
      <c r="BF49" s="2701"/>
      <c r="BG49" s="2700"/>
      <c r="BH49" s="2700"/>
      <c r="BI49" s="2700"/>
      <c r="BJ49" s="2700"/>
      <c r="BK49" s="2700"/>
      <c r="BL49" s="2700"/>
      <c r="BM49" s="2700"/>
      <c r="BN49" s="2700"/>
      <c r="BO49" s="2700"/>
      <c r="BP49" s="2700"/>
      <c r="BQ49" s="2702"/>
      <c r="BR49" s="373"/>
      <c r="BS49" s="565"/>
      <c r="BT49" s="382"/>
      <c r="BU49" s="382"/>
      <c r="BV49" s="289"/>
      <c r="BW49" s="289"/>
      <c r="BX49" s="289"/>
      <c r="BY49" s="289"/>
      <c r="BZ49" s="289"/>
      <c r="CA49" s="289"/>
      <c r="CB49" s="189"/>
      <c r="CC49" s="189"/>
      <c r="CD49" s="189"/>
      <c r="CE49" s="261"/>
      <c r="CF49" s="261"/>
      <c r="CG49" s="261"/>
      <c r="CH49" s="261"/>
      <c r="CI49" s="277"/>
      <c r="CJ49" s="277"/>
      <c r="CK49" s="277"/>
      <c r="CL49" s="277"/>
      <c r="CM49" s="288"/>
      <c r="CN49" s="288"/>
      <c r="CO49" s="288"/>
      <c r="CP49" s="288"/>
      <c r="CQ49" s="190"/>
      <c r="CR49" s="191"/>
      <c r="CS49" s="191"/>
      <c r="CT49" s="191"/>
      <c r="CU49" s="191"/>
      <c r="CV49" s="191"/>
      <c r="CW49" s="191"/>
      <c r="CX49" s="191"/>
      <c r="CY49" s="191"/>
      <c r="CZ49" s="191"/>
      <c r="DA49" s="191"/>
      <c r="DB49" s="191"/>
      <c r="DC49" s="191"/>
      <c r="DD49" s="191"/>
      <c r="DE49" s="482"/>
      <c r="DF49" s="482"/>
      <c r="DG49" s="482"/>
      <c r="DH49" s="482"/>
      <c r="DI49" s="482"/>
      <c r="DJ49" s="482"/>
      <c r="DK49" s="482"/>
      <c r="DL49" s="482"/>
      <c r="DM49" s="482"/>
      <c r="DN49" s="482"/>
      <c r="DO49" s="366"/>
      <c r="DP49" s="366"/>
      <c r="DQ49" s="366"/>
      <c r="DR49" s="366"/>
      <c r="DS49" s="366"/>
      <c r="DT49" s="570">
        <f t="shared" si="95"/>
        <v>42365</v>
      </c>
      <c r="DU49" s="440">
        <f t="shared" si="95"/>
        <v>42365</v>
      </c>
      <c r="DV49" s="571">
        <f t="shared" si="96"/>
        <v>100</v>
      </c>
      <c r="DW49" s="571">
        <f t="shared" si="96"/>
        <v>100</v>
      </c>
      <c r="DX49" s="571">
        <f t="shared" si="96"/>
        <v>114</v>
      </c>
      <c r="DY49" s="571">
        <f t="shared" si="97"/>
        <v>95076</v>
      </c>
      <c r="DZ49" s="571">
        <f t="shared" si="98"/>
        <v>4</v>
      </c>
      <c r="EA49" s="571">
        <f t="shared" si="99"/>
        <v>3336</v>
      </c>
      <c r="EB49" s="571">
        <f t="shared" si="100"/>
        <v>154</v>
      </c>
      <c r="EC49" s="571">
        <f t="shared" si="101"/>
        <v>128436</v>
      </c>
      <c r="ED49" s="571">
        <f t="shared" si="102"/>
        <v>3</v>
      </c>
      <c r="EE49" s="571">
        <f t="shared" si="103"/>
        <v>2502</v>
      </c>
      <c r="EF49" s="571">
        <f t="shared" si="104"/>
        <v>31</v>
      </c>
      <c r="EG49" s="404"/>
      <c r="EH49" s="554"/>
      <c r="EI49" s="554"/>
      <c r="EJ49" s="554"/>
      <c r="EK49" s="554"/>
      <c r="EL49" s="554"/>
      <c r="EM49" s="554"/>
      <c r="EN49" s="554"/>
      <c r="EO49" s="554"/>
      <c r="EP49" s="554"/>
      <c r="EQ49" s="554"/>
      <c r="ER49" s="554"/>
      <c r="ES49" s="554"/>
      <c r="ET49" s="554"/>
      <c r="EU49" s="554"/>
      <c r="EV49" s="554"/>
      <c r="EW49" s="554"/>
      <c r="EX49" s="554"/>
      <c r="EY49" s="368"/>
      <c r="EZ49" s="289"/>
      <c r="FA49" s="289"/>
      <c r="FB49" s="289"/>
      <c r="FC49" s="289"/>
      <c r="FD49" s="289"/>
      <c r="FE49" s="289"/>
      <c r="FF49" s="289"/>
      <c r="FG49" s="289"/>
      <c r="FH49" s="289"/>
      <c r="FI49" s="289"/>
      <c r="FJ49" s="289"/>
      <c r="FK49" s="289"/>
      <c r="FL49" s="289"/>
      <c r="FM49" s="289"/>
      <c r="FN49" s="289"/>
      <c r="FO49" s="289"/>
      <c r="FP49" s="289"/>
      <c r="FQ49" s="289"/>
      <c r="FR49" s="289"/>
      <c r="FS49" s="289"/>
      <c r="FT49" s="289"/>
      <c r="FU49" s="289"/>
      <c r="FV49" s="289"/>
      <c r="FW49" s="289"/>
      <c r="FX49" s="289"/>
      <c r="FY49" s="289"/>
      <c r="FZ49" s="289"/>
      <c r="GA49" s="289"/>
      <c r="GB49" s="289"/>
      <c r="GC49" s="289"/>
      <c r="GD49" s="289"/>
      <c r="GE49" s="289"/>
      <c r="GF49" s="289"/>
      <c r="GG49" s="289"/>
      <c r="GH49" s="289"/>
      <c r="GI49" s="289"/>
      <c r="GJ49" s="289"/>
      <c r="GK49" s="289"/>
      <c r="GL49" s="289"/>
      <c r="GM49" s="289"/>
      <c r="GN49" s="289"/>
      <c r="GO49" s="289"/>
      <c r="GP49" s="289"/>
      <c r="GQ49" s="289"/>
      <c r="GR49" s="289"/>
      <c r="GS49" s="289"/>
      <c r="GT49" s="289"/>
      <c r="GU49" s="289"/>
      <c r="GV49" s="289"/>
      <c r="GW49" s="289"/>
      <c r="GX49" s="289"/>
      <c r="GY49" s="289"/>
      <c r="GZ49" s="289"/>
      <c r="HA49" s="289"/>
      <c r="HB49" s="289"/>
      <c r="HC49" s="289"/>
      <c r="HD49" s="289"/>
      <c r="HE49" s="289"/>
      <c r="HF49" s="289"/>
      <c r="HG49" s="289"/>
      <c r="HH49" s="289"/>
      <c r="HI49" s="289"/>
      <c r="HJ49" s="289"/>
      <c r="HK49" s="289"/>
      <c r="HL49" s="289"/>
      <c r="HM49" s="289"/>
      <c r="HN49" s="289"/>
      <c r="HO49" s="289"/>
      <c r="HP49" s="289"/>
      <c r="HQ49" s="289"/>
      <c r="HR49" s="289"/>
      <c r="HS49" s="289"/>
      <c r="HT49" s="289"/>
      <c r="HU49" s="289"/>
      <c r="HV49" s="289"/>
      <c r="HW49" s="289"/>
      <c r="HX49" s="289"/>
      <c r="HY49" s="289"/>
      <c r="HZ49" s="289"/>
      <c r="IA49" s="289"/>
      <c r="IB49" s="289"/>
      <c r="IC49" s="289"/>
      <c r="ID49" s="289"/>
      <c r="IE49" s="289"/>
      <c r="IF49" s="289"/>
      <c r="IG49" s="289"/>
      <c r="IH49" s="289"/>
      <c r="II49" s="289"/>
      <c r="IJ49" s="289"/>
      <c r="IK49" s="289"/>
      <c r="IL49" s="289"/>
      <c r="IM49" s="289"/>
      <c r="IN49" s="289"/>
      <c r="IO49" s="289"/>
      <c r="IP49" s="289"/>
      <c r="IQ49" s="289"/>
      <c r="IR49" s="289"/>
      <c r="IS49" s="289"/>
      <c r="IT49" s="289"/>
      <c r="IU49" s="289"/>
      <c r="IV49" s="289"/>
      <c r="IW49" s="289"/>
      <c r="IX49" s="289"/>
    </row>
    <row r="50" spans="1:258" s="21" customFormat="1" ht="17.100000000000001" customHeight="1" thickBot="1">
      <c r="A50" s="289"/>
      <c r="B50" s="289"/>
      <c r="C50" s="369"/>
      <c r="D50" s="369"/>
      <c r="E50" s="369"/>
      <c r="F50" s="369"/>
      <c r="G50" s="369"/>
      <c r="H50" s="369"/>
      <c r="I50" s="369"/>
      <c r="J50" s="369"/>
      <c r="K50" s="369"/>
      <c r="L50" s="369"/>
      <c r="M50" s="369"/>
      <c r="N50" s="369"/>
      <c r="O50" s="369"/>
      <c r="P50" s="369"/>
      <c r="Q50" s="369"/>
      <c r="R50" s="369"/>
      <c r="S50" s="369"/>
      <c r="T50" s="369"/>
      <c r="U50" s="369"/>
      <c r="V50" s="1"/>
      <c r="W50" s="369"/>
      <c r="X50" s="369"/>
      <c r="Y50" s="369"/>
      <c r="Z50" s="369"/>
      <c r="AA50" s="369"/>
      <c r="AB50" s="369"/>
      <c r="AC50" s="369"/>
      <c r="AD50" s="369"/>
      <c r="AE50" s="369"/>
      <c r="AF50" s="369"/>
      <c r="AG50" s="369"/>
      <c r="AH50" s="369"/>
      <c r="AI50" s="369"/>
      <c r="AJ50" s="289"/>
      <c r="AK50" s="373"/>
      <c r="AL50" s="377"/>
      <c r="AM50" s="377"/>
      <c r="AN50" s="377"/>
      <c r="AO50" s="377"/>
      <c r="AP50" s="377"/>
      <c r="AQ50" s="377"/>
      <c r="AR50" s="377"/>
      <c r="AS50" s="377"/>
      <c r="AT50" s="377"/>
      <c r="AU50" s="377"/>
      <c r="AV50" s="2600"/>
      <c r="AW50" s="2601"/>
      <c r="AX50" s="2601"/>
      <c r="AY50" s="2601"/>
      <c r="AZ50" s="2601"/>
      <c r="BA50" s="2601"/>
      <c r="BB50" s="2602"/>
      <c r="BC50" s="373"/>
      <c r="BD50" s="369"/>
      <c r="BE50" s="369"/>
      <c r="BF50" s="369"/>
      <c r="BG50" s="369"/>
      <c r="BH50" s="369"/>
      <c r="BI50" s="369"/>
      <c r="BJ50" s="369"/>
      <c r="BK50" s="369"/>
      <c r="BL50" s="369"/>
      <c r="BM50" s="369"/>
      <c r="BN50" s="369"/>
      <c r="BO50" s="369"/>
      <c r="BP50" s="369"/>
      <c r="BQ50" s="369"/>
      <c r="BR50" s="289"/>
      <c r="BS50" s="565"/>
      <c r="BT50" s="569"/>
      <c r="BU50" s="382"/>
      <c r="BV50" s="289"/>
      <c r="BW50" s="289"/>
      <c r="BX50" s="289"/>
      <c r="BY50" s="289"/>
      <c r="BZ50" s="289"/>
      <c r="CA50" s="289"/>
      <c r="CB50" s="189"/>
      <c r="CC50" s="189"/>
      <c r="CD50" s="189"/>
      <c r="CE50" s="189"/>
      <c r="CF50" s="189"/>
      <c r="CG50" s="189"/>
      <c r="CH50" s="189"/>
      <c r="CI50" s="252"/>
      <c r="CJ50" s="252"/>
      <c r="CK50" s="252"/>
      <c r="CL50" s="252"/>
      <c r="CM50" s="252"/>
      <c r="CN50" s="252"/>
      <c r="CO50" s="252"/>
      <c r="CP50" s="252"/>
      <c r="CQ50" s="190"/>
      <c r="CR50" s="191"/>
      <c r="CS50" s="191"/>
      <c r="CT50" s="191"/>
      <c r="CU50" s="191"/>
      <c r="CV50" s="191"/>
      <c r="CW50" s="191"/>
      <c r="CX50" s="191"/>
      <c r="CY50" s="191"/>
      <c r="CZ50" s="191"/>
      <c r="DA50" s="191"/>
      <c r="DB50" s="191"/>
      <c r="DC50" s="191"/>
      <c r="DD50" s="191"/>
      <c r="DE50" s="482"/>
      <c r="DF50" s="482"/>
      <c r="DG50" s="482"/>
      <c r="DH50" s="482"/>
      <c r="DI50" s="482"/>
      <c r="DJ50" s="482"/>
      <c r="DK50" s="482"/>
      <c r="DL50" s="482"/>
      <c r="DM50" s="482"/>
      <c r="DN50" s="482"/>
      <c r="DO50" s="366"/>
      <c r="DP50" s="366"/>
      <c r="DQ50" s="366"/>
      <c r="DR50" s="366"/>
      <c r="DS50" s="366"/>
      <c r="DT50" s="570">
        <f t="shared" si="95"/>
        <v>42366</v>
      </c>
      <c r="DU50" s="440">
        <f t="shared" si="95"/>
        <v>42366</v>
      </c>
      <c r="DV50" s="571">
        <f t="shared" si="96"/>
        <v>93</v>
      </c>
      <c r="DW50" s="571">
        <f t="shared" si="96"/>
        <v>114</v>
      </c>
      <c r="DX50" s="571">
        <f t="shared" si="96"/>
        <v>121</v>
      </c>
      <c r="DY50" s="571">
        <f t="shared" si="97"/>
        <v>115041.95999999999</v>
      </c>
      <c r="DZ50" s="571">
        <f t="shared" si="98"/>
        <v>4</v>
      </c>
      <c r="EA50" s="571">
        <f t="shared" si="99"/>
        <v>3803.04</v>
      </c>
      <c r="EB50" s="571">
        <f t="shared" si="100"/>
        <v>123</v>
      </c>
      <c r="EC50" s="571">
        <f t="shared" si="101"/>
        <v>116943.48</v>
      </c>
      <c r="ED50" s="571">
        <f t="shared" si="102"/>
        <v>2</v>
      </c>
      <c r="EE50" s="571">
        <f t="shared" si="103"/>
        <v>1901.52</v>
      </c>
      <c r="EF50" s="571">
        <f t="shared" si="104"/>
        <v>180</v>
      </c>
      <c r="EG50" s="404"/>
      <c r="EH50" s="554"/>
      <c r="EI50" s="554"/>
      <c r="EJ50" s="554"/>
      <c r="EK50" s="554"/>
      <c r="EL50" s="554"/>
      <c r="EM50" s="554"/>
      <c r="EN50" s="554"/>
      <c r="EO50" s="554"/>
      <c r="EP50" s="554"/>
      <c r="EQ50" s="554"/>
      <c r="ER50" s="554"/>
      <c r="ES50" s="554"/>
      <c r="ET50" s="554"/>
      <c r="EU50" s="554"/>
      <c r="EV50" s="554"/>
      <c r="EW50" s="554"/>
      <c r="EX50" s="554"/>
      <c r="EY50" s="368"/>
      <c r="EZ50" s="289"/>
      <c r="FA50" s="289"/>
      <c r="FB50" s="289"/>
      <c r="FC50" s="289"/>
      <c r="FD50" s="289"/>
      <c r="FE50" s="289"/>
      <c r="FF50" s="289"/>
      <c r="FG50" s="289"/>
      <c r="FH50" s="289"/>
      <c r="FI50" s="289"/>
      <c r="FJ50" s="289"/>
      <c r="FK50" s="289"/>
      <c r="FL50" s="289"/>
      <c r="FM50" s="289"/>
      <c r="FN50" s="289"/>
      <c r="FO50" s="289"/>
      <c r="FP50" s="289"/>
      <c r="FQ50" s="289"/>
      <c r="FR50" s="289"/>
      <c r="FS50" s="289"/>
      <c r="FT50" s="289"/>
      <c r="FU50" s="289"/>
      <c r="FV50" s="289"/>
      <c r="FW50" s="289"/>
      <c r="FX50" s="289"/>
      <c r="FY50" s="289"/>
      <c r="FZ50" s="289"/>
      <c r="GA50" s="289"/>
      <c r="GB50" s="289"/>
      <c r="GC50" s="289"/>
      <c r="GD50" s="289"/>
      <c r="GE50" s="289"/>
      <c r="GF50" s="289"/>
      <c r="GG50" s="289"/>
      <c r="GH50" s="289"/>
      <c r="GI50" s="289"/>
      <c r="GJ50" s="289"/>
      <c r="GK50" s="289"/>
      <c r="GL50" s="289"/>
      <c r="GM50" s="289"/>
      <c r="GN50" s="289"/>
      <c r="GO50" s="289"/>
      <c r="GP50" s="289"/>
      <c r="GQ50" s="289"/>
      <c r="GR50" s="289"/>
      <c r="GS50" s="289"/>
      <c r="GT50" s="289"/>
      <c r="GU50" s="289"/>
      <c r="GV50" s="289"/>
      <c r="GW50" s="289"/>
      <c r="GX50" s="289"/>
      <c r="GY50" s="289"/>
      <c r="GZ50" s="289"/>
      <c r="HA50" s="289"/>
      <c r="HB50" s="289"/>
      <c r="HC50" s="289"/>
      <c r="HD50" s="289"/>
      <c r="HE50" s="289"/>
      <c r="HF50" s="289"/>
      <c r="HG50" s="289"/>
      <c r="HH50" s="289"/>
      <c r="HI50" s="289"/>
      <c r="HJ50" s="289"/>
      <c r="HK50" s="289"/>
      <c r="HL50" s="289"/>
      <c r="HM50" s="289"/>
      <c r="HN50" s="289"/>
      <c r="HO50" s="289"/>
      <c r="HP50" s="289"/>
      <c r="HQ50" s="289"/>
      <c r="HR50" s="289"/>
      <c r="HS50" s="289"/>
      <c r="HT50" s="289"/>
      <c r="HU50" s="289"/>
      <c r="HV50" s="289"/>
      <c r="HW50" s="289"/>
      <c r="HX50" s="289"/>
      <c r="HY50" s="289"/>
      <c r="HZ50" s="289"/>
      <c r="IA50" s="289"/>
      <c r="IB50" s="289"/>
      <c r="IC50" s="289"/>
      <c r="ID50" s="289"/>
      <c r="IE50" s="289"/>
      <c r="IF50" s="289"/>
      <c r="IG50" s="289"/>
      <c r="IH50" s="289"/>
      <c r="II50" s="289"/>
      <c r="IJ50" s="289"/>
      <c r="IK50" s="289"/>
      <c r="IL50" s="289"/>
      <c r="IM50" s="289"/>
      <c r="IN50" s="289"/>
      <c r="IO50" s="289"/>
      <c r="IP50" s="289"/>
      <c r="IQ50" s="289"/>
      <c r="IR50" s="289"/>
      <c r="IS50" s="289"/>
      <c r="IT50" s="289"/>
      <c r="IU50" s="289"/>
      <c r="IV50" s="289"/>
      <c r="IW50" s="289"/>
      <c r="IX50" s="289"/>
    </row>
    <row r="51" spans="1:258" s="21" customFormat="1" ht="17.100000000000001" customHeight="1" thickBot="1">
      <c r="A51" s="289"/>
      <c r="B51" s="289"/>
      <c r="C51" s="289"/>
      <c r="D51" s="289"/>
      <c r="E51" s="289"/>
      <c r="F51" s="525"/>
      <c r="G51" s="289"/>
      <c r="H51" s="289"/>
      <c r="I51" s="289"/>
      <c r="J51" s="1976"/>
      <c r="K51" s="289"/>
      <c r="L51" s="289"/>
      <c r="M51" s="289"/>
      <c r="N51" s="289"/>
      <c r="O51" s="289"/>
      <c r="P51" s="289"/>
      <c r="Q51" s="2538"/>
      <c r="R51" s="2706" t="s">
        <v>1372</v>
      </c>
      <c r="S51" s="2706"/>
      <c r="T51" s="2706" t="s">
        <v>1373</v>
      </c>
      <c r="U51" s="2707"/>
      <c r="V51" s="1"/>
      <c r="W51" s="289"/>
      <c r="X51" s="289"/>
      <c r="Y51" s="289"/>
      <c r="Z51" s="289"/>
      <c r="AA51" s="289"/>
      <c r="AB51" s="289"/>
      <c r="AC51" s="289"/>
      <c r="AD51" s="289"/>
      <c r="AE51" s="289"/>
      <c r="AF51" s="289"/>
      <c r="AG51" s="289"/>
      <c r="AH51" s="289"/>
      <c r="AI51" s="289"/>
      <c r="AJ51" s="289"/>
      <c r="AK51" s="2641"/>
      <c r="AL51" s="1215"/>
      <c r="AM51" s="1215"/>
      <c r="AN51" s="1215"/>
      <c r="AO51" s="1215"/>
      <c r="AP51" s="1215"/>
      <c r="AQ51" s="1215"/>
      <c r="AR51" s="1215"/>
      <c r="AS51" s="1215"/>
      <c r="AT51" s="1215"/>
      <c r="AU51" s="1215"/>
      <c r="AV51" s="2596"/>
      <c r="AW51" s="2597"/>
      <c r="AX51" s="2597"/>
      <c r="AY51" s="2597"/>
      <c r="AZ51" s="2597"/>
      <c r="BA51" s="2598"/>
      <c r="BB51" s="2599"/>
      <c r="BC51" s="373"/>
      <c r="BD51" s="289"/>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90"/>
      <c r="CJ51" s="290"/>
      <c r="CK51" s="290"/>
      <c r="CL51" s="290"/>
      <c r="CM51" s="290"/>
      <c r="CN51" s="290"/>
      <c r="CO51" s="290"/>
      <c r="CP51" s="207" t="s">
        <v>147</v>
      </c>
      <c r="CQ51" s="291">
        <f t="shared" ref="CQ51:CX51" ca="1" si="105">ROUND(CQ85,-2)</f>
        <v>0</v>
      </c>
      <c r="CR51" s="292">
        <f t="shared" ca="1" si="105"/>
        <v>100</v>
      </c>
      <c r="CS51" s="292">
        <f t="shared" ca="1" si="105"/>
        <v>20900</v>
      </c>
      <c r="CT51" s="292">
        <f t="shared" ca="1" si="105"/>
        <v>30300</v>
      </c>
      <c r="CU51" s="291">
        <f t="shared" ca="1" si="105"/>
        <v>600</v>
      </c>
      <c r="CV51" s="292">
        <f t="shared" ca="1" si="105"/>
        <v>2700</v>
      </c>
      <c r="CW51" s="292">
        <f t="shared" ca="1" si="105"/>
        <v>11400</v>
      </c>
      <c r="CX51" s="292">
        <f t="shared" ca="1" si="105"/>
        <v>11700</v>
      </c>
      <c r="CY51" s="293"/>
      <c r="CZ51" s="289"/>
      <c r="DA51" s="294"/>
      <c r="DB51" s="294"/>
      <c r="DC51" s="289"/>
      <c r="DD51" s="289"/>
      <c r="DE51" s="482"/>
      <c r="DF51" s="482"/>
      <c r="DG51" s="482"/>
      <c r="DH51" s="482"/>
      <c r="DI51" s="482"/>
      <c r="DJ51" s="482"/>
      <c r="DK51" s="482"/>
      <c r="DL51" s="482"/>
      <c r="DM51" s="482"/>
      <c r="DN51" s="482"/>
      <c r="DO51" s="366"/>
      <c r="DP51" s="366"/>
      <c r="DQ51" s="366"/>
      <c r="DR51" s="366"/>
      <c r="DS51" s="366"/>
      <c r="DT51" s="570">
        <f t="shared" si="95"/>
        <v>42367</v>
      </c>
      <c r="DU51" s="440">
        <f t="shared" si="95"/>
        <v>42367</v>
      </c>
      <c r="DV51" s="571">
        <f t="shared" si="96"/>
        <v>96</v>
      </c>
      <c r="DW51" s="571">
        <f t="shared" si="96"/>
        <v>152</v>
      </c>
      <c r="DX51" s="571">
        <f t="shared" si="96"/>
        <v>103</v>
      </c>
      <c r="DY51" s="571">
        <f t="shared" si="97"/>
        <v>130571.04</v>
      </c>
      <c r="DZ51" s="571">
        <f t="shared" si="98"/>
        <v>14</v>
      </c>
      <c r="EA51" s="571">
        <f t="shared" si="99"/>
        <v>17747.52</v>
      </c>
      <c r="EB51" s="571">
        <f t="shared" si="100"/>
        <v>72</v>
      </c>
      <c r="EC51" s="571">
        <f t="shared" si="101"/>
        <v>91272.959999999992</v>
      </c>
      <c r="ED51" s="571">
        <f t="shared" si="102"/>
        <v>9</v>
      </c>
      <c r="EE51" s="571">
        <f t="shared" si="103"/>
        <v>11409.119999999999</v>
      </c>
      <c r="EF51" s="571">
        <f t="shared" si="104"/>
        <v>272</v>
      </c>
      <c r="EG51" s="404"/>
      <c r="EH51" s="289"/>
      <c r="EI51" s="289"/>
      <c r="EJ51" s="289"/>
      <c r="EK51" s="289"/>
      <c r="EL51" s="289"/>
      <c r="EM51" s="289"/>
      <c r="EN51" s="289"/>
      <c r="EO51" s="289"/>
      <c r="EP51" s="289"/>
      <c r="EQ51" s="289"/>
      <c r="ER51" s="289"/>
      <c r="ES51" s="289"/>
      <c r="ET51" s="289"/>
      <c r="EU51" s="289"/>
      <c r="EV51" s="289"/>
      <c r="EW51" s="289"/>
      <c r="EX51" s="289"/>
      <c r="EY51" s="289"/>
      <c r="EZ51" s="289"/>
      <c r="FA51" s="289"/>
      <c r="FB51" s="289"/>
      <c r="FC51" s="289"/>
      <c r="FD51" s="289"/>
      <c r="FE51" s="289"/>
      <c r="FF51" s="289"/>
      <c r="FG51" s="289"/>
      <c r="FH51" s="289"/>
      <c r="FI51" s="289"/>
      <c r="FJ51" s="289"/>
      <c r="FK51" s="289"/>
      <c r="FL51" s="289"/>
      <c r="FM51" s="289"/>
      <c r="FN51" s="289"/>
      <c r="FO51" s="289"/>
      <c r="FP51" s="289"/>
      <c r="FQ51" s="289"/>
      <c r="FR51" s="289"/>
      <c r="FS51" s="289"/>
      <c r="FT51" s="289"/>
      <c r="FU51" s="289"/>
      <c r="FV51" s="289"/>
      <c r="FW51" s="289"/>
      <c r="FX51" s="289"/>
      <c r="FY51" s="289"/>
      <c r="FZ51" s="289"/>
      <c r="GA51" s="289"/>
      <c r="GB51" s="289"/>
      <c r="GC51" s="289"/>
      <c r="GD51" s="289"/>
      <c r="GE51" s="289"/>
      <c r="GF51" s="289"/>
      <c r="GG51" s="289"/>
      <c r="GH51" s="289"/>
      <c r="GI51" s="289"/>
      <c r="GJ51" s="289"/>
      <c r="GK51" s="289"/>
      <c r="GL51" s="289"/>
      <c r="GM51" s="289"/>
      <c r="GN51" s="289"/>
      <c r="GO51" s="289"/>
      <c r="GP51" s="289"/>
      <c r="GQ51" s="289"/>
      <c r="GR51" s="289"/>
      <c r="GS51" s="289"/>
      <c r="GT51" s="289"/>
      <c r="GU51" s="289"/>
      <c r="GV51" s="289"/>
      <c r="GW51" s="289"/>
      <c r="GX51" s="289"/>
      <c r="GY51" s="289"/>
      <c r="GZ51" s="289"/>
      <c r="HA51" s="289"/>
      <c r="HB51" s="289"/>
      <c r="HC51" s="289"/>
      <c r="HD51" s="289"/>
      <c r="HE51" s="289"/>
      <c r="HF51" s="289"/>
      <c r="HG51" s="289"/>
      <c r="HH51" s="289"/>
      <c r="HI51" s="289"/>
      <c r="HJ51" s="289"/>
      <c r="HK51" s="289"/>
      <c r="HL51" s="289"/>
      <c r="HM51" s="289"/>
      <c r="HN51" s="289"/>
      <c r="HO51" s="289"/>
      <c r="HP51" s="289"/>
      <c r="HQ51" s="289"/>
      <c r="HR51" s="289"/>
      <c r="HS51" s="289"/>
      <c r="HT51" s="289"/>
      <c r="HU51" s="289"/>
      <c r="HV51" s="289"/>
      <c r="HW51" s="289"/>
      <c r="HX51" s="289"/>
      <c r="HY51" s="289"/>
      <c r="HZ51" s="289"/>
      <c r="IA51" s="289"/>
      <c r="IB51" s="289"/>
      <c r="IC51" s="289"/>
      <c r="ID51" s="289"/>
      <c r="IE51" s="289"/>
      <c r="IF51" s="289"/>
      <c r="IG51" s="289"/>
      <c r="IH51" s="289"/>
      <c r="II51" s="289"/>
      <c r="IJ51" s="289"/>
      <c r="IK51" s="289"/>
      <c r="IL51" s="289"/>
      <c r="IM51" s="289"/>
      <c r="IN51" s="289"/>
      <c r="IO51" s="289"/>
      <c r="IP51" s="289"/>
      <c r="IQ51" s="289"/>
      <c r="IR51" s="289"/>
      <c r="IS51" s="289"/>
      <c r="IT51" s="289"/>
      <c r="IU51" s="289"/>
      <c r="IV51" s="289"/>
      <c r="IW51" s="289"/>
      <c r="IX51" s="289"/>
    </row>
    <row r="52" spans="1:258" s="21" customFormat="1" ht="17.100000000000001" customHeight="1">
      <c r="A52" s="289"/>
      <c r="B52" s="289"/>
      <c r="C52" s="289"/>
      <c r="D52" s="289"/>
      <c r="E52" s="289"/>
      <c r="F52" s="289"/>
      <c r="G52" s="289"/>
      <c r="H52" s="289"/>
      <c r="I52" s="289"/>
      <c r="J52" s="289"/>
      <c r="K52" s="289"/>
      <c r="L52" s="289"/>
      <c r="M52" s="289"/>
      <c r="N52" s="289"/>
      <c r="O52" s="289"/>
      <c r="P52" s="289"/>
      <c r="Q52" s="2539" t="s">
        <v>937</v>
      </c>
      <c r="R52" s="2533" t="s">
        <v>956</v>
      </c>
      <c r="S52" s="2533" t="s">
        <v>952</v>
      </c>
      <c r="T52" s="2533" t="s">
        <v>956</v>
      </c>
      <c r="U52" s="2540" t="s">
        <v>952</v>
      </c>
      <c r="V52" s="1"/>
      <c r="W52" s="289"/>
      <c r="X52" s="289"/>
      <c r="Y52" s="289"/>
      <c r="Z52" s="289"/>
      <c r="AA52" s="289"/>
      <c r="AB52" s="289"/>
      <c r="AC52" s="289"/>
      <c r="AD52" s="289"/>
      <c r="AE52" s="289"/>
      <c r="AF52" s="289"/>
      <c r="AG52" s="289"/>
      <c r="AH52" s="289"/>
      <c r="AI52" s="289"/>
      <c r="AJ52" s="289"/>
      <c r="AK52" s="2710" t="s">
        <v>1404</v>
      </c>
      <c r="AL52" s="2592" t="s">
        <v>1014</v>
      </c>
      <c r="AM52" s="2592" t="s">
        <v>1012</v>
      </c>
      <c r="AN52" s="2592" t="s">
        <v>1004</v>
      </c>
      <c r="AO52" s="2592" t="s">
        <v>1000</v>
      </c>
      <c r="AP52" s="2592" t="s">
        <v>1010</v>
      </c>
      <c r="AQ52" s="2592" t="s">
        <v>1006</v>
      </c>
      <c r="AR52" s="2592" t="s">
        <v>1015</v>
      </c>
      <c r="AS52" s="2592" t="s">
        <v>1008</v>
      </c>
      <c r="AT52" s="2593" t="s">
        <v>1405</v>
      </c>
      <c r="AU52" s="2594" t="s">
        <v>1013</v>
      </c>
      <c r="AV52" s="2596"/>
      <c r="AW52" s="2597"/>
      <c r="AX52" s="2597"/>
      <c r="AY52" s="2597"/>
      <c r="AZ52" s="2597"/>
      <c r="BA52" s="2598"/>
      <c r="BB52" s="2599"/>
      <c r="BC52" s="373"/>
      <c r="BD52" s="289" t="s">
        <v>1048</v>
      </c>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c r="CL52" s="289"/>
      <c r="CM52" s="289"/>
      <c r="CN52" s="289"/>
      <c r="CO52" s="289"/>
      <c r="CP52" s="295"/>
      <c r="CQ52" s="212" t="s">
        <v>151</v>
      </c>
      <c r="CR52" s="211"/>
      <c r="CS52" s="211"/>
      <c r="CT52" s="211"/>
      <c r="CU52" s="212" t="s">
        <v>152</v>
      </c>
      <c r="CV52" s="211"/>
      <c r="CW52" s="211"/>
      <c r="CX52" s="211"/>
      <c r="CY52" s="293"/>
      <c r="CZ52" s="289"/>
      <c r="DA52" s="289"/>
      <c r="DB52" s="289"/>
      <c r="DC52" s="289"/>
      <c r="DD52" s="289"/>
      <c r="DE52" s="482"/>
      <c r="DF52" s="482"/>
      <c r="DG52" s="482"/>
      <c r="DH52" s="482"/>
      <c r="DI52" s="482"/>
      <c r="DJ52" s="482"/>
      <c r="DK52" s="482"/>
      <c r="DL52" s="482"/>
      <c r="DM52" s="482"/>
      <c r="DN52" s="482"/>
      <c r="DO52" s="366"/>
      <c r="DP52" s="366"/>
      <c r="DQ52" s="366"/>
      <c r="DR52" s="366"/>
      <c r="DS52" s="366"/>
      <c r="DT52" s="570">
        <f t="shared" si="95"/>
        <v>42368</v>
      </c>
      <c r="DU52" s="440">
        <f t="shared" si="95"/>
        <v>42368</v>
      </c>
      <c r="DV52" s="571">
        <f t="shared" si="96"/>
        <v>94</v>
      </c>
      <c r="DW52" s="571">
        <f t="shared" si="96"/>
        <v>130</v>
      </c>
      <c r="DX52" s="571">
        <f t="shared" si="96"/>
        <v>111</v>
      </c>
      <c r="DY52" s="571">
        <f t="shared" si="97"/>
        <v>120346.2</v>
      </c>
      <c r="DZ52" s="571">
        <f t="shared" si="98"/>
        <v>5</v>
      </c>
      <c r="EA52" s="571">
        <f t="shared" si="99"/>
        <v>5421</v>
      </c>
      <c r="EB52" s="571">
        <f t="shared" si="100"/>
        <v>122</v>
      </c>
      <c r="EC52" s="571">
        <f t="shared" si="101"/>
        <v>132272.4</v>
      </c>
      <c r="ED52" s="571">
        <f t="shared" si="102"/>
        <v>4</v>
      </c>
      <c r="EE52" s="571">
        <f t="shared" si="103"/>
        <v>4336.8</v>
      </c>
      <c r="EF52" s="571">
        <f t="shared" si="104"/>
        <v>2</v>
      </c>
      <c r="EG52" s="404"/>
      <c r="EH52" s="289"/>
      <c r="EI52" s="289"/>
      <c r="EJ52" s="289"/>
      <c r="EK52" s="289"/>
      <c r="EL52" s="289"/>
      <c r="EM52" s="289"/>
      <c r="EN52" s="289"/>
      <c r="EO52" s="289"/>
      <c r="EP52" s="289"/>
      <c r="EQ52" s="289"/>
      <c r="ER52" s="289"/>
      <c r="ES52" s="289"/>
      <c r="ET52" s="289"/>
      <c r="EU52" s="289"/>
      <c r="EV52" s="289"/>
      <c r="EW52" s="289"/>
      <c r="EX52" s="289"/>
      <c r="EY52" s="289"/>
      <c r="EZ52" s="289"/>
      <c r="FA52" s="289"/>
      <c r="FB52" s="289"/>
      <c r="FC52" s="289"/>
      <c r="FD52" s="289"/>
      <c r="FE52" s="289"/>
      <c r="FF52" s="289"/>
      <c r="FG52" s="289"/>
      <c r="FH52" s="289"/>
      <c r="FI52" s="289"/>
      <c r="FJ52" s="289"/>
      <c r="FK52" s="289"/>
      <c r="FL52" s="289"/>
      <c r="FM52" s="289"/>
      <c r="FN52" s="289"/>
      <c r="FO52" s="289"/>
      <c r="FP52" s="289"/>
      <c r="FQ52" s="289"/>
      <c r="FR52" s="289"/>
      <c r="FS52" s="289"/>
      <c r="FT52" s="289"/>
      <c r="FU52" s="289"/>
      <c r="FV52" s="289"/>
      <c r="FW52" s="289"/>
      <c r="FX52" s="289"/>
      <c r="FY52" s="289"/>
      <c r="FZ52" s="289"/>
      <c r="GA52" s="289"/>
      <c r="GB52" s="289"/>
      <c r="GC52" s="289"/>
      <c r="GD52" s="289"/>
      <c r="GE52" s="289"/>
      <c r="GF52" s="289"/>
      <c r="GG52" s="289"/>
      <c r="GH52" s="289"/>
      <c r="GI52" s="289"/>
      <c r="GJ52" s="289"/>
      <c r="GK52" s="289"/>
      <c r="GL52" s="289"/>
      <c r="GM52" s="289"/>
      <c r="GN52" s="289"/>
      <c r="GO52" s="289"/>
      <c r="GP52" s="289"/>
      <c r="GQ52" s="289"/>
      <c r="GR52" s="289"/>
      <c r="GS52" s="289"/>
      <c r="GT52" s="289"/>
      <c r="GU52" s="289"/>
      <c r="GV52" s="289"/>
      <c r="GW52" s="289"/>
      <c r="GX52" s="289"/>
      <c r="GY52" s="289"/>
      <c r="GZ52" s="289"/>
      <c r="HA52" s="289"/>
      <c r="HB52" s="289"/>
      <c r="HC52" s="289"/>
      <c r="HD52" s="289"/>
      <c r="HE52" s="289"/>
      <c r="HF52" s="289"/>
      <c r="HG52" s="289"/>
      <c r="HH52" s="289"/>
      <c r="HI52" s="289"/>
      <c r="HJ52" s="289"/>
      <c r="HK52" s="289"/>
      <c r="HL52" s="289"/>
      <c r="HM52" s="289"/>
      <c r="HN52" s="289"/>
      <c r="HO52" s="289"/>
      <c r="HP52" s="289"/>
      <c r="HQ52" s="289"/>
      <c r="HR52" s="289"/>
      <c r="HS52" s="289"/>
      <c r="HT52" s="289"/>
      <c r="HU52" s="289"/>
      <c r="HV52" s="289"/>
      <c r="HW52" s="289"/>
      <c r="HX52" s="289"/>
      <c r="HY52" s="289"/>
      <c r="HZ52" s="289"/>
      <c r="IA52" s="289"/>
      <c r="IB52" s="289"/>
      <c r="IC52" s="289"/>
      <c r="ID52" s="289"/>
      <c r="IE52" s="289"/>
      <c r="IF52" s="289"/>
      <c r="IG52" s="289"/>
      <c r="IH52" s="289"/>
      <c r="II52" s="289"/>
      <c r="IJ52" s="289"/>
      <c r="IK52" s="289"/>
      <c r="IL52" s="289"/>
      <c r="IM52" s="289"/>
      <c r="IN52" s="289"/>
      <c r="IO52" s="289"/>
      <c r="IP52" s="289"/>
      <c r="IQ52" s="289"/>
      <c r="IR52" s="289"/>
      <c r="IS52" s="289"/>
      <c r="IT52" s="289"/>
      <c r="IU52" s="289"/>
      <c r="IV52" s="289"/>
      <c r="IW52" s="289"/>
      <c r="IX52" s="289"/>
    </row>
    <row r="53" spans="1:258" s="21" customFormat="1" ht="17.100000000000001" customHeight="1" thickBot="1">
      <c r="A53" s="289"/>
      <c r="B53" s="289"/>
      <c r="C53" s="289"/>
      <c r="D53" s="289"/>
      <c r="E53" s="289"/>
      <c r="F53" s="289"/>
      <c r="G53" s="289"/>
      <c r="H53" s="289"/>
      <c r="I53" s="289"/>
      <c r="J53" s="289"/>
      <c r="K53" s="289"/>
      <c r="L53" s="289"/>
      <c r="M53" s="289"/>
      <c r="N53" s="289"/>
      <c r="O53" s="289"/>
      <c r="P53" s="289"/>
      <c r="Q53" s="2541" t="s">
        <v>1370</v>
      </c>
      <c r="R53" s="2534">
        <f>AVERAGE(R11:R25)</f>
        <v>145.66666666666666</v>
      </c>
      <c r="S53" s="2535">
        <f>AVERAGE(S11:S25)</f>
        <v>4.0714285714285712</v>
      </c>
      <c r="T53" s="2536">
        <f>AVERAGE(T11:T25)</f>
        <v>137.93333333333334</v>
      </c>
      <c r="U53" s="2542">
        <f>AVERAGE(U11:U25)</f>
        <v>9.0714285714285712</v>
      </c>
      <c r="V53" s="1"/>
      <c r="W53" s="289"/>
      <c r="X53" s="289"/>
      <c r="Y53" s="289"/>
      <c r="Z53" s="289"/>
      <c r="AA53" s="289"/>
      <c r="AB53" s="289"/>
      <c r="AC53" s="289"/>
      <c r="AD53" s="289"/>
      <c r="AE53" s="289"/>
      <c r="AF53" s="289"/>
      <c r="AG53" s="289"/>
      <c r="AH53" s="289"/>
      <c r="AI53" s="289"/>
      <c r="AJ53" s="289"/>
      <c r="AK53" s="2711"/>
      <c r="AL53" s="2592" t="s">
        <v>1406</v>
      </c>
      <c r="AM53" s="2592" t="s">
        <v>1406</v>
      </c>
      <c r="AN53" s="2592" t="s">
        <v>1406</v>
      </c>
      <c r="AO53" s="2592" t="s">
        <v>1406</v>
      </c>
      <c r="AP53" s="2592" t="s">
        <v>1406</v>
      </c>
      <c r="AQ53" s="2592" t="s">
        <v>1406</v>
      </c>
      <c r="AR53" s="2592" t="s">
        <v>1406</v>
      </c>
      <c r="AS53" s="2592" t="s">
        <v>1406</v>
      </c>
      <c r="AT53" s="2592" t="s">
        <v>1406</v>
      </c>
      <c r="AU53" s="2595" t="s">
        <v>1406</v>
      </c>
      <c r="AV53" s="2596"/>
      <c r="AW53" s="2597"/>
      <c r="AX53" s="2597"/>
      <c r="AY53" s="2597"/>
      <c r="AZ53" s="2597"/>
      <c r="BA53" s="2598"/>
      <c r="BB53" s="2599"/>
      <c r="BC53" s="373"/>
      <c r="BD53" s="3" t="s">
        <v>1043</v>
      </c>
      <c r="BE53" s="369"/>
      <c r="BF53" s="369"/>
      <c r="BG53" s="369"/>
      <c r="BH53" s="373" t="s">
        <v>1055</v>
      </c>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c r="CL53" s="289"/>
      <c r="CM53" s="289"/>
      <c r="CN53" s="289"/>
      <c r="CO53" s="289"/>
      <c r="CP53" s="296" t="s">
        <v>931</v>
      </c>
      <c r="CQ53" s="220" t="s">
        <v>1002</v>
      </c>
      <c r="CR53" s="219" t="s">
        <v>1005</v>
      </c>
      <c r="CS53" s="219" t="s">
        <v>1007</v>
      </c>
      <c r="CT53" s="219" t="s">
        <v>1009</v>
      </c>
      <c r="CU53" s="220" t="s">
        <v>1002</v>
      </c>
      <c r="CV53" s="219" t="s">
        <v>1005</v>
      </c>
      <c r="CW53" s="219" t="s">
        <v>1007</v>
      </c>
      <c r="CX53" s="219" t="s">
        <v>1009</v>
      </c>
      <c r="CY53" s="2475">
        <f ca="1">(CY42-CZ42)/CY42</f>
        <v>0.51657458563535918</v>
      </c>
      <c r="CZ53" s="289" t="s">
        <v>1360</v>
      </c>
      <c r="DA53" s="289"/>
      <c r="DB53" s="289"/>
      <c r="DC53" s="289"/>
      <c r="DD53" s="289"/>
      <c r="DE53" s="482"/>
      <c r="DF53" s="482"/>
      <c r="DG53" s="482"/>
      <c r="DH53" s="482"/>
      <c r="DI53" s="482"/>
      <c r="DJ53" s="482"/>
      <c r="DK53" s="482"/>
      <c r="DL53" s="482"/>
      <c r="DM53" s="482"/>
      <c r="DN53" s="482"/>
      <c r="DO53" s="366"/>
      <c r="DP53" s="366"/>
      <c r="DQ53" s="366"/>
      <c r="DR53" s="366"/>
      <c r="DS53" s="366"/>
      <c r="DT53" s="570">
        <f t="shared" si="95"/>
        <v>42369</v>
      </c>
      <c r="DU53" s="440">
        <f t="shared" si="95"/>
        <v>42369</v>
      </c>
      <c r="DV53" s="571">
        <f t="shared" si="96"/>
        <v>100</v>
      </c>
      <c r="DW53" s="571">
        <f t="shared" si="96"/>
        <v>100</v>
      </c>
      <c r="DX53" s="571">
        <f t="shared" si="96"/>
        <v>119</v>
      </c>
      <c r="DY53" s="571">
        <f t="shared" si="97"/>
        <v>99246</v>
      </c>
      <c r="DZ53" s="571">
        <f t="shared" si="98"/>
        <v>5</v>
      </c>
      <c r="EA53" s="571">
        <f t="shared" si="99"/>
        <v>4170</v>
      </c>
      <c r="EB53" s="571">
        <f t="shared" si="100"/>
        <v>168</v>
      </c>
      <c r="EC53" s="571">
        <f t="shared" si="101"/>
        <v>140112</v>
      </c>
      <c r="ED53" s="571">
        <f t="shared" si="102"/>
        <v>4</v>
      </c>
      <c r="EE53" s="571">
        <f t="shared" si="103"/>
        <v>3336</v>
      </c>
      <c r="EF53" s="571">
        <f t="shared" si="104"/>
        <v>12</v>
      </c>
      <c r="EG53" s="404"/>
      <c r="EH53" s="289"/>
      <c r="EI53" s="289"/>
      <c r="EJ53" s="289"/>
      <c r="EK53" s="289"/>
      <c r="EL53" s="289"/>
      <c r="EM53" s="289"/>
      <c r="EN53" s="289"/>
      <c r="EO53" s="289"/>
      <c r="EP53" s="289"/>
      <c r="EQ53" s="289"/>
      <c r="ER53" s="289"/>
      <c r="ES53" s="289"/>
      <c r="ET53" s="289"/>
      <c r="EU53" s="289"/>
      <c r="EV53" s="289"/>
      <c r="EW53" s="289"/>
      <c r="EX53" s="289"/>
      <c r="EY53" s="289"/>
      <c r="EZ53" s="289"/>
      <c r="FA53" s="289"/>
      <c r="FB53" s="289"/>
      <c r="FC53" s="289"/>
      <c r="FD53" s="289"/>
      <c r="FE53" s="289"/>
      <c r="FF53" s="289"/>
      <c r="FG53" s="289"/>
      <c r="FH53" s="289"/>
      <c r="FI53" s="289"/>
      <c r="FJ53" s="289"/>
      <c r="FK53" s="289"/>
      <c r="FL53" s="289"/>
      <c r="FM53" s="289"/>
      <c r="FN53" s="289"/>
      <c r="FO53" s="289"/>
      <c r="FP53" s="289"/>
      <c r="FQ53" s="289"/>
      <c r="FR53" s="289"/>
      <c r="FS53" s="289"/>
      <c r="FT53" s="289"/>
      <c r="FU53" s="289"/>
      <c r="FV53" s="289"/>
      <c r="FW53" s="289"/>
      <c r="FX53" s="289"/>
      <c r="FY53" s="289"/>
      <c r="FZ53" s="289"/>
      <c r="GA53" s="289"/>
      <c r="GB53" s="289"/>
      <c r="GC53" s="289"/>
      <c r="GD53" s="289"/>
      <c r="GE53" s="289"/>
      <c r="GF53" s="289"/>
      <c r="GG53" s="289"/>
      <c r="GH53" s="289"/>
      <c r="GI53" s="289"/>
      <c r="GJ53" s="289"/>
      <c r="GK53" s="289"/>
      <c r="GL53" s="289"/>
      <c r="GM53" s="289"/>
      <c r="GN53" s="289"/>
      <c r="GO53" s="289"/>
      <c r="GP53" s="289"/>
      <c r="GQ53" s="289"/>
      <c r="GR53" s="289"/>
      <c r="GS53" s="289"/>
      <c r="GT53" s="289"/>
      <c r="GU53" s="289"/>
      <c r="GV53" s="289"/>
      <c r="GW53" s="289"/>
      <c r="GX53" s="289"/>
      <c r="GY53" s="289"/>
      <c r="GZ53" s="289"/>
      <c r="HA53" s="289"/>
      <c r="HB53" s="289"/>
      <c r="HC53" s="289"/>
      <c r="HD53" s="289"/>
      <c r="HE53" s="289"/>
      <c r="HF53" s="289"/>
      <c r="HG53" s="289"/>
      <c r="HH53" s="289"/>
      <c r="HI53" s="289"/>
      <c r="HJ53" s="289"/>
      <c r="HK53" s="289"/>
      <c r="HL53" s="289"/>
      <c r="HM53" s="289"/>
      <c r="HN53" s="289"/>
      <c r="HO53" s="289"/>
      <c r="HP53" s="289"/>
      <c r="HQ53" s="289"/>
      <c r="HR53" s="289"/>
      <c r="HS53" s="289"/>
      <c r="HT53" s="289"/>
      <c r="HU53" s="289"/>
      <c r="HV53" s="289"/>
      <c r="HW53" s="289"/>
      <c r="HX53" s="289"/>
      <c r="HY53" s="289"/>
      <c r="HZ53" s="289"/>
      <c r="IA53" s="289"/>
      <c r="IB53" s="289"/>
      <c r="IC53" s="289"/>
      <c r="ID53" s="289"/>
      <c r="IE53" s="289"/>
      <c r="IF53" s="289"/>
      <c r="IG53" s="289"/>
      <c r="IH53" s="289"/>
      <c r="II53" s="289"/>
      <c r="IJ53" s="289"/>
      <c r="IK53" s="289"/>
      <c r="IL53" s="289"/>
      <c r="IM53" s="289"/>
      <c r="IN53" s="289"/>
      <c r="IO53" s="289"/>
      <c r="IP53" s="289"/>
      <c r="IQ53" s="289"/>
      <c r="IR53" s="289"/>
      <c r="IS53" s="289"/>
      <c r="IT53" s="289"/>
      <c r="IU53" s="289"/>
      <c r="IV53" s="289"/>
      <c r="IW53" s="289"/>
      <c r="IX53" s="289"/>
    </row>
    <row r="54" spans="1:258" s="21" customFormat="1" ht="17.100000000000001" customHeight="1">
      <c r="A54" s="289"/>
      <c r="B54" s="289"/>
      <c r="C54" s="289"/>
      <c r="D54" s="289"/>
      <c r="E54" s="289"/>
      <c r="F54" s="289"/>
      <c r="G54" s="289"/>
      <c r="H54" s="289"/>
      <c r="I54" s="289"/>
      <c r="J54" s="289"/>
      <c r="K54" s="289"/>
      <c r="L54" s="289"/>
      <c r="M54" s="289"/>
      <c r="N54" s="289"/>
      <c r="O54" s="289"/>
      <c r="P54" s="289"/>
      <c r="Q54" s="2541" t="s">
        <v>1371</v>
      </c>
      <c r="R54" s="2534">
        <f>AVERAGE(R26:R41)</f>
        <v>134.1875</v>
      </c>
      <c r="S54" s="2535">
        <f>AVERAGE(S26:S41)</f>
        <v>9.4375</v>
      </c>
      <c r="T54" s="2535">
        <f>AVERAGE(T26:T41)</f>
        <v>140.375</v>
      </c>
      <c r="U54" s="2542">
        <f>AVERAGE(U26:U41)</f>
        <v>21.125</v>
      </c>
      <c r="V54" s="1"/>
      <c r="W54" s="289"/>
      <c r="X54" s="289"/>
      <c r="Y54" s="289"/>
      <c r="Z54" s="289"/>
      <c r="AA54" s="289"/>
      <c r="AB54" s="289"/>
      <c r="AC54" s="289"/>
      <c r="AD54" s="289"/>
      <c r="AE54" s="289"/>
      <c r="AF54" s="289"/>
      <c r="AG54" s="289"/>
      <c r="AH54" s="289"/>
      <c r="AI54" s="289"/>
      <c r="AJ54" s="289"/>
      <c r="AK54" s="2712"/>
      <c r="AL54" s="2593" t="s">
        <v>1407</v>
      </c>
      <c r="AM54" s="2593" t="s">
        <v>1407</v>
      </c>
      <c r="AN54" s="2593" t="s">
        <v>1407</v>
      </c>
      <c r="AO54" s="2593" t="s">
        <v>1408</v>
      </c>
      <c r="AP54" s="2593" t="s">
        <v>1407</v>
      </c>
      <c r="AQ54" s="2593" t="s">
        <v>1407</v>
      </c>
      <c r="AR54" s="2593" t="s">
        <v>1407</v>
      </c>
      <c r="AS54" s="2593" t="s">
        <v>1407</v>
      </c>
      <c r="AT54" s="2593" t="s">
        <v>1408</v>
      </c>
      <c r="AU54" s="2594" t="s">
        <v>1409</v>
      </c>
      <c r="AV54" s="2596"/>
      <c r="AW54" s="2597"/>
      <c r="AX54" s="2597"/>
      <c r="AY54" s="2597"/>
      <c r="AZ54" s="2597"/>
      <c r="BA54" s="2598"/>
      <c r="BB54" s="2599"/>
      <c r="BC54" s="373"/>
      <c r="BD54" s="373" t="s">
        <v>1044</v>
      </c>
      <c r="BE54" s="289"/>
      <c r="BF54" s="289"/>
      <c r="BG54" s="289"/>
      <c r="BH54" s="373"/>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c r="CL54" s="289"/>
      <c r="CM54" s="289"/>
      <c r="CN54" s="289"/>
      <c r="CO54" s="289"/>
      <c r="CP54" s="297">
        <f>D11</f>
        <v>42370</v>
      </c>
      <c r="CQ54" s="298">
        <f t="shared" ref="CQ54:CT69" ca="1" si="106">IF(SUM($CQ11:$CT11)=0,"",+CQ11*$G11*8.34)</f>
        <v>29.023199999999999</v>
      </c>
      <c r="CR54" s="299">
        <f t="shared" ca="1" si="106"/>
        <v>0</v>
      </c>
      <c r="CS54" s="299">
        <f t="shared" ca="1" si="106"/>
        <v>26718.502153049998</v>
      </c>
      <c r="CT54" s="299">
        <f t="shared" ca="1" si="106"/>
        <v>30633.987599999997</v>
      </c>
      <c r="CU54" s="298">
        <f t="shared" ref="CU54:CX69" ca="1" si="107">IF(SUM($CU11:$CX11)=0,"",+CU11*$G11*8.34)</f>
        <v>449.8596</v>
      </c>
      <c r="CV54" s="299">
        <f t="shared" ca="1" si="107"/>
        <v>2358.1349999999998</v>
      </c>
      <c r="CW54" s="299">
        <f t="shared" ca="1" si="107"/>
        <v>7929.6461459999991</v>
      </c>
      <c r="CX54" s="299">
        <f t="shared" ca="1" si="107"/>
        <v>7110.6840000000002</v>
      </c>
      <c r="CY54" s="293"/>
      <c r="CZ54" s="289"/>
      <c r="DA54" s="289"/>
      <c r="DB54" s="289"/>
      <c r="DC54" s="289"/>
      <c r="DD54" s="289"/>
      <c r="DE54" s="482"/>
      <c r="DF54" s="482"/>
      <c r="DG54" s="482"/>
      <c r="DH54" s="482"/>
      <c r="DI54" s="482"/>
      <c r="DJ54" s="482"/>
      <c r="DK54" s="482"/>
      <c r="DL54" s="482"/>
      <c r="DM54" s="482"/>
      <c r="DN54" s="482"/>
      <c r="DO54" s="366"/>
      <c r="DP54" s="366"/>
      <c r="DQ54" s="366"/>
      <c r="DR54" s="366"/>
      <c r="DS54" s="366"/>
      <c r="DT54" s="572">
        <f>C11</f>
        <v>42370</v>
      </c>
      <c r="DU54" s="567">
        <f>D11</f>
        <v>42370</v>
      </c>
      <c r="DV54" s="568">
        <f ca="1">IF(DU54&gt;TODAY(),"",IF(ISNUMBER(E11),E11,E$44))</f>
        <v>87</v>
      </c>
      <c r="DW54" s="568">
        <f ca="1">IF(DU54&gt;TODAY(),"",IF(ISNUMBER(G11),G11,G$44))</f>
        <v>87</v>
      </c>
      <c r="DX54" s="568">
        <f ca="1">IF(DU54&gt;TODAY(),"",IF(ISNUMBER(T11),T11,T$44))</f>
        <v>117</v>
      </c>
      <c r="DY54" s="568">
        <f ca="1">IF(DU54&gt;TODAY(),"",IF($DW54&gt;0,+$DW54*DX54*8.34,""))</f>
        <v>84892.86</v>
      </c>
      <c r="DZ54" s="568">
        <f ca="1">IF(DU54&gt;TODAY(),"",IF($E11&gt;0,IF(CELL("type",U11:U11)="V",U11,IF(CELL("type",U11:U11)="L",U$44," "))," "))</f>
        <v>3</v>
      </c>
      <c r="EA54" s="568">
        <f ca="1">IF(DU54&gt;TODAY(),"",IF(DW54&gt;0,+$DW54*DZ54*8.34,""))</f>
        <v>2176.7399999999998</v>
      </c>
      <c r="EB54" s="568">
        <f t="shared" ref="EB54:EB60" ca="1" si="108">IF(DU54&gt;(TODAY())-7,"",IF($E11&gt;0,IF(CELL("type",R11:R11)="V",R11,IF(CELL("type",R11:R11)="L",R$44," "))," "))</f>
        <v>145</v>
      </c>
      <c r="EC54" s="568">
        <f t="shared" ref="EC54:EC60" ca="1" si="109">IF(DU54&gt;TODAY()-7,"",IF($DW54&gt;0,+$DW54*EB54*8.34,""))</f>
        <v>105209.09999999999</v>
      </c>
      <c r="ED54" s="568">
        <f t="shared" ref="ED54:ED60" ca="1" si="110">IF(DU54&gt;TODAY()-7,"",IF($E11&gt;0,IF(CELL("type",S11:S11)="V",S11,IF(CELL("type",S11:S11)="L",S$44," "))," "))</f>
        <v>2</v>
      </c>
      <c r="EE54" s="568">
        <f t="shared" ref="EE54:EE60" ca="1" si="111">IF(DU54&gt;TODAY()-7,"",IF(DW54&gt;0,+$DW54*ED54*8.34,""))</f>
        <v>1451.16</v>
      </c>
      <c r="EF54" s="568">
        <f t="shared" ref="EF54:EF82" ca="1" si="112">IF($E11&gt;0,AE11,"")</f>
        <v>16</v>
      </c>
      <c r="EG54" s="404"/>
      <c r="EH54" s="289"/>
      <c r="EI54" s="289"/>
      <c r="EJ54" s="289"/>
      <c r="EK54" s="289"/>
      <c r="EL54" s="289"/>
      <c r="EM54" s="289"/>
      <c r="EN54" s="289"/>
      <c r="EO54" s="289"/>
      <c r="EP54" s="289"/>
      <c r="EQ54" s="289"/>
      <c r="ER54" s="289"/>
      <c r="ES54" s="289"/>
      <c r="ET54" s="289"/>
      <c r="EU54" s="289"/>
      <c r="EV54" s="289"/>
      <c r="EW54" s="289"/>
      <c r="EX54" s="289"/>
      <c r="EY54" s="289"/>
      <c r="EZ54" s="289"/>
      <c r="FA54" s="289"/>
      <c r="FB54" s="289"/>
      <c r="FC54" s="289"/>
      <c r="FD54" s="289"/>
      <c r="FE54" s="289"/>
      <c r="FF54" s="289"/>
      <c r="FG54" s="289"/>
      <c r="FH54" s="289"/>
      <c r="FI54" s="289"/>
      <c r="FJ54" s="289"/>
      <c r="FK54" s="289"/>
      <c r="FL54" s="289"/>
      <c r="FM54" s="289"/>
      <c r="FN54" s="289"/>
      <c r="FO54" s="289"/>
      <c r="FP54" s="289"/>
      <c r="FQ54" s="289"/>
      <c r="FR54" s="289"/>
      <c r="FS54" s="289"/>
      <c r="FT54" s="289"/>
      <c r="FU54" s="289"/>
      <c r="FV54" s="289"/>
      <c r="FW54" s="289"/>
      <c r="FX54" s="289"/>
      <c r="FY54" s="289"/>
      <c r="FZ54" s="289"/>
      <c r="GA54" s="289"/>
      <c r="GB54" s="289"/>
      <c r="GC54" s="289"/>
      <c r="GD54" s="289"/>
      <c r="GE54" s="289"/>
      <c r="GF54" s="289"/>
      <c r="GG54" s="289"/>
      <c r="GH54" s="289"/>
      <c r="GI54" s="289"/>
      <c r="GJ54" s="289"/>
      <c r="GK54" s="289"/>
      <c r="GL54" s="289"/>
      <c r="GM54" s="289"/>
      <c r="GN54" s="289"/>
      <c r="GO54" s="289"/>
      <c r="GP54" s="289"/>
      <c r="GQ54" s="289"/>
      <c r="GR54" s="289"/>
      <c r="GS54" s="289"/>
      <c r="GT54" s="289"/>
      <c r="GU54" s="289"/>
      <c r="GV54" s="289"/>
      <c r="GW54" s="289"/>
      <c r="GX54" s="289"/>
      <c r="GY54" s="289"/>
      <c r="GZ54" s="289"/>
      <c r="HA54" s="289"/>
      <c r="HB54" s="289"/>
      <c r="HC54" s="289"/>
      <c r="HD54" s="289"/>
      <c r="HE54" s="289"/>
      <c r="HF54" s="289"/>
      <c r="HG54" s="289"/>
      <c r="HH54" s="289"/>
      <c r="HI54" s="289"/>
      <c r="HJ54" s="289"/>
      <c r="HK54" s="289"/>
      <c r="HL54" s="289"/>
      <c r="HM54" s="289"/>
      <c r="HN54" s="289"/>
      <c r="HO54" s="289"/>
      <c r="HP54" s="289"/>
      <c r="HQ54" s="289"/>
      <c r="HR54" s="289"/>
      <c r="HS54" s="289"/>
      <c r="HT54" s="289"/>
      <c r="HU54" s="289"/>
      <c r="HV54" s="289"/>
      <c r="HW54" s="289"/>
      <c r="HX54" s="289"/>
      <c r="HY54" s="289"/>
      <c r="HZ54" s="289"/>
      <c r="IA54" s="289"/>
      <c r="IB54" s="289"/>
      <c r="IC54" s="289"/>
      <c r="ID54" s="289"/>
      <c r="IE54" s="289"/>
      <c r="IF54" s="289"/>
      <c r="IG54" s="289"/>
      <c r="IH54" s="289"/>
      <c r="II54" s="289"/>
      <c r="IJ54" s="289"/>
      <c r="IK54" s="289"/>
      <c r="IL54" s="289"/>
      <c r="IM54" s="289"/>
      <c r="IN54" s="289"/>
      <c r="IO54" s="289"/>
      <c r="IP54" s="289"/>
      <c r="IQ54" s="289"/>
      <c r="IR54" s="289"/>
      <c r="IS54" s="289"/>
      <c r="IT54" s="289"/>
      <c r="IU54" s="289"/>
      <c r="IV54" s="289"/>
      <c r="IW54" s="289"/>
      <c r="IX54" s="289"/>
    </row>
    <row r="55" spans="1:258" s="21" customFormat="1" ht="17.100000000000001" customHeight="1">
      <c r="A55" s="289"/>
      <c r="B55" s="289"/>
      <c r="C55" s="289"/>
      <c r="G55" s="289"/>
      <c r="H55" s="289"/>
      <c r="I55" s="289"/>
      <c r="J55" s="289"/>
      <c r="K55" s="289"/>
      <c r="L55" s="289"/>
      <c r="M55" s="289"/>
      <c r="N55" s="289"/>
      <c r="O55" s="289"/>
      <c r="P55" s="289"/>
      <c r="Q55" s="2708" t="s">
        <v>483</v>
      </c>
      <c r="R55" s="2064" t="s">
        <v>1370</v>
      </c>
      <c r="S55" s="2537">
        <f>(R53-S53)/R53</f>
        <v>0.97204968944099368</v>
      </c>
      <c r="T55" s="2064" t="s">
        <v>1370</v>
      </c>
      <c r="U55" s="2543">
        <f>(T53-U53)/T53</f>
        <v>0.93423323896982657</v>
      </c>
      <c r="V55" s="1"/>
      <c r="W55" s="289"/>
      <c r="X55" s="289"/>
      <c r="Y55" s="289"/>
      <c r="Z55" s="289"/>
      <c r="AA55" s="289"/>
      <c r="AB55" s="289"/>
      <c r="AC55" s="289"/>
      <c r="AD55" s="289"/>
      <c r="AE55" s="289"/>
      <c r="AF55" s="289"/>
      <c r="AG55" s="289"/>
      <c r="AH55" s="289"/>
      <c r="AI55" s="289"/>
      <c r="AJ55" s="289"/>
      <c r="AK55" s="2690">
        <v>42388</v>
      </c>
      <c r="AL55" s="2642" t="s">
        <v>1410</v>
      </c>
      <c r="AM55" s="2642" t="s">
        <v>1410</v>
      </c>
      <c r="AN55" s="2642" t="s">
        <v>1410</v>
      </c>
      <c r="AO55" s="2643" t="s">
        <v>1411</v>
      </c>
      <c r="AP55" s="2642" t="s">
        <v>1412</v>
      </c>
      <c r="AQ55" s="2644" t="s">
        <v>1413</v>
      </c>
      <c r="AR55" s="2645" t="s">
        <v>1412</v>
      </c>
      <c r="AS55" s="2644" t="s">
        <v>1412</v>
      </c>
      <c r="AT55" s="2644" t="s">
        <v>1414</v>
      </c>
      <c r="AU55" s="2646" t="s">
        <v>1415</v>
      </c>
      <c r="AV55" s="2647"/>
      <c r="AW55" s="2648"/>
      <c r="AX55" s="2648"/>
      <c r="AY55" s="2648"/>
      <c r="AZ55" s="2648"/>
      <c r="BA55" s="2649"/>
      <c r="BB55" s="2650"/>
      <c r="BC55" s="373"/>
      <c r="BD55" s="373" t="s">
        <v>1045</v>
      </c>
      <c r="BE55" s="289"/>
      <c r="BF55" s="289"/>
      <c r="BG55" s="289"/>
      <c r="BH55" s="373"/>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c r="CL55" s="289"/>
      <c r="CM55" s="289"/>
      <c r="CN55" s="289"/>
      <c r="CO55" s="289"/>
      <c r="CP55" s="235">
        <f t="shared" ref="CP55:CP84" si="113">D12</f>
        <v>42371</v>
      </c>
      <c r="CQ55" s="300">
        <f t="shared" ca="1" si="106"/>
        <v>30.357600000000001</v>
      </c>
      <c r="CR55" s="301">
        <f t="shared" ca="1" si="106"/>
        <v>4.9331100000000001</v>
      </c>
      <c r="CS55" s="301">
        <f t="shared" ca="1" si="106"/>
        <v>20661.842477640002</v>
      </c>
      <c r="CT55" s="301">
        <f t="shared" ca="1" si="106"/>
        <v>27162.462599999999</v>
      </c>
      <c r="CU55" s="300">
        <f t="shared" ca="1" si="107"/>
        <v>561.61559999999997</v>
      </c>
      <c r="CV55" s="301">
        <f t="shared" ca="1" si="107"/>
        <v>3422.8193999999999</v>
      </c>
      <c r="CW55" s="301">
        <f t="shared" ca="1" si="107"/>
        <v>7741.2790728</v>
      </c>
      <c r="CX55" s="301">
        <f t="shared" ca="1" si="107"/>
        <v>7437.6120000000001</v>
      </c>
      <c r="CY55" s="293"/>
      <c r="CZ55" s="289"/>
      <c r="DA55" s="289"/>
      <c r="DB55" s="289"/>
      <c r="DC55" s="289"/>
      <c r="DD55" s="289"/>
      <c r="DE55" s="482"/>
      <c r="DF55" s="482"/>
      <c r="DG55" s="482"/>
      <c r="DH55" s="482"/>
      <c r="DI55" s="482"/>
      <c r="DJ55" s="482"/>
      <c r="DK55" s="482"/>
      <c r="DL55" s="482"/>
      <c r="DM55" s="482"/>
      <c r="DN55" s="482"/>
      <c r="DO55" s="366"/>
      <c r="DP55" s="366"/>
      <c r="DQ55" s="366"/>
      <c r="DR55" s="366"/>
      <c r="DS55" s="366"/>
      <c r="DT55" s="573">
        <f>C12</f>
        <v>42371</v>
      </c>
      <c r="DU55" s="440">
        <f>D12</f>
        <v>42371</v>
      </c>
      <c r="DV55" s="571">
        <f t="shared" ref="DV55:DV84" ca="1" si="114">IF(DU55&gt;TODAY(),"",IF(ISNUMBER(E12),E12,E$44))</f>
        <v>91</v>
      </c>
      <c r="DW55" s="571">
        <f t="shared" ref="DW55:DW84" ca="1" si="115">IF(DU55&gt;TODAY(),"",IF(ISNUMBER(G12),G12,G$44))</f>
        <v>91</v>
      </c>
      <c r="DX55" s="571">
        <f t="shared" ref="DX55:DX84" ca="1" si="116">IF(DU55&gt;TODAY(),"",IF(ISNUMBER(T12),T12,T$44))</f>
        <v>115</v>
      </c>
      <c r="DY55" s="571">
        <f t="shared" ref="DY55:DY84" ca="1" si="117">IF(DU55&gt;TODAY(),"",IF($DW55&gt;0,+$DW55*DX55*8.34,""))</f>
        <v>87278.099999999991</v>
      </c>
      <c r="DZ55" s="571">
        <f t="shared" ref="DZ55:DZ84" ca="1" si="118">IF(DU55&gt;TODAY(),"",IF($E12&gt;0,IF(CELL("type",U12:U12)="V",U12,IF(CELL("type",U12:U12)="L",U$44," "))," "))</f>
        <v>3</v>
      </c>
      <c r="EA55" s="571">
        <f t="shared" ref="EA55:EA84" ca="1" si="119">IF(DU55&gt;TODAY(),"",IF(DW55&gt;0,+$DW55*DZ55*8.34,""))</f>
        <v>2276.8200000000002</v>
      </c>
      <c r="EB55" s="571">
        <f t="shared" ca="1" si="108"/>
        <v>139</v>
      </c>
      <c r="EC55" s="571">
        <f t="shared" ca="1" si="109"/>
        <v>105492.66</v>
      </c>
      <c r="ED55" s="571">
        <f t="shared" ca="1" si="110"/>
        <v>2</v>
      </c>
      <c r="EE55" s="571">
        <f t="shared" ca="1" si="111"/>
        <v>1517.8799999999999</v>
      </c>
      <c r="EF55" s="571">
        <f t="shared" ca="1" si="112"/>
        <v>1</v>
      </c>
      <c r="EG55" s="404"/>
      <c r="EH55" s="289"/>
      <c r="EI55" s="289"/>
      <c r="EJ55" s="289"/>
      <c r="EK55" s="289"/>
      <c r="EL55" s="289"/>
      <c r="EM55" s="289"/>
      <c r="EN55" s="289"/>
      <c r="EO55" s="289"/>
      <c r="EP55" s="289"/>
      <c r="EQ55" s="289"/>
      <c r="ER55" s="289"/>
      <c r="ES55" s="289"/>
      <c r="ET55" s="289"/>
      <c r="EU55" s="289"/>
      <c r="EV55" s="289"/>
      <c r="EW55" s="289"/>
      <c r="EX55" s="289"/>
      <c r="EY55" s="289"/>
      <c r="EZ55" s="289"/>
      <c r="FA55" s="289"/>
      <c r="FB55" s="289"/>
      <c r="FC55" s="289"/>
      <c r="FD55" s="289"/>
      <c r="FE55" s="289"/>
      <c r="FF55" s="289"/>
      <c r="FG55" s="289"/>
      <c r="FH55" s="289"/>
      <c r="FI55" s="289"/>
      <c r="FJ55" s="289"/>
      <c r="FK55" s="289"/>
      <c r="FL55" s="289"/>
      <c r="FM55" s="289"/>
      <c r="FN55" s="289"/>
      <c r="FO55" s="289"/>
      <c r="FP55" s="289"/>
      <c r="FQ55" s="289"/>
      <c r="FR55" s="289"/>
      <c r="FS55" s="289"/>
      <c r="FT55" s="289"/>
      <c r="FU55" s="289"/>
      <c r="FV55" s="289"/>
      <c r="FW55" s="289"/>
      <c r="FX55" s="289"/>
      <c r="FY55" s="289"/>
      <c r="FZ55" s="289"/>
      <c r="GA55" s="289"/>
      <c r="GB55" s="289"/>
      <c r="GC55" s="289"/>
      <c r="GD55" s="289"/>
      <c r="GE55" s="289"/>
      <c r="GF55" s="289"/>
      <c r="GG55" s="289"/>
      <c r="GH55" s="289"/>
      <c r="GI55" s="289"/>
      <c r="GJ55" s="289"/>
      <c r="GK55" s="289"/>
      <c r="GL55" s="289"/>
      <c r="GM55" s="289"/>
      <c r="GN55" s="289"/>
      <c r="GO55" s="289"/>
      <c r="GP55" s="289"/>
      <c r="GQ55" s="289"/>
      <c r="GR55" s="289"/>
      <c r="GS55" s="289"/>
      <c r="GT55" s="289"/>
      <c r="GU55" s="289"/>
      <c r="GV55" s="289"/>
      <c r="GW55" s="289"/>
      <c r="GX55" s="289"/>
      <c r="GY55" s="289"/>
      <c r="GZ55" s="289"/>
      <c r="HA55" s="289"/>
      <c r="HB55" s="289"/>
      <c r="HC55" s="289"/>
      <c r="HD55" s="289"/>
      <c r="HE55" s="289"/>
      <c r="HF55" s="289"/>
      <c r="HG55" s="289"/>
      <c r="HH55" s="289"/>
      <c r="HI55" s="289"/>
      <c r="HJ55" s="289"/>
      <c r="HK55" s="289"/>
      <c r="HL55" s="289"/>
      <c r="HM55" s="289"/>
      <c r="HN55" s="289"/>
      <c r="HO55" s="289"/>
      <c r="HP55" s="289"/>
      <c r="HQ55" s="289"/>
      <c r="HR55" s="289"/>
      <c r="HS55" s="289"/>
      <c r="HT55" s="289"/>
      <c r="HU55" s="289"/>
      <c r="HV55" s="289"/>
      <c r="HW55" s="289"/>
      <c r="HX55" s="289"/>
      <c r="HY55" s="289"/>
      <c r="HZ55" s="289"/>
      <c r="IA55" s="289"/>
      <c r="IB55" s="289"/>
      <c r="IC55" s="289"/>
      <c r="ID55" s="289"/>
      <c r="IE55" s="289"/>
      <c r="IF55" s="289"/>
      <c r="IG55" s="289"/>
      <c r="IH55" s="289"/>
      <c r="II55" s="289"/>
      <c r="IJ55" s="289"/>
      <c r="IK55" s="289"/>
      <c r="IL55" s="289"/>
      <c r="IM55" s="289"/>
      <c r="IN55" s="289"/>
      <c r="IO55" s="289"/>
      <c r="IP55" s="289"/>
      <c r="IQ55" s="289"/>
      <c r="IR55" s="289"/>
      <c r="IS55" s="289"/>
      <c r="IT55" s="289"/>
      <c r="IU55" s="289"/>
      <c r="IV55" s="289"/>
      <c r="IW55" s="289"/>
      <c r="IX55" s="289"/>
    </row>
    <row r="56" spans="1:258" s="21" customFormat="1" ht="17.100000000000001" customHeight="1" thickBot="1">
      <c r="A56" s="289"/>
      <c r="B56" s="289"/>
      <c r="C56" s="289"/>
      <c r="G56" s="289"/>
      <c r="H56" s="289"/>
      <c r="I56" s="289"/>
      <c r="J56" s="289"/>
      <c r="K56" s="289"/>
      <c r="L56" s="289"/>
      <c r="M56" s="289"/>
      <c r="N56" s="289"/>
      <c r="O56" s="289"/>
      <c r="P56" s="289"/>
      <c r="Q56" s="2709"/>
      <c r="R56" s="2544" t="s">
        <v>1371</v>
      </c>
      <c r="S56" s="2545">
        <f>(R54-S54)/R54</f>
        <v>0.92966930600838382</v>
      </c>
      <c r="T56" s="2544" t="s">
        <v>1371</v>
      </c>
      <c r="U56" s="2546">
        <f>(T54-U54)/T54</f>
        <v>0.84951024042742651</v>
      </c>
      <c r="V56" s="1"/>
      <c r="W56" s="289"/>
      <c r="X56" s="289"/>
      <c r="Y56" s="289"/>
      <c r="Z56" s="289"/>
      <c r="AA56" s="289"/>
      <c r="AB56" s="289"/>
      <c r="AC56" s="289"/>
      <c r="AD56" s="289"/>
      <c r="AE56" s="289"/>
      <c r="AF56" s="289"/>
      <c r="AG56" s="289"/>
      <c r="AH56" s="289"/>
      <c r="AI56" s="289"/>
      <c r="AJ56" s="289"/>
      <c r="AK56" s="377" t="s">
        <v>999</v>
      </c>
      <c r="AL56" s="377"/>
      <c r="AM56" s="377"/>
      <c r="AN56" s="377"/>
      <c r="AO56" s="377"/>
      <c r="AP56" s="377"/>
      <c r="AQ56" s="377"/>
      <c r="AR56" s="377"/>
      <c r="AS56" s="377"/>
      <c r="AT56" s="377"/>
      <c r="AU56" s="377"/>
      <c r="AV56" s="289"/>
      <c r="AW56" s="289"/>
      <c r="AX56" s="289"/>
      <c r="AY56" s="377"/>
      <c r="AZ56" s="377"/>
      <c r="BA56" s="377"/>
      <c r="BB56" s="377"/>
      <c r="BC56" s="289"/>
      <c r="BD56" s="384" t="s">
        <v>1046</v>
      </c>
      <c r="BE56" s="383"/>
      <c r="BF56" s="3" t="s">
        <v>1052</v>
      </c>
      <c r="BG56" s="3"/>
      <c r="BH56" s="373"/>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c r="CL56" s="289"/>
      <c r="CM56" s="289"/>
      <c r="CN56" s="289"/>
      <c r="CO56" s="289"/>
      <c r="CP56" s="235">
        <f t="shared" si="113"/>
        <v>42372</v>
      </c>
      <c r="CQ56" s="300">
        <f t="shared" ca="1" si="106"/>
        <v>38.780999999999999</v>
      </c>
      <c r="CR56" s="301">
        <f t="shared" ca="1" si="106"/>
        <v>5.0415299999999998</v>
      </c>
      <c r="CS56" s="301">
        <f t="shared" ca="1" si="106"/>
        <v>23536.465796339999</v>
      </c>
      <c r="CT56" s="301">
        <f t="shared" ca="1" si="106"/>
        <v>29574.390600000002</v>
      </c>
      <c r="CU56" s="300">
        <f t="shared" ca="1" si="107"/>
        <v>496.39680000000004</v>
      </c>
      <c r="CV56" s="301">
        <f t="shared" ca="1" si="107"/>
        <v>2613.8394000000003</v>
      </c>
      <c r="CW56" s="301">
        <f t="shared" ca="1" si="107"/>
        <v>8570.7018306000009</v>
      </c>
      <c r="CX56" s="301">
        <f t="shared" ca="1" si="107"/>
        <v>8376.6959999999999</v>
      </c>
      <c r="CY56" s="293"/>
      <c r="CZ56" s="289"/>
      <c r="DA56" s="289"/>
      <c r="DB56" s="289"/>
      <c r="DC56" s="289"/>
      <c r="DD56" s="289"/>
      <c r="DE56" s="482"/>
      <c r="DF56" s="482"/>
      <c r="DG56" s="482"/>
      <c r="DH56" s="482"/>
      <c r="DI56" s="482"/>
      <c r="DJ56" s="482"/>
      <c r="DK56" s="482"/>
      <c r="DL56" s="482"/>
      <c r="DM56" s="482"/>
      <c r="DN56" s="482"/>
      <c r="DO56" s="366"/>
      <c r="DP56" s="366"/>
      <c r="DQ56" s="366"/>
      <c r="DR56" s="366"/>
      <c r="DS56" s="366"/>
      <c r="DT56" s="573">
        <f t="shared" ref="DT56:DT84" si="120">C13</f>
        <v>42372</v>
      </c>
      <c r="DU56" s="440">
        <f t="shared" ref="DU56:DU84" si="121">D13</f>
        <v>42372</v>
      </c>
      <c r="DV56" s="571">
        <f t="shared" ca="1" si="114"/>
        <v>93</v>
      </c>
      <c r="DW56" s="571">
        <f t="shared" ca="1" si="115"/>
        <v>93</v>
      </c>
      <c r="DX56" s="571">
        <f t="shared" ca="1" si="116"/>
        <v>131</v>
      </c>
      <c r="DY56" s="571">
        <f t="shared" ca="1" si="117"/>
        <v>101606.22</v>
      </c>
      <c r="DZ56" s="571">
        <f t="shared" ca="1" si="118"/>
        <v>3</v>
      </c>
      <c r="EA56" s="571">
        <f t="shared" ref="EA56:EA64" ca="1" si="122">IF(DU56&gt;TODAY(),"",IF(DW56&gt;0,+$DW56*DZ56*8.34,""))</f>
        <v>2326.86</v>
      </c>
      <c r="EB56" s="571">
        <f t="shared" ca="1" si="108"/>
        <v>157</v>
      </c>
      <c r="EC56" s="571">
        <f t="shared" ca="1" si="109"/>
        <v>121772.34</v>
      </c>
      <c r="ED56" s="571">
        <f t="shared" ca="1" si="110"/>
        <v>2</v>
      </c>
      <c r="EE56" s="571">
        <f t="shared" ca="1" si="111"/>
        <v>1551.24</v>
      </c>
      <c r="EF56" s="571">
        <f t="shared" ca="1" si="112"/>
        <v>98</v>
      </c>
      <c r="EG56" s="404"/>
      <c r="EH56" s="289"/>
      <c r="EI56" s="289"/>
      <c r="EJ56" s="289"/>
      <c r="EK56" s="289"/>
      <c r="EL56" s="289"/>
      <c r="EM56" s="289"/>
      <c r="EN56" s="289"/>
      <c r="EO56" s="289"/>
      <c r="EP56" s="289"/>
      <c r="EQ56" s="289"/>
      <c r="ER56" s="289"/>
      <c r="ES56" s="289"/>
      <c r="ET56" s="289"/>
      <c r="EU56" s="289"/>
      <c r="EV56" s="289"/>
      <c r="EW56" s="289"/>
      <c r="EX56" s="289"/>
      <c r="EY56" s="289"/>
      <c r="EZ56" s="289"/>
      <c r="FA56" s="289"/>
      <c r="FB56" s="289"/>
      <c r="FC56" s="289"/>
      <c r="FD56" s="289"/>
      <c r="FE56" s="289"/>
      <c r="FF56" s="289"/>
      <c r="FG56" s="289"/>
      <c r="FH56" s="289"/>
      <c r="FI56" s="289"/>
      <c r="FJ56" s="289"/>
      <c r="FK56" s="289"/>
      <c r="FL56" s="289"/>
      <c r="FM56" s="289"/>
      <c r="FN56" s="289"/>
      <c r="FO56" s="289"/>
      <c r="FP56" s="289"/>
      <c r="FQ56" s="289"/>
      <c r="FR56" s="289"/>
      <c r="FS56" s="289"/>
      <c r="FT56" s="289"/>
      <c r="FU56" s="289"/>
      <c r="FV56" s="289"/>
      <c r="FW56" s="289"/>
      <c r="FX56" s="289"/>
      <c r="FY56" s="289"/>
      <c r="FZ56" s="289"/>
      <c r="GA56" s="289"/>
      <c r="GB56" s="289"/>
      <c r="GC56" s="289"/>
      <c r="GD56" s="289"/>
      <c r="GE56" s="289"/>
      <c r="GF56" s="289"/>
      <c r="GG56" s="289"/>
      <c r="GH56" s="289"/>
      <c r="GI56" s="289"/>
      <c r="GJ56" s="289"/>
      <c r="GK56" s="289"/>
      <c r="GL56" s="289"/>
      <c r="GM56" s="289"/>
      <c r="GN56" s="289"/>
      <c r="GO56" s="289"/>
      <c r="GP56" s="289"/>
      <c r="GQ56" s="289"/>
      <c r="GR56" s="289"/>
      <c r="GS56" s="289"/>
      <c r="GT56" s="289"/>
      <c r="GU56" s="289"/>
      <c r="GV56" s="289"/>
      <c r="GW56" s="289"/>
      <c r="GX56" s="289"/>
      <c r="GY56" s="289"/>
      <c r="GZ56" s="289"/>
      <c r="HA56" s="289"/>
      <c r="HB56" s="289"/>
      <c r="HC56" s="289"/>
      <c r="HD56" s="289"/>
      <c r="HE56" s="289"/>
      <c r="HF56" s="289"/>
      <c r="HG56" s="289"/>
      <c r="HH56" s="289"/>
      <c r="HI56" s="289"/>
      <c r="HJ56" s="289"/>
      <c r="HK56" s="289"/>
      <c r="HL56" s="289"/>
      <c r="HM56" s="289"/>
      <c r="HN56" s="289"/>
      <c r="HO56" s="289"/>
      <c r="HP56" s="289"/>
      <c r="HQ56" s="289"/>
      <c r="HR56" s="289"/>
      <c r="HS56" s="289"/>
      <c r="HT56" s="289"/>
      <c r="HU56" s="289"/>
      <c r="HV56" s="289"/>
      <c r="HW56" s="289"/>
      <c r="HX56" s="289"/>
      <c r="HY56" s="289"/>
      <c r="HZ56" s="289"/>
      <c r="IA56" s="289"/>
      <c r="IB56" s="289"/>
      <c r="IC56" s="289"/>
      <c r="ID56" s="289"/>
      <c r="IE56" s="289"/>
      <c r="IF56" s="289"/>
      <c r="IG56" s="289"/>
      <c r="IH56" s="289"/>
      <c r="II56" s="289"/>
      <c r="IJ56" s="289"/>
      <c r="IK56" s="289"/>
      <c r="IL56" s="289"/>
      <c r="IM56" s="289"/>
      <c r="IN56" s="289"/>
      <c r="IO56" s="289"/>
      <c r="IP56" s="289"/>
      <c r="IQ56" s="289"/>
      <c r="IR56" s="289"/>
      <c r="IS56" s="289"/>
      <c r="IT56" s="289"/>
      <c r="IU56" s="289"/>
      <c r="IV56" s="289"/>
      <c r="IW56" s="289"/>
      <c r="IX56" s="289"/>
    </row>
    <row r="57" spans="1:258" s="21" customFormat="1" ht="17.100000000000001" customHeight="1">
      <c r="A57" s="289"/>
      <c r="B57" s="289"/>
      <c r="C57" s="289"/>
      <c r="G57" s="289"/>
      <c r="H57" s="289"/>
      <c r="I57" s="289"/>
      <c r="J57" s="289"/>
      <c r="K57" s="289"/>
      <c r="L57" s="289"/>
      <c r="M57" s="289"/>
      <c r="N57" s="289"/>
      <c r="O57" s="289"/>
      <c r="P57" s="289"/>
      <c r="Q57" s="289"/>
      <c r="R57" s="289"/>
      <c r="S57" s="289"/>
      <c r="T57" s="289"/>
      <c r="U57" s="289"/>
      <c r="V57" s="1"/>
      <c r="W57" s="289"/>
      <c r="X57" s="289"/>
      <c r="Y57" s="289"/>
      <c r="Z57" s="289"/>
      <c r="AA57" s="289"/>
      <c r="AB57" s="289"/>
      <c r="AC57" s="289"/>
      <c r="AD57" s="289"/>
      <c r="AE57" s="289"/>
      <c r="AF57" s="289"/>
      <c r="AG57" s="289"/>
      <c r="AH57" s="289"/>
      <c r="AI57" s="289"/>
      <c r="AJ57" s="289"/>
      <c r="AK57" s="289"/>
      <c r="AL57" s="289"/>
      <c r="AM57" s="289"/>
      <c r="AN57" s="289"/>
      <c r="AO57" s="289"/>
      <c r="AP57" s="289"/>
      <c r="AQ57" s="294"/>
      <c r="AR57" s="294"/>
      <c r="AS57" s="294"/>
      <c r="AT57" s="294"/>
      <c r="AU57" s="289"/>
      <c r="AV57" s="289"/>
      <c r="AW57" s="289"/>
      <c r="AX57" s="289"/>
      <c r="AY57" s="289"/>
      <c r="AZ57" s="289"/>
      <c r="BA57" s="289"/>
      <c r="BB57" s="289"/>
      <c r="BC57" s="289"/>
      <c r="BD57" s="384" t="s">
        <v>1047</v>
      </c>
      <c r="BE57" s="383"/>
      <c r="BF57" s="3"/>
      <c r="BG57" s="3"/>
      <c r="BH57" s="373"/>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c r="CL57" s="289"/>
      <c r="CM57" s="289"/>
      <c r="CN57" s="289"/>
      <c r="CO57" s="289"/>
      <c r="CP57" s="235">
        <f t="shared" si="113"/>
        <v>42373</v>
      </c>
      <c r="CQ57" s="300">
        <f t="shared" ca="1" si="106"/>
        <v>28.689599999999999</v>
      </c>
      <c r="CR57" s="301">
        <f t="shared" ca="1" si="106"/>
        <v>13.986180000000001</v>
      </c>
      <c r="CS57" s="301">
        <f t="shared" ca="1" si="106"/>
        <v>22992.9356448</v>
      </c>
      <c r="CT57" s="301">
        <f t="shared" ca="1" si="106"/>
        <v>31827.524999999998</v>
      </c>
      <c r="CU57" s="300">
        <f t="shared" ca="1" si="107"/>
        <v>466.20599999999996</v>
      </c>
      <c r="CV57" s="301">
        <f t="shared" ca="1" si="107"/>
        <v>2488.8227999999999</v>
      </c>
      <c r="CW57" s="301">
        <f t="shared" ca="1" si="107"/>
        <v>7403.0285220000005</v>
      </c>
      <c r="CX57" s="301">
        <f t="shared" ca="1" si="107"/>
        <v>7674.4679999999989</v>
      </c>
      <c r="CY57" s="293"/>
      <c r="CZ57" s="289"/>
      <c r="DA57" s="289"/>
      <c r="DB57" s="289"/>
      <c r="DC57" s="289"/>
      <c r="DD57" s="289"/>
      <c r="DE57" s="482"/>
      <c r="DF57" s="482"/>
      <c r="DG57" s="482"/>
      <c r="DH57" s="482"/>
      <c r="DI57" s="482"/>
      <c r="DJ57" s="482"/>
      <c r="DK57" s="482"/>
      <c r="DL57" s="482"/>
      <c r="DM57" s="482"/>
      <c r="DN57" s="482"/>
      <c r="DO57" s="366"/>
      <c r="DP57" s="366"/>
      <c r="DQ57" s="366"/>
      <c r="DR57" s="366"/>
      <c r="DS57" s="366"/>
      <c r="DT57" s="573">
        <f t="shared" si="120"/>
        <v>42373</v>
      </c>
      <c r="DU57" s="440">
        <f t="shared" si="121"/>
        <v>42373</v>
      </c>
      <c r="DV57" s="571">
        <f t="shared" ca="1" si="114"/>
        <v>86</v>
      </c>
      <c r="DW57" s="571">
        <f t="shared" ca="1" si="115"/>
        <v>86</v>
      </c>
      <c r="DX57" s="571">
        <f t="shared" ca="1" si="116"/>
        <v>140</v>
      </c>
      <c r="DY57" s="571">
        <f t="shared" ca="1" si="117"/>
        <v>100413.59999999999</v>
      </c>
      <c r="DZ57" s="571">
        <f t="shared" ca="1" si="118"/>
        <v>5</v>
      </c>
      <c r="EA57" s="571">
        <f t="shared" ca="1" si="122"/>
        <v>3586.2</v>
      </c>
      <c r="EB57" s="571">
        <f t="shared" ca="1" si="108"/>
        <v>262</v>
      </c>
      <c r="EC57" s="571">
        <f t="shared" ca="1" si="109"/>
        <v>187916.88</v>
      </c>
      <c r="ED57" s="571">
        <f t="shared" ca="1" si="110"/>
        <v>2</v>
      </c>
      <c r="EE57" s="571">
        <f t="shared" ca="1" si="111"/>
        <v>1434.48</v>
      </c>
      <c r="EF57" s="571">
        <f t="shared" ca="1" si="112"/>
        <v>3</v>
      </c>
      <c r="EG57" s="404"/>
      <c r="EH57" s="289"/>
      <c r="EI57" s="289"/>
      <c r="EJ57" s="289"/>
      <c r="EK57" s="289"/>
      <c r="EL57" s="289"/>
      <c r="EM57" s="289"/>
      <c r="EN57" s="289"/>
      <c r="EO57" s="289"/>
      <c r="EP57" s="289"/>
      <c r="EQ57" s="289"/>
      <c r="ER57" s="289"/>
      <c r="ES57" s="289"/>
      <c r="ET57" s="289"/>
      <c r="EU57" s="289"/>
      <c r="EV57" s="289"/>
      <c r="EW57" s="289"/>
      <c r="EX57" s="289"/>
      <c r="EY57" s="289"/>
      <c r="EZ57" s="289"/>
      <c r="FA57" s="289"/>
      <c r="FB57" s="289"/>
      <c r="FC57" s="289"/>
      <c r="FD57" s="289"/>
      <c r="FE57" s="289"/>
      <c r="FF57" s="289"/>
      <c r="FG57" s="289"/>
      <c r="FH57" s="289"/>
      <c r="FI57" s="289"/>
      <c r="FJ57" s="289"/>
      <c r="FK57" s="289"/>
      <c r="FL57" s="289"/>
      <c r="FM57" s="289"/>
      <c r="FN57" s="289"/>
      <c r="FO57" s="289"/>
      <c r="FP57" s="289"/>
      <c r="FQ57" s="289"/>
      <c r="FR57" s="289"/>
      <c r="FS57" s="289"/>
      <c r="FT57" s="289"/>
      <c r="FU57" s="289"/>
      <c r="FV57" s="289"/>
      <c r="FW57" s="289"/>
      <c r="FX57" s="289"/>
      <c r="FY57" s="289"/>
      <c r="FZ57" s="289"/>
      <c r="GA57" s="289"/>
      <c r="GB57" s="289"/>
      <c r="GC57" s="289"/>
      <c r="GD57" s="289"/>
      <c r="GE57" s="289"/>
      <c r="GF57" s="289"/>
      <c r="GG57" s="289"/>
      <c r="GH57" s="289"/>
      <c r="GI57" s="289"/>
      <c r="GJ57" s="289"/>
      <c r="GK57" s="289"/>
      <c r="GL57" s="289"/>
      <c r="GM57" s="289"/>
      <c r="GN57" s="289"/>
      <c r="GO57" s="289"/>
      <c r="GP57" s="289"/>
      <c r="GQ57" s="289"/>
      <c r="GR57" s="289"/>
      <c r="GS57" s="289"/>
      <c r="GT57" s="289"/>
      <c r="GU57" s="289"/>
      <c r="GV57" s="289"/>
      <c r="GW57" s="289"/>
      <c r="GX57" s="289"/>
      <c r="GY57" s="289"/>
      <c r="GZ57" s="289"/>
      <c r="HA57" s="289"/>
      <c r="HB57" s="289"/>
      <c r="HC57" s="289"/>
      <c r="HD57" s="289"/>
      <c r="HE57" s="289"/>
      <c r="HF57" s="289"/>
      <c r="HG57" s="289"/>
      <c r="HH57" s="289"/>
      <c r="HI57" s="289"/>
      <c r="HJ57" s="289"/>
      <c r="HK57" s="289"/>
      <c r="HL57" s="289"/>
      <c r="HM57" s="289"/>
      <c r="HN57" s="289"/>
      <c r="HO57" s="289"/>
      <c r="HP57" s="289"/>
      <c r="HQ57" s="289"/>
      <c r="HR57" s="289"/>
      <c r="HS57" s="289"/>
      <c r="HT57" s="289"/>
      <c r="HU57" s="289"/>
      <c r="HV57" s="289"/>
      <c r="HW57" s="289"/>
      <c r="HX57" s="289"/>
      <c r="HY57" s="289"/>
      <c r="HZ57" s="289"/>
      <c r="IA57" s="289"/>
      <c r="IB57" s="289"/>
      <c r="IC57" s="289"/>
      <c r="ID57" s="289"/>
      <c r="IE57" s="289"/>
      <c r="IF57" s="289"/>
      <c r="IG57" s="289"/>
      <c r="IH57" s="289"/>
      <c r="II57" s="289"/>
      <c r="IJ57" s="289"/>
      <c r="IK57" s="289"/>
      <c r="IL57" s="289"/>
      <c r="IM57" s="289"/>
      <c r="IN57" s="289"/>
      <c r="IO57" s="289"/>
      <c r="IP57" s="289"/>
      <c r="IQ57" s="289"/>
      <c r="IR57" s="289"/>
      <c r="IS57" s="289"/>
      <c r="IT57" s="289"/>
      <c r="IU57" s="289"/>
      <c r="IV57" s="289"/>
      <c r="IW57" s="289"/>
      <c r="IX57" s="289"/>
    </row>
    <row r="58" spans="1:258" s="21" customFormat="1" ht="17.100000000000001" customHeight="1">
      <c r="A58" s="289"/>
      <c r="B58" s="289"/>
      <c r="C58" s="289"/>
      <c r="G58" s="289"/>
      <c r="H58" s="289"/>
      <c r="I58" s="289"/>
      <c r="J58" s="289"/>
      <c r="K58" s="289"/>
      <c r="L58" s="289"/>
      <c r="M58" s="289"/>
      <c r="N58" s="289"/>
      <c r="O58" s="289"/>
      <c r="P58" s="289"/>
      <c r="Q58" s="289"/>
      <c r="R58" s="289"/>
      <c r="S58" s="289"/>
      <c r="T58" s="289"/>
      <c r="U58" s="289"/>
      <c r="V58" s="1"/>
      <c r="W58" s="289"/>
      <c r="X58" s="289"/>
      <c r="Y58" s="289"/>
      <c r="Z58" s="289"/>
      <c r="AA58" s="289"/>
      <c r="AB58" s="289"/>
      <c r="AC58" s="289"/>
      <c r="AD58" s="289"/>
      <c r="AE58" s="289"/>
      <c r="AF58" s="289"/>
      <c r="AG58" s="289"/>
      <c r="AH58" s="289"/>
      <c r="AI58" s="289"/>
      <c r="AJ58" s="289"/>
      <c r="AK58" s="289"/>
      <c r="AL58" s="289"/>
      <c r="AM58" s="289"/>
      <c r="AN58" s="289"/>
      <c r="AO58" s="289"/>
      <c r="AP58" s="289"/>
      <c r="AQ58" s="294"/>
      <c r="AR58" s="294"/>
      <c r="AS58" s="294"/>
      <c r="AT58" s="294"/>
      <c r="AU58" s="289"/>
      <c r="AV58" s="289"/>
      <c r="AW58" s="289"/>
      <c r="AX58" s="289"/>
      <c r="AY58" s="289"/>
      <c r="AZ58" s="422" t="s">
        <v>1028</v>
      </c>
      <c r="BA58" s="422"/>
      <c r="BB58" s="422"/>
      <c r="BC58" s="289"/>
      <c r="BD58" s="369"/>
      <c r="BE58" s="369"/>
      <c r="BF58" s="369"/>
      <c r="BG58" s="36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c r="CL58" s="289"/>
      <c r="CM58" s="289"/>
      <c r="CN58" s="289"/>
      <c r="CO58" s="289"/>
      <c r="CP58" s="235">
        <f t="shared" si="113"/>
        <v>42374</v>
      </c>
      <c r="CQ58" s="300">
        <f t="shared" ca="1" si="106"/>
        <v>21.767399999999999</v>
      </c>
      <c r="CR58" s="301">
        <f t="shared" ca="1" si="106"/>
        <v>9.4325399999999995</v>
      </c>
      <c r="CS58" s="301">
        <f t="shared" ca="1" si="106"/>
        <v>22471.736105969998</v>
      </c>
      <c r="CT58" s="301">
        <f t="shared" ca="1" si="106"/>
        <v>29034.083699999999</v>
      </c>
      <c r="CU58" s="300">
        <f t="shared" ca="1" si="107"/>
        <v>522.41759999999999</v>
      </c>
      <c r="CV58" s="301">
        <f t="shared" ca="1" si="107"/>
        <v>3301.3889999999997</v>
      </c>
      <c r="CW58" s="301">
        <f t="shared" ca="1" si="107"/>
        <v>6079.3953785999993</v>
      </c>
      <c r="CX58" s="301">
        <f t="shared" ca="1" si="107"/>
        <v>6239.9879999999994</v>
      </c>
      <c r="CY58" s="293"/>
      <c r="CZ58" s="289"/>
      <c r="DA58" s="289"/>
      <c r="DB58" s="289"/>
      <c r="DC58" s="289"/>
      <c r="DD58" s="289"/>
      <c r="DE58" s="482"/>
      <c r="DF58" s="482"/>
      <c r="DG58" s="482"/>
      <c r="DH58" s="482"/>
      <c r="DI58" s="482"/>
      <c r="DJ58" s="482"/>
      <c r="DK58" s="482"/>
      <c r="DL58" s="482"/>
      <c r="DM58" s="482"/>
      <c r="DN58" s="482"/>
      <c r="DO58" s="366"/>
      <c r="DP58" s="366"/>
      <c r="DQ58" s="366"/>
      <c r="DR58" s="366"/>
      <c r="DS58" s="366"/>
      <c r="DT58" s="573">
        <f t="shared" si="120"/>
        <v>42374</v>
      </c>
      <c r="DU58" s="440">
        <f t="shared" si="121"/>
        <v>42374</v>
      </c>
      <c r="DV58" s="571">
        <f t="shared" ca="1" si="114"/>
        <v>87</v>
      </c>
      <c r="DW58" s="571">
        <f t="shared" ca="1" si="115"/>
        <v>87</v>
      </c>
      <c r="DX58" s="571">
        <f t="shared" ca="1" si="116"/>
        <v>130</v>
      </c>
      <c r="DY58" s="571">
        <f t="shared" ca="1" si="117"/>
        <v>94325.4</v>
      </c>
      <c r="DZ58" s="571">
        <f t="shared" ca="1" si="118"/>
        <v>16</v>
      </c>
      <c r="EA58" s="571">
        <f t="shared" ca="1" si="122"/>
        <v>11609.28</v>
      </c>
      <c r="EB58" s="571">
        <f t="shared" ca="1" si="108"/>
        <v>149</v>
      </c>
      <c r="EC58" s="571">
        <f t="shared" ca="1" si="109"/>
        <v>108111.42</v>
      </c>
      <c r="ED58" s="571">
        <f t="shared" ca="1" si="110"/>
        <v>7</v>
      </c>
      <c r="EE58" s="571">
        <f t="shared" ca="1" si="111"/>
        <v>5079.0599999999995</v>
      </c>
      <c r="EF58" s="571">
        <f t="shared" ca="1" si="112"/>
        <v>3</v>
      </c>
      <c r="EG58" s="404"/>
      <c r="EH58" s="289"/>
      <c r="EI58" s="289"/>
      <c r="EJ58" s="289"/>
      <c r="EK58" s="289"/>
      <c r="EL58" s="289"/>
      <c r="EM58" s="289"/>
      <c r="EN58" s="289"/>
      <c r="EO58" s="289"/>
      <c r="EP58" s="289"/>
      <c r="EQ58" s="289"/>
      <c r="ER58" s="289"/>
      <c r="ES58" s="289"/>
      <c r="ET58" s="289"/>
      <c r="EU58" s="289"/>
      <c r="EV58" s="289"/>
      <c r="EW58" s="289"/>
      <c r="EX58" s="289"/>
      <c r="EY58" s="289"/>
      <c r="EZ58" s="289"/>
      <c r="FA58" s="289"/>
      <c r="FB58" s="289"/>
      <c r="FC58" s="289"/>
      <c r="FD58" s="289"/>
      <c r="FE58" s="289"/>
      <c r="FF58" s="289"/>
      <c r="FG58" s="289"/>
      <c r="FH58" s="289"/>
      <c r="FI58" s="289"/>
      <c r="FJ58" s="289"/>
      <c r="FK58" s="289"/>
      <c r="FL58" s="289"/>
      <c r="FM58" s="289"/>
      <c r="FN58" s="289"/>
      <c r="FO58" s="289"/>
      <c r="FP58" s="289"/>
      <c r="FQ58" s="289"/>
      <c r="FR58" s="289"/>
      <c r="FS58" s="289"/>
      <c r="FT58" s="289"/>
      <c r="FU58" s="289"/>
      <c r="FV58" s="289"/>
      <c r="FW58" s="289"/>
      <c r="FX58" s="289"/>
      <c r="FY58" s="289"/>
      <c r="FZ58" s="289"/>
      <c r="GA58" s="289"/>
      <c r="GB58" s="289"/>
      <c r="GC58" s="289"/>
      <c r="GD58" s="289"/>
      <c r="GE58" s="289"/>
      <c r="GF58" s="289"/>
      <c r="GG58" s="289"/>
      <c r="GH58" s="289"/>
      <c r="GI58" s="289"/>
      <c r="GJ58" s="289"/>
      <c r="GK58" s="289"/>
      <c r="GL58" s="289"/>
      <c r="GM58" s="289"/>
      <c r="GN58" s="289"/>
      <c r="GO58" s="289"/>
      <c r="GP58" s="289"/>
      <c r="GQ58" s="289"/>
      <c r="GR58" s="289"/>
      <c r="GS58" s="289"/>
      <c r="GT58" s="289"/>
      <c r="GU58" s="289"/>
      <c r="GV58" s="289"/>
      <c r="GW58" s="289"/>
      <c r="GX58" s="289"/>
      <c r="GY58" s="289"/>
      <c r="GZ58" s="289"/>
      <c r="HA58" s="289"/>
      <c r="HB58" s="289"/>
      <c r="HC58" s="289"/>
      <c r="HD58" s="289"/>
      <c r="HE58" s="289"/>
      <c r="HF58" s="289"/>
      <c r="HG58" s="289"/>
      <c r="HH58" s="289"/>
      <c r="HI58" s="289"/>
      <c r="HJ58" s="289"/>
      <c r="HK58" s="289"/>
      <c r="HL58" s="289"/>
      <c r="HM58" s="289"/>
      <c r="HN58" s="289"/>
      <c r="HO58" s="289"/>
      <c r="HP58" s="289"/>
      <c r="HQ58" s="289"/>
      <c r="HR58" s="289"/>
      <c r="HS58" s="289"/>
      <c r="HT58" s="289"/>
      <c r="HU58" s="289"/>
      <c r="HV58" s="289"/>
      <c r="HW58" s="289"/>
      <c r="HX58" s="289"/>
      <c r="HY58" s="289"/>
      <c r="HZ58" s="289"/>
      <c r="IA58" s="289"/>
      <c r="IB58" s="289"/>
      <c r="IC58" s="289"/>
      <c r="ID58" s="289"/>
      <c r="IE58" s="289"/>
      <c r="IF58" s="289"/>
      <c r="IG58" s="289"/>
      <c r="IH58" s="289"/>
      <c r="II58" s="289"/>
      <c r="IJ58" s="289"/>
      <c r="IK58" s="289"/>
      <c r="IL58" s="289"/>
      <c r="IM58" s="289"/>
      <c r="IN58" s="289"/>
      <c r="IO58" s="289"/>
      <c r="IP58" s="289"/>
      <c r="IQ58" s="289"/>
      <c r="IR58" s="289"/>
      <c r="IS58" s="289"/>
      <c r="IT58" s="289"/>
      <c r="IU58" s="289"/>
      <c r="IV58" s="289"/>
      <c r="IW58" s="289"/>
      <c r="IX58" s="289"/>
    </row>
    <row r="59" spans="1:258" s="21" customFormat="1" ht="17.100000000000001" customHeight="1">
      <c r="A59" s="289"/>
      <c r="B59" s="289"/>
      <c r="C59" s="289"/>
      <c r="G59" s="289"/>
      <c r="H59" s="289"/>
      <c r="I59" s="289"/>
      <c r="J59" s="289"/>
      <c r="K59" s="289"/>
      <c r="L59" s="289"/>
      <c r="M59" s="289"/>
      <c r="N59" s="289"/>
      <c r="O59" s="289"/>
      <c r="P59" s="289"/>
      <c r="Q59" s="289"/>
      <c r="R59" s="289"/>
      <c r="S59" s="289"/>
      <c r="T59" s="289"/>
      <c r="U59" s="289"/>
      <c r="V59" s="1"/>
      <c r="W59" s="289"/>
      <c r="X59" s="289"/>
      <c r="Y59" s="289"/>
      <c r="Z59" s="289"/>
      <c r="AA59" s="289"/>
      <c r="AB59" s="289"/>
      <c r="AC59" s="289"/>
      <c r="AD59" s="289"/>
      <c r="AE59" s="289"/>
      <c r="AF59" s="289"/>
      <c r="AG59" s="289"/>
      <c r="AH59" s="289"/>
      <c r="AI59" s="289"/>
      <c r="AJ59" s="289"/>
      <c r="AK59" s="294"/>
      <c r="AL59" s="294"/>
      <c r="AM59" s="294"/>
      <c r="AN59" s="294"/>
      <c r="AO59" s="294"/>
      <c r="AP59" s="294"/>
      <c r="AQ59" s="294"/>
      <c r="AR59" s="294"/>
      <c r="AS59" s="294"/>
      <c r="AT59" s="294"/>
      <c r="AU59" s="289"/>
      <c r="AV59" s="289"/>
      <c r="AW59" s="289"/>
      <c r="AX59" s="289"/>
      <c r="AY59" s="289"/>
      <c r="AZ59" s="289"/>
      <c r="BA59" s="289"/>
      <c r="BB59" s="289"/>
      <c r="BC59" s="289"/>
      <c r="BD59" s="382"/>
      <c r="BE59" s="382"/>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c r="CL59" s="289"/>
      <c r="CM59" s="289"/>
      <c r="CN59" s="289"/>
      <c r="CO59" s="289"/>
      <c r="CP59" s="235">
        <f t="shared" si="113"/>
        <v>42375</v>
      </c>
      <c r="CQ59" s="300">
        <f t="shared" ca="1" si="106"/>
        <v>22.017599999999998</v>
      </c>
      <c r="CR59" s="301">
        <f t="shared" ca="1" si="106"/>
        <v>38.897759999999998</v>
      </c>
      <c r="CS59" s="301">
        <f t="shared" ca="1" si="106"/>
        <v>23309.311309680001</v>
      </c>
      <c r="CT59" s="301">
        <f t="shared" ca="1" si="106"/>
        <v>28101.796800000004</v>
      </c>
      <c r="CU59" s="300">
        <f t="shared" ca="1" si="107"/>
        <v>491.72640000000001</v>
      </c>
      <c r="CV59" s="301">
        <f t="shared" ca="1" si="107"/>
        <v>3251.2655999999997</v>
      </c>
      <c r="CW59" s="301">
        <f t="shared" ca="1" si="107"/>
        <v>6327.5132975999995</v>
      </c>
      <c r="CX59" s="301">
        <f t="shared" ca="1" si="107"/>
        <v>6385.1039999999994</v>
      </c>
      <c r="CY59" s="293"/>
      <c r="CZ59" s="289"/>
      <c r="DA59" s="289"/>
      <c r="DB59" s="289"/>
      <c r="DC59" s="289"/>
      <c r="DD59" s="289"/>
      <c r="DE59" s="482"/>
      <c r="DF59" s="482"/>
      <c r="DG59" s="482"/>
      <c r="DH59" s="482"/>
      <c r="DI59" s="482"/>
      <c r="DJ59" s="482"/>
      <c r="DK59" s="482"/>
      <c r="DL59" s="482"/>
      <c r="DM59" s="482"/>
      <c r="DN59" s="482"/>
      <c r="DO59" s="366"/>
      <c r="DP59" s="366"/>
      <c r="DQ59" s="366"/>
      <c r="DR59" s="366"/>
      <c r="DS59" s="366"/>
      <c r="DT59" s="573">
        <f t="shared" si="120"/>
        <v>42375</v>
      </c>
      <c r="DU59" s="440">
        <f t="shared" si="121"/>
        <v>42375</v>
      </c>
      <c r="DV59" s="571">
        <f t="shared" ca="1" si="114"/>
        <v>88</v>
      </c>
      <c r="DW59" s="571">
        <f t="shared" ca="1" si="115"/>
        <v>88</v>
      </c>
      <c r="DX59" s="571">
        <f t="shared" ca="1" si="116"/>
        <v>219</v>
      </c>
      <c r="DY59" s="571">
        <f t="shared" ca="1" si="117"/>
        <v>160728.48000000001</v>
      </c>
      <c r="DZ59" s="571">
        <f t="shared" ca="1" si="118"/>
        <v>4</v>
      </c>
      <c r="EA59" s="571">
        <f t="shared" ca="1" si="122"/>
        <v>2935.68</v>
      </c>
      <c r="EB59" s="571">
        <f t="shared" ca="1" si="108"/>
        <v>176</v>
      </c>
      <c r="EC59" s="571">
        <f t="shared" ca="1" si="109"/>
        <v>129169.92</v>
      </c>
      <c r="ED59" s="571">
        <f t="shared" ca="1" si="110"/>
        <v>3</v>
      </c>
      <c r="EE59" s="571">
        <f t="shared" ca="1" si="111"/>
        <v>2201.7599999999998</v>
      </c>
      <c r="EF59" s="571">
        <f t="shared" ca="1" si="112"/>
        <v>27</v>
      </c>
      <c r="EG59" s="404"/>
      <c r="EH59" s="289"/>
      <c r="EI59" s="289"/>
      <c r="EJ59" s="289"/>
      <c r="EK59" s="289"/>
      <c r="EL59" s="289"/>
      <c r="EM59" s="289"/>
      <c r="EN59" s="289"/>
      <c r="EO59" s="289"/>
      <c r="EP59" s="289"/>
      <c r="EQ59" s="289"/>
      <c r="ER59" s="289"/>
      <c r="ES59" s="289"/>
      <c r="ET59" s="289"/>
      <c r="EU59" s="289"/>
      <c r="EV59" s="289"/>
      <c r="EW59" s="289"/>
      <c r="EX59" s="289"/>
      <c r="EY59" s="289"/>
      <c r="EZ59" s="289"/>
      <c r="FA59" s="289"/>
      <c r="FB59" s="289"/>
      <c r="FC59" s="289"/>
      <c r="FD59" s="289"/>
      <c r="FE59" s="289"/>
      <c r="FF59" s="289"/>
      <c r="FG59" s="289"/>
      <c r="FH59" s="289"/>
      <c r="FI59" s="289"/>
      <c r="FJ59" s="289"/>
      <c r="FK59" s="289"/>
      <c r="FL59" s="289"/>
      <c r="FM59" s="289"/>
      <c r="FN59" s="289"/>
      <c r="FO59" s="289"/>
      <c r="FP59" s="289"/>
      <c r="FQ59" s="289"/>
      <c r="FR59" s="289"/>
      <c r="FS59" s="289"/>
      <c r="FT59" s="289"/>
      <c r="FU59" s="289"/>
      <c r="FV59" s="289"/>
      <c r="FW59" s="289"/>
      <c r="FX59" s="289"/>
      <c r="FY59" s="289"/>
      <c r="FZ59" s="289"/>
      <c r="GA59" s="289"/>
      <c r="GB59" s="289"/>
      <c r="GC59" s="289"/>
      <c r="GD59" s="289"/>
      <c r="GE59" s="289"/>
      <c r="GF59" s="289"/>
      <c r="GG59" s="289"/>
      <c r="GH59" s="289"/>
      <c r="GI59" s="289"/>
      <c r="GJ59" s="289"/>
      <c r="GK59" s="289"/>
      <c r="GL59" s="289"/>
      <c r="GM59" s="289"/>
      <c r="GN59" s="289"/>
      <c r="GO59" s="289"/>
      <c r="GP59" s="289"/>
      <c r="GQ59" s="289"/>
      <c r="GR59" s="289"/>
      <c r="GS59" s="289"/>
      <c r="GT59" s="289"/>
      <c r="GU59" s="289"/>
      <c r="GV59" s="289"/>
      <c r="GW59" s="289"/>
      <c r="GX59" s="289"/>
      <c r="GY59" s="289"/>
      <c r="GZ59" s="289"/>
      <c r="HA59" s="289"/>
      <c r="HB59" s="289"/>
      <c r="HC59" s="289"/>
      <c r="HD59" s="289"/>
      <c r="HE59" s="289"/>
      <c r="HF59" s="289"/>
      <c r="HG59" s="289"/>
      <c r="HH59" s="289"/>
      <c r="HI59" s="289"/>
      <c r="HJ59" s="289"/>
      <c r="HK59" s="289"/>
      <c r="HL59" s="289"/>
      <c r="HM59" s="289"/>
      <c r="HN59" s="289"/>
      <c r="HO59" s="289"/>
      <c r="HP59" s="289"/>
      <c r="HQ59" s="289"/>
      <c r="HR59" s="289"/>
      <c r="HS59" s="289"/>
      <c r="HT59" s="289"/>
      <c r="HU59" s="289"/>
      <c r="HV59" s="289"/>
      <c r="HW59" s="289"/>
      <c r="HX59" s="289"/>
      <c r="HY59" s="289"/>
      <c r="HZ59" s="289"/>
      <c r="IA59" s="289"/>
      <c r="IB59" s="289"/>
      <c r="IC59" s="289"/>
      <c r="ID59" s="289"/>
      <c r="IE59" s="289"/>
      <c r="IF59" s="289"/>
      <c r="IG59" s="289"/>
      <c r="IH59" s="289"/>
      <c r="II59" s="289"/>
      <c r="IJ59" s="289"/>
      <c r="IK59" s="289"/>
      <c r="IL59" s="289"/>
      <c r="IM59" s="289"/>
      <c r="IN59" s="289"/>
      <c r="IO59" s="289"/>
      <c r="IP59" s="289"/>
      <c r="IQ59" s="289"/>
      <c r="IR59" s="289"/>
      <c r="IS59" s="289"/>
      <c r="IT59" s="289"/>
      <c r="IU59" s="289"/>
      <c r="IV59" s="289"/>
      <c r="IW59" s="289"/>
      <c r="IX59" s="289"/>
    </row>
    <row r="60" spans="1:258" s="21" customFormat="1" ht="17.100000000000001" customHeight="1">
      <c r="A60" s="289"/>
      <c r="B60" s="289"/>
      <c r="C60" s="289"/>
      <c r="G60" s="289"/>
      <c r="H60" s="289"/>
      <c r="I60" s="289"/>
      <c r="J60" s="289"/>
      <c r="K60" s="289"/>
      <c r="L60" s="289"/>
      <c r="M60" s="289"/>
      <c r="N60" s="289"/>
      <c r="O60" s="289"/>
      <c r="P60" s="289"/>
      <c r="Q60" s="289"/>
      <c r="R60" s="289"/>
      <c r="S60" s="289"/>
      <c r="T60" s="289"/>
      <c r="U60" s="289"/>
      <c r="V60" s="1"/>
      <c r="W60" s="289"/>
      <c r="X60" s="289"/>
      <c r="Y60" s="289"/>
      <c r="Z60" s="289"/>
      <c r="AA60" s="289"/>
      <c r="AB60" s="289"/>
      <c r="AC60" s="289"/>
      <c r="AD60" s="289"/>
      <c r="AE60" s="289"/>
      <c r="AF60" s="289"/>
      <c r="AG60" s="289"/>
      <c r="AH60" s="289"/>
      <c r="AI60" s="289"/>
      <c r="AJ60" s="289"/>
      <c r="AK60" s="294"/>
      <c r="AL60" s="294"/>
      <c r="AM60" s="294"/>
      <c r="AN60" s="294"/>
      <c r="AO60" s="294"/>
      <c r="AP60" s="294"/>
      <c r="AQ60" s="294"/>
      <c r="AR60" s="294"/>
      <c r="AS60" s="294"/>
      <c r="AT60" s="294"/>
      <c r="AU60" s="289"/>
      <c r="AV60" s="289"/>
      <c r="AW60" s="289"/>
      <c r="AX60" s="289"/>
      <c r="AY60" s="289"/>
      <c r="AZ60" s="289"/>
      <c r="BA60" s="385" t="s">
        <v>1010</v>
      </c>
      <c r="BB60" s="385" t="s">
        <v>1006</v>
      </c>
      <c r="BC60" s="373"/>
      <c r="BD60" s="382"/>
      <c r="BE60" s="382"/>
      <c r="BF60" s="289"/>
      <c r="BG60" s="289"/>
      <c r="BH60" s="289"/>
      <c r="BI60" s="289"/>
      <c r="BJ60" s="289"/>
      <c r="BK60" s="289"/>
      <c r="BL60" s="289"/>
      <c r="BM60" s="289"/>
      <c r="BN60" s="289"/>
      <c r="BO60" s="289"/>
      <c r="BP60" s="289"/>
      <c r="BQ60" s="289"/>
      <c r="BR60" s="289"/>
      <c r="BS60" s="289"/>
      <c r="BT60" s="289"/>
      <c r="BU60" s="289"/>
      <c r="BV60" s="289"/>
      <c r="BW60" s="289"/>
      <c r="BX60" s="289"/>
      <c r="BY60" s="289"/>
      <c r="BZ60" s="289"/>
      <c r="CA60" s="289"/>
      <c r="CB60" s="289"/>
      <c r="CC60" s="289"/>
      <c r="CD60" s="289"/>
      <c r="CE60" s="289"/>
      <c r="CF60" s="289"/>
      <c r="CG60" s="289"/>
      <c r="CH60" s="289"/>
      <c r="CI60" s="289"/>
      <c r="CJ60" s="289"/>
      <c r="CK60" s="289"/>
      <c r="CL60" s="289"/>
      <c r="CM60" s="289"/>
      <c r="CN60" s="289"/>
      <c r="CO60" s="289"/>
      <c r="CP60" s="235">
        <f t="shared" si="113"/>
        <v>42376</v>
      </c>
      <c r="CQ60" s="300">
        <f t="shared" ca="1" si="106"/>
        <v>22.7682</v>
      </c>
      <c r="CR60" s="301">
        <f t="shared" ca="1" si="106"/>
        <v>40.223819999999996</v>
      </c>
      <c r="CS60" s="301">
        <f t="shared" ca="1" si="106"/>
        <v>23440.408716269991</v>
      </c>
      <c r="CT60" s="301">
        <f t="shared" ca="1" si="106"/>
        <v>29925.004199999999</v>
      </c>
      <c r="CU60" s="300">
        <f t="shared" ca="1" si="107"/>
        <v>493.31099999999998</v>
      </c>
      <c r="CV60" s="301">
        <f t="shared" ca="1" si="107"/>
        <v>2527.2702000000004</v>
      </c>
      <c r="CW60" s="301">
        <f t="shared" ca="1" si="107"/>
        <v>8570.7018306000009</v>
      </c>
      <c r="CX60" s="301">
        <f t="shared" ca="1" si="107"/>
        <v>8120.6579999999994</v>
      </c>
      <c r="CY60" s="293"/>
      <c r="CZ60" s="289"/>
      <c r="DA60" s="289"/>
      <c r="DB60" s="289"/>
      <c r="DC60" s="289"/>
      <c r="DD60" s="289"/>
      <c r="DE60" s="482"/>
      <c r="DF60" s="482"/>
      <c r="DG60" s="482"/>
      <c r="DH60" s="482"/>
      <c r="DI60" s="482"/>
      <c r="DJ60" s="482"/>
      <c r="DK60" s="482"/>
      <c r="DL60" s="482"/>
      <c r="DM60" s="482"/>
      <c r="DN60" s="482"/>
      <c r="DO60" s="366"/>
      <c r="DP60" s="366"/>
      <c r="DQ60" s="366"/>
      <c r="DR60" s="366"/>
      <c r="DS60" s="366"/>
      <c r="DT60" s="573">
        <f t="shared" si="120"/>
        <v>42376</v>
      </c>
      <c r="DU60" s="440">
        <f t="shared" si="121"/>
        <v>42376</v>
      </c>
      <c r="DV60" s="571">
        <f t="shared" ca="1" si="114"/>
        <v>91</v>
      </c>
      <c r="DW60" s="571">
        <f t="shared" ca="1" si="115"/>
        <v>91</v>
      </c>
      <c r="DX60" s="571">
        <f t="shared" ca="1" si="116"/>
        <v>151</v>
      </c>
      <c r="DY60" s="571">
        <f t="shared" ca="1" si="117"/>
        <v>114599.94</v>
      </c>
      <c r="DZ60" s="571">
        <f t="shared" ca="1" si="118"/>
        <v>4</v>
      </c>
      <c r="EA60" s="571">
        <f t="shared" ca="1" si="122"/>
        <v>3035.7599999999998</v>
      </c>
      <c r="EB60" s="571">
        <f t="shared" ca="1" si="108"/>
        <v>159</v>
      </c>
      <c r="EC60" s="571">
        <f t="shared" ca="1" si="109"/>
        <v>120671.45999999999</v>
      </c>
      <c r="ED60" s="571">
        <f t="shared" ca="1" si="110"/>
        <v>2</v>
      </c>
      <c r="EE60" s="571">
        <f t="shared" ca="1" si="111"/>
        <v>1517.8799999999999</v>
      </c>
      <c r="EF60" s="571">
        <f t="shared" ca="1" si="112"/>
        <v>54</v>
      </c>
      <c r="EG60" s="404"/>
      <c r="EH60" s="289"/>
      <c r="EI60" s="289"/>
      <c r="EJ60" s="289"/>
      <c r="EK60" s="289"/>
      <c r="EL60" s="289"/>
      <c r="EM60" s="289"/>
      <c r="EN60" s="289"/>
      <c r="EO60" s="289"/>
      <c r="EP60" s="289"/>
      <c r="EQ60" s="289"/>
      <c r="ER60" s="289"/>
      <c r="ES60" s="289"/>
      <c r="ET60" s="289"/>
      <c r="EU60" s="289"/>
      <c r="EV60" s="289"/>
      <c r="EW60" s="289"/>
      <c r="EX60" s="289"/>
      <c r="EY60" s="289"/>
      <c r="EZ60" s="289"/>
      <c r="FA60" s="289"/>
      <c r="FB60" s="289"/>
      <c r="FC60" s="289"/>
      <c r="FD60" s="289"/>
      <c r="FE60" s="289"/>
      <c r="FF60" s="289"/>
      <c r="FG60" s="289"/>
      <c r="FH60" s="289"/>
      <c r="FI60" s="289"/>
      <c r="FJ60" s="289"/>
      <c r="FK60" s="289"/>
      <c r="FL60" s="289"/>
      <c r="FM60" s="289"/>
      <c r="FN60" s="289"/>
      <c r="FO60" s="289"/>
      <c r="FP60" s="289"/>
      <c r="FQ60" s="289"/>
      <c r="FR60" s="289"/>
      <c r="FS60" s="289"/>
      <c r="FT60" s="289"/>
      <c r="FU60" s="289"/>
      <c r="FV60" s="289"/>
      <c r="FW60" s="289"/>
      <c r="FX60" s="289"/>
      <c r="FY60" s="289"/>
      <c r="FZ60" s="289"/>
      <c r="GA60" s="289"/>
      <c r="GB60" s="289"/>
      <c r="GC60" s="289"/>
      <c r="GD60" s="289"/>
      <c r="GE60" s="289"/>
      <c r="GF60" s="289"/>
      <c r="GG60" s="289"/>
      <c r="GH60" s="289"/>
      <c r="GI60" s="289"/>
      <c r="GJ60" s="289"/>
      <c r="GK60" s="289"/>
      <c r="GL60" s="289"/>
      <c r="GM60" s="289"/>
      <c r="GN60" s="289"/>
      <c r="GO60" s="289"/>
      <c r="GP60" s="289"/>
      <c r="GQ60" s="289"/>
      <c r="GR60" s="289"/>
      <c r="GS60" s="289"/>
      <c r="GT60" s="289"/>
      <c r="GU60" s="289"/>
      <c r="GV60" s="289"/>
      <c r="GW60" s="289"/>
      <c r="GX60" s="289"/>
      <c r="GY60" s="289"/>
      <c r="GZ60" s="289"/>
      <c r="HA60" s="289"/>
      <c r="HB60" s="289"/>
      <c r="HC60" s="289"/>
      <c r="HD60" s="289"/>
      <c r="HE60" s="289"/>
      <c r="HF60" s="289"/>
      <c r="HG60" s="289"/>
      <c r="HH60" s="289"/>
      <c r="HI60" s="289"/>
      <c r="HJ60" s="289"/>
      <c r="HK60" s="289"/>
      <c r="HL60" s="289"/>
      <c r="HM60" s="289"/>
      <c r="HN60" s="289"/>
      <c r="HO60" s="289"/>
      <c r="HP60" s="289"/>
      <c r="HQ60" s="289"/>
      <c r="HR60" s="289"/>
      <c r="HS60" s="289"/>
      <c r="HT60" s="289"/>
      <c r="HU60" s="289"/>
      <c r="HV60" s="289"/>
      <c r="HW60" s="289"/>
      <c r="HX60" s="289"/>
      <c r="HY60" s="289"/>
      <c r="HZ60" s="289"/>
      <c r="IA60" s="289"/>
      <c r="IB60" s="289"/>
      <c r="IC60" s="289"/>
      <c r="ID60" s="289"/>
      <c r="IE60" s="289"/>
      <c r="IF60" s="289"/>
      <c r="IG60" s="289"/>
      <c r="IH60" s="289"/>
      <c r="II60" s="289"/>
      <c r="IJ60" s="289"/>
      <c r="IK60" s="289"/>
      <c r="IL60" s="289"/>
      <c r="IM60" s="289"/>
      <c r="IN60" s="289"/>
      <c r="IO60" s="289"/>
      <c r="IP60" s="289"/>
      <c r="IQ60" s="289"/>
      <c r="IR60" s="289"/>
      <c r="IS60" s="289"/>
      <c r="IT60" s="289"/>
      <c r="IU60" s="289"/>
      <c r="IV60" s="289"/>
      <c r="IW60" s="289"/>
      <c r="IX60" s="289"/>
    </row>
    <row r="61" spans="1:258" s="21" customFormat="1" ht="17.100000000000001" customHeight="1">
      <c r="A61" s="289"/>
      <c r="B61" s="289"/>
      <c r="C61" s="289"/>
      <c r="G61" s="289"/>
      <c r="H61" s="289"/>
      <c r="I61" s="289"/>
      <c r="J61" s="289"/>
      <c r="K61" s="289"/>
      <c r="L61" s="289"/>
      <c r="M61" s="289"/>
      <c r="N61" s="289"/>
      <c r="O61" s="289"/>
      <c r="P61" s="289"/>
      <c r="Q61" s="289"/>
      <c r="R61" s="289"/>
      <c r="S61" s="289"/>
      <c r="T61" s="289"/>
      <c r="U61" s="289"/>
      <c r="V61" s="1"/>
      <c r="W61" s="289"/>
      <c r="X61" s="289"/>
      <c r="Y61" s="289"/>
      <c r="Z61" s="289"/>
      <c r="AA61" s="289"/>
      <c r="AB61" s="289"/>
      <c r="AC61" s="289"/>
      <c r="AD61" s="289"/>
      <c r="AE61" s="289"/>
      <c r="AF61" s="289"/>
      <c r="AG61" s="289"/>
      <c r="AH61" s="289"/>
      <c r="AI61" s="289"/>
      <c r="AJ61" s="289"/>
      <c r="AK61" s="294"/>
      <c r="AL61" s="294"/>
      <c r="AM61" s="294"/>
      <c r="AN61" s="294"/>
      <c r="AO61" s="294"/>
      <c r="AP61" s="294"/>
      <c r="AQ61" s="294"/>
      <c r="AR61" s="294"/>
      <c r="AS61" s="294"/>
      <c r="AT61" s="294"/>
      <c r="AU61" s="294"/>
      <c r="AV61" s="289"/>
      <c r="AW61" s="377"/>
      <c r="AX61" s="377"/>
      <c r="AY61" s="289"/>
      <c r="AZ61" s="289"/>
      <c r="BA61" s="369"/>
      <c r="BB61" s="369"/>
      <c r="BC61" s="289"/>
      <c r="BD61" s="382"/>
      <c r="BE61" s="382"/>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c r="CL61" s="289"/>
      <c r="CM61" s="289"/>
      <c r="CN61" s="289"/>
      <c r="CO61" s="289"/>
      <c r="CP61" s="235">
        <f t="shared" si="113"/>
        <v>42377</v>
      </c>
      <c r="CQ61" s="300">
        <f t="shared" ca="1" si="106"/>
        <v>29.023199999999999</v>
      </c>
      <c r="CR61" s="301">
        <f t="shared" ca="1" si="106"/>
        <v>21.767399999999999</v>
      </c>
      <c r="CS61" s="301">
        <f t="shared" ca="1" si="106"/>
        <v>22766.895156959999</v>
      </c>
      <c r="CT61" s="301">
        <f t="shared" ca="1" si="106"/>
        <v>29244.501899999999</v>
      </c>
      <c r="CU61" s="300">
        <f t="shared" ca="1" si="107"/>
        <v>449.8596</v>
      </c>
      <c r="CV61" s="301">
        <f t="shared" ca="1" si="107"/>
        <v>2619.3438000000001</v>
      </c>
      <c r="CW61" s="301">
        <f t="shared" ca="1" si="107"/>
        <v>7577.2174283999993</v>
      </c>
      <c r="CX61" s="301">
        <f t="shared" ca="1" si="107"/>
        <v>7110.6840000000002</v>
      </c>
      <c r="CY61" s="293"/>
      <c r="CZ61" s="289"/>
      <c r="DA61" s="289"/>
      <c r="DB61" s="289"/>
      <c r="DC61" s="289"/>
      <c r="DD61" s="289"/>
      <c r="DE61" s="482"/>
      <c r="DF61" s="482"/>
      <c r="DG61" s="482"/>
      <c r="DH61" s="482"/>
      <c r="DI61" s="482"/>
      <c r="DJ61" s="482"/>
      <c r="DK61" s="482"/>
      <c r="DL61" s="482"/>
      <c r="DM61" s="482"/>
      <c r="DN61" s="482"/>
      <c r="DO61" s="366"/>
      <c r="DP61" s="366"/>
      <c r="DQ61" s="366"/>
      <c r="DR61" s="366"/>
      <c r="DS61" s="366"/>
      <c r="DT61" s="573">
        <f t="shared" si="120"/>
        <v>42377</v>
      </c>
      <c r="DU61" s="440">
        <f t="shared" si="121"/>
        <v>42377</v>
      </c>
      <c r="DV61" s="571">
        <f t="shared" ca="1" si="114"/>
        <v>87</v>
      </c>
      <c r="DW61" s="571">
        <f t="shared" ca="1" si="115"/>
        <v>87</v>
      </c>
      <c r="DX61" s="571">
        <f t="shared" ca="1" si="116"/>
        <v>156</v>
      </c>
      <c r="DY61" s="571">
        <f t="shared" ca="1" si="117"/>
        <v>113190.48</v>
      </c>
      <c r="DZ61" s="571">
        <f t="shared" ca="1" si="118"/>
        <v>4</v>
      </c>
      <c r="EA61" s="571">
        <f t="shared" ca="1" si="122"/>
        <v>2902.32</v>
      </c>
      <c r="EB61" s="571">
        <f ca="1">IF(DU61&gt;(TODAY())-7,"",IF($E18&gt;0,IF(CELL("type",R18:R18)="V",R18,IF(CELL("type",R18:R18)="L",R$44," "))," "))</f>
        <v>134</v>
      </c>
      <c r="EC61" s="571">
        <f ca="1">IF(DU61&gt;TODAY()-7,"",IF($DW61&gt;0,+$DW61*EB61*8.34,""))</f>
        <v>97227.72</v>
      </c>
      <c r="ED61" s="571">
        <f ca="1">IF(DU61&gt;TODAY()-7,"",IF($E18&gt;0,IF(CELL("type",S18:S18)="V",S18,IF(CELL("type",S18:S18)="L",S$44," "))," "))</f>
        <v>3</v>
      </c>
      <c r="EE61" s="571">
        <f ca="1">IF(DU61&gt;TODAY()-7,"",IF(DW61&gt;0,+$DW61*ED61*8.34,""))</f>
        <v>2176.7399999999998</v>
      </c>
      <c r="EF61" s="571">
        <f t="shared" ca="1" si="112"/>
        <v>36</v>
      </c>
      <c r="EG61" s="404"/>
      <c r="EH61" s="289"/>
      <c r="EI61" s="289"/>
      <c r="EJ61" s="289"/>
      <c r="EK61" s="289"/>
      <c r="EL61" s="289"/>
      <c r="EM61" s="289"/>
      <c r="EN61" s="289"/>
      <c r="EO61" s="289"/>
      <c r="EP61" s="289"/>
      <c r="EQ61" s="289"/>
      <c r="ER61" s="289"/>
      <c r="ES61" s="289"/>
      <c r="ET61" s="289"/>
      <c r="EU61" s="289"/>
      <c r="EV61" s="289"/>
      <c r="EW61" s="289"/>
      <c r="EX61" s="289"/>
      <c r="EY61" s="289"/>
      <c r="EZ61" s="289"/>
      <c r="FA61" s="289"/>
      <c r="FB61" s="289"/>
      <c r="FC61" s="289"/>
      <c r="FD61" s="289"/>
      <c r="FE61" s="289"/>
      <c r="FF61" s="289"/>
      <c r="FG61" s="289"/>
      <c r="FH61" s="289"/>
      <c r="FI61" s="289"/>
      <c r="FJ61" s="289"/>
      <c r="FK61" s="289"/>
      <c r="FL61" s="289"/>
      <c r="FM61" s="289"/>
      <c r="FN61" s="289"/>
      <c r="FO61" s="289"/>
      <c r="FP61" s="289"/>
      <c r="FQ61" s="289"/>
      <c r="FR61" s="289"/>
      <c r="FS61" s="289"/>
      <c r="FT61" s="289"/>
      <c r="FU61" s="289"/>
      <c r="FV61" s="289"/>
      <c r="FW61" s="289"/>
      <c r="FX61" s="289"/>
      <c r="FY61" s="289"/>
      <c r="FZ61" s="289"/>
      <c r="GA61" s="289"/>
      <c r="GB61" s="289"/>
      <c r="GC61" s="289"/>
      <c r="GD61" s="289"/>
      <c r="GE61" s="289"/>
      <c r="GF61" s="289"/>
      <c r="GG61" s="289"/>
      <c r="GH61" s="289"/>
      <c r="GI61" s="289"/>
      <c r="GJ61" s="289"/>
      <c r="GK61" s="289"/>
      <c r="GL61" s="289"/>
      <c r="GM61" s="289"/>
      <c r="GN61" s="289"/>
      <c r="GO61" s="289"/>
      <c r="GP61" s="289"/>
      <c r="GQ61" s="289"/>
      <c r="GR61" s="289"/>
      <c r="GS61" s="289"/>
      <c r="GT61" s="289"/>
      <c r="GU61" s="289"/>
      <c r="GV61" s="289"/>
      <c r="GW61" s="289"/>
      <c r="GX61" s="289"/>
      <c r="GY61" s="289"/>
      <c r="GZ61" s="289"/>
      <c r="HA61" s="289"/>
      <c r="HB61" s="289"/>
      <c r="HC61" s="289"/>
      <c r="HD61" s="289"/>
      <c r="HE61" s="289"/>
      <c r="HF61" s="289"/>
      <c r="HG61" s="289"/>
      <c r="HH61" s="289"/>
      <c r="HI61" s="289"/>
      <c r="HJ61" s="289"/>
      <c r="HK61" s="289"/>
      <c r="HL61" s="289"/>
      <c r="HM61" s="289"/>
      <c r="HN61" s="289"/>
      <c r="HO61" s="289"/>
      <c r="HP61" s="289"/>
      <c r="HQ61" s="289"/>
      <c r="HR61" s="289"/>
      <c r="HS61" s="289"/>
      <c r="HT61" s="289"/>
      <c r="HU61" s="289"/>
      <c r="HV61" s="289"/>
      <c r="HW61" s="289"/>
      <c r="HX61" s="289"/>
      <c r="HY61" s="289"/>
      <c r="HZ61" s="289"/>
      <c r="IA61" s="289"/>
      <c r="IB61" s="289"/>
      <c r="IC61" s="289"/>
      <c r="ID61" s="289"/>
      <c r="IE61" s="289"/>
      <c r="IF61" s="289"/>
      <c r="IG61" s="289"/>
      <c r="IH61" s="289"/>
      <c r="II61" s="289"/>
      <c r="IJ61" s="289"/>
      <c r="IK61" s="289"/>
      <c r="IL61" s="289"/>
      <c r="IM61" s="289"/>
      <c r="IN61" s="289"/>
      <c r="IO61" s="289"/>
      <c r="IP61" s="289"/>
      <c r="IQ61" s="289"/>
      <c r="IR61" s="289"/>
      <c r="IS61" s="289"/>
      <c r="IT61" s="289"/>
      <c r="IU61" s="289"/>
      <c r="IV61" s="289"/>
      <c r="IW61" s="289"/>
      <c r="IX61" s="289"/>
    </row>
    <row r="62" spans="1:258" s="21" customFormat="1" ht="17.100000000000001" customHeight="1">
      <c r="A62" s="289"/>
      <c r="B62" s="289"/>
      <c r="C62" s="289"/>
      <c r="G62" s="289"/>
      <c r="H62" s="289"/>
      <c r="I62" s="289"/>
      <c r="J62" s="289"/>
      <c r="K62" s="289"/>
      <c r="L62" s="289"/>
      <c r="M62" s="289"/>
      <c r="N62" s="289"/>
      <c r="O62" s="289"/>
      <c r="P62" s="289"/>
      <c r="Q62" s="289"/>
      <c r="R62" s="289"/>
      <c r="S62" s="289"/>
      <c r="T62" s="289"/>
      <c r="U62" s="289"/>
      <c r="V62" s="1"/>
      <c r="W62" s="289"/>
      <c r="X62" s="289"/>
      <c r="Y62" s="289"/>
      <c r="Z62" s="289"/>
      <c r="AA62" s="289"/>
      <c r="AB62" s="289"/>
      <c r="AC62" s="289"/>
      <c r="AD62" s="289"/>
      <c r="AE62" s="289"/>
      <c r="AF62" s="289"/>
      <c r="AG62" s="289"/>
      <c r="AH62" s="289"/>
      <c r="AI62" s="289"/>
      <c r="AJ62" s="289"/>
      <c r="AK62" s="294"/>
      <c r="AL62" s="294"/>
      <c r="AM62" s="294"/>
      <c r="AN62" s="294"/>
      <c r="AO62" s="294"/>
      <c r="AP62" s="294"/>
      <c r="AQ62" s="294"/>
      <c r="AR62" s="294"/>
      <c r="AS62" s="294"/>
      <c r="AT62" s="294"/>
      <c r="AU62" s="294"/>
      <c r="AV62" s="289"/>
      <c r="AW62" s="377"/>
      <c r="AX62" s="377"/>
      <c r="AY62" s="289"/>
      <c r="AZ62" s="289"/>
      <c r="BA62" s="289"/>
      <c r="BB62" s="289"/>
      <c r="BC62" s="289"/>
      <c r="BD62" s="382"/>
      <c r="BE62" s="382"/>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c r="CL62" s="289"/>
      <c r="CM62" s="289"/>
      <c r="CN62" s="289"/>
      <c r="CO62" s="289"/>
      <c r="CP62" s="235">
        <f t="shared" si="113"/>
        <v>42378</v>
      </c>
      <c r="CQ62" s="300">
        <f t="shared" ca="1" si="106"/>
        <v>44.598150000000004</v>
      </c>
      <c r="CR62" s="301">
        <f t="shared" ca="1" si="106"/>
        <v>79.605299999999986</v>
      </c>
      <c r="CS62" s="301">
        <f t="shared" ca="1" si="106"/>
        <v>29954.415543599996</v>
      </c>
      <c r="CT62" s="301">
        <f t="shared" ca="1" si="106"/>
        <v>43854.847499999989</v>
      </c>
      <c r="CU62" s="300">
        <f t="shared" ca="1" si="107"/>
        <v>517.91399999999999</v>
      </c>
      <c r="CV62" s="301">
        <f t="shared" ca="1" si="107"/>
        <v>3107.4839999999999</v>
      </c>
      <c r="CW62" s="301">
        <f t="shared" ca="1" si="107"/>
        <v>11879.278325999998</v>
      </c>
      <c r="CX62" s="301">
        <f t="shared" ca="1" si="107"/>
        <v>11796.93</v>
      </c>
      <c r="CY62" s="293"/>
      <c r="CZ62" s="289"/>
      <c r="DA62" s="289"/>
      <c r="DB62" s="289"/>
      <c r="DC62" s="289"/>
      <c r="DD62" s="289"/>
      <c r="DE62" s="482"/>
      <c r="DF62" s="482"/>
      <c r="DG62" s="482"/>
      <c r="DH62" s="482"/>
      <c r="DI62" s="482"/>
      <c r="DJ62" s="482"/>
      <c r="DK62" s="482"/>
      <c r="DL62" s="482"/>
      <c r="DM62" s="482"/>
      <c r="DN62" s="482"/>
      <c r="DO62" s="366"/>
      <c r="DP62" s="366"/>
      <c r="DQ62" s="366"/>
      <c r="DR62" s="366"/>
      <c r="DS62" s="366"/>
      <c r="DT62" s="573">
        <f t="shared" si="120"/>
        <v>42378</v>
      </c>
      <c r="DU62" s="440">
        <f t="shared" si="121"/>
        <v>42378</v>
      </c>
      <c r="DV62" s="571">
        <f t="shared" ca="1" si="114"/>
        <v>104</v>
      </c>
      <c r="DW62" s="571">
        <f t="shared" ca="1" si="115"/>
        <v>115</v>
      </c>
      <c r="DX62" s="571">
        <f t="shared" ca="1" si="116"/>
        <v>174</v>
      </c>
      <c r="DY62" s="571">
        <f t="shared" ca="1" si="117"/>
        <v>166883.4</v>
      </c>
      <c r="DZ62" s="571">
        <f t="shared" ca="1" si="118"/>
        <v>8</v>
      </c>
      <c r="EA62" s="571">
        <f t="shared" ca="1" si="122"/>
        <v>7672.8</v>
      </c>
      <c r="EB62" s="571">
        <f ca="1">IF(DU62&gt;(TODAY())-7,"",IF($E19&gt;0,IF(CELL("type",R19:R19)="V",R19,IF(CELL("type",R19:R19)="L",R$44," "))," "))</f>
        <v>159</v>
      </c>
      <c r="EC62" s="571">
        <f ca="1">IF(DU62&gt;TODAY()-7,"",IF($DW62&gt;0,+$DW62*EB62*8.34,""))</f>
        <v>152496.9</v>
      </c>
      <c r="ED62" s="571">
        <f ca="1">IF(DU62&gt;TODAY()-7,"",IF($E19&gt;0,IF(CELL("type",S19:S19)="V",S19,IF(CELL("type",S19:S19)="L",S$44," "))," "))</f>
        <v>4</v>
      </c>
      <c r="EE62" s="571">
        <f ca="1">IF(DU62&gt;TODAY()-7,"",IF(DW62&gt;0,+$DW62*ED62*8.34,""))</f>
        <v>3836.4</v>
      </c>
      <c r="EF62" s="571">
        <f t="shared" ca="1" si="112"/>
        <v>38</v>
      </c>
      <c r="EG62" s="404"/>
      <c r="EH62" s="289"/>
      <c r="EI62" s="289"/>
      <c r="EJ62" s="289"/>
      <c r="EK62" s="289"/>
      <c r="EL62" s="289"/>
      <c r="EM62" s="289"/>
      <c r="EN62" s="289"/>
      <c r="EO62" s="289"/>
      <c r="EP62" s="289"/>
      <c r="EQ62" s="289"/>
      <c r="ER62" s="289"/>
      <c r="ES62" s="289"/>
      <c r="ET62" s="289"/>
      <c r="EU62" s="289"/>
      <c r="EV62" s="289"/>
      <c r="EW62" s="289"/>
      <c r="EX62" s="289"/>
      <c r="EY62" s="289"/>
      <c r="EZ62" s="289"/>
      <c r="FA62" s="289"/>
      <c r="FB62" s="289"/>
      <c r="FC62" s="289"/>
      <c r="FD62" s="289"/>
      <c r="FE62" s="289"/>
      <c r="FF62" s="289"/>
      <c r="FG62" s="289"/>
      <c r="FH62" s="289"/>
      <c r="FI62" s="289"/>
      <c r="FJ62" s="289"/>
      <c r="FK62" s="289"/>
      <c r="FL62" s="289"/>
      <c r="FM62" s="289"/>
      <c r="FN62" s="289"/>
      <c r="FO62" s="289"/>
      <c r="FP62" s="289"/>
      <c r="FQ62" s="289"/>
      <c r="FR62" s="289"/>
      <c r="FS62" s="289"/>
      <c r="FT62" s="289"/>
      <c r="FU62" s="289"/>
      <c r="FV62" s="289"/>
      <c r="FW62" s="289"/>
      <c r="FX62" s="289"/>
      <c r="FY62" s="289"/>
      <c r="FZ62" s="289"/>
      <c r="GA62" s="289"/>
      <c r="GB62" s="289"/>
      <c r="GC62" s="289"/>
      <c r="GD62" s="289"/>
      <c r="GE62" s="289"/>
      <c r="GF62" s="289"/>
      <c r="GG62" s="289"/>
      <c r="GH62" s="289"/>
      <c r="GI62" s="289"/>
      <c r="GJ62" s="289"/>
      <c r="GK62" s="289"/>
      <c r="GL62" s="289"/>
      <c r="GM62" s="289"/>
      <c r="GN62" s="289"/>
      <c r="GO62" s="289"/>
      <c r="GP62" s="289"/>
      <c r="GQ62" s="289"/>
      <c r="GR62" s="289"/>
      <c r="GS62" s="289"/>
      <c r="GT62" s="289"/>
      <c r="GU62" s="289"/>
      <c r="GV62" s="289"/>
      <c r="GW62" s="289"/>
      <c r="GX62" s="289"/>
      <c r="GY62" s="289"/>
      <c r="GZ62" s="289"/>
      <c r="HA62" s="289"/>
      <c r="HB62" s="289"/>
      <c r="HC62" s="289"/>
      <c r="HD62" s="289"/>
      <c r="HE62" s="289"/>
      <c r="HF62" s="289"/>
      <c r="HG62" s="289"/>
      <c r="HH62" s="289"/>
      <c r="HI62" s="289"/>
      <c r="HJ62" s="289"/>
      <c r="HK62" s="289"/>
      <c r="HL62" s="289"/>
      <c r="HM62" s="289"/>
      <c r="HN62" s="289"/>
      <c r="HO62" s="289"/>
      <c r="HP62" s="289"/>
      <c r="HQ62" s="289"/>
      <c r="HR62" s="289"/>
      <c r="HS62" s="289"/>
      <c r="HT62" s="289"/>
      <c r="HU62" s="289"/>
      <c r="HV62" s="289"/>
      <c r="HW62" s="289"/>
      <c r="HX62" s="289"/>
      <c r="HY62" s="289"/>
      <c r="HZ62" s="289"/>
      <c r="IA62" s="289"/>
      <c r="IB62" s="289"/>
      <c r="IC62" s="289"/>
      <c r="ID62" s="289"/>
      <c r="IE62" s="289"/>
      <c r="IF62" s="289"/>
      <c r="IG62" s="289"/>
      <c r="IH62" s="289"/>
      <c r="II62" s="289"/>
      <c r="IJ62" s="289"/>
      <c r="IK62" s="289"/>
      <c r="IL62" s="289"/>
      <c r="IM62" s="289"/>
      <c r="IN62" s="289"/>
      <c r="IO62" s="289"/>
      <c r="IP62" s="289"/>
      <c r="IQ62" s="289"/>
      <c r="IR62" s="289"/>
      <c r="IS62" s="289"/>
      <c r="IT62" s="289"/>
      <c r="IU62" s="289"/>
      <c r="IV62" s="289"/>
      <c r="IW62" s="289"/>
      <c r="IX62" s="289"/>
    </row>
    <row r="63" spans="1:258" s="21" customFormat="1" ht="17.100000000000001" customHeight="1">
      <c r="A63" s="289"/>
      <c r="B63" s="289"/>
      <c r="C63" s="289"/>
      <c r="G63" s="289"/>
      <c r="H63" s="289"/>
      <c r="I63" s="289"/>
      <c r="J63" s="289"/>
      <c r="K63" s="289"/>
      <c r="L63" s="289"/>
      <c r="M63" s="289"/>
      <c r="N63" s="289"/>
      <c r="O63" s="289"/>
      <c r="P63" s="289"/>
      <c r="Q63" s="289"/>
      <c r="R63" s="289"/>
      <c r="S63" s="289"/>
      <c r="T63" s="289"/>
      <c r="U63" s="289"/>
      <c r="V63" s="1"/>
      <c r="W63" s="289"/>
      <c r="X63" s="289"/>
      <c r="Y63" s="289"/>
      <c r="Z63" s="289"/>
      <c r="AA63" s="289"/>
      <c r="AB63" s="289"/>
      <c r="AC63" s="289"/>
      <c r="AD63" s="289"/>
      <c r="AE63" s="289"/>
      <c r="AF63" s="289"/>
      <c r="AG63" s="289"/>
      <c r="AH63" s="289"/>
      <c r="AI63" s="289"/>
      <c r="AJ63" s="289"/>
      <c r="AK63" s="294"/>
      <c r="AL63" s="294"/>
      <c r="AM63" s="294"/>
      <c r="AN63" s="294"/>
      <c r="AO63" s="294"/>
      <c r="AP63" s="294"/>
      <c r="AQ63" s="294"/>
      <c r="AR63" s="294"/>
      <c r="AS63" s="294"/>
      <c r="AT63" s="294"/>
      <c r="AU63" s="294"/>
      <c r="AV63" s="289"/>
      <c r="AW63" s="377"/>
      <c r="AX63" s="377"/>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c r="CL63" s="289"/>
      <c r="CM63" s="289"/>
      <c r="CN63" s="289"/>
      <c r="CO63" s="289"/>
      <c r="CP63" s="235">
        <f t="shared" si="113"/>
        <v>42379</v>
      </c>
      <c r="CQ63" s="300">
        <f t="shared" ca="1" si="106"/>
        <v>91.089480000000009</v>
      </c>
      <c r="CR63" s="301">
        <f t="shared" ca="1" si="106"/>
        <v>501.35075999999998</v>
      </c>
      <c r="CS63" s="301">
        <f t="shared" ca="1" si="106"/>
        <v>14030.916410519998</v>
      </c>
      <c r="CT63" s="301">
        <f t="shared" ca="1" si="106"/>
        <v>26688.500400000001</v>
      </c>
      <c r="CU63" s="300">
        <f t="shared" ca="1" si="107"/>
        <v>559.44719999999995</v>
      </c>
      <c r="CV63" s="301">
        <f t="shared" ca="1" si="107"/>
        <v>3873.096</v>
      </c>
      <c r="CW63" s="301">
        <f t="shared" ca="1" si="107"/>
        <v>9580.3898519999984</v>
      </c>
      <c r="CX63" s="301">
        <f t="shared" ca="1" si="107"/>
        <v>11762.735999999999</v>
      </c>
      <c r="CY63" s="293"/>
      <c r="CZ63" s="289"/>
      <c r="DA63" s="289"/>
      <c r="DB63" s="289"/>
      <c r="DC63" s="289"/>
      <c r="DD63" s="289"/>
      <c r="DE63" s="482"/>
      <c r="DF63" s="482"/>
      <c r="DG63" s="482"/>
      <c r="DH63" s="482"/>
      <c r="DI63" s="482"/>
      <c r="DJ63" s="482"/>
      <c r="DK63" s="482"/>
      <c r="DL63" s="482"/>
      <c r="DM63" s="482"/>
      <c r="DN63" s="482"/>
      <c r="DO63" s="366"/>
      <c r="DP63" s="366"/>
      <c r="DQ63" s="366"/>
      <c r="DR63" s="366"/>
      <c r="DS63" s="366"/>
      <c r="DT63" s="573">
        <f t="shared" si="120"/>
        <v>42379</v>
      </c>
      <c r="DU63" s="440">
        <f t="shared" si="121"/>
        <v>42379</v>
      </c>
      <c r="DV63" s="571">
        <f t="shared" ca="1" si="114"/>
        <v>96</v>
      </c>
      <c r="DW63" s="571">
        <f t="shared" ca="1" si="115"/>
        <v>172</v>
      </c>
      <c r="DX63" s="571">
        <f t="shared" ca="1" si="116"/>
        <v>107</v>
      </c>
      <c r="DY63" s="571">
        <f t="shared" ca="1" si="117"/>
        <v>153489.35999999999</v>
      </c>
      <c r="DZ63" s="571">
        <f t="shared" ca="1" si="118"/>
        <v>18</v>
      </c>
      <c r="EA63" s="571">
        <f t="shared" ca="1" si="122"/>
        <v>25820.639999999999</v>
      </c>
      <c r="EB63" s="571">
        <f t="shared" ref="EB63:EB84" ca="1" si="123">IF(DU63&gt;(TODAY())-7,"",IF($E20&gt;0,IF(CELL("type",R20:R20)="V",R20,IF(CELL("type",R20:R20)="L",R$44," "))," "))</f>
        <v>76</v>
      </c>
      <c r="EC63" s="571">
        <f t="shared" ref="EC63:EC84" ca="1" si="124">IF(DU63&gt;TODAY()-7,"",IF($DW63&gt;0,+$DW63*EB63*8.34,""))</f>
        <v>109020.48</v>
      </c>
      <c r="ED63" s="571">
        <f t="shared" ref="ED63:ED84" ca="1" si="125">IF(DU63&gt;TODAY()-7,"",IF($E20&gt;0,IF(CELL("type",S20:S20)="V",S20,IF(CELL("type",S20:S20)="L",S$44," "))," "))</f>
        <v>12</v>
      </c>
      <c r="EE63" s="571">
        <f t="shared" ref="EE63:EE84" ca="1" si="126">IF(DU63&gt;TODAY()-7,"",IF(DW63&gt;0,+$DW63*ED63*8.34,""))</f>
        <v>17213.759999999998</v>
      </c>
      <c r="EF63" s="571">
        <f t="shared" ca="1" si="112"/>
        <v>232</v>
      </c>
      <c r="EG63" s="404"/>
      <c r="EH63" s="289"/>
      <c r="EI63" s="289"/>
      <c r="EJ63" s="289"/>
      <c r="EK63" s="289"/>
      <c r="EL63" s="289"/>
      <c r="EM63" s="289"/>
      <c r="EN63" s="289"/>
      <c r="EO63" s="289"/>
      <c r="EP63" s="289"/>
      <c r="EQ63" s="289"/>
      <c r="ER63" s="289"/>
      <c r="ES63" s="289"/>
      <c r="ET63" s="289"/>
      <c r="EU63" s="289"/>
      <c r="EV63" s="289"/>
      <c r="EW63" s="289"/>
      <c r="EX63" s="289"/>
      <c r="EY63" s="289"/>
      <c r="EZ63" s="289"/>
      <c r="FA63" s="289"/>
      <c r="FB63" s="289"/>
      <c r="FC63" s="289"/>
      <c r="FD63" s="289"/>
      <c r="FE63" s="289"/>
      <c r="FF63" s="289"/>
      <c r="FG63" s="289"/>
      <c r="FH63" s="289"/>
      <c r="FI63" s="289"/>
      <c r="FJ63" s="289"/>
      <c r="FK63" s="289"/>
      <c r="FL63" s="289"/>
      <c r="FM63" s="289"/>
      <c r="FN63" s="289"/>
      <c r="FO63" s="289"/>
      <c r="FP63" s="289"/>
      <c r="FQ63" s="289"/>
      <c r="FR63" s="289"/>
      <c r="FS63" s="289"/>
      <c r="FT63" s="289"/>
      <c r="FU63" s="289"/>
      <c r="FV63" s="289"/>
      <c r="FW63" s="289"/>
      <c r="FX63" s="289"/>
      <c r="FY63" s="289"/>
      <c r="FZ63" s="289"/>
      <c r="GA63" s="289"/>
      <c r="GB63" s="289"/>
      <c r="GC63" s="289"/>
      <c r="GD63" s="289"/>
      <c r="GE63" s="289"/>
      <c r="GF63" s="289"/>
      <c r="GG63" s="289"/>
      <c r="GH63" s="289"/>
      <c r="GI63" s="289"/>
      <c r="GJ63" s="289"/>
      <c r="GK63" s="289"/>
      <c r="GL63" s="289"/>
      <c r="GM63" s="289"/>
      <c r="GN63" s="289"/>
      <c r="GO63" s="289"/>
      <c r="GP63" s="289"/>
      <c r="GQ63" s="289"/>
      <c r="GR63" s="289"/>
      <c r="GS63" s="289"/>
      <c r="GT63" s="289"/>
      <c r="GU63" s="289"/>
      <c r="GV63" s="289"/>
      <c r="GW63" s="289"/>
      <c r="GX63" s="289"/>
      <c r="GY63" s="289"/>
      <c r="GZ63" s="289"/>
      <c r="HA63" s="289"/>
      <c r="HB63" s="289"/>
      <c r="HC63" s="289"/>
      <c r="HD63" s="289"/>
      <c r="HE63" s="289"/>
      <c r="HF63" s="289"/>
      <c r="HG63" s="289"/>
      <c r="HH63" s="289"/>
      <c r="HI63" s="289"/>
      <c r="HJ63" s="289"/>
      <c r="HK63" s="289"/>
      <c r="HL63" s="289"/>
      <c r="HM63" s="289"/>
      <c r="HN63" s="289"/>
      <c r="HO63" s="289"/>
      <c r="HP63" s="289"/>
      <c r="HQ63" s="289"/>
      <c r="HR63" s="289"/>
      <c r="HS63" s="289"/>
      <c r="HT63" s="289"/>
      <c r="HU63" s="289"/>
      <c r="HV63" s="289"/>
      <c r="HW63" s="289"/>
      <c r="HX63" s="289"/>
      <c r="HY63" s="289"/>
      <c r="HZ63" s="289"/>
      <c r="IA63" s="289"/>
      <c r="IB63" s="289"/>
      <c r="IC63" s="289"/>
      <c r="ID63" s="289"/>
      <c r="IE63" s="289"/>
      <c r="IF63" s="289"/>
      <c r="IG63" s="289"/>
      <c r="IH63" s="289"/>
      <c r="II63" s="289"/>
      <c r="IJ63" s="289"/>
      <c r="IK63" s="289"/>
      <c r="IL63" s="289"/>
      <c r="IM63" s="289"/>
      <c r="IN63" s="289"/>
      <c r="IO63" s="289"/>
      <c r="IP63" s="289"/>
      <c r="IQ63" s="289"/>
      <c r="IR63" s="289"/>
      <c r="IS63" s="289"/>
      <c r="IT63" s="289"/>
      <c r="IU63" s="289"/>
      <c r="IV63" s="289"/>
      <c r="IW63" s="289"/>
      <c r="IX63" s="289"/>
    </row>
    <row r="64" spans="1:258" s="21" customFormat="1" ht="17.100000000000001" customHeight="1">
      <c r="A64" s="289"/>
      <c r="B64" s="289"/>
      <c r="C64" s="289"/>
      <c r="G64" s="289"/>
      <c r="H64" s="289"/>
      <c r="I64" s="289"/>
      <c r="J64" s="289"/>
      <c r="K64" s="289"/>
      <c r="L64" s="289"/>
      <c r="M64" s="289"/>
      <c r="N64" s="289"/>
      <c r="O64" s="289"/>
      <c r="P64" s="289"/>
      <c r="Q64" s="289"/>
      <c r="R64" s="289"/>
      <c r="S64" s="289"/>
      <c r="T64" s="289"/>
      <c r="U64" s="289"/>
      <c r="V64" s="1"/>
      <c r="W64" s="289"/>
      <c r="X64" s="289"/>
      <c r="Y64" s="289"/>
      <c r="Z64" s="289"/>
      <c r="AA64" s="289"/>
      <c r="AB64" s="289"/>
      <c r="AC64" s="289"/>
      <c r="AD64" s="289"/>
      <c r="AE64" s="289"/>
      <c r="AF64" s="289"/>
      <c r="AG64" s="289"/>
      <c r="AH64" s="289"/>
      <c r="AI64" s="289"/>
      <c r="AJ64" s="289"/>
      <c r="AK64" s="294"/>
      <c r="AL64" s="294"/>
      <c r="AM64" s="294"/>
      <c r="AN64" s="294"/>
      <c r="AO64" s="294"/>
      <c r="AP64" s="294"/>
      <c r="AQ64" s="294"/>
      <c r="AR64" s="294"/>
      <c r="AS64" s="294"/>
      <c r="AT64" s="294"/>
      <c r="AU64" s="294"/>
      <c r="AV64" s="289"/>
      <c r="AW64" s="377"/>
      <c r="AX64" s="377"/>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c r="CL64" s="289"/>
      <c r="CM64" s="289"/>
      <c r="CN64" s="289"/>
      <c r="CO64" s="289"/>
      <c r="CP64" s="235">
        <f t="shared" si="113"/>
        <v>42380</v>
      </c>
      <c r="CQ64" s="300">
        <f t="shared" ca="1" si="106"/>
        <v>95.676479999999998</v>
      </c>
      <c r="CR64" s="301">
        <f t="shared" ca="1" si="106"/>
        <v>202.16160000000002</v>
      </c>
      <c r="CS64" s="301">
        <f t="shared" ca="1" si="106"/>
        <v>17611.713708479998</v>
      </c>
      <c r="CT64" s="301">
        <f t="shared" ca="1" si="106"/>
        <v>29011.190399999999</v>
      </c>
      <c r="CU64" s="300">
        <f t="shared" ca="1" si="107"/>
        <v>408.32639999999998</v>
      </c>
      <c r="CV64" s="301">
        <f t="shared" ca="1" si="107"/>
        <v>2682.1440000000002</v>
      </c>
      <c r="CW64" s="301">
        <f t="shared" ca="1" si="107"/>
        <v>7680.5155007999992</v>
      </c>
      <c r="CX64" s="301">
        <f t="shared" ca="1" si="107"/>
        <v>7526.0160000000005</v>
      </c>
      <c r="CY64" s="293"/>
      <c r="CZ64" s="289"/>
      <c r="DA64" s="289"/>
      <c r="DB64" s="289"/>
      <c r="DC64" s="289"/>
      <c r="DD64" s="289"/>
      <c r="DE64" s="482"/>
      <c r="DF64" s="482"/>
      <c r="DG64" s="482"/>
      <c r="DH64" s="482"/>
      <c r="DI64" s="482"/>
      <c r="DJ64" s="482"/>
      <c r="DK64" s="482"/>
      <c r="DL64" s="482"/>
      <c r="DM64" s="482"/>
      <c r="DN64" s="482"/>
      <c r="DO64" s="366"/>
      <c r="DP64" s="366"/>
      <c r="DQ64" s="366"/>
      <c r="DR64" s="366"/>
      <c r="DS64" s="366"/>
      <c r="DT64" s="573">
        <f t="shared" si="120"/>
        <v>42380</v>
      </c>
      <c r="DU64" s="440">
        <f t="shared" si="121"/>
        <v>42380</v>
      </c>
      <c r="DV64" s="571">
        <f t="shared" ca="1" si="114"/>
        <v>96</v>
      </c>
      <c r="DW64" s="571">
        <f t="shared" ca="1" si="115"/>
        <v>96</v>
      </c>
      <c r="DX64" s="571">
        <f t="shared" ca="1" si="116"/>
        <v>116</v>
      </c>
      <c r="DY64" s="571">
        <f t="shared" ca="1" si="117"/>
        <v>92874.240000000005</v>
      </c>
      <c r="DZ64" s="571">
        <f t="shared" ca="1" si="118"/>
        <v>6</v>
      </c>
      <c r="EA64" s="571">
        <f t="shared" ca="1" si="122"/>
        <v>4803.84</v>
      </c>
      <c r="EB64" s="571">
        <f t="shared" ca="1" si="123"/>
        <v>113</v>
      </c>
      <c r="EC64" s="571">
        <f t="shared" ca="1" si="124"/>
        <v>90472.319999999992</v>
      </c>
      <c r="ED64" s="571">
        <f t="shared" ca="1" si="125"/>
        <v>3</v>
      </c>
      <c r="EE64" s="571">
        <f t="shared" ca="1" si="126"/>
        <v>2401.92</v>
      </c>
      <c r="EF64" s="571">
        <f t="shared" ca="1" si="112"/>
        <v>13</v>
      </c>
      <c r="EG64" s="404"/>
      <c r="EH64" s="289"/>
      <c r="EI64" s="289"/>
      <c r="EJ64" s="289"/>
      <c r="EK64" s="289"/>
      <c r="EL64" s="289"/>
      <c r="EM64" s="289"/>
      <c r="EN64" s="289"/>
      <c r="EO64" s="289"/>
      <c r="EP64" s="289"/>
      <c r="EQ64" s="289"/>
      <c r="ER64" s="289"/>
      <c r="ES64" s="289"/>
      <c r="ET64" s="289"/>
      <c r="EU64" s="289"/>
      <c r="EV64" s="289"/>
      <c r="EW64" s="289"/>
      <c r="EX64" s="289"/>
      <c r="EY64" s="289"/>
      <c r="EZ64" s="289"/>
      <c r="FA64" s="289"/>
      <c r="FB64" s="289"/>
      <c r="FC64" s="289"/>
      <c r="FD64" s="289"/>
      <c r="FE64" s="289"/>
      <c r="FF64" s="289"/>
      <c r="FG64" s="289"/>
      <c r="FH64" s="289"/>
      <c r="FI64" s="289"/>
      <c r="FJ64" s="289"/>
      <c r="FK64" s="289"/>
      <c r="FL64" s="289"/>
      <c r="FM64" s="289"/>
      <c r="FN64" s="289"/>
      <c r="FO64" s="289"/>
      <c r="FP64" s="289"/>
      <c r="FQ64" s="289"/>
      <c r="FR64" s="289"/>
      <c r="FS64" s="289"/>
      <c r="FT64" s="289"/>
      <c r="FU64" s="289"/>
      <c r="FV64" s="289"/>
      <c r="FW64" s="289"/>
      <c r="FX64" s="289"/>
      <c r="FY64" s="289"/>
      <c r="FZ64" s="289"/>
      <c r="GA64" s="289"/>
      <c r="GB64" s="289"/>
      <c r="GC64" s="289"/>
      <c r="GD64" s="289"/>
      <c r="GE64" s="289"/>
      <c r="GF64" s="289"/>
      <c r="GG64" s="289"/>
      <c r="GH64" s="289"/>
      <c r="GI64" s="289"/>
      <c r="GJ64" s="289"/>
      <c r="GK64" s="289"/>
      <c r="GL64" s="289"/>
      <c r="GM64" s="289"/>
      <c r="GN64" s="289"/>
      <c r="GO64" s="289"/>
      <c r="GP64" s="289"/>
      <c r="GQ64" s="289"/>
      <c r="GR64" s="289"/>
      <c r="GS64" s="289"/>
      <c r="GT64" s="289"/>
      <c r="GU64" s="289"/>
      <c r="GV64" s="289"/>
      <c r="GW64" s="289"/>
      <c r="GX64" s="289"/>
      <c r="GY64" s="289"/>
      <c r="GZ64" s="289"/>
      <c r="HA64" s="289"/>
      <c r="HB64" s="289"/>
      <c r="HC64" s="289"/>
      <c r="HD64" s="289"/>
      <c r="HE64" s="289"/>
      <c r="HF64" s="289"/>
      <c r="HG64" s="289"/>
      <c r="HH64" s="289"/>
      <c r="HI64" s="289"/>
      <c r="HJ64" s="289"/>
      <c r="HK64" s="289"/>
      <c r="HL64" s="289"/>
      <c r="HM64" s="289"/>
      <c r="HN64" s="289"/>
      <c r="HO64" s="289"/>
      <c r="HP64" s="289"/>
      <c r="HQ64" s="289"/>
      <c r="HR64" s="289"/>
      <c r="HS64" s="289"/>
      <c r="HT64" s="289"/>
      <c r="HU64" s="289"/>
      <c r="HV64" s="289"/>
      <c r="HW64" s="289"/>
      <c r="HX64" s="289"/>
      <c r="HY64" s="289"/>
      <c r="HZ64" s="289"/>
      <c r="IA64" s="289"/>
      <c r="IB64" s="289"/>
      <c r="IC64" s="289"/>
      <c r="ID64" s="289"/>
      <c r="IE64" s="289"/>
      <c r="IF64" s="289"/>
      <c r="IG64" s="289"/>
      <c r="IH64" s="289"/>
      <c r="II64" s="289"/>
      <c r="IJ64" s="289"/>
      <c r="IK64" s="289"/>
      <c r="IL64" s="289"/>
      <c r="IM64" s="289"/>
      <c r="IN64" s="289"/>
      <c r="IO64" s="289"/>
      <c r="IP64" s="289"/>
      <c r="IQ64" s="289"/>
      <c r="IR64" s="289"/>
      <c r="IS64" s="289"/>
      <c r="IT64" s="289"/>
      <c r="IU64" s="289"/>
      <c r="IV64" s="289"/>
      <c r="IW64" s="289"/>
      <c r="IX64" s="289"/>
    </row>
    <row r="65" spans="1:258" s="21" customFormat="1" ht="17.100000000000001" customHeight="1">
      <c r="A65" s="289"/>
      <c r="B65" s="289"/>
      <c r="C65" s="289"/>
      <c r="G65" s="289"/>
      <c r="H65" s="289"/>
      <c r="I65" s="289"/>
      <c r="J65" s="289"/>
      <c r="K65" s="289"/>
      <c r="L65" s="289"/>
      <c r="M65" s="289"/>
      <c r="N65" s="289"/>
      <c r="O65" s="289"/>
      <c r="P65" s="289"/>
      <c r="Q65" s="289"/>
      <c r="R65" s="289"/>
      <c r="S65" s="289"/>
      <c r="T65" s="289"/>
      <c r="U65" s="289"/>
      <c r="V65" s="1"/>
      <c r="W65" s="289"/>
      <c r="X65" s="289"/>
      <c r="Y65" s="289"/>
      <c r="Z65" s="289"/>
      <c r="AA65" s="289"/>
      <c r="AB65" s="289"/>
      <c r="AC65" s="289"/>
      <c r="AD65" s="289"/>
      <c r="AE65" s="289"/>
      <c r="AF65" s="289"/>
      <c r="AG65" s="289"/>
      <c r="AH65" s="289"/>
      <c r="AI65" s="289"/>
      <c r="AJ65" s="289"/>
      <c r="AK65" s="289"/>
      <c r="AL65" s="289"/>
      <c r="AM65" s="289"/>
      <c r="AN65" s="289"/>
      <c r="AO65" s="289"/>
      <c r="AP65" s="289"/>
      <c r="AQ65" s="289"/>
      <c r="AR65" s="289"/>
      <c r="AS65" s="289"/>
      <c r="AT65" s="289"/>
      <c r="AU65" s="289"/>
      <c r="AV65" s="289"/>
      <c r="AW65" s="377"/>
      <c r="AX65" s="377"/>
      <c r="AY65" s="289"/>
      <c r="AZ65" s="289"/>
      <c r="BA65" s="289"/>
      <c r="BB65" s="289"/>
      <c r="BC65" s="289"/>
      <c r="BD65" s="289"/>
      <c r="BE65" s="289"/>
      <c r="BF65" s="289"/>
      <c r="BG65" s="289"/>
      <c r="BH65" s="289"/>
      <c r="BI65" s="289"/>
      <c r="BJ65" s="289"/>
      <c r="BK65" s="289"/>
      <c r="BL65" s="289"/>
      <c r="BM65" s="289"/>
      <c r="BN65" s="289"/>
      <c r="BO65" s="289"/>
      <c r="BP65" s="289"/>
      <c r="BQ65" s="289"/>
      <c r="BR65" s="289"/>
      <c r="BS65" s="289"/>
      <c r="BT65" s="289"/>
      <c r="BU65" s="289"/>
      <c r="BV65" s="289"/>
      <c r="BW65" s="289"/>
      <c r="BX65" s="289"/>
      <c r="BY65" s="289"/>
      <c r="BZ65" s="289"/>
      <c r="CA65" s="289"/>
      <c r="CB65" s="289"/>
      <c r="CC65" s="289"/>
      <c r="CD65" s="289"/>
      <c r="CE65" s="289"/>
      <c r="CF65" s="289"/>
      <c r="CG65" s="289"/>
      <c r="CH65" s="289"/>
      <c r="CI65" s="289"/>
      <c r="CJ65" s="289"/>
      <c r="CK65" s="289"/>
      <c r="CL65" s="289"/>
      <c r="CM65" s="289"/>
      <c r="CN65" s="289"/>
      <c r="CO65" s="289"/>
      <c r="CP65" s="235">
        <f t="shared" si="113"/>
        <v>42381</v>
      </c>
      <c r="CQ65" s="300">
        <f t="shared" ca="1" si="106"/>
        <v>59.972940000000008</v>
      </c>
      <c r="CR65" s="301">
        <f t="shared" ca="1" si="106"/>
        <v>80.747879999999995</v>
      </c>
      <c r="CS65" s="301">
        <f t="shared" ca="1" si="106"/>
        <v>18848.860034399997</v>
      </c>
      <c r="CT65" s="301">
        <f t="shared" ca="1" si="106"/>
        <v>27430.760400000003</v>
      </c>
      <c r="CU65" s="300">
        <f t="shared" ca="1" si="107"/>
        <v>439.01760000000007</v>
      </c>
      <c r="CV65" s="301">
        <f t="shared" ca="1" si="107"/>
        <v>2830.0955999999996</v>
      </c>
      <c r="CW65" s="301">
        <f t="shared" ca="1" si="107"/>
        <v>10186.000119599998</v>
      </c>
      <c r="CX65" s="301">
        <f t="shared" ca="1" si="107"/>
        <v>10113.084000000001</v>
      </c>
      <c r="CY65" s="293"/>
      <c r="CZ65" s="289"/>
      <c r="DA65" s="289"/>
      <c r="DB65" s="289"/>
      <c r="DC65" s="289"/>
      <c r="DD65" s="289"/>
      <c r="DE65" s="482"/>
      <c r="DF65" s="482"/>
      <c r="DG65" s="482"/>
      <c r="DH65" s="482"/>
      <c r="DI65" s="482"/>
      <c r="DJ65" s="482"/>
      <c r="DK65" s="482"/>
      <c r="DL65" s="482"/>
      <c r="DM65" s="482"/>
      <c r="DN65" s="482"/>
      <c r="DO65" s="366"/>
      <c r="DP65" s="366"/>
      <c r="DQ65" s="366"/>
      <c r="DR65" s="366"/>
      <c r="DS65" s="366"/>
      <c r="DT65" s="573">
        <f t="shared" si="120"/>
        <v>42381</v>
      </c>
      <c r="DU65" s="440">
        <f t="shared" si="121"/>
        <v>42381</v>
      </c>
      <c r="DV65" s="571">
        <f t="shared" ca="1" si="114"/>
        <v>94</v>
      </c>
      <c r="DW65" s="571">
        <f t="shared" ca="1" si="115"/>
        <v>94</v>
      </c>
      <c r="DX65" s="571">
        <f t="shared" ca="1" si="116"/>
        <v>110</v>
      </c>
      <c r="DY65" s="571">
        <f t="shared" ca="1" si="117"/>
        <v>86235.599999999991</v>
      </c>
      <c r="DZ65" s="571">
        <f t="shared" ca="1" si="118"/>
        <v>5</v>
      </c>
      <c r="EA65" s="571">
        <f t="shared" ca="1" si="119"/>
        <v>3919.7999999999997</v>
      </c>
      <c r="EB65" s="571">
        <f t="shared" ca="1" si="123"/>
        <v>117</v>
      </c>
      <c r="EC65" s="571">
        <f t="shared" ca="1" si="124"/>
        <v>91723.319999999992</v>
      </c>
      <c r="ED65" s="571">
        <f t="shared" ca="1" si="125"/>
        <v>2</v>
      </c>
      <c r="EE65" s="571">
        <f t="shared" ca="1" si="126"/>
        <v>1567.92</v>
      </c>
      <c r="EF65" s="571">
        <f t="shared" ca="1" si="112"/>
        <v>2</v>
      </c>
      <c r="EG65" s="404"/>
      <c r="EH65" s="289"/>
      <c r="EI65" s="289"/>
      <c r="EJ65" s="289"/>
      <c r="EK65" s="289"/>
      <c r="EL65" s="289"/>
      <c r="EM65" s="289"/>
      <c r="EN65" s="289"/>
      <c r="EO65" s="289"/>
      <c r="EP65" s="289"/>
      <c r="EQ65" s="289"/>
      <c r="ER65" s="289"/>
      <c r="ES65" s="289"/>
      <c r="ET65" s="289"/>
      <c r="EU65" s="289"/>
      <c r="EV65" s="289"/>
      <c r="EW65" s="289"/>
      <c r="EX65" s="289"/>
      <c r="EY65" s="289"/>
      <c r="EZ65" s="289"/>
      <c r="FA65" s="289"/>
      <c r="FB65" s="289"/>
      <c r="FC65" s="289"/>
      <c r="FD65" s="289"/>
      <c r="FE65" s="289"/>
      <c r="FF65" s="289"/>
      <c r="FG65" s="289"/>
      <c r="FH65" s="289"/>
      <c r="FI65" s="289"/>
      <c r="FJ65" s="289"/>
      <c r="FK65" s="289"/>
      <c r="FL65" s="289"/>
      <c r="FM65" s="289"/>
      <c r="FN65" s="289"/>
      <c r="FO65" s="289"/>
      <c r="FP65" s="289"/>
      <c r="FQ65" s="289"/>
      <c r="FR65" s="289"/>
      <c r="FS65" s="289"/>
      <c r="FT65" s="289"/>
      <c r="FU65" s="289"/>
      <c r="FV65" s="289"/>
      <c r="FW65" s="289"/>
      <c r="FX65" s="289"/>
      <c r="FY65" s="289"/>
      <c r="FZ65" s="289"/>
      <c r="GA65" s="289"/>
      <c r="GB65" s="289"/>
      <c r="GC65" s="289"/>
      <c r="GD65" s="289"/>
      <c r="GE65" s="289"/>
      <c r="GF65" s="289"/>
      <c r="GG65" s="289"/>
      <c r="GH65" s="289"/>
      <c r="GI65" s="289"/>
      <c r="GJ65" s="289"/>
      <c r="GK65" s="289"/>
      <c r="GL65" s="289"/>
      <c r="GM65" s="289"/>
      <c r="GN65" s="289"/>
      <c r="GO65" s="289"/>
      <c r="GP65" s="289"/>
      <c r="GQ65" s="289"/>
      <c r="GR65" s="289"/>
      <c r="GS65" s="289"/>
      <c r="GT65" s="289"/>
      <c r="GU65" s="289"/>
      <c r="GV65" s="289"/>
      <c r="GW65" s="289"/>
      <c r="GX65" s="289"/>
      <c r="GY65" s="289"/>
      <c r="GZ65" s="289"/>
      <c r="HA65" s="289"/>
      <c r="HB65" s="289"/>
      <c r="HC65" s="289"/>
      <c r="HD65" s="289"/>
      <c r="HE65" s="289"/>
      <c r="HF65" s="289"/>
      <c r="HG65" s="289"/>
      <c r="HH65" s="289"/>
      <c r="HI65" s="289"/>
      <c r="HJ65" s="289"/>
      <c r="HK65" s="289"/>
      <c r="HL65" s="289"/>
      <c r="HM65" s="289"/>
      <c r="HN65" s="289"/>
      <c r="HO65" s="289"/>
      <c r="HP65" s="289"/>
      <c r="HQ65" s="289"/>
      <c r="HR65" s="289"/>
      <c r="HS65" s="289"/>
      <c r="HT65" s="289"/>
      <c r="HU65" s="289"/>
      <c r="HV65" s="289"/>
      <c r="HW65" s="289"/>
      <c r="HX65" s="289"/>
      <c r="HY65" s="289"/>
      <c r="HZ65" s="289"/>
      <c r="IA65" s="289"/>
      <c r="IB65" s="289"/>
      <c r="IC65" s="289"/>
      <c r="ID65" s="289"/>
      <c r="IE65" s="289"/>
      <c r="IF65" s="289"/>
      <c r="IG65" s="289"/>
      <c r="IH65" s="289"/>
      <c r="II65" s="289"/>
      <c r="IJ65" s="289"/>
      <c r="IK65" s="289"/>
      <c r="IL65" s="289"/>
      <c r="IM65" s="289"/>
      <c r="IN65" s="289"/>
      <c r="IO65" s="289"/>
      <c r="IP65" s="289"/>
      <c r="IQ65" s="289"/>
      <c r="IR65" s="289"/>
      <c r="IS65" s="289"/>
      <c r="IT65" s="289"/>
      <c r="IU65" s="289"/>
      <c r="IV65" s="289"/>
      <c r="IW65" s="289"/>
      <c r="IX65" s="289"/>
    </row>
    <row r="66" spans="1:258" s="21" customFormat="1" ht="17.100000000000001" customHeight="1">
      <c r="A66" s="289"/>
      <c r="B66" s="289"/>
      <c r="C66" s="289"/>
      <c r="G66" s="289"/>
      <c r="H66" s="289"/>
      <c r="I66" s="289"/>
      <c r="J66" s="289"/>
      <c r="K66" s="289"/>
      <c r="L66" s="289"/>
      <c r="M66" s="289"/>
      <c r="N66" s="289"/>
      <c r="O66" s="289"/>
      <c r="P66" s="289"/>
      <c r="Q66" s="289"/>
      <c r="R66" s="289"/>
      <c r="S66" s="289"/>
      <c r="T66" s="289"/>
      <c r="U66" s="289"/>
      <c r="V66" s="1"/>
      <c r="W66" s="289"/>
      <c r="X66" s="289"/>
      <c r="Y66" s="289"/>
      <c r="Z66" s="289"/>
      <c r="AA66" s="289"/>
      <c r="AB66" s="289"/>
      <c r="AC66" s="289"/>
      <c r="AD66" s="289"/>
      <c r="AE66" s="289"/>
      <c r="AF66" s="289"/>
      <c r="AG66" s="289"/>
      <c r="AH66" s="289"/>
      <c r="AI66" s="289"/>
      <c r="AJ66" s="289"/>
      <c r="AK66" s="289"/>
      <c r="AL66" s="289"/>
      <c r="AM66" s="289"/>
      <c r="AN66" s="289"/>
      <c r="AO66" s="289"/>
      <c r="AP66" s="289"/>
      <c r="AQ66" s="289"/>
      <c r="AR66" s="289"/>
      <c r="AS66" s="289"/>
      <c r="AT66" s="289"/>
      <c r="AU66" s="289"/>
      <c r="AV66" s="289"/>
      <c r="AW66" s="377"/>
      <c r="AX66" s="1221"/>
      <c r="AY66" s="289"/>
      <c r="AZ66" s="289"/>
      <c r="BA66" s="289"/>
      <c r="BB66" s="289"/>
      <c r="BC66" s="289"/>
      <c r="BD66" s="289"/>
      <c r="BE66" s="289"/>
      <c r="BF66" s="289"/>
      <c r="BG66" s="289"/>
      <c r="BH66" s="289"/>
      <c r="BI66" s="289"/>
      <c r="BJ66" s="289"/>
      <c r="BK66" s="289"/>
      <c r="BL66" s="289"/>
      <c r="BM66" s="289"/>
      <c r="BN66" s="289"/>
      <c r="BO66" s="289"/>
      <c r="BP66" s="289"/>
      <c r="BQ66" s="289"/>
      <c r="BR66" s="289"/>
      <c r="BS66" s="289"/>
      <c r="BT66" s="289"/>
      <c r="BU66" s="289"/>
      <c r="BV66" s="289"/>
      <c r="BW66" s="289"/>
      <c r="BX66" s="289"/>
      <c r="BY66" s="289"/>
      <c r="BZ66" s="289"/>
      <c r="CA66" s="289"/>
      <c r="CB66" s="289"/>
      <c r="CC66" s="289"/>
      <c r="CD66" s="289"/>
      <c r="CE66" s="289"/>
      <c r="CF66" s="289"/>
      <c r="CG66" s="289"/>
      <c r="CH66" s="289"/>
      <c r="CI66" s="289"/>
      <c r="CJ66" s="289"/>
      <c r="CK66" s="289"/>
      <c r="CL66" s="289"/>
      <c r="CM66" s="289"/>
      <c r="CN66" s="289"/>
      <c r="CO66" s="289"/>
      <c r="CP66" s="235">
        <f t="shared" si="113"/>
        <v>42382</v>
      </c>
      <c r="CQ66" s="300">
        <f t="shared" ca="1" si="106"/>
        <v>49.914900000000003</v>
      </c>
      <c r="CR66" s="301">
        <f t="shared" ca="1" si="106"/>
        <v>59.672699999999985</v>
      </c>
      <c r="CS66" s="301">
        <f t="shared" ca="1" si="106"/>
        <v>20895.073321499996</v>
      </c>
      <c r="CT66" s="301">
        <f t="shared" ca="1" si="106"/>
        <v>26597.510999999999</v>
      </c>
      <c r="CU66" s="300">
        <f t="shared" ca="1" si="107"/>
        <v>427.84199999999998</v>
      </c>
      <c r="CV66" s="301">
        <f t="shared" ca="1" si="107"/>
        <v>2739.69</v>
      </c>
      <c r="CW66" s="301">
        <f t="shared" ca="1" si="107"/>
        <v>12122.332613999999</v>
      </c>
      <c r="CX66" s="301">
        <f t="shared" ca="1" si="107"/>
        <v>12084.660000000002</v>
      </c>
      <c r="CY66" s="293"/>
      <c r="CZ66" s="289"/>
      <c r="DA66" s="289"/>
      <c r="DB66" s="289"/>
      <c r="DC66" s="289"/>
      <c r="DD66" s="289"/>
      <c r="DE66" s="482"/>
      <c r="DF66" s="482"/>
      <c r="DG66" s="482"/>
      <c r="DH66" s="482"/>
      <c r="DI66" s="482"/>
      <c r="DJ66" s="482"/>
      <c r="DK66" s="482"/>
      <c r="DL66" s="482"/>
      <c r="DM66" s="482"/>
      <c r="DN66" s="482"/>
      <c r="DO66" s="366"/>
      <c r="DP66" s="366"/>
      <c r="DQ66" s="366"/>
      <c r="DR66" s="366"/>
      <c r="DS66" s="366"/>
      <c r="DT66" s="573">
        <f t="shared" si="120"/>
        <v>42382</v>
      </c>
      <c r="DU66" s="440">
        <f t="shared" si="121"/>
        <v>42382</v>
      </c>
      <c r="DV66" s="571">
        <f t="shared" ca="1" si="114"/>
        <v>90</v>
      </c>
      <c r="DW66" s="571">
        <f t="shared" ca="1" si="115"/>
        <v>90</v>
      </c>
      <c r="DX66" s="571">
        <f t="shared" ca="1" si="116"/>
        <v>136</v>
      </c>
      <c r="DY66" s="571">
        <f t="shared" ca="1" si="117"/>
        <v>102081.59999999999</v>
      </c>
      <c r="DZ66" s="571">
        <f t="shared" ca="1" si="118"/>
        <v>21</v>
      </c>
      <c r="EA66" s="571">
        <f t="shared" ca="1" si="119"/>
        <v>15762.6</v>
      </c>
      <c r="EB66" s="571">
        <f t="shared" ca="1" si="123"/>
        <v>134</v>
      </c>
      <c r="EC66" s="571">
        <f t="shared" ca="1" si="124"/>
        <v>100580.4</v>
      </c>
      <c r="ED66" s="571">
        <f t="shared" ca="1" si="125"/>
        <v>6</v>
      </c>
      <c r="EE66" s="571">
        <f t="shared" ca="1" si="126"/>
        <v>4503.6000000000004</v>
      </c>
      <c r="EF66" s="571">
        <f t="shared" ca="1" si="112"/>
        <v>12</v>
      </c>
      <c r="EG66" s="404"/>
      <c r="EH66" s="289"/>
      <c r="EI66" s="289"/>
      <c r="EJ66" s="289"/>
      <c r="EK66" s="289"/>
      <c r="EL66" s="289"/>
      <c r="EM66" s="289"/>
      <c r="EN66" s="289"/>
      <c r="EO66" s="289"/>
      <c r="EP66" s="289"/>
      <c r="EQ66" s="289"/>
      <c r="ER66" s="289"/>
      <c r="ES66" s="289"/>
      <c r="ET66" s="289"/>
      <c r="EU66" s="289"/>
      <c r="EV66" s="289"/>
      <c r="EW66" s="289"/>
      <c r="EX66" s="289"/>
      <c r="EY66" s="289"/>
      <c r="EZ66" s="289"/>
      <c r="FA66" s="289"/>
      <c r="FB66" s="289"/>
      <c r="FC66" s="289"/>
      <c r="FD66" s="289"/>
      <c r="FE66" s="289"/>
      <c r="FF66" s="289"/>
      <c r="FG66" s="289"/>
      <c r="FH66" s="289"/>
      <c r="FI66" s="289"/>
      <c r="FJ66" s="289"/>
      <c r="FK66" s="289"/>
      <c r="FL66" s="289"/>
      <c r="FM66" s="289"/>
      <c r="FN66" s="289"/>
      <c r="FO66" s="289"/>
      <c r="FP66" s="289"/>
      <c r="FQ66" s="289"/>
      <c r="FR66" s="289"/>
      <c r="FS66" s="289"/>
      <c r="FT66" s="289"/>
      <c r="FU66" s="289"/>
      <c r="FV66" s="289"/>
      <c r="FW66" s="289"/>
      <c r="FX66" s="289"/>
      <c r="FY66" s="289"/>
      <c r="FZ66" s="289"/>
      <c r="GA66" s="289"/>
      <c r="GB66" s="289"/>
      <c r="GC66" s="289"/>
      <c r="GD66" s="289"/>
      <c r="GE66" s="289"/>
      <c r="GF66" s="289"/>
      <c r="GG66" s="289"/>
      <c r="GH66" s="289"/>
      <c r="GI66" s="289"/>
      <c r="GJ66" s="289"/>
      <c r="GK66" s="289"/>
      <c r="GL66" s="289"/>
      <c r="GM66" s="289"/>
      <c r="GN66" s="289"/>
      <c r="GO66" s="289"/>
      <c r="GP66" s="289"/>
      <c r="GQ66" s="289"/>
      <c r="GR66" s="289"/>
      <c r="GS66" s="289"/>
      <c r="GT66" s="289"/>
      <c r="GU66" s="289"/>
      <c r="GV66" s="289"/>
      <c r="GW66" s="289"/>
      <c r="GX66" s="289"/>
      <c r="GY66" s="289"/>
      <c r="GZ66" s="289"/>
      <c r="HA66" s="289"/>
      <c r="HB66" s="289"/>
      <c r="HC66" s="289"/>
      <c r="HD66" s="289"/>
      <c r="HE66" s="289"/>
      <c r="HF66" s="289"/>
      <c r="HG66" s="289"/>
      <c r="HH66" s="289"/>
      <c r="HI66" s="289"/>
      <c r="HJ66" s="289"/>
      <c r="HK66" s="289"/>
      <c r="HL66" s="289"/>
      <c r="HM66" s="289"/>
      <c r="HN66" s="289"/>
      <c r="HO66" s="289"/>
      <c r="HP66" s="289"/>
      <c r="HQ66" s="289"/>
      <c r="HR66" s="289"/>
      <c r="HS66" s="289"/>
      <c r="HT66" s="289"/>
      <c r="HU66" s="289"/>
      <c r="HV66" s="289"/>
      <c r="HW66" s="289"/>
      <c r="HX66" s="289"/>
      <c r="HY66" s="289"/>
      <c r="HZ66" s="289"/>
      <c r="IA66" s="289"/>
      <c r="IB66" s="289"/>
      <c r="IC66" s="289"/>
      <c r="ID66" s="289"/>
      <c r="IE66" s="289"/>
      <c r="IF66" s="289"/>
      <c r="IG66" s="289"/>
      <c r="IH66" s="289"/>
      <c r="II66" s="289"/>
      <c r="IJ66" s="289"/>
      <c r="IK66" s="289"/>
      <c r="IL66" s="289"/>
      <c r="IM66" s="289"/>
      <c r="IN66" s="289"/>
      <c r="IO66" s="289"/>
      <c r="IP66" s="289"/>
      <c r="IQ66" s="289"/>
      <c r="IR66" s="289"/>
      <c r="IS66" s="289"/>
      <c r="IT66" s="289"/>
      <c r="IU66" s="289"/>
      <c r="IV66" s="289"/>
      <c r="IW66" s="289"/>
      <c r="IX66" s="289"/>
    </row>
    <row r="67" spans="1:258" s="21" customFormat="1" ht="17.100000000000001" customHeight="1">
      <c r="A67" s="289"/>
      <c r="B67" s="289"/>
      <c r="C67" s="289"/>
      <c r="G67" s="289"/>
      <c r="H67" s="289"/>
      <c r="I67" s="289"/>
      <c r="J67" s="289"/>
      <c r="K67" s="289"/>
      <c r="L67" s="289"/>
      <c r="M67" s="289"/>
      <c r="N67" s="289"/>
      <c r="O67" s="289"/>
      <c r="P67" s="289"/>
      <c r="Q67" s="289"/>
      <c r="R67" s="289"/>
      <c r="S67" s="289"/>
      <c r="T67" s="289"/>
      <c r="U67" s="289"/>
      <c r="V67" s="1"/>
      <c r="W67" s="289"/>
      <c r="X67" s="289"/>
      <c r="Y67" s="289"/>
      <c r="Z67" s="289"/>
      <c r="AA67" s="289"/>
      <c r="AB67" s="289"/>
      <c r="AC67" s="289"/>
      <c r="AD67" s="289"/>
      <c r="AE67" s="289"/>
      <c r="AF67" s="289"/>
      <c r="AG67" s="289"/>
      <c r="AH67" s="289"/>
      <c r="AI67" s="289"/>
      <c r="AJ67" s="289"/>
      <c r="AK67" s="289"/>
      <c r="AL67" s="289"/>
      <c r="AM67" s="289"/>
      <c r="AN67" s="289"/>
      <c r="AO67" s="289"/>
      <c r="AP67" s="289"/>
      <c r="AQ67" s="289"/>
      <c r="AR67" s="289"/>
      <c r="AS67" s="289"/>
      <c r="AT67" s="289"/>
      <c r="AU67" s="289"/>
      <c r="AV67" s="377"/>
      <c r="AW67" s="377"/>
      <c r="AX67" s="1221"/>
      <c r="AY67" s="289"/>
      <c r="AZ67" s="289"/>
      <c r="BA67" s="289"/>
      <c r="BB67" s="289"/>
      <c r="BC67" s="289"/>
      <c r="BD67" s="289"/>
      <c r="BE67" s="289"/>
      <c r="BF67" s="289"/>
      <c r="BG67" s="289"/>
      <c r="BH67" s="289"/>
      <c r="BI67" s="289"/>
      <c r="BJ67" s="289"/>
      <c r="BK67" s="289"/>
      <c r="BL67" s="289"/>
      <c r="BM67" s="289"/>
      <c r="BN67" s="289"/>
      <c r="BO67" s="289"/>
      <c r="BP67" s="289"/>
      <c r="BQ67" s="289"/>
      <c r="BR67" s="289"/>
      <c r="BS67" s="289"/>
      <c r="BT67" s="289"/>
      <c r="BU67" s="289"/>
      <c r="BV67" s="289"/>
      <c r="BW67" s="289"/>
      <c r="BX67" s="289"/>
      <c r="BY67" s="289"/>
      <c r="BZ67" s="289"/>
      <c r="CA67" s="289"/>
      <c r="CB67" s="289"/>
      <c r="CC67" s="289"/>
      <c r="CD67" s="289"/>
      <c r="CE67" s="289"/>
      <c r="CF67" s="289"/>
      <c r="CG67" s="289"/>
      <c r="CH67" s="289"/>
      <c r="CI67" s="289"/>
      <c r="CJ67" s="289"/>
      <c r="CK67" s="289"/>
      <c r="CL67" s="289"/>
      <c r="CM67" s="289"/>
      <c r="CN67" s="289"/>
      <c r="CO67" s="289"/>
      <c r="CP67" s="235">
        <f t="shared" si="113"/>
        <v>42383</v>
      </c>
      <c r="CQ67" s="300">
        <f t="shared" ca="1" si="106"/>
        <v>26.483670000000004</v>
      </c>
      <c r="CR67" s="301">
        <f t="shared" ca="1" si="106"/>
        <v>88.88355</v>
      </c>
      <c r="CS67" s="301">
        <f t="shared" ca="1" si="106"/>
        <v>21370.396363470001</v>
      </c>
      <c r="CT67" s="301">
        <f t="shared" ca="1" si="106"/>
        <v>26911.762199999994</v>
      </c>
      <c r="CU67" s="300">
        <f t="shared" ca="1" si="107"/>
        <v>442.60379999999998</v>
      </c>
      <c r="CV67" s="301">
        <f t="shared" ca="1" si="107"/>
        <v>3112.7382000000002</v>
      </c>
      <c r="CW67" s="301">
        <f t="shared" ca="1" si="107"/>
        <v>10925.290245599997</v>
      </c>
      <c r="CX67" s="301">
        <f t="shared" ca="1" si="107"/>
        <v>12262.302</v>
      </c>
      <c r="CY67" s="293"/>
      <c r="CZ67" s="289"/>
      <c r="DA67" s="289"/>
      <c r="DB67" s="289"/>
      <c r="DC67" s="289"/>
      <c r="DD67" s="289"/>
      <c r="DE67" s="482"/>
      <c r="DF67" s="482"/>
      <c r="DG67" s="482"/>
      <c r="DH67" s="482"/>
      <c r="DI67" s="482"/>
      <c r="DJ67" s="482"/>
      <c r="DK67" s="482"/>
      <c r="DL67" s="482"/>
      <c r="DM67" s="482"/>
      <c r="DN67" s="482"/>
      <c r="DO67" s="366"/>
      <c r="DP67" s="366"/>
      <c r="DQ67" s="366"/>
      <c r="DR67" s="366"/>
      <c r="DS67" s="366"/>
      <c r="DT67" s="573">
        <f t="shared" si="120"/>
        <v>42383</v>
      </c>
      <c r="DU67" s="440">
        <f t="shared" si="121"/>
        <v>42383</v>
      </c>
      <c r="DV67" s="571">
        <f t="shared" ca="1" si="114"/>
        <v>87</v>
      </c>
      <c r="DW67" s="571">
        <f t="shared" ca="1" si="115"/>
        <v>87</v>
      </c>
      <c r="DX67" s="571">
        <f t="shared" ca="1" si="116"/>
        <v>119</v>
      </c>
      <c r="DY67" s="571">
        <f t="shared" ca="1" si="117"/>
        <v>86344.02</v>
      </c>
      <c r="DZ67" s="571">
        <f t="shared" ca="1" si="118"/>
        <v>24</v>
      </c>
      <c r="EA67" s="571">
        <f t="shared" ca="1" si="119"/>
        <v>17413.919999999998</v>
      </c>
      <c r="EB67" s="571">
        <f t="shared" ca="1" si="123"/>
        <v>129</v>
      </c>
      <c r="EC67" s="571">
        <f t="shared" ca="1" si="124"/>
        <v>93599.819999999992</v>
      </c>
      <c r="ED67" s="571">
        <f t="shared" ca="1" si="125"/>
        <v>8</v>
      </c>
      <c r="EE67" s="571">
        <f t="shared" ca="1" si="126"/>
        <v>5804.64</v>
      </c>
      <c r="EF67" s="571">
        <f t="shared" ca="1" si="112"/>
        <v>13</v>
      </c>
      <c r="EG67" s="404"/>
      <c r="EH67" s="289"/>
      <c r="EI67" s="289"/>
      <c r="EJ67" s="289"/>
      <c r="EK67" s="289"/>
      <c r="EL67" s="289"/>
      <c r="EM67" s="289"/>
      <c r="EN67" s="289"/>
      <c r="EO67" s="289"/>
      <c r="EP67" s="289"/>
      <c r="EQ67" s="289"/>
      <c r="ER67" s="289"/>
      <c r="ES67" s="289"/>
      <c r="ET67" s="289"/>
      <c r="EU67" s="289"/>
      <c r="EV67" s="289"/>
      <c r="EW67" s="289"/>
      <c r="EX67" s="289"/>
      <c r="EY67" s="289"/>
      <c r="EZ67" s="289"/>
      <c r="FA67" s="289"/>
      <c r="FB67" s="289"/>
      <c r="FC67" s="289"/>
      <c r="FD67" s="289"/>
      <c r="FE67" s="289"/>
      <c r="FF67" s="289"/>
      <c r="FG67" s="289"/>
      <c r="FH67" s="289"/>
      <c r="FI67" s="289"/>
      <c r="FJ67" s="289"/>
      <c r="FK67" s="289"/>
      <c r="FL67" s="289"/>
      <c r="FM67" s="289"/>
      <c r="FN67" s="289"/>
      <c r="FO67" s="289"/>
      <c r="FP67" s="289"/>
      <c r="FQ67" s="289"/>
      <c r="FR67" s="289"/>
      <c r="FS67" s="289"/>
      <c r="FT67" s="289"/>
      <c r="FU67" s="289"/>
      <c r="FV67" s="289"/>
      <c r="FW67" s="289"/>
      <c r="FX67" s="289"/>
      <c r="FY67" s="289"/>
      <c r="FZ67" s="289"/>
      <c r="GA67" s="289"/>
      <c r="GB67" s="289"/>
      <c r="GC67" s="289"/>
      <c r="GD67" s="289"/>
      <c r="GE67" s="289"/>
      <c r="GF67" s="289"/>
      <c r="GG67" s="289"/>
      <c r="GH67" s="289"/>
      <c r="GI67" s="289"/>
      <c r="GJ67" s="289"/>
      <c r="GK67" s="289"/>
      <c r="GL67" s="289"/>
      <c r="GM67" s="289"/>
      <c r="GN67" s="289"/>
      <c r="GO67" s="289"/>
      <c r="GP67" s="289"/>
      <c r="GQ67" s="289"/>
      <c r="GR67" s="289"/>
      <c r="GS67" s="289"/>
      <c r="GT67" s="289"/>
      <c r="GU67" s="289"/>
      <c r="GV67" s="289"/>
      <c r="GW67" s="289"/>
      <c r="GX67" s="289"/>
      <c r="GY67" s="289"/>
      <c r="GZ67" s="289"/>
      <c r="HA67" s="289"/>
      <c r="HB67" s="289"/>
      <c r="HC67" s="289"/>
      <c r="HD67" s="289"/>
      <c r="HE67" s="289"/>
      <c r="HF67" s="289"/>
      <c r="HG67" s="289"/>
      <c r="HH67" s="289"/>
      <c r="HI67" s="289"/>
      <c r="HJ67" s="289"/>
      <c r="HK67" s="289"/>
      <c r="HL67" s="289"/>
      <c r="HM67" s="289"/>
      <c r="HN67" s="289"/>
      <c r="HO67" s="289"/>
      <c r="HP67" s="289"/>
      <c r="HQ67" s="289"/>
      <c r="HR67" s="289"/>
      <c r="HS67" s="289"/>
      <c r="HT67" s="289"/>
      <c r="HU67" s="289"/>
      <c r="HV67" s="289"/>
      <c r="HW67" s="289"/>
      <c r="HX67" s="289"/>
      <c r="HY67" s="289"/>
      <c r="HZ67" s="289"/>
      <c r="IA67" s="289"/>
      <c r="IB67" s="289"/>
      <c r="IC67" s="289"/>
      <c r="ID67" s="289"/>
      <c r="IE67" s="289"/>
      <c r="IF67" s="289"/>
      <c r="IG67" s="289"/>
      <c r="IH67" s="289"/>
      <c r="II67" s="289"/>
      <c r="IJ67" s="289"/>
      <c r="IK67" s="289"/>
      <c r="IL67" s="289"/>
      <c r="IM67" s="289"/>
      <c r="IN67" s="289"/>
      <c r="IO67" s="289"/>
      <c r="IP67" s="289"/>
      <c r="IQ67" s="289"/>
      <c r="IR67" s="289"/>
      <c r="IS67" s="289"/>
      <c r="IT67" s="289"/>
      <c r="IU67" s="289"/>
      <c r="IV67" s="289"/>
      <c r="IW67" s="289"/>
      <c r="IX67" s="289"/>
    </row>
    <row r="68" spans="1:258" s="21" customFormat="1" ht="17.100000000000001" customHeight="1">
      <c r="A68" s="289"/>
      <c r="B68" s="289"/>
      <c r="C68" s="289"/>
      <c r="G68" s="289"/>
      <c r="H68" s="289"/>
      <c r="I68" s="289"/>
      <c r="J68" s="289"/>
      <c r="K68" s="289"/>
      <c r="L68" s="289"/>
      <c r="M68" s="289"/>
      <c r="N68" s="289"/>
      <c r="O68" s="289"/>
      <c r="P68" s="289"/>
      <c r="Q68" s="289"/>
      <c r="R68" s="289"/>
      <c r="S68" s="289"/>
      <c r="T68" s="289"/>
      <c r="U68" s="289"/>
      <c r="V68" s="1"/>
      <c r="W68" s="289"/>
      <c r="X68" s="289"/>
      <c r="Y68" s="289"/>
      <c r="Z68" s="289"/>
      <c r="AA68" s="289"/>
      <c r="AB68" s="289"/>
      <c r="AC68" s="289"/>
      <c r="AD68" s="289"/>
      <c r="AE68" s="289"/>
      <c r="AF68" s="289"/>
      <c r="AG68" s="289"/>
      <c r="AH68" s="289"/>
      <c r="AI68" s="289"/>
      <c r="AJ68" s="289"/>
      <c r="AK68" s="289"/>
      <c r="AL68" s="289"/>
      <c r="AM68" s="289"/>
      <c r="AN68" s="289"/>
      <c r="AO68" s="289"/>
      <c r="AP68" s="289"/>
      <c r="AQ68" s="289"/>
      <c r="AR68" s="289"/>
      <c r="AS68" s="289"/>
      <c r="AT68" s="289"/>
      <c r="AU68" s="289"/>
      <c r="AV68" s="377"/>
      <c r="AW68" s="1217"/>
      <c r="AX68" s="1217"/>
      <c r="AY68" s="289"/>
      <c r="AZ68" s="289"/>
      <c r="BA68" s="289"/>
      <c r="BB68" s="289"/>
      <c r="BC68" s="289"/>
      <c r="BD68" s="289"/>
      <c r="BE68" s="289"/>
      <c r="BF68" s="289"/>
      <c r="BG68" s="289"/>
      <c r="BH68" s="289"/>
      <c r="BI68" s="289"/>
      <c r="BJ68" s="289"/>
      <c r="BK68" s="289"/>
      <c r="BL68" s="289"/>
      <c r="BM68" s="289"/>
      <c r="BN68" s="289"/>
      <c r="BO68" s="289"/>
      <c r="BP68" s="289"/>
      <c r="BQ68" s="289"/>
      <c r="BR68" s="289"/>
      <c r="BS68" s="289"/>
      <c r="BT68" s="289"/>
      <c r="BU68" s="289"/>
      <c r="BV68" s="289"/>
      <c r="BW68" s="289"/>
      <c r="BX68" s="289"/>
      <c r="BY68" s="289"/>
      <c r="BZ68" s="289"/>
      <c r="CA68" s="289"/>
      <c r="CB68" s="289"/>
      <c r="CC68" s="289"/>
      <c r="CD68" s="289"/>
      <c r="CE68" s="289"/>
      <c r="CF68" s="289"/>
      <c r="CG68" s="289"/>
      <c r="CH68" s="289"/>
      <c r="CI68" s="289"/>
      <c r="CJ68" s="289"/>
      <c r="CK68" s="289"/>
      <c r="CL68" s="289"/>
      <c r="CM68" s="289"/>
      <c r="CN68" s="289"/>
      <c r="CO68" s="289"/>
      <c r="CP68" s="235">
        <f t="shared" si="113"/>
        <v>42384</v>
      </c>
      <c r="CQ68" s="300">
        <f t="shared" ca="1" si="106"/>
        <v>32.409239999999997</v>
      </c>
      <c r="CR68" s="301">
        <f t="shared" ca="1" si="106"/>
        <v>166.88340000000002</v>
      </c>
      <c r="CS68" s="301">
        <f t="shared" ca="1" si="106"/>
        <v>24358.698198119997</v>
      </c>
      <c r="CT68" s="301">
        <f t="shared" ca="1" si="106"/>
        <v>34015.190399999992</v>
      </c>
      <c r="CU68" s="300">
        <f t="shared" ca="1" si="107"/>
        <v>609.48720000000003</v>
      </c>
      <c r="CV68" s="301">
        <f t="shared" ca="1" si="107"/>
        <v>3956.8296</v>
      </c>
      <c r="CW68" s="301">
        <f t="shared" ca="1" si="107"/>
        <v>15624.3398136</v>
      </c>
      <c r="CX68" s="301">
        <f t="shared" ca="1" si="107"/>
        <v>16446.48</v>
      </c>
      <c r="CY68" s="293"/>
      <c r="CZ68" s="289"/>
      <c r="DA68" s="289"/>
      <c r="DB68" s="289"/>
      <c r="DC68" s="289"/>
      <c r="DD68" s="289"/>
      <c r="DE68" s="482"/>
      <c r="DF68" s="482"/>
      <c r="DG68" s="482"/>
      <c r="DH68" s="482"/>
      <c r="DI68" s="482"/>
      <c r="DJ68" s="482"/>
      <c r="DK68" s="482"/>
      <c r="DL68" s="482"/>
      <c r="DM68" s="482"/>
      <c r="DN68" s="482"/>
      <c r="DO68" s="366"/>
      <c r="DP68" s="366"/>
      <c r="DQ68" s="366"/>
      <c r="DR68" s="366"/>
      <c r="DS68" s="366"/>
      <c r="DT68" s="573">
        <f t="shared" si="120"/>
        <v>42384</v>
      </c>
      <c r="DU68" s="440">
        <f t="shared" si="121"/>
        <v>42384</v>
      </c>
      <c r="DV68" s="571">
        <f t="shared" ca="1" si="114"/>
        <v>93</v>
      </c>
      <c r="DW68" s="571">
        <f t="shared" ca="1" si="115"/>
        <v>116</v>
      </c>
      <c r="DX68" s="571">
        <f t="shared" ca="1" si="116"/>
        <v>148</v>
      </c>
      <c r="DY68" s="571">
        <f t="shared" ca="1" si="117"/>
        <v>143181.12</v>
      </c>
      <c r="DZ68" s="571">
        <f t="shared" ca="1" si="118"/>
        <v>19</v>
      </c>
      <c r="EA68" s="571">
        <f t="shared" ca="1" si="119"/>
        <v>18381.36</v>
      </c>
      <c r="EB68" s="571">
        <f t="shared" ca="1" si="123"/>
        <v>136</v>
      </c>
      <c r="EC68" s="571">
        <f t="shared" ca="1" si="124"/>
        <v>131571.84</v>
      </c>
      <c r="ED68" s="571">
        <f t="shared" ca="1" si="125"/>
        <v>6</v>
      </c>
      <c r="EE68" s="571">
        <f t="shared" ca="1" si="126"/>
        <v>5804.64</v>
      </c>
      <c r="EF68" s="571">
        <f t="shared" ca="1" si="112"/>
        <v>44</v>
      </c>
      <c r="EG68" s="404"/>
      <c r="EH68" s="289"/>
      <c r="EI68" s="289"/>
      <c r="EJ68" s="289"/>
      <c r="EK68" s="289"/>
      <c r="EL68" s="289"/>
      <c r="EM68" s="289"/>
      <c r="EN68" s="289"/>
      <c r="EO68" s="289"/>
      <c r="EP68" s="289"/>
      <c r="EQ68" s="289"/>
      <c r="ER68" s="289"/>
      <c r="ES68" s="289"/>
      <c r="ET68" s="289"/>
      <c r="EU68" s="289"/>
      <c r="EV68" s="289"/>
      <c r="EW68" s="289"/>
      <c r="EX68" s="289"/>
      <c r="EY68" s="289"/>
      <c r="EZ68" s="289"/>
      <c r="FA68" s="289"/>
      <c r="FB68" s="289"/>
      <c r="FC68" s="289"/>
      <c r="FD68" s="289"/>
      <c r="FE68" s="289"/>
      <c r="FF68" s="289"/>
      <c r="FG68" s="289"/>
      <c r="FH68" s="289"/>
      <c r="FI68" s="289"/>
      <c r="FJ68" s="289"/>
      <c r="FK68" s="289"/>
      <c r="FL68" s="289"/>
      <c r="FM68" s="289"/>
      <c r="FN68" s="289"/>
      <c r="FO68" s="289"/>
      <c r="FP68" s="289"/>
      <c r="FQ68" s="289"/>
      <c r="FR68" s="289"/>
      <c r="FS68" s="289"/>
      <c r="FT68" s="289"/>
      <c r="FU68" s="289"/>
      <c r="FV68" s="289"/>
      <c r="FW68" s="289"/>
      <c r="FX68" s="289"/>
      <c r="FY68" s="289"/>
      <c r="FZ68" s="289"/>
      <c r="GA68" s="289"/>
      <c r="GB68" s="289"/>
      <c r="GC68" s="289"/>
      <c r="GD68" s="289"/>
      <c r="GE68" s="289"/>
      <c r="GF68" s="289"/>
      <c r="GG68" s="289"/>
      <c r="GH68" s="289"/>
      <c r="GI68" s="289"/>
      <c r="GJ68" s="289"/>
      <c r="GK68" s="289"/>
      <c r="GL68" s="289"/>
      <c r="GM68" s="289"/>
      <c r="GN68" s="289"/>
      <c r="GO68" s="289"/>
      <c r="GP68" s="289"/>
      <c r="GQ68" s="289"/>
      <c r="GR68" s="289"/>
      <c r="GS68" s="289"/>
      <c r="GT68" s="289"/>
      <c r="GU68" s="289"/>
      <c r="GV68" s="289"/>
      <c r="GW68" s="289"/>
      <c r="GX68" s="289"/>
      <c r="GY68" s="289"/>
      <c r="GZ68" s="289"/>
      <c r="HA68" s="289"/>
      <c r="HB68" s="289"/>
      <c r="HC68" s="289"/>
      <c r="HD68" s="289"/>
      <c r="HE68" s="289"/>
      <c r="HF68" s="289"/>
      <c r="HG68" s="289"/>
      <c r="HH68" s="289"/>
      <c r="HI68" s="289"/>
      <c r="HJ68" s="289"/>
      <c r="HK68" s="289"/>
      <c r="HL68" s="289"/>
      <c r="HM68" s="289"/>
      <c r="HN68" s="289"/>
      <c r="HO68" s="289"/>
      <c r="HP68" s="289"/>
      <c r="HQ68" s="289"/>
      <c r="HR68" s="289"/>
      <c r="HS68" s="289"/>
      <c r="HT68" s="289"/>
      <c r="HU68" s="289"/>
      <c r="HV68" s="289"/>
      <c r="HW68" s="289"/>
      <c r="HX68" s="289"/>
      <c r="HY68" s="289"/>
      <c r="HZ68" s="289"/>
      <c r="IA68" s="289"/>
      <c r="IB68" s="289"/>
      <c r="IC68" s="289"/>
      <c r="ID68" s="289"/>
      <c r="IE68" s="289"/>
      <c r="IF68" s="289"/>
      <c r="IG68" s="289"/>
      <c r="IH68" s="289"/>
      <c r="II68" s="289"/>
      <c r="IJ68" s="289"/>
      <c r="IK68" s="289"/>
      <c r="IL68" s="289"/>
      <c r="IM68" s="289"/>
      <c r="IN68" s="289"/>
      <c r="IO68" s="289"/>
      <c r="IP68" s="289"/>
      <c r="IQ68" s="289"/>
      <c r="IR68" s="289"/>
      <c r="IS68" s="289"/>
      <c r="IT68" s="289"/>
      <c r="IU68" s="289"/>
      <c r="IV68" s="289"/>
      <c r="IW68" s="289"/>
      <c r="IX68" s="289"/>
    </row>
    <row r="69" spans="1:258" s="21" customFormat="1" ht="17.100000000000001" customHeight="1">
      <c r="A69" s="377"/>
      <c r="B69" s="377"/>
      <c r="C69" s="377"/>
      <c r="D69" s="1215"/>
      <c r="E69" s="1215"/>
      <c r="F69" s="1215"/>
      <c r="G69" s="377"/>
      <c r="H69" s="377"/>
      <c r="I69" s="377"/>
      <c r="J69" s="377"/>
      <c r="K69" s="377"/>
      <c r="L69" s="377"/>
      <c r="M69" s="377"/>
      <c r="N69" s="377"/>
      <c r="O69" s="377"/>
      <c r="P69" s="377"/>
      <c r="Q69" s="289"/>
      <c r="R69" s="289"/>
      <c r="S69" s="377"/>
      <c r="T69" s="377"/>
      <c r="U69" s="377"/>
      <c r="V69" s="1216"/>
      <c r="W69" s="377"/>
      <c r="X69" s="377"/>
      <c r="Y69" s="377"/>
      <c r="Z69" s="377"/>
      <c r="AA69" s="377"/>
      <c r="AB69" s="377"/>
      <c r="AC69" s="377"/>
      <c r="AD69" s="377"/>
      <c r="AE69" s="377"/>
      <c r="AF69" s="377"/>
      <c r="AG69" s="377"/>
      <c r="AH69" s="377"/>
      <c r="AI69" s="377"/>
      <c r="AJ69" s="377"/>
      <c r="AK69" s="377"/>
      <c r="AL69" s="377"/>
      <c r="AM69" s="377"/>
      <c r="AN69" s="377"/>
      <c r="AO69" s="377"/>
      <c r="AP69" s="377"/>
      <c r="AQ69" s="377"/>
      <c r="AR69" s="377"/>
      <c r="AS69" s="377"/>
      <c r="AT69" s="377"/>
      <c r="AU69" s="377"/>
      <c r="AV69" s="377"/>
      <c r="AW69" s="1217"/>
      <c r="AX69" s="1217"/>
      <c r="AY69" s="377"/>
      <c r="AZ69" s="377"/>
      <c r="BA69" s="377"/>
      <c r="BB69" s="377"/>
      <c r="BC69" s="377"/>
      <c r="BD69" s="289"/>
      <c r="BE69" s="289"/>
      <c r="BF69" s="289"/>
      <c r="BG69" s="289"/>
      <c r="BH69" s="289"/>
      <c r="BI69" s="289"/>
      <c r="BJ69" s="289"/>
      <c r="BK69" s="289"/>
      <c r="BL69" s="289"/>
      <c r="BM69" s="289"/>
      <c r="BN69" s="289"/>
      <c r="BO69" s="289"/>
      <c r="BP69" s="289"/>
      <c r="BQ69" s="289"/>
      <c r="BR69" s="289"/>
      <c r="BS69" s="289"/>
      <c r="BT69" s="289"/>
      <c r="BU69" s="289"/>
      <c r="BV69" s="289"/>
      <c r="BW69" s="289"/>
      <c r="BX69" s="289"/>
      <c r="BY69" s="289"/>
      <c r="BZ69" s="289"/>
      <c r="CA69" s="289"/>
      <c r="CB69" s="289"/>
      <c r="CC69" s="289"/>
      <c r="CD69" s="289"/>
      <c r="CE69" s="289"/>
      <c r="CF69" s="289"/>
      <c r="CG69" s="289"/>
      <c r="CH69" s="289"/>
      <c r="CI69" s="289"/>
      <c r="CJ69" s="289"/>
      <c r="CK69" s="289"/>
      <c r="CL69" s="289"/>
      <c r="CM69" s="289"/>
      <c r="CN69" s="289"/>
      <c r="CO69" s="289"/>
      <c r="CP69" s="235">
        <f t="shared" si="113"/>
        <v>42385</v>
      </c>
      <c r="CQ69" s="300">
        <f t="shared" ca="1" si="106"/>
        <v>36.696000000000005</v>
      </c>
      <c r="CR69" s="301">
        <f t="shared" ca="1" si="106"/>
        <v>283.93529999999998</v>
      </c>
      <c r="CS69" s="301">
        <f t="shared" ca="1" si="106"/>
        <v>17127.731857499999</v>
      </c>
      <c r="CT69" s="301">
        <f t="shared" ca="1" si="106"/>
        <v>24989.975999999999</v>
      </c>
      <c r="CU69" s="300">
        <f t="shared" ca="1" si="107"/>
        <v>357.786</v>
      </c>
      <c r="CV69" s="301">
        <f t="shared" ca="1" si="107"/>
        <v>2229.2820000000002</v>
      </c>
      <c r="CW69" s="301">
        <f t="shared" ca="1" si="107"/>
        <v>13256.585958</v>
      </c>
      <c r="CX69" s="301">
        <f t="shared" ca="1" si="107"/>
        <v>16604.940000000002</v>
      </c>
      <c r="CY69" s="293"/>
      <c r="CZ69" s="289"/>
      <c r="DA69" s="289"/>
      <c r="DB69" s="289"/>
      <c r="DC69" s="289"/>
      <c r="DD69" s="289"/>
      <c r="DE69" s="482"/>
      <c r="DF69" s="482"/>
      <c r="DG69" s="482"/>
      <c r="DH69" s="482"/>
      <c r="DI69" s="482"/>
      <c r="DJ69" s="482"/>
      <c r="DK69" s="482"/>
      <c r="DL69" s="482"/>
      <c r="DM69" s="482"/>
      <c r="DN69" s="482"/>
      <c r="DO69" s="366"/>
      <c r="DP69" s="366"/>
      <c r="DQ69" s="366"/>
      <c r="DR69" s="366"/>
      <c r="DS69" s="366"/>
      <c r="DT69" s="573">
        <f t="shared" si="120"/>
        <v>42385</v>
      </c>
      <c r="DU69" s="440">
        <f t="shared" si="121"/>
        <v>42385</v>
      </c>
      <c r="DV69" s="571">
        <f t="shared" ca="1" si="114"/>
        <v>95</v>
      </c>
      <c r="DW69" s="571">
        <f t="shared" ca="1" si="115"/>
        <v>110</v>
      </c>
      <c r="DX69" s="571">
        <f t="shared" ca="1" si="116"/>
        <v>125</v>
      </c>
      <c r="DY69" s="571">
        <f t="shared" ca="1" si="117"/>
        <v>114675</v>
      </c>
      <c r="DZ69" s="571">
        <f t="shared" ca="1" si="118"/>
        <v>52</v>
      </c>
      <c r="EA69" s="571">
        <f t="shared" ca="1" si="119"/>
        <v>47704.799999999996</v>
      </c>
      <c r="EB69" s="571">
        <f t="shared" ca="1" si="123"/>
        <v>122</v>
      </c>
      <c r="EC69" s="571">
        <f t="shared" ca="1" si="124"/>
        <v>111922.8</v>
      </c>
      <c r="ED69" s="571">
        <f t="shared" ca="1" si="125"/>
        <v>12</v>
      </c>
      <c r="EE69" s="571">
        <f t="shared" ca="1" si="126"/>
        <v>11008.8</v>
      </c>
      <c r="EF69" s="571">
        <f t="shared" ca="1" si="112"/>
        <v>44</v>
      </c>
      <c r="EG69" s="404"/>
      <c r="EH69" s="289"/>
      <c r="EI69" s="289"/>
      <c r="EJ69" s="289"/>
      <c r="EK69" s="289"/>
      <c r="EL69" s="289"/>
      <c r="EM69" s="289"/>
      <c r="EN69" s="289"/>
      <c r="EO69" s="289"/>
      <c r="EP69" s="289"/>
      <c r="EQ69" s="289"/>
      <c r="ER69" s="289"/>
      <c r="ES69" s="289"/>
      <c r="ET69" s="289"/>
      <c r="EU69" s="289"/>
      <c r="EV69" s="289"/>
      <c r="EW69" s="289"/>
      <c r="EX69" s="289"/>
      <c r="EY69" s="289"/>
      <c r="EZ69" s="289"/>
      <c r="FA69" s="289"/>
      <c r="FB69" s="289"/>
      <c r="FC69" s="289"/>
      <c r="FD69" s="289"/>
      <c r="FE69" s="289"/>
      <c r="FF69" s="289"/>
      <c r="FG69" s="289"/>
      <c r="FH69" s="289"/>
      <c r="FI69" s="289"/>
      <c r="FJ69" s="289"/>
      <c r="FK69" s="289"/>
      <c r="FL69" s="289"/>
      <c r="FM69" s="289"/>
      <c r="FN69" s="289"/>
      <c r="FO69" s="289"/>
      <c r="FP69" s="289"/>
      <c r="FQ69" s="289"/>
      <c r="FR69" s="289"/>
      <c r="FS69" s="289"/>
      <c r="FT69" s="289"/>
      <c r="FU69" s="289"/>
      <c r="FV69" s="289"/>
      <c r="FW69" s="289"/>
      <c r="FX69" s="289"/>
      <c r="FY69" s="289"/>
      <c r="FZ69" s="289"/>
      <c r="GA69" s="289"/>
      <c r="GB69" s="289"/>
      <c r="GC69" s="289"/>
      <c r="GD69" s="289"/>
      <c r="GE69" s="289"/>
      <c r="GF69" s="289"/>
      <c r="GG69" s="289"/>
      <c r="GH69" s="289"/>
      <c r="GI69" s="289"/>
      <c r="GJ69" s="289"/>
      <c r="GK69" s="289"/>
      <c r="GL69" s="289"/>
      <c r="GM69" s="289"/>
      <c r="GN69" s="289"/>
      <c r="GO69" s="289"/>
      <c r="GP69" s="289"/>
      <c r="GQ69" s="289"/>
      <c r="GR69" s="289"/>
      <c r="GS69" s="289"/>
      <c r="GT69" s="289"/>
      <c r="GU69" s="289"/>
      <c r="GV69" s="289"/>
      <c r="GW69" s="289"/>
      <c r="GX69" s="289"/>
      <c r="GY69" s="289"/>
      <c r="GZ69" s="289"/>
      <c r="HA69" s="289"/>
      <c r="HB69" s="289"/>
      <c r="HC69" s="289"/>
      <c r="HD69" s="289"/>
      <c r="HE69" s="289"/>
      <c r="HF69" s="289"/>
      <c r="HG69" s="289"/>
      <c r="HH69" s="289"/>
      <c r="HI69" s="289"/>
      <c r="HJ69" s="289"/>
      <c r="HK69" s="289"/>
      <c r="HL69" s="289"/>
      <c r="HM69" s="289"/>
      <c r="HN69" s="289"/>
      <c r="HO69" s="289"/>
      <c r="HP69" s="289"/>
      <c r="HQ69" s="289"/>
      <c r="HR69" s="289"/>
      <c r="HS69" s="289"/>
      <c r="HT69" s="289"/>
      <c r="HU69" s="289"/>
      <c r="HV69" s="289"/>
      <c r="HW69" s="289"/>
      <c r="HX69" s="289"/>
      <c r="HY69" s="289"/>
      <c r="HZ69" s="289"/>
      <c r="IA69" s="289"/>
      <c r="IB69" s="289"/>
      <c r="IC69" s="289"/>
      <c r="ID69" s="289"/>
      <c r="IE69" s="289"/>
      <c r="IF69" s="289"/>
      <c r="IG69" s="289"/>
      <c r="IH69" s="289"/>
      <c r="II69" s="289"/>
      <c r="IJ69" s="289"/>
      <c r="IK69" s="289"/>
      <c r="IL69" s="289"/>
      <c r="IM69" s="289"/>
      <c r="IN69" s="289"/>
      <c r="IO69" s="289"/>
      <c r="IP69" s="289"/>
      <c r="IQ69" s="289"/>
      <c r="IR69" s="289"/>
      <c r="IS69" s="289"/>
      <c r="IT69" s="289"/>
      <c r="IU69" s="289"/>
      <c r="IV69" s="289"/>
      <c r="IW69" s="289"/>
      <c r="IX69" s="289"/>
    </row>
    <row r="70" spans="1:258" s="21" customFormat="1" ht="17.100000000000001" customHeight="1">
      <c r="A70" s="377"/>
      <c r="B70" s="377"/>
      <c r="C70" s="377"/>
      <c r="D70" s="377"/>
      <c r="E70" s="377"/>
      <c r="F70" s="377"/>
      <c r="G70" s="377"/>
      <c r="H70" s="377"/>
      <c r="I70" s="377"/>
      <c r="J70" s="377"/>
      <c r="K70" s="377"/>
      <c r="L70" s="377"/>
      <c r="M70" s="377"/>
      <c r="N70" s="377"/>
      <c r="O70" s="377"/>
      <c r="P70" s="377"/>
      <c r="Q70" s="289"/>
      <c r="R70" s="289"/>
      <c r="S70" s="377"/>
      <c r="T70" s="377"/>
      <c r="U70" s="1217"/>
      <c r="V70" s="1218"/>
      <c r="W70" s="377"/>
      <c r="X70" s="377"/>
      <c r="Y70" s="377"/>
      <c r="Z70" s="377"/>
      <c r="AA70" s="377"/>
      <c r="AB70" s="377"/>
      <c r="AC70" s="377"/>
      <c r="AD70" s="377"/>
      <c r="AE70" s="377"/>
      <c r="AF70" s="377"/>
      <c r="AG70" s="377"/>
      <c r="AH70" s="377"/>
      <c r="AI70" s="1219"/>
      <c r="AJ70" s="377"/>
      <c r="AK70" s="377"/>
      <c r="AL70" s="1220"/>
      <c r="AM70" s="377"/>
      <c r="AN70" s="377"/>
      <c r="AO70" s="377"/>
      <c r="AP70" s="377"/>
      <c r="AQ70" s="377"/>
      <c r="AR70" s="377"/>
      <c r="AS70" s="377"/>
      <c r="AT70" s="377"/>
      <c r="AU70" s="377"/>
      <c r="AV70" s="377"/>
      <c r="AW70" s="377"/>
      <c r="AX70" s="1217"/>
      <c r="AY70" s="377"/>
      <c r="AZ70" s="377"/>
      <c r="BA70" s="1219"/>
      <c r="BB70" s="1217"/>
      <c r="BC70" s="377"/>
      <c r="BD70" s="289"/>
      <c r="BE70" s="289"/>
      <c r="BF70" s="289"/>
      <c r="BG70" s="289"/>
      <c r="BH70" s="289"/>
      <c r="BI70" s="289"/>
      <c r="BJ70" s="289"/>
      <c r="BK70" s="289"/>
      <c r="BL70" s="289"/>
      <c r="BM70" s="289"/>
      <c r="BN70" s="289"/>
      <c r="BO70" s="289"/>
      <c r="BP70" s="289"/>
      <c r="BQ70" s="289"/>
      <c r="BR70" s="289"/>
      <c r="BS70" s="289"/>
      <c r="BT70" s="289"/>
      <c r="BU70" s="289"/>
      <c r="BV70" s="289"/>
      <c r="BW70" s="289"/>
      <c r="BX70" s="289"/>
      <c r="BY70" s="289"/>
      <c r="BZ70" s="289"/>
      <c r="CA70" s="289"/>
      <c r="CB70" s="289"/>
      <c r="CC70" s="289"/>
      <c r="CD70" s="289"/>
      <c r="CE70" s="289"/>
      <c r="CF70" s="289"/>
      <c r="CG70" s="289"/>
      <c r="CH70" s="289"/>
      <c r="CI70" s="289"/>
      <c r="CJ70" s="289"/>
      <c r="CK70" s="289"/>
      <c r="CL70" s="289"/>
      <c r="CM70" s="289"/>
      <c r="CN70" s="289"/>
      <c r="CO70" s="289"/>
      <c r="CP70" s="235">
        <f t="shared" si="113"/>
        <v>42386</v>
      </c>
      <c r="CQ70" s="300">
        <f t="shared" ref="CQ70:CT79" ca="1" si="127">IF(SUM($CQ27:$CT27)=0,"",+CQ27*$G27*8.34)</f>
        <v>26.821440000000003</v>
      </c>
      <c r="CR70" s="301">
        <f t="shared" ca="1" si="127"/>
        <v>114.09120000000001</v>
      </c>
      <c r="CS70" s="301">
        <f t="shared" ca="1" si="127"/>
        <v>20674.197737279999</v>
      </c>
      <c r="CT70" s="301">
        <f t="shared" ca="1" si="127"/>
        <v>29615.673599999998</v>
      </c>
      <c r="CU70" s="300">
        <f t="shared" ref="CU70:CX79" ca="1" si="128">IF(SUM($CU27:$CX27)=0,"",+CU27*$G27*8.34)</f>
        <v>408.32639999999998</v>
      </c>
      <c r="CV70" s="301">
        <f t="shared" ca="1" si="128"/>
        <v>2353.8816000000002</v>
      </c>
      <c r="CW70" s="301">
        <f t="shared" ca="1" si="128"/>
        <v>13222.153267199999</v>
      </c>
      <c r="CX70" s="301">
        <f t="shared" ca="1" si="128"/>
        <v>13130.495999999999</v>
      </c>
      <c r="CY70" s="293"/>
      <c r="CZ70" s="289"/>
      <c r="DA70" s="289"/>
      <c r="DB70" s="289"/>
      <c r="DC70" s="289"/>
      <c r="DD70" s="289"/>
      <c r="DE70" s="482"/>
      <c r="DF70" s="482"/>
      <c r="DG70" s="482"/>
      <c r="DH70" s="482"/>
      <c r="DI70" s="482"/>
      <c r="DJ70" s="482"/>
      <c r="DK70" s="482"/>
      <c r="DL70" s="482"/>
      <c r="DM70" s="482"/>
      <c r="DN70" s="482"/>
      <c r="DO70" s="366"/>
      <c r="DP70" s="366"/>
      <c r="DQ70" s="366"/>
      <c r="DR70" s="366"/>
      <c r="DS70" s="366"/>
      <c r="DT70" s="573">
        <f t="shared" si="120"/>
        <v>42386</v>
      </c>
      <c r="DU70" s="440">
        <f t="shared" si="121"/>
        <v>42386</v>
      </c>
      <c r="DV70" s="571">
        <f t="shared" ca="1" si="114"/>
        <v>96</v>
      </c>
      <c r="DW70" s="571">
        <f t="shared" ca="1" si="115"/>
        <v>96</v>
      </c>
      <c r="DX70" s="571">
        <f t="shared" ca="1" si="116"/>
        <v>139</v>
      </c>
      <c r="DY70" s="571">
        <f t="shared" ca="1" si="117"/>
        <v>111288.95999999999</v>
      </c>
      <c r="DZ70" s="571">
        <f t="shared" ca="1" si="118"/>
        <v>17</v>
      </c>
      <c r="EA70" s="571">
        <f t="shared" ca="1" si="119"/>
        <v>13610.88</v>
      </c>
      <c r="EB70" s="571">
        <f t="shared" ca="1" si="123"/>
        <v>117</v>
      </c>
      <c r="EC70" s="571">
        <f t="shared" ca="1" si="124"/>
        <v>93674.880000000005</v>
      </c>
      <c r="ED70" s="571">
        <f t="shared" ca="1" si="125"/>
        <v>7</v>
      </c>
      <c r="EE70" s="571">
        <f t="shared" ca="1" si="126"/>
        <v>5604.48</v>
      </c>
      <c r="EF70" s="571">
        <f t="shared" ca="1" si="112"/>
        <v>14</v>
      </c>
      <c r="EG70" s="404"/>
      <c r="EH70" s="289"/>
      <c r="EI70" s="289"/>
      <c r="EJ70" s="289"/>
      <c r="EK70" s="289"/>
      <c r="EL70" s="289"/>
      <c r="EM70" s="289"/>
      <c r="EN70" s="289"/>
      <c r="EO70" s="289"/>
      <c r="EP70" s="289"/>
      <c r="EQ70" s="289"/>
      <c r="ER70" s="289"/>
      <c r="ES70" s="289"/>
      <c r="ET70" s="289"/>
      <c r="EU70" s="289"/>
      <c r="EV70" s="289"/>
      <c r="EW70" s="289"/>
      <c r="EX70" s="289"/>
      <c r="EY70" s="289"/>
      <c r="EZ70" s="289"/>
      <c r="FA70" s="289"/>
      <c r="FB70" s="289"/>
      <c r="FC70" s="289"/>
      <c r="FD70" s="289"/>
      <c r="FE70" s="289"/>
      <c r="FF70" s="289"/>
      <c r="FG70" s="289"/>
      <c r="FH70" s="289"/>
      <c r="FI70" s="289"/>
      <c r="FJ70" s="289"/>
      <c r="FK70" s="289"/>
      <c r="FL70" s="289"/>
      <c r="FM70" s="289"/>
      <c r="FN70" s="289"/>
      <c r="FO70" s="289"/>
      <c r="FP70" s="289"/>
      <c r="FQ70" s="289"/>
      <c r="FR70" s="289"/>
      <c r="FS70" s="289"/>
      <c r="FT70" s="289"/>
      <c r="FU70" s="289"/>
      <c r="FV70" s="289"/>
      <c r="FW70" s="289"/>
      <c r="FX70" s="289"/>
      <c r="FY70" s="289"/>
      <c r="FZ70" s="289"/>
      <c r="GA70" s="289"/>
      <c r="GB70" s="289"/>
      <c r="GC70" s="289"/>
      <c r="GD70" s="289"/>
      <c r="GE70" s="289"/>
      <c r="GF70" s="289"/>
      <c r="GG70" s="289"/>
      <c r="GH70" s="289"/>
      <c r="GI70" s="289"/>
      <c r="GJ70" s="289"/>
      <c r="GK70" s="289"/>
      <c r="GL70" s="289"/>
      <c r="GM70" s="289"/>
      <c r="GN70" s="289"/>
      <c r="GO70" s="289"/>
      <c r="GP70" s="289"/>
      <c r="GQ70" s="289"/>
      <c r="GR70" s="289"/>
      <c r="GS70" s="289"/>
      <c r="GT70" s="289"/>
      <c r="GU70" s="289"/>
      <c r="GV70" s="289"/>
      <c r="GW70" s="289"/>
      <c r="GX70" s="289"/>
      <c r="GY70" s="289"/>
      <c r="GZ70" s="289"/>
      <c r="HA70" s="289"/>
      <c r="HB70" s="289"/>
      <c r="HC70" s="289"/>
      <c r="HD70" s="289"/>
      <c r="HE70" s="289"/>
      <c r="HF70" s="289"/>
      <c r="HG70" s="289"/>
      <c r="HH70" s="289"/>
      <c r="HI70" s="289"/>
      <c r="HJ70" s="289"/>
      <c r="HK70" s="289"/>
      <c r="HL70" s="289"/>
      <c r="HM70" s="289"/>
      <c r="HN70" s="289"/>
      <c r="HO70" s="289"/>
      <c r="HP70" s="289"/>
      <c r="HQ70" s="289"/>
      <c r="HR70" s="289"/>
      <c r="HS70" s="289"/>
      <c r="HT70" s="289"/>
      <c r="HU70" s="289"/>
      <c r="HV70" s="289"/>
      <c r="HW70" s="289"/>
      <c r="HX70" s="289"/>
      <c r="HY70" s="289"/>
      <c r="HZ70" s="289"/>
      <c r="IA70" s="289"/>
      <c r="IB70" s="289"/>
      <c r="IC70" s="289"/>
      <c r="ID70" s="289"/>
      <c r="IE70" s="289"/>
      <c r="IF70" s="289"/>
      <c r="IG70" s="289"/>
      <c r="IH70" s="289"/>
      <c r="II70" s="289"/>
      <c r="IJ70" s="289"/>
      <c r="IK70" s="289"/>
      <c r="IL70" s="289"/>
      <c r="IM70" s="289"/>
      <c r="IN70" s="289"/>
      <c r="IO70" s="289"/>
      <c r="IP70" s="289"/>
      <c r="IQ70" s="289"/>
      <c r="IR70" s="289"/>
      <c r="IS70" s="289"/>
      <c r="IT70" s="289"/>
      <c r="IU70" s="289"/>
      <c r="IV70" s="289"/>
      <c r="IW70" s="289"/>
      <c r="IX70" s="289"/>
    </row>
    <row r="71" spans="1:258" s="21" customFormat="1" ht="17.100000000000001" customHeight="1">
      <c r="A71" s="377"/>
      <c r="B71" s="377"/>
      <c r="C71" s="1221"/>
      <c r="D71" s="1221"/>
      <c r="E71" s="1221"/>
      <c r="F71" s="1221"/>
      <c r="G71" s="1221"/>
      <c r="H71" s="1221"/>
      <c r="I71" s="1221"/>
      <c r="J71" s="1221"/>
      <c r="K71" s="1221"/>
      <c r="L71" s="1221"/>
      <c r="M71" s="1221"/>
      <c r="N71" s="1221"/>
      <c r="O71" s="1221"/>
      <c r="P71" s="1221"/>
      <c r="Q71" s="1221"/>
      <c r="R71" s="1221"/>
      <c r="S71" s="377"/>
      <c r="T71" s="377"/>
      <c r="U71" s="377"/>
      <c r="V71" s="1218"/>
      <c r="W71" s="377"/>
      <c r="X71" s="377"/>
      <c r="Y71" s="377"/>
      <c r="Z71" s="377"/>
      <c r="AA71" s="377"/>
      <c r="AB71" s="377"/>
      <c r="AC71" s="377"/>
      <c r="AD71" s="377"/>
      <c r="AE71" s="377"/>
      <c r="AF71" s="377"/>
      <c r="AG71" s="377"/>
      <c r="AH71" s="377"/>
      <c r="AI71" s="377"/>
      <c r="AJ71" s="377"/>
      <c r="AK71" s="377"/>
      <c r="AL71" s="377"/>
      <c r="AM71" s="377"/>
      <c r="AN71" s="377"/>
      <c r="AO71" s="377"/>
      <c r="AP71" s="377"/>
      <c r="AQ71" s="377"/>
      <c r="AR71" s="377"/>
      <c r="AS71" s="377"/>
      <c r="AT71" s="377"/>
      <c r="AU71" s="377"/>
      <c r="AV71" s="377"/>
      <c r="AW71" s="1217"/>
      <c r="AX71" s="1232"/>
      <c r="AY71" s="377"/>
      <c r="AZ71" s="377"/>
      <c r="BA71" s="377"/>
      <c r="BB71" s="377"/>
      <c r="BC71" s="377"/>
      <c r="BD71" s="289"/>
      <c r="BE71" s="289"/>
      <c r="BF71" s="289"/>
      <c r="BG71" s="289"/>
      <c r="BH71" s="289"/>
      <c r="BI71" s="289"/>
      <c r="BJ71" s="289"/>
      <c r="BK71" s="289"/>
      <c r="BL71" s="289"/>
      <c r="BM71" s="289"/>
      <c r="BN71" s="289"/>
      <c r="BO71" s="289"/>
      <c r="BP71" s="289"/>
      <c r="BQ71" s="289"/>
      <c r="BR71" s="289"/>
      <c r="BS71" s="289"/>
      <c r="BT71" s="289"/>
      <c r="BU71" s="289"/>
      <c r="BV71" s="289"/>
      <c r="BW71" s="289"/>
      <c r="BX71" s="289"/>
      <c r="BY71" s="289"/>
      <c r="BZ71" s="289"/>
      <c r="CA71" s="289"/>
      <c r="CB71" s="289"/>
      <c r="CC71" s="289"/>
      <c r="CD71" s="289"/>
      <c r="CE71" s="289"/>
      <c r="CF71" s="289"/>
      <c r="CG71" s="289"/>
      <c r="CH71" s="289"/>
      <c r="CI71" s="289"/>
      <c r="CJ71" s="289"/>
      <c r="CK71" s="289"/>
      <c r="CL71" s="289"/>
      <c r="CM71" s="289"/>
      <c r="CN71" s="289"/>
      <c r="CO71" s="289"/>
      <c r="CP71" s="235">
        <f t="shared" si="113"/>
        <v>42387</v>
      </c>
      <c r="CQ71" s="300">
        <f t="shared" ca="1" si="127"/>
        <v>36.066329999999994</v>
      </c>
      <c r="CR71" s="301">
        <f t="shared" ca="1" si="127"/>
        <v>59.334930000000007</v>
      </c>
      <c r="CS71" s="301">
        <f t="shared" ca="1" si="127"/>
        <v>22731.196558409996</v>
      </c>
      <c r="CT71" s="301">
        <f t="shared" ca="1" si="127"/>
        <v>29535.6096</v>
      </c>
      <c r="CU71" s="300">
        <f t="shared" ca="1" si="128"/>
        <v>387.81</v>
      </c>
      <c r="CV71" s="301">
        <f t="shared" ca="1" si="128"/>
        <v>2350.1285999999996</v>
      </c>
      <c r="CW71" s="301">
        <f t="shared" ca="1" si="128"/>
        <v>14221.714026599999</v>
      </c>
      <c r="CX71" s="301">
        <f t="shared" ca="1" si="128"/>
        <v>13650.912000000002</v>
      </c>
      <c r="CY71" s="293"/>
      <c r="CZ71" s="289"/>
      <c r="DA71" s="289"/>
      <c r="DB71" s="289"/>
      <c r="DC71" s="289"/>
      <c r="DD71" s="289"/>
      <c r="DE71" s="482"/>
      <c r="DF71" s="482"/>
      <c r="DG71" s="482"/>
      <c r="DH71" s="482"/>
      <c r="DI71" s="482"/>
      <c r="DJ71" s="482"/>
      <c r="DK71" s="482"/>
      <c r="DL71" s="482"/>
      <c r="DM71" s="482"/>
      <c r="DN71" s="482"/>
      <c r="DO71" s="366"/>
      <c r="DP71" s="366"/>
      <c r="DQ71" s="366"/>
      <c r="DR71" s="366"/>
      <c r="DS71" s="366"/>
      <c r="DT71" s="573">
        <f t="shared" si="120"/>
        <v>42387</v>
      </c>
      <c r="DU71" s="440">
        <f t="shared" si="121"/>
        <v>42387</v>
      </c>
      <c r="DV71" s="571">
        <f t="shared" ca="1" si="114"/>
        <v>93</v>
      </c>
      <c r="DW71" s="571">
        <f t="shared" ca="1" si="115"/>
        <v>93</v>
      </c>
      <c r="DX71" s="571">
        <f t="shared" ca="1" si="116"/>
        <v>142</v>
      </c>
      <c r="DY71" s="571">
        <f t="shared" ca="1" si="117"/>
        <v>110138.04</v>
      </c>
      <c r="DZ71" s="571">
        <f t="shared" ca="1" si="118"/>
        <v>28</v>
      </c>
      <c r="EA71" s="571">
        <f t="shared" ca="1" si="119"/>
        <v>21717.360000000001</v>
      </c>
      <c r="EB71" s="571">
        <f t="shared" ca="1" si="123"/>
        <v>139</v>
      </c>
      <c r="EC71" s="571">
        <f t="shared" ca="1" si="124"/>
        <v>107811.18</v>
      </c>
      <c r="ED71" s="571">
        <f t="shared" ca="1" si="125"/>
        <v>9</v>
      </c>
      <c r="EE71" s="571">
        <f t="shared" ca="1" si="126"/>
        <v>6980.58</v>
      </c>
      <c r="EF71" s="571">
        <f t="shared" ca="1" si="112"/>
        <v>13</v>
      </c>
      <c r="EG71" s="404"/>
      <c r="EH71" s="289"/>
      <c r="EI71" s="289"/>
      <c r="EJ71" s="289"/>
      <c r="EK71" s="289"/>
      <c r="EL71" s="289"/>
      <c r="EM71" s="289"/>
      <c r="EN71" s="289"/>
      <c r="EO71" s="289"/>
      <c r="EP71" s="289"/>
      <c r="EQ71" s="289"/>
      <c r="ER71" s="289"/>
      <c r="ES71" s="289"/>
      <c r="ET71" s="289"/>
      <c r="EU71" s="289"/>
      <c r="EV71" s="289"/>
      <c r="EW71" s="289"/>
      <c r="EX71" s="289"/>
      <c r="EY71" s="289"/>
      <c r="EZ71" s="289"/>
      <c r="FA71" s="289"/>
      <c r="FB71" s="289"/>
      <c r="FC71" s="289"/>
      <c r="FD71" s="289"/>
      <c r="FE71" s="289"/>
      <c r="FF71" s="289"/>
      <c r="FG71" s="289"/>
      <c r="FH71" s="289"/>
      <c r="FI71" s="289"/>
      <c r="FJ71" s="289"/>
      <c r="FK71" s="289"/>
      <c r="FL71" s="289"/>
      <c r="FM71" s="289"/>
      <c r="FN71" s="289"/>
      <c r="FO71" s="289"/>
      <c r="FP71" s="289"/>
      <c r="FQ71" s="289"/>
      <c r="FR71" s="289"/>
      <c r="FS71" s="289"/>
      <c r="FT71" s="289"/>
      <c r="FU71" s="289"/>
      <c r="FV71" s="289"/>
      <c r="FW71" s="289"/>
      <c r="FX71" s="289"/>
      <c r="FY71" s="289"/>
      <c r="FZ71" s="289"/>
      <c r="GA71" s="289"/>
      <c r="GB71" s="289"/>
      <c r="GC71" s="289"/>
      <c r="GD71" s="289"/>
      <c r="GE71" s="289"/>
      <c r="GF71" s="289"/>
      <c r="GG71" s="289"/>
      <c r="GH71" s="289"/>
      <c r="GI71" s="289"/>
      <c r="GJ71" s="289"/>
      <c r="GK71" s="289"/>
      <c r="GL71" s="289"/>
      <c r="GM71" s="289"/>
      <c r="GN71" s="289"/>
      <c r="GO71" s="289"/>
      <c r="GP71" s="289"/>
      <c r="GQ71" s="289"/>
      <c r="GR71" s="289"/>
      <c r="GS71" s="289"/>
      <c r="GT71" s="289"/>
      <c r="GU71" s="289"/>
      <c r="GV71" s="289"/>
      <c r="GW71" s="289"/>
      <c r="GX71" s="289"/>
      <c r="GY71" s="289"/>
      <c r="GZ71" s="289"/>
      <c r="HA71" s="289"/>
      <c r="HB71" s="289"/>
      <c r="HC71" s="289"/>
      <c r="HD71" s="289"/>
      <c r="HE71" s="289"/>
      <c r="HF71" s="289"/>
      <c r="HG71" s="289"/>
      <c r="HH71" s="289"/>
      <c r="HI71" s="289"/>
      <c r="HJ71" s="289"/>
      <c r="HK71" s="289"/>
      <c r="HL71" s="289"/>
      <c r="HM71" s="289"/>
      <c r="HN71" s="289"/>
      <c r="HO71" s="289"/>
      <c r="HP71" s="289"/>
      <c r="HQ71" s="289"/>
      <c r="HR71" s="289"/>
      <c r="HS71" s="289"/>
      <c r="HT71" s="289"/>
      <c r="HU71" s="289"/>
      <c r="HV71" s="289"/>
      <c r="HW71" s="289"/>
      <c r="HX71" s="289"/>
      <c r="HY71" s="289"/>
      <c r="HZ71" s="289"/>
      <c r="IA71" s="289"/>
      <c r="IB71" s="289"/>
      <c r="IC71" s="289"/>
      <c r="ID71" s="289"/>
      <c r="IE71" s="289"/>
      <c r="IF71" s="289"/>
      <c r="IG71" s="289"/>
      <c r="IH71" s="289"/>
      <c r="II71" s="289"/>
      <c r="IJ71" s="289"/>
      <c r="IK71" s="289"/>
      <c r="IL71" s="289"/>
      <c r="IM71" s="289"/>
      <c r="IN71" s="289"/>
      <c r="IO71" s="289"/>
      <c r="IP71" s="289"/>
      <c r="IQ71" s="289"/>
      <c r="IR71" s="289"/>
      <c r="IS71" s="289"/>
      <c r="IT71" s="289"/>
      <c r="IU71" s="289"/>
      <c r="IV71" s="289"/>
      <c r="IW71" s="289"/>
      <c r="IX71" s="289"/>
    </row>
    <row r="72" spans="1:258" s="21" customFormat="1" ht="17.100000000000001" customHeight="1">
      <c r="A72" s="377"/>
      <c r="B72" s="377"/>
      <c r="C72" s="1221"/>
      <c r="D72" s="1221"/>
      <c r="E72" s="1221"/>
      <c r="F72" s="1221"/>
      <c r="G72" s="1221"/>
      <c r="H72" s="1221"/>
      <c r="I72" s="1221"/>
      <c r="J72" s="1221"/>
      <c r="K72" s="1221"/>
      <c r="L72" s="1221"/>
      <c r="M72" s="1221"/>
      <c r="N72" s="1221"/>
      <c r="O72" s="1221"/>
      <c r="P72" s="1221"/>
      <c r="Q72" s="1221"/>
      <c r="R72" s="1221"/>
      <c r="S72" s="377"/>
      <c r="T72" s="377"/>
      <c r="U72" s="377"/>
      <c r="V72" s="1218"/>
      <c r="W72" s="377"/>
      <c r="X72" s="377"/>
      <c r="Y72" s="377"/>
      <c r="Z72" s="377"/>
      <c r="AA72" s="377"/>
      <c r="AB72" s="377"/>
      <c r="AC72" s="377"/>
      <c r="AD72" s="377"/>
      <c r="AE72" s="377"/>
      <c r="AF72" s="377"/>
      <c r="AG72" s="377"/>
      <c r="AH72" s="377"/>
      <c r="AI72" s="377"/>
      <c r="AJ72" s="377"/>
      <c r="AK72" s="377"/>
      <c r="AL72" s="377"/>
      <c r="AM72" s="377"/>
      <c r="AN72" s="377"/>
      <c r="AO72" s="377"/>
      <c r="AP72" s="377"/>
      <c r="AQ72" s="377"/>
      <c r="AR72" s="377"/>
      <c r="AS72" s="377"/>
      <c r="AT72" s="377"/>
      <c r="AU72" s="377"/>
      <c r="AV72" s="1221"/>
      <c r="AW72" s="1217"/>
      <c r="AX72" s="1232"/>
      <c r="AY72" s="377"/>
      <c r="AZ72" s="377"/>
      <c r="BA72" s="377"/>
      <c r="BB72" s="377"/>
      <c r="BC72" s="377"/>
      <c r="BD72" s="289"/>
      <c r="BE72" s="289"/>
      <c r="BF72" s="289"/>
      <c r="BG72" s="289"/>
      <c r="BH72" s="289"/>
      <c r="BI72" s="289"/>
      <c r="BJ72" s="289"/>
      <c r="BK72" s="289"/>
      <c r="BL72" s="289"/>
      <c r="BM72" s="289"/>
      <c r="BN72" s="289"/>
      <c r="BO72" s="289"/>
      <c r="BP72" s="289"/>
      <c r="BQ72" s="289"/>
      <c r="BR72" s="289"/>
      <c r="BS72" s="289"/>
      <c r="BT72" s="289"/>
      <c r="BU72" s="289"/>
      <c r="BV72" s="289"/>
      <c r="BW72" s="289"/>
      <c r="BX72" s="289"/>
      <c r="BY72" s="289"/>
      <c r="BZ72" s="289"/>
      <c r="CA72" s="289"/>
      <c r="CB72" s="289"/>
      <c r="CC72" s="289"/>
      <c r="CD72" s="289"/>
      <c r="CE72" s="289"/>
      <c r="CF72" s="289"/>
      <c r="CG72" s="289"/>
      <c r="CH72" s="289"/>
      <c r="CI72" s="289"/>
      <c r="CJ72" s="289"/>
      <c r="CK72" s="289"/>
      <c r="CL72" s="289"/>
      <c r="CM72" s="289"/>
      <c r="CN72" s="289"/>
      <c r="CO72" s="289"/>
      <c r="CP72" s="235">
        <f t="shared" si="113"/>
        <v>42388</v>
      </c>
      <c r="CQ72" s="300">
        <f t="shared" ca="1" si="127"/>
        <v>0</v>
      </c>
      <c r="CR72" s="301">
        <f t="shared" ca="1" si="127"/>
        <v>69.030179999999987</v>
      </c>
      <c r="CS72" s="301">
        <f t="shared" ca="1" si="127"/>
        <v>21239.754683669998</v>
      </c>
      <c r="CT72" s="301">
        <f t="shared" ca="1" si="127"/>
        <v>28294.951200000003</v>
      </c>
      <c r="CU72" s="300">
        <f t="shared" ca="1" si="128"/>
        <v>430.51079999999996</v>
      </c>
      <c r="CV72" s="301">
        <f t="shared" ca="1" si="128"/>
        <v>2649.8681999999994</v>
      </c>
      <c r="CW72" s="301">
        <f t="shared" ca="1" si="128"/>
        <v>11536.976870399998</v>
      </c>
      <c r="CX72" s="301">
        <f t="shared" ca="1" si="128"/>
        <v>11876.16</v>
      </c>
      <c r="CY72" s="293"/>
      <c r="CZ72" s="289"/>
      <c r="DA72" s="289"/>
      <c r="DB72" s="289"/>
      <c r="DC72" s="289"/>
      <c r="DD72" s="289"/>
      <c r="DE72" s="482"/>
      <c r="DF72" s="482"/>
      <c r="DG72" s="482"/>
      <c r="DH72" s="482"/>
      <c r="DI72" s="482"/>
      <c r="DJ72" s="482"/>
      <c r="DK72" s="482"/>
      <c r="DL72" s="482"/>
      <c r="DM72" s="482"/>
      <c r="DN72" s="482"/>
      <c r="DO72" s="366"/>
      <c r="DP72" s="366"/>
      <c r="DQ72" s="366"/>
      <c r="DR72" s="366"/>
      <c r="DS72" s="366"/>
      <c r="DT72" s="573">
        <f t="shared" si="120"/>
        <v>42388</v>
      </c>
      <c r="DU72" s="440">
        <f t="shared" si="121"/>
        <v>42388</v>
      </c>
      <c r="DV72" s="571">
        <f t="shared" ca="1" si="114"/>
        <v>89</v>
      </c>
      <c r="DW72" s="571">
        <f t="shared" ca="1" si="115"/>
        <v>89</v>
      </c>
      <c r="DX72" s="571">
        <f t="shared" ca="1" si="116"/>
        <v>121</v>
      </c>
      <c r="DY72" s="571">
        <f t="shared" ca="1" si="117"/>
        <v>89813.459999999992</v>
      </c>
      <c r="DZ72" s="571">
        <f t="shared" ca="1" si="118"/>
        <v>17</v>
      </c>
      <c r="EA72" s="571">
        <f t="shared" ca="1" si="119"/>
        <v>12618.42</v>
      </c>
      <c r="EB72" s="571">
        <f t="shared" ca="1" si="123"/>
        <v>153</v>
      </c>
      <c r="EC72" s="571">
        <f t="shared" ca="1" si="124"/>
        <v>113565.78</v>
      </c>
      <c r="ED72" s="571">
        <f t="shared" ca="1" si="125"/>
        <v>8</v>
      </c>
      <c r="EE72" s="571">
        <f t="shared" ca="1" si="126"/>
        <v>5938.08</v>
      </c>
      <c r="EF72" s="571">
        <f t="shared" ca="1" si="112"/>
        <v>13</v>
      </c>
      <c r="EG72" s="404"/>
      <c r="EH72" s="289"/>
      <c r="EI72" s="289"/>
      <c r="EJ72" s="289"/>
      <c r="EK72" s="289"/>
      <c r="EL72" s="289"/>
      <c r="EM72" s="289"/>
      <c r="EN72" s="289"/>
      <c r="EO72" s="289"/>
      <c r="EP72" s="289"/>
      <c r="EQ72" s="289"/>
      <c r="ER72" s="289"/>
      <c r="ES72" s="289"/>
      <c r="ET72" s="289"/>
      <c r="EU72" s="289"/>
      <c r="EV72" s="289"/>
      <c r="EW72" s="289"/>
      <c r="EX72" s="289"/>
      <c r="EY72" s="289"/>
      <c r="EZ72" s="289"/>
      <c r="FA72" s="289"/>
      <c r="FB72" s="289"/>
      <c r="FC72" s="289"/>
      <c r="FD72" s="289"/>
      <c r="FE72" s="289"/>
      <c r="FF72" s="289"/>
      <c r="FG72" s="289"/>
      <c r="FH72" s="289"/>
      <c r="FI72" s="289"/>
      <c r="FJ72" s="289"/>
      <c r="FK72" s="289"/>
      <c r="FL72" s="289"/>
      <c r="FM72" s="289"/>
      <c r="FN72" s="289"/>
      <c r="FO72" s="289"/>
      <c r="FP72" s="289"/>
      <c r="FQ72" s="289"/>
      <c r="FR72" s="289"/>
      <c r="FS72" s="289"/>
      <c r="FT72" s="289"/>
      <c r="FU72" s="289"/>
      <c r="FV72" s="289"/>
      <c r="FW72" s="289"/>
      <c r="FX72" s="289"/>
      <c r="FY72" s="289"/>
      <c r="FZ72" s="289"/>
      <c r="GA72" s="289"/>
      <c r="GB72" s="289"/>
      <c r="GC72" s="289"/>
      <c r="GD72" s="289"/>
      <c r="GE72" s="289"/>
      <c r="GF72" s="289"/>
      <c r="GG72" s="289"/>
      <c r="GH72" s="289"/>
      <c r="GI72" s="289"/>
      <c r="GJ72" s="289"/>
      <c r="GK72" s="289"/>
      <c r="GL72" s="289"/>
      <c r="GM72" s="289"/>
      <c r="GN72" s="289"/>
      <c r="GO72" s="289"/>
      <c r="GP72" s="289"/>
      <c r="GQ72" s="289"/>
      <c r="GR72" s="289"/>
      <c r="GS72" s="289"/>
      <c r="GT72" s="289"/>
      <c r="GU72" s="289"/>
      <c r="GV72" s="289"/>
      <c r="GW72" s="289"/>
      <c r="GX72" s="289"/>
      <c r="GY72" s="289"/>
      <c r="GZ72" s="289"/>
      <c r="HA72" s="289"/>
      <c r="HB72" s="289"/>
      <c r="HC72" s="289"/>
      <c r="HD72" s="289"/>
      <c r="HE72" s="289"/>
      <c r="HF72" s="289"/>
      <c r="HG72" s="289"/>
      <c r="HH72" s="289"/>
      <c r="HI72" s="289"/>
      <c r="HJ72" s="289"/>
      <c r="HK72" s="289"/>
      <c r="HL72" s="289"/>
      <c r="HM72" s="289"/>
      <c r="HN72" s="289"/>
      <c r="HO72" s="289"/>
      <c r="HP72" s="289"/>
      <c r="HQ72" s="289"/>
      <c r="HR72" s="289"/>
      <c r="HS72" s="289"/>
      <c r="HT72" s="289"/>
      <c r="HU72" s="289"/>
      <c r="HV72" s="289"/>
      <c r="HW72" s="289"/>
      <c r="HX72" s="289"/>
      <c r="HY72" s="289"/>
      <c r="HZ72" s="289"/>
      <c r="IA72" s="289"/>
      <c r="IB72" s="289"/>
      <c r="IC72" s="289"/>
      <c r="ID72" s="289"/>
      <c r="IE72" s="289"/>
      <c r="IF72" s="289"/>
      <c r="IG72" s="289"/>
      <c r="IH72" s="289"/>
      <c r="II72" s="289"/>
      <c r="IJ72" s="289"/>
      <c r="IK72" s="289"/>
      <c r="IL72" s="289"/>
      <c r="IM72" s="289"/>
      <c r="IN72" s="289"/>
      <c r="IO72" s="289"/>
      <c r="IP72" s="289"/>
      <c r="IQ72" s="289"/>
      <c r="IR72" s="289"/>
      <c r="IS72" s="289"/>
      <c r="IT72" s="289"/>
      <c r="IU72" s="289"/>
      <c r="IV72" s="289"/>
      <c r="IW72" s="289"/>
      <c r="IX72" s="289"/>
    </row>
    <row r="73" spans="1:258" s="21" customFormat="1" ht="17.100000000000001" customHeight="1">
      <c r="A73" s="377"/>
      <c r="B73" s="377"/>
      <c r="C73" s="377"/>
      <c r="D73" s="377"/>
      <c r="E73" s="377"/>
      <c r="F73" s="377"/>
      <c r="G73" s="377"/>
      <c r="H73" s="377"/>
      <c r="I73" s="1222"/>
      <c r="J73" s="1217"/>
      <c r="K73" s="1222"/>
      <c r="L73" s="1217"/>
      <c r="M73" s="1223"/>
      <c r="N73" s="1223"/>
      <c r="O73" s="377"/>
      <c r="P73" s="377"/>
      <c r="Q73" s="377"/>
      <c r="R73" s="377"/>
      <c r="S73" s="377"/>
      <c r="T73" s="377"/>
      <c r="U73" s="377"/>
      <c r="V73" s="1218"/>
      <c r="W73" s="377"/>
      <c r="X73" s="1224"/>
      <c r="Y73" s="1217"/>
      <c r="Z73" s="377"/>
      <c r="AA73" s="377"/>
      <c r="AB73" s="377"/>
      <c r="AC73" s="377"/>
      <c r="AD73" s="377"/>
      <c r="AE73" s="377"/>
      <c r="AF73" s="377"/>
      <c r="AG73" s="377"/>
      <c r="AH73" s="377"/>
      <c r="AI73" s="377"/>
      <c r="AJ73" s="377"/>
      <c r="AK73" s="377"/>
      <c r="AL73" s="377"/>
      <c r="AM73" s="1224"/>
      <c r="AN73" s="1217"/>
      <c r="AO73" s="377"/>
      <c r="AP73" s="377"/>
      <c r="AQ73" s="377"/>
      <c r="AR73" s="377"/>
      <c r="AS73" s="377"/>
      <c r="AT73" s="377"/>
      <c r="AU73" s="377"/>
      <c r="AV73" s="1221"/>
      <c r="AW73" s="1217"/>
      <c r="AX73" s="1232"/>
      <c r="AY73" s="377"/>
      <c r="AZ73" s="377"/>
      <c r="BA73" s="377"/>
      <c r="BB73" s="377"/>
      <c r="BC73" s="377"/>
      <c r="BD73" s="289"/>
      <c r="BE73" s="289"/>
      <c r="BF73" s="289"/>
      <c r="BG73" s="289"/>
      <c r="BH73" s="289"/>
      <c r="BI73" s="289"/>
      <c r="BJ73" s="289"/>
      <c r="BK73" s="289"/>
      <c r="BL73" s="289"/>
      <c r="BM73" s="289"/>
      <c r="BN73" s="289"/>
      <c r="BO73" s="289"/>
      <c r="BP73" s="289"/>
      <c r="BQ73" s="289"/>
      <c r="BR73" s="289"/>
      <c r="BS73" s="289"/>
      <c r="BT73" s="289"/>
      <c r="BU73" s="289"/>
      <c r="BV73" s="289"/>
      <c r="BW73" s="289"/>
      <c r="BX73" s="289"/>
      <c r="BY73" s="289"/>
      <c r="BZ73" s="289"/>
      <c r="CA73" s="289"/>
      <c r="CB73" s="289"/>
      <c r="CC73" s="289"/>
      <c r="CD73" s="289"/>
      <c r="CE73" s="289"/>
      <c r="CF73" s="289"/>
      <c r="CG73" s="289"/>
      <c r="CH73" s="289"/>
      <c r="CI73" s="289"/>
      <c r="CJ73" s="289"/>
      <c r="CK73" s="289"/>
      <c r="CL73" s="289"/>
      <c r="CM73" s="289"/>
      <c r="CN73" s="289"/>
      <c r="CO73" s="289"/>
      <c r="CP73" s="235">
        <f t="shared" si="113"/>
        <v>42389</v>
      </c>
      <c r="CQ73" s="300">
        <f t="shared" ca="1" si="127"/>
        <v>33.37668</v>
      </c>
      <c r="CR73" s="301">
        <f t="shared" ca="1" si="127"/>
        <v>58.046399999999998</v>
      </c>
      <c r="CS73" s="301">
        <f t="shared" ca="1" si="127"/>
        <v>20608.269261659996</v>
      </c>
      <c r="CT73" s="301">
        <f t="shared" ca="1" si="127"/>
        <v>27749.807099999995</v>
      </c>
      <c r="CU73" s="300">
        <f t="shared" ca="1" si="128"/>
        <v>493.39440000000002</v>
      </c>
      <c r="CV73" s="301">
        <f t="shared" ca="1" si="128"/>
        <v>2525.0183999999999</v>
      </c>
      <c r="CW73" s="301">
        <f t="shared" ca="1" si="128"/>
        <v>12775.541013</v>
      </c>
      <c r="CX73" s="301">
        <f t="shared" ca="1" si="128"/>
        <v>12552.534000000001</v>
      </c>
      <c r="CY73" s="293"/>
      <c r="CZ73" s="289"/>
      <c r="DA73" s="289"/>
      <c r="DB73" s="289"/>
      <c r="DC73" s="289"/>
      <c r="DD73" s="289"/>
      <c r="DE73" s="482"/>
      <c r="DF73" s="482"/>
      <c r="DG73" s="482"/>
      <c r="DH73" s="482"/>
      <c r="DI73" s="482"/>
      <c r="DJ73" s="482"/>
      <c r="DK73" s="482"/>
      <c r="DL73" s="482"/>
      <c r="DM73" s="482"/>
      <c r="DN73" s="482"/>
      <c r="DO73" s="366"/>
      <c r="DP73" s="366"/>
      <c r="DQ73" s="366"/>
      <c r="DR73" s="366"/>
      <c r="DS73" s="366"/>
      <c r="DT73" s="573">
        <f t="shared" si="120"/>
        <v>42389</v>
      </c>
      <c r="DU73" s="440">
        <f t="shared" si="121"/>
        <v>42389</v>
      </c>
      <c r="DV73" s="571">
        <f t="shared" ca="1" si="114"/>
        <v>87</v>
      </c>
      <c r="DW73" s="571">
        <f t="shared" ca="1" si="115"/>
        <v>87</v>
      </c>
      <c r="DX73" s="571">
        <f t="shared" ca="1" si="116"/>
        <v>120</v>
      </c>
      <c r="DY73" s="571">
        <f t="shared" ca="1" si="117"/>
        <v>87069.599999999991</v>
      </c>
      <c r="DZ73" s="571">
        <f t="shared" ca="1" si="118"/>
        <v>16</v>
      </c>
      <c r="EA73" s="571">
        <f t="shared" ca="1" si="119"/>
        <v>11609.28</v>
      </c>
      <c r="EB73" s="571">
        <f t="shared" ca="1" si="123"/>
        <v>160</v>
      </c>
      <c r="EC73" s="571">
        <f t="shared" ca="1" si="124"/>
        <v>116092.8</v>
      </c>
      <c r="ED73" s="571">
        <f t="shared" ca="1" si="125"/>
        <v>8</v>
      </c>
      <c r="EE73" s="571">
        <f t="shared" ca="1" si="126"/>
        <v>5804.64</v>
      </c>
      <c r="EF73" s="571">
        <f t="shared" ca="1" si="112"/>
        <v>73</v>
      </c>
      <c r="EG73" s="404"/>
      <c r="EH73" s="289"/>
      <c r="EI73" s="289"/>
      <c r="EJ73" s="289"/>
      <c r="EK73" s="289"/>
      <c r="EL73" s="289"/>
      <c r="EM73" s="289"/>
      <c r="EN73" s="289"/>
      <c r="EO73" s="289"/>
      <c r="EP73" s="289"/>
      <c r="EQ73" s="289"/>
      <c r="ER73" s="289"/>
      <c r="ES73" s="289"/>
      <c r="ET73" s="289"/>
      <c r="EU73" s="289"/>
      <c r="EV73" s="289"/>
      <c r="EW73" s="289"/>
      <c r="EX73" s="289"/>
      <c r="EY73" s="289"/>
      <c r="EZ73" s="289"/>
      <c r="FA73" s="289"/>
      <c r="FB73" s="289"/>
      <c r="FC73" s="289"/>
      <c r="FD73" s="289"/>
      <c r="FE73" s="289"/>
      <c r="FF73" s="289"/>
      <c r="FG73" s="289"/>
      <c r="FH73" s="289"/>
      <c r="FI73" s="289"/>
      <c r="FJ73" s="289"/>
      <c r="FK73" s="289"/>
      <c r="FL73" s="289"/>
      <c r="FM73" s="289"/>
      <c r="FN73" s="289"/>
      <c r="FO73" s="289"/>
      <c r="FP73" s="289"/>
      <c r="FQ73" s="289"/>
      <c r="FR73" s="289"/>
      <c r="FS73" s="289"/>
      <c r="FT73" s="289"/>
      <c r="FU73" s="289"/>
      <c r="FV73" s="289"/>
      <c r="FW73" s="289"/>
      <c r="FX73" s="289"/>
      <c r="FY73" s="289"/>
      <c r="FZ73" s="289"/>
      <c r="GA73" s="289"/>
      <c r="GB73" s="289"/>
      <c r="GC73" s="289"/>
      <c r="GD73" s="289"/>
      <c r="GE73" s="289"/>
      <c r="GF73" s="289"/>
      <c r="GG73" s="289"/>
      <c r="GH73" s="289"/>
      <c r="GI73" s="289"/>
      <c r="GJ73" s="289"/>
      <c r="GK73" s="289"/>
      <c r="GL73" s="289"/>
      <c r="GM73" s="289"/>
      <c r="GN73" s="289"/>
      <c r="GO73" s="289"/>
      <c r="GP73" s="289"/>
      <c r="GQ73" s="289"/>
      <c r="GR73" s="289"/>
      <c r="GS73" s="289"/>
      <c r="GT73" s="289"/>
      <c r="GU73" s="289"/>
      <c r="GV73" s="289"/>
      <c r="GW73" s="289"/>
      <c r="GX73" s="289"/>
      <c r="GY73" s="289"/>
      <c r="GZ73" s="289"/>
      <c r="HA73" s="289"/>
      <c r="HB73" s="289"/>
      <c r="HC73" s="289"/>
      <c r="HD73" s="289"/>
      <c r="HE73" s="289"/>
      <c r="HF73" s="289"/>
      <c r="HG73" s="289"/>
      <c r="HH73" s="289"/>
      <c r="HI73" s="289"/>
      <c r="HJ73" s="289"/>
      <c r="HK73" s="289"/>
      <c r="HL73" s="289"/>
      <c r="HM73" s="289"/>
      <c r="HN73" s="289"/>
      <c r="HO73" s="289"/>
      <c r="HP73" s="289"/>
      <c r="HQ73" s="289"/>
      <c r="HR73" s="289"/>
      <c r="HS73" s="289"/>
      <c r="HT73" s="289"/>
      <c r="HU73" s="289"/>
      <c r="HV73" s="289"/>
      <c r="HW73" s="289"/>
      <c r="HX73" s="289"/>
      <c r="HY73" s="289"/>
      <c r="HZ73" s="289"/>
      <c r="IA73" s="289"/>
      <c r="IB73" s="289"/>
      <c r="IC73" s="289"/>
      <c r="ID73" s="289"/>
      <c r="IE73" s="289"/>
      <c r="IF73" s="289"/>
      <c r="IG73" s="289"/>
      <c r="IH73" s="289"/>
      <c r="II73" s="289"/>
      <c r="IJ73" s="289"/>
      <c r="IK73" s="289"/>
      <c r="IL73" s="289"/>
      <c r="IM73" s="289"/>
      <c r="IN73" s="289"/>
      <c r="IO73" s="289"/>
      <c r="IP73" s="289"/>
      <c r="IQ73" s="289"/>
      <c r="IR73" s="289"/>
      <c r="IS73" s="289"/>
      <c r="IT73" s="289"/>
      <c r="IU73" s="289"/>
      <c r="IV73" s="289"/>
      <c r="IW73" s="289"/>
      <c r="IX73" s="289"/>
    </row>
    <row r="74" spans="1:258" s="21" customFormat="1" ht="17.100000000000001" customHeight="1">
      <c r="A74" s="377"/>
      <c r="B74" s="377"/>
      <c r="C74" s="377"/>
      <c r="D74" s="377"/>
      <c r="E74" s="377"/>
      <c r="F74" s="1221"/>
      <c r="G74" s="1221"/>
      <c r="H74" s="377"/>
      <c r="I74" s="1221"/>
      <c r="J74" s="1221"/>
      <c r="K74" s="1221"/>
      <c r="L74" s="1221"/>
      <c r="M74" s="1221"/>
      <c r="N74" s="377"/>
      <c r="O74" s="1221"/>
      <c r="P74" s="377"/>
      <c r="Q74" s="377"/>
      <c r="R74" s="1221"/>
      <c r="S74" s="1221"/>
      <c r="T74" s="1221"/>
      <c r="U74" s="1221"/>
      <c r="V74" s="1218"/>
      <c r="W74" s="377"/>
      <c r="X74" s="377"/>
      <c r="Y74" s="377"/>
      <c r="Z74" s="377"/>
      <c r="AA74" s="377"/>
      <c r="AB74" s="377"/>
      <c r="AC74" s="1221"/>
      <c r="AD74" s="1221"/>
      <c r="AE74" s="1221"/>
      <c r="AF74" s="1221"/>
      <c r="AG74" s="1221"/>
      <c r="AH74" s="1217"/>
      <c r="AI74" s="1217"/>
      <c r="AJ74" s="377"/>
      <c r="AK74" s="377"/>
      <c r="AL74" s="377"/>
      <c r="AM74" s="377"/>
      <c r="AN74" s="1221"/>
      <c r="AO74" s="1221"/>
      <c r="AP74" s="1221"/>
      <c r="AQ74" s="377"/>
      <c r="AR74" s="377"/>
      <c r="AS74" s="1221"/>
      <c r="AT74" s="377"/>
      <c r="AU74" s="377"/>
      <c r="AV74" s="1221"/>
      <c r="AW74" s="1217"/>
      <c r="AX74" s="1232"/>
      <c r="AY74" s="1221"/>
      <c r="AZ74" s="1221"/>
      <c r="BA74" s="1221"/>
      <c r="BB74" s="1221"/>
      <c r="BC74" s="377"/>
      <c r="BD74" s="289"/>
      <c r="BE74" s="289"/>
      <c r="BF74" s="289"/>
      <c r="BG74" s="289"/>
      <c r="BH74" s="289"/>
      <c r="BI74" s="289"/>
      <c r="BJ74" s="289"/>
      <c r="BK74" s="289"/>
      <c r="BL74" s="289"/>
      <c r="BM74" s="289"/>
      <c r="BN74" s="289"/>
      <c r="BO74" s="289"/>
      <c r="BP74" s="289"/>
      <c r="BQ74" s="289"/>
      <c r="BR74" s="289"/>
      <c r="BS74" s="289"/>
      <c r="BT74" s="289"/>
      <c r="BU74" s="289"/>
      <c r="BV74" s="289"/>
      <c r="BW74" s="289"/>
      <c r="BX74" s="289"/>
      <c r="BY74" s="289"/>
      <c r="BZ74" s="289"/>
      <c r="CA74" s="289"/>
      <c r="CB74" s="289"/>
      <c r="CC74" s="289"/>
      <c r="CD74" s="289"/>
      <c r="CE74" s="289"/>
      <c r="CF74" s="289"/>
      <c r="CG74" s="289"/>
      <c r="CH74" s="289"/>
      <c r="CI74" s="289"/>
      <c r="CJ74" s="289"/>
      <c r="CK74" s="289"/>
      <c r="CL74" s="289"/>
      <c r="CM74" s="289"/>
      <c r="CN74" s="289"/>
      <c r="CO74" s="289"/>
      <c r="CP74" s="235">
        <f t="shared" si="113"/>
        <v>42390</v>
      </c>
      <c r="CQ74" s="300">
        <f t="shared" ca="1" si="127"/>
        <v>30.837149999999998</v>
      </c>
      <c r="CR74" s="301">
        <f t="shared" ca="1" si="127"/>
        <v>96.139349999999993</v>
      </c>
      <c r="CS74" s="301">
        <f t="shared" ca="1" si="127"/>
        <v>21912.255516779998</v>
      </c>
      <c r="CT74" s="301">
        <f t="shared" ca="1" si="127"/>
        <v>30115.197900000003</v>
      </c>
      <c r="CU74" s="300">
        <f t="shared" ca="1" si="128"/>
        <v>493.39440000000002</v>
      </c>
      <c r="CV74" s="301">
        <f t="shared" ca="1" si="128"/>
        <v>2706.4133999999999</v>
      </c>
      <c r="CW74" s="301">
        <f t="shared" ca="1" si="128"/>
        <v>12423.112295399998</v>
      </c>
      <c r="CX74" s="301">
        <f t="shared" ca="1" si="128"/>
        <v>11972.07</v>
      </c>
      <c r="CY74" s="293"/>
      <c r="CZ74" s="289"/>
      <c r="DA74" s="289"/>
      <c r="DB74" s="289"/>
      <c r="DC74" s="289"/>
      <c r="DD74" s="289"/>
      <c r="DE74" s="482"/>
      <c r="DF74" s="482"/>
      <c r="DG74" s="482"/>
      <c r="DH74" s="482"/>
      <c r="DI74" s="482"/>
      <c r="DJ74" s="482"/>
      <c r="DK74" s="482"/>
      <c r="DL74" s="482"/>
      <c r="DM74" s="482"/>
      <c r="DN74" s="482"/>
      <c r="DO74" s="366"/>
      <c r="DP74" s="366"/>
      <c r="DQ74" s="366"/>
      <c r="DR74" s="366"/>
      <c r="DS74" s="366"/>
      <c r="DT74" s="573">
        <f t="shared" si="120"/>
        <v>42390</v>
      </c>
      <c r="DU74" s="440">
        <f t="shared" si="121"/>
        <v>42390</v>
      </c>
      <c r="DV74" s="571">
        <f t="shared" ca="1" si="114"/>
        <v>87</v>
      </c>
      <c r="DW74" s="571">
        <f t="shared" ca="1" si="115"/>
        <v>87</v>
      </c>
      <c r="DX74" s="571">
        <f t="shared" ca="1" si="116"/>
        <v>157</v>
      </c>
      <c r="DY74" s="571">
        <f t="shared" ca="1" si="117"/>
        <v>113916.06</v>
      </c>
      <c r="DZ74" s="571">
        <f t="shared" ca="1" si="118"/>
        <v>10</v>
      </c>
      <c r="EA74" s="571">
        <f t="shared" ca="1" si="119"/>
        <v>7255.8</v>
      </c>
      <c r="EB74" s="571">
        <f t="shared" ca="1" si="123"/>
        <v>160</v>
      </c>
      <c r="EC74" s="571">
        <f t="shared" ca="1" si="124"/>
        <v>116092.8</v>
      </c>
      <c r="ED74" s="571">
        <f t="shared" ca="1" si="125"/>
        <v>5</v>
      </c>
      <c r="EE74" s="571">
        <f t="shared" ca="1" si="126"/>
        <v>3627.9</v>
      </c>
      <c r="EF74" s="571">
        <f t="shared" ca="1" si="112"/>
        <v>39</v>
      </c>
      <c r="EG74" s="404"/>
      <c r="EH74" s="289"/>
      <c r="EI74" s="289"/>
      <c r="EJ74" s="289"/>
      <c r="EK74" s="289"/>
      <c r="EL74" s="289"/>
      <c r="EM74" s="289"/>
      <c r="EN74" s="289"/>
      <c r="EO74" s="289"/>
      <c r="EP74" s="289"/>
      <c r="EQ74" s="289"/>
      <c r="ER74" s="289"/>
      <c r="ES74" s="289"/>
      <c r="ET74" s="289"/>
      <c r="EU74" s="289"/>
      <c r="EV74" s="289"/>
      <c r="EW74" s="289"/>
      <c r="EX74" s="289"/>
      <c r="EY74" s="289"/>
      <c r="EZ74" s="289"/>
      <c r="FA74" s="289"/>
      <c r="FB74" s="289"/>
      <c r="FC74" s="289"/>
      <c r="FD74" s="289"/>
      <c r="FE74" s="289"/>
      <c r="FF74" s="289"/>
      <c r="FG74" s="289"/>
      <c r="FH74" s="289"/>
      <c r="FI74" s="289"/>
      <c r="FJ74" s="289"/>
      <c r="FK74" s="289"/>
      <c r="FL74" s="289"/>
      <c r="FM74" s="289"/>
      <c r="FN74" s="289"/>
      <c r="FO74" s="289"/>
      <c r="FP74" s="289"/>
      <c r="FQ74" s="289"/>
      <c r="FR74" s="289"/>
      <c r="FS74" s="289"/>
      <c r="FT74" s="289"/>
      <c r="FU74" s="289"/>
      <c r="FV74" s="289"/>
      <c r="FW74" s="289"/>
      <c r="FX74" s="289"/>
      <c r="FY74" s="289"/>
      <c r="FZ74" s="289"/>
      <c r="GA74" s="289"/>
      <c r="GB74" s="289"/>
      <c r="GC74" s="289"/>
      <c r="GD74" s="289"/>
      <c r="GE74" s="289"/>
      <c r="GF74" s="289"/>
      <c r="GG74" s="289"/>
      <c r="GH74" s="289"/>
      <c r="GI74" s="289"/>
      <c r="GJ74" s="289"/>
      <c r="GK74" s="289"/>
      <c r="GL74" s="289"/>
      <c r="GM74" s="289"/>
      <c r="GN74" s="289"/>
      <c r="GO74" s="289"/>
      <c r="GP74" s="289"/>
      <c r="GQ74" s="289"/>
      <c r="GR74" s="289"/>
      <c r="GS74" s="289"/>
      <c r="GT74" s="289"/>
      <c r="GU74" s="289"/>
      <c r="GV74" s="289"/>
      <c r="GW74" s="289"/>
      <c r="GX74" s="289"/>
      <c r="GY74" s="289"/>
      <c r="GZ74" s="289"/>
      <c r="HA74" s="289"/>
      <c r="HB74" s="289"/>
      <c r="HC74" s="289"/>
      <c r="HD74" s="289"/>
      <c r="HE74" s="289"/>
      <c r="HF74" s="289"/>
      <c r="HG74" s="289"/>
      <c r="HH74" s="289"/>
      <c r="HI74" s="289"/>
      <c r="HJ74" s="289"/>
      <c r="HK74" s="289"/>
      <c r="HL74" s="289"/>
      <c r="HM74" s="289"/>
      <c r="HN74" s="289"/>
      <c r="HO74" s="289"/>
      <c r="HP74" s="289"/>
      <c r="HQ74" s="289"/>
      <c r="HR74" s="289"/>
      <c r="HS74" s="289"/>
      <c r="HT74" s="289"/>
      <c r="HU74" s="289"/>
      <c r="HV74" s="289"/>
      <c r="HW74" s="289"/>
      <c r="HX74" s="289"/>
      <c r="HY74" s="289"/>
      <c r="HZ74" s="289"/>
      <c r="IA74" s="289"/>
      <c r="IB74" s="289"/>
      <c r="IC74" s="289"/>
      <c r="ID74" s="289"/>
      <c r="IE74" s="289"/>
      <c r="IF74" s="289"/>
      <c r="IG74" s="289"/>
      <c r="IH74" s="289"/>
      <c r="II74" s="289"/>
      <c r="IJ74" s="289"/>
      <c r="IK74" s="289"/>
      <c r="IL74" s="289"/>
      <c r="IM74" s="289"/>
      <c r="IN74" s="289"/>
      <c r="IO74" s="289"/>
      <c r="IP74" s="289"/>
      <c r="IQ74" s="289"/>
      <c r="IR74" s="289"/>
      <c r="IS74" s="289"/>
      <c r="IT74" s="289"/>
      <c r="IU74" s="289"/>
      <c r="IV74" s="289"/>
      <c r="IW74" s="289"/>
      <c r="IX74" s="289"/>
    </row>
    <row r="75" spans="1:258" s="21" customFormat="1" ht="17.100000000000001" customHeight="1">
      <c r="A75" s="377"/>
      <c r="B75" s="377"/>
      <c r="C75" s="377"/>
      <c r="D75" s="377"/>
      <c r="E75" s="377"/>
      <c r="F75" s="1221"/>
      <c r="G75" s="1221"/>
      <c r="H75" s="377"/>
      <c r="I75" s="1221"/>
      <c r="J75" s="1221"/>
      <c r="K75" s="1221"/>
      <c r="L75" s="1221"/>
      <c r="M75" s="1221"/>
      <c r="N75" s="377"/>
      <c r="O75" s="377"/>
      <c r="P75" s="377"/>
      <c r="Q75" s="377"/>
      <c r="R75" s="1221"/>
      <c r="S75" s="377"/>
      <c r="T75" s="1221"/>
      <c r="U75" s="1221"/>
      <c r="V75" s="1218"/>
      <c r="W75" s="377"/>
      <c r="X75" s="377"/>
      <c r="Y75" s="377"/>
      <c r="Z75" s="377"/>
      <c r="AA75" s="377"/>
      <c r="AB75" s="377"/>
      <c r="AC75" s="1221"/>
      <c r="AD75" s="1221"/>
      <c r="AE75" s="1221"/>
      <c r="AF75" s="1221"/>
      <c r="AG75" s="1221"/>
      <c r="AH75" s="1217"/>
      <c r="AI75" s="1217"/>
      <c r="AJ75" s="377"/>
      <c r="AK75" s="377"/>
      <c r="AL75" s="377"/>
      <c r="AM75" s="1225"/>
      <c r="AN75" s="1225"/>
      <c r="AO75" s="1225"/>
      <c r="AP75" s="1225"/>
      <c r="AQ75" s="377"/>
      <c r="AR75" s="377"/>
      <c r="AS75" s="1221"/>
      <c r="AT75" s="1221"/>
      <c r="AU75" s="1221"/>
      <c r="AV75" s="1221"/>
      <c r="AW75" s="1217"/>
      <c r="AX75" s="1232"/>
      <c r="AY75" s="1221"/>
      <c r="AZ75" s="1221"/>
      <c r="BA75" s="1221"/>
      <c r="BB75" s="1221"/>
      <c r="BC75" s="377"/>
      <c r="BD75" s="289"/>
      <c r="BE75" s="289"/>
      <c r="BF75" s="289"/>
      <c r="BG75" s="289"/>
      <c r="BH75" s="289"/>
      <c r="BI75" s="289"/>
      <c r="BJ75" s="289"/>
      <c r="BK75" s="289"/>
      <c r="BL75" s="289"/>
      <c r="BM75" s="289"/>
      <c r="BN75" s="289"/>
      <c r="BO75" s="289"/>
      <c r="BP75" s="289"/>
      <c r="BQ75" s="289"/>
      <c r="BR75" s="289"/>
      <c r="BS75" s="289"/>
      <c r="BT75" s="289"/>
      <c r="BU75" s="289"/>
      <c r="BV75" s="289"/>
      <c r="BW75" s="289"/>
      <c r="BX75" s="289"/>
      <c r="BY75" s="289"/>
      <c r="BZ75" s="289"/>
      <c r="CA75" s="289"/>
      <c r="CB75" s="289"/>
      <c r="CC75" s="289"/>
      <c r="CD75" s="289"/>
      <c r="CE75" s="289"/>
      <c r="CF75" s="289"/>
      <c r="CG75" s="289"/>
      <c r="CH75" s="289"/>
      <c r="CI75" s="289"/>
      <c r="CJ75" s="289"/>
      <c r="CK75" s="289"/>
      <c r="CL75" s="289"/>
      <c r="CM75" s="289"/>
      <c r="CN75" s="289"/>
      <c r="CO75" s="289"/>
      <c r="CP75" s="235">
        <f t="shared" si="113"/>
        <v>42391</v>
      </c>
      <c r="CQ75" s="300">
        <f t="shared" ca="1" si="127"/>
        <v>41.56656000000001</v>
      </c>
      <c r="CR75" s="301">
        <f t="shared" ca="1" si="127"/>
        <v>73.854870000000005</v>
      </c>
      <c r="CS75" s="301">
        <f t="shared" ca="1" si="127"/>
        <v>21776.043842879997</v>
      </c>
      <c r="CT75" s="301">
        <f t="shared" ca="1" si="127"/>
        <v>29564.215799999998</v>
      </c>
      <c r="CU75" s="300">
        <f t="shared" ca="1" si="128"/>
        <v>527.00459999999998</v>
      </c>
      <c r="CV75" s="301">
        <f t="shared" ca="1" si="128"/>
        <v>2894.8139999999999</v>
      </c>
      <c r="CW75" s="301">
        <f t="shared" ca="1" si="128"/>
        <v>12258.037924799999</v>
      </c>
      <c r="CX75" s="301">
        <f t="shared" ca="1" si="128"/>
        <v>12098.838</v>
      </c>
      <c r="CY75" s="293"/>
      <c r="CZ75" s="289"/>
      <c r="DA75" s="289"/>
      <c r="DB75" s="289"/>
      <c r="DC75" s="289"/>
      <c r="DD75" s="289"/>
      <c r="DE75" s="482"/>
      <c r="DF75" s="482"/>
      <c r="DG75" s="482"/>
      <c r="DH75" s="482"/>
      <c r="DI75" s="482"/>
      <c r="DJ75" s="482"/>
      <c r="DK75" s="482"/>
      <c r="DL75" s="482"/>
      <c r="DM75" s="482"/>
      <c r="DN75" s="482"/>
      <c r="DO75" s="366"/>
      <c r="DP75" s="366"/>
      <c r="DQ75" s="366"/>
      <c r="DR75" s="366"/>
      <c r="DS75" s="366"/>
      <c r="DT75" s="573">
        <f t="shared" si="120"/>
        <v>42391</v>
      </c>
      <c r="DU75" s="440">
        <f t="shared" si="121"/>
        <v>42391</v>
      </c>
      <c r="DV75" s="571">
        <f t="shared" ca="1" si="114"/>
        <v>89</v>
      </c>
      <c r="DW75" s="571">
        <f t="shared" ca="1" si="115"/>
        <v>89</v>
      </c>
      <c r="DX75" s="571">
        <f t="shared" ca="1" si="116"/>
        <v>133</v>
      </c>
      <c r="DY75" s="571">
        <f t="shared" ca="1" si="117"/>
        <v>98720.58</v>
      </c>
      <c r="DZ75" s="571">
        <f t="shared" ca="1" si="118"/>
        <v>10</v>
      </c>
      <c r="EA75" s="571">
        <f t="shared" ca="1" si="119"/>
        <v>7422.5999999999995</v>
      </c>
      <c r="EB75" s="571">
        <f t="shared" ca="1" si="123"/>
        <v>148</v>
      </c>
      <c r="EC75" s="571">
        <f t="shared" ca="1" si="124"/>
        <v>109854.48</v>
      </c>
      <c r="ED75" s="571">
        <f t="shared" ca="1" si="125"/>
        <v>4</v>
      </c>
      <c r="EE75" s="571">
        <f t="shared" ca="1" si="126"/>
        <v>2969.04</v>
      </c>
      <c r="EF75" s="571">
        <f t="shared" ca="1" si="112"/>
        <v>40</v>
      </c>
      <c r="EG75" s="404"/>
      <c r="EH75" s="289"/>
      <c r="EI75" s="289"/>
      <c r="EJ75" s="289"/>
      <c r="EK75" s="289"/>
      <c r="EL75" s="289"/>
      <c r="EM75" s="289"/>
      <c r="EN75" s="289"/>
      <c r="EO75" s="289"/>
      <c r="EP75" s="289"/>
      <c r="EQ75" s="289"/>
      <c r="ER75" s="289"/>
      <c r="ES75" s="289"/>
      <c r="ET75" s="289"/>
      <c r="EU75" s="289"/>
      <c r="EV75" s="289"/>
      <c r="EW75" s="289"/>
      <c r="EX75" s="289"/>
      <c r="EY75" s="289"/>
      <c r="EZ75" s="289"/>
      <c r="FA75" s="289"/>
      <c r="FB75" s="289"/>
      <c r="FC75" s="289"/>
      <c r="FD75" s="289"/>
      <c r="FE75" s="289"/>
      <c r="FF75" s="289"/>
      <c r="FG75" s="289"/>
      <c r="FH75" s="289"/>
      <c r="FI75" s="289"/>
      <c r="FJ75" s="289"/>
      <c r="FK75" s="289"/>
      <c r="FL75" s="289"/>
      <c r="FM75" s="289"/>
      <c r="FN75" s="289"/>
      <c r="FO75" s="289"/>
      <c r="FP75" s="289"/>
      <c r="FQ75" s="289"/>
      <c r="FR75" s="289"/>
      <c r="FS75" s="289"/>
      <c r="FT75" s="289"/>
      <c r="FU75" s="289"/>
      <c r="FV75" s="289"/>
      <c r="FW75" s="289"/>
      <c r="FX75" s="289"/>
      <c r="FY75" s="289"/>
      <c r="FZ75" s="289"/>
      <c r="GA75" s="289"/>
      <c r="GB75" s="289"/>
      <c r="GC75" s="289"/>
      <c r="GD75" s="289"/>
      <c r="GE75" s="289"/>
      <c r="GF75" s="289"/>
      <c r="GG75" s="289"/>
      <c r="GH75" s="289"/>
      <c r="GI75" s="289"/>
      <c r="GJ75" s="289"/>
      <c r="GK75" s="289"/>
      <c r="GL75" s="289"/>
      <c r="GM75" s="289"/>
      <c r="GN75" s="289"/>
      <c r="GO75" s="289"/>
      <c r="GP75" s="289"/>
      <c r="GQ75" s="289"/>
      <c r="GR75" s="289"/>
      <c r="GS75" s="289"/>
      <c r="GT75" s="289"/>
      <c r="GU75" s="289"/>
      <c r="GV75" s="289"/>
      <c r="GW75" s="289"/>
      <c r="GX75" s="289"/>
      <c r="GY75" s="289"/>
      <c r="GZ75" s="289"/>
      <c r="HA75" s="289"/>
      <c r="HB75" s="289"/>
      <c r="HC75" s="289"/>
      <c r="HD75" s="289"/>
      <c r="HE75" s="289"/>
      <c r="HF75" s="289"/>
      <c r="HG75" s="289"/>
      <c r="HH75" s="289"/>
      <c r="HI75" s="289"/>
      <c r="HJ75" s="289"/>
      <c r="HK75" s="289"/>
      <c r="HL75" s="289"/>
      <c r="HM75" s="289"/>
      <c r="HN75" s="289"/>
      <c r="HO75" s="289"/>
      <c r="HP75" s="289"/>
      <c r="HQ75" s="289"/>
      <c r="HR75" s="289"/>
      <c r="HS75" s="289"/>
      <c r="HT75" s="289"/>
      <c r="HU75" s="289"/>
      <c r="HV75" s="289"/>
      <c r="HW75" s="289"/>
      <c r="HX75" s="289"/>
      <c r="HY75" s="289"/>
      <c r="HZ75" s="289"/>
      <c r="IA75" s="289"/>
      <c r="IB75" s="289"/>
      <c r="IC75" s="289"/>
      <c r="ID75" s="289"/>
      <c r="IE75" s="289"/>
      <c r="IF75" s="289"/>
      <c r="IG75" s="289"/>
      <c r="IH75" s="289"/>
      <c r="II75" s="289"/>
      <c r="IJ75" s="289"/>
      <c r="IK75" s="289"/>
      <c r="IL75" s="289"/>
      <c r="IM75" s="289"/>
      <c r="IN75" s="289"/>
      <c r="IO75" s="289"/>
      <c r="IP75" s="289"/>
      <c r="IQ75" s="289"/>
      <c r="IR75" s="289"/>
      <c r="IS75" s="289"/>
      <c r="IT75" s="289"/>
      <c r="IU75" s="289"/>
      <c r="IV75" s="289"/>
      <c r="IW75" s="289"/>
      <c r="IX75" s="289"/>
    </row>
    <row r="76" spans="1:258" s="21" customFormat="1" ht="17.100000000000001" customHeight="1">
      <c r="A76" s="377"/>
      <c r="B76" s="377"/>
      <c r="C76" s="1221"/>
      <c r="D76" s="1221"/>
      <c r="E76" s="1221"/>
      <c r="F76" s="1221"/>
      <c r="G76" s="1221"/>
      <c r="H76" s="1221"/>
      <c r="I76" s="1221"/>
      <c r="J76" s="1221"/>
      <c r="K76" s="1221"/>
      <c r="L76" s="1221"/>
      <c r="M76" s="1221"/>
      <c r="N76" s="1221"/>
      <c r="O76" s="1221"/>
      <c r="P76" s="1221"/>
      <c r="Q76" s="1221"/>
      <c r="R76" s="1221"/>
      <c r="S76" s="1221"/>
      <c r="T76" s="1221"/>
      <c r="U76" s="1221"/>
      <c r="V76" s="1218"/>
      <c r="W76" s="1221"/>
      <c r="X76" s="1221"/>
      <c r="Y76" s="1221"/>
      <c r="Z76" s="1221"/>
      <c r="AA76" s="1221"/>
      <c r="AB76" s="1221"/>
      <c r="AC76" s="1221"/>
      <c r="AD76" s="1221"/>
      <c r="AE76" s="1221"/>
      <c r="AF76" s="1221"/>
      <c r="AG76" s="1221"/>
      <c r="AH76" s="1226"/>
      <c r="AI76" s="1226"/>
      <c r="AJ76" s="377"/>
      <c r="AK76" s="1221"/>
      <c r="AL76" s="1221"/>
      <c r="AM76" s="1221"/>
      <c r="AN76" s="1221"/>
      <c r="AO76" s="1221"/>
      <c r="AP76" s="1221"/>
      <c r="AQ76" s="1221"/>
      <c r="AR76" s="1221"/>
      <c r="AS76" s="1221"/>
      <c r="AT76" s="1221"/>
      <c r="AU76" s="1221"/>
      <c r="AV76" s="1221"/>
      <c r="AW76" s="1217"/>
      <c r="AX76" s="1232"/>
      <c r="AY76" s="1221"/>
      <c r="AZ76" s="1221"/>
      <c r="BA76" s="1221"/>
      <c r="BB76" s="1217"/>
      <c r="BC76" s="377"/>
      <c r="BD76" s="289"/>
      <c r="BE76" s="289"/>
      <c r="BF76" s="289"/>
      <c r="BG76" s="289"/>
      <c r="BH76" s="289"/>
      <c r="BI76" s="289"/>
      <c r="BJ76" s="289"/>
      <c r="BK76" s="289"/>
      <c r="BL76" s="289"/>
      <c r="BM76" s="289"/>
      <c r="BN76" s="289"/>
      <c r="BO76" s="289"/>
      <c r="BP76" s="289"/>
      <c r="BQ76" s="289"/>
      <c r="BR76" s="289"/>
      <c r="BS76" s="289"/>
      <c r="BT76" s="289"/>
      <c r="BU76" s="289"/>
      <c r="BV76" s="289"/>
      <c r="BW76" s="289"/>
      <c r="BX76" s="289"/>
      <c r="BY76" s="289"/>
      <c r="BZ76" s="289"/>
      <c r="CA76" s="289"/>
      <c r="CB76" s="289"/>
      <c r="CC76" s="289"/>
      <c r="CD76" s="289"/>
      <c r="CE76" s="289"/>
      <c r="CF76" s="289"/>
      <c r="CG76" s="289"/>
      <c r="CH76" s="289"/>
      <c r="CI76" s="289"/>
      <c r="CJ76" s="289"/>
      <c r="CK76" s="289"/>
      <c r="CL76" s="289"/>
      <c r="CM76" s="289"/>
      <c r="CN76" s="289"/>
      <c r="CO76" s="289"/>
      <c r="CP76" s="235">
        <f t="shared" si="113"/>
        <v>42392</v>
      </c>
      <c r="CQ76" s="300">
        <f t="shared" ca="1" si="127"/>
        <v>54.293400000000005</v>
      </c>
      <c r="CR76" s="301">
        <f t="shared" ca="1" si="127"/>
        <v>120.99672000000001</v>
      </c>
      <c r="CS76" s="301">
        <f t="shared" ca="1" si="127"/>
        <v>14874.719880359997</v>
      </c>
      <c r="CT76" s="301">
        <f t="shared" ca="1" si="127"/>
        <v>32012.422799999997</v>
      </c>
      <c r="CU76" s="300">
        <f t="shared" ca="1" si="128"/>
        <v>558.44640000000004</v>
      </c>
      <c r="CV76" s="301">
        <f t="shared" ca="1" si="128"/>
        <v>2399.2512000000002</v>
      </c>
      <c r="CW76" s="301">
        <f t="shared" ca="1" si="128"/>
        <v>20845.956100799998</v>
      </c>
      <c r="CX76" s="301">
        <f t="shared" ca="1" si="128"/>
        <v>23061.768000000004</v>
      </c>
      <c r="CY76" s="293"/>
      <c r="CZ76" s="289"/>
      <c r="DA76" s="289"/>
      <c r="DB76" s="289"/>
      <c r="DC76" s="289"/>
      <c r="DD76" s="289"/>
      <c r="DE76" s="482"/>
      <c r="DF76" s="482"/>
      <c r="DG76" s="482"/>
      <c r="DH76" s="482"/>
      <c r="DI76" s="482"/>
      <c r="DJ76" s="482"/>
      <c r="DK76" s="482"/>
      <c r="DL76" s="482"/>
      <c r="DM76" s="482"/>
      <c r="DN76" s="482"/>
      <c r="DO76" s="366"/>
      <c r="DP76" s="366"/>
      <c r="DQ76" s="366"/>
      <c r="DR76" s="366"/>
      <c r="DS76" s="366"/>
      <c r="DT76" s="573">
        <f t="shared" si="120"/>
        <v>42392</v>
      </c>
      <c r="DU76" s="440">
        <f t="shared" si="121"/>
        <v>42392</v>
      </c>
      <c r="DV76" s="571">
        <f t="shared" ca="1" si="114"/>
        <v>97</v>
      </c>
      <c r="DW76" s="571">
        <f t="shared" ca="1" si="115"/>
        <v>124</v>
      </c>
      <c r="DX76" s="571">
        <f t="shared" ca="1" si="116"/>
        <v>153</v>
      </c>
      <c r="DY76" s="571">
        <f t="shared" ca="1" si="117"/>
        <v>158226.48000000001</v>
      </c>
      <c r="DZ76" s="571">
        <f t="shared" ca="1" si="118"/>
        <v>90</v>
      </c>
      <c r="EA76" s="571">
        <f t="shared" ca="1" si="119"/>
        <v>93074.4</v>
      </c>
      <c r="EB76" s="571">
        <f t="shared" ca="1" si="123"/>
        <v>116</v>
      </c>
      <c r="EC76" s="571">
        <f t="shared" ca="1" si="124"/>
        <v>119962.56</v>
      </c>
      <c r="ED76" s="571">
        <f t="shared" ca="1" si="125"/>
        <v>33</v>
      </c>
      <c r="EE76" s="571">
        <f t="shared" ca="1" si="126"/>
        <v>34127.279999999999</v>
      </c>
      <c r="EF76" s="571" t="str">
        <f t="shared" ca="1" si="112"/>
        <v/>
      </c>
      <c r="EG76" s="404"/>
      <c r="EH76" s="289"/>
      <c r="EI76" s="289"/>
      <c r="EJ76" s="289"/>
      <c r="EK76" s="289"/>
      <c r="EL76" s="289"/>
      <c r="EM76" s="289"/>
      <c r="EN76" s="289"/>
      <c r="EO76" s="289"/>
      <c r="EP76" s="289"/>
      <c r="EQ76" s="289"/>
      <c r="ER76" s="289"/>
      <c r="ES76" s="289"/>
      <c r="ET76" s="289"/>
      <c r="EU76" s="289"/>
      <c r="EV76" s="289"/>
      <c r="EW76" s="289"/>
      <c r="EX76" s="289"/>
      <c r="EY76" s="289"/>
      <c r="EZ76" s="289"/>
      <c r="FA76" s="289"/>
      <c r="FB76" s="289"/>
      <c r="FC76" s="289"/>
      <c r="FD76" s="289"/>
      <c r="FE76" s="289"/>
      <c r="FF76" s="289"/>
      <c r="FG76" s="289"/>
      <c r="FH76" s="289"/>
      <c r="FI76" s="289"/>
      <c r="FJ76" s="289"/>
      <c r="FK76" s="289"/>
      <c r="FL76" s="289"/>
      <c r="FM76" s="289"/>
      <c r="FN76" s="289"/>
      <c r="FO76" s="289"/>
      <c r="FP76" s="289"/>
      <c r="FQ76" s="289"/>
      <c r="FR76" s="289"/>
      <c r="FS76" s="289"/>
      <c r="FT76" s="289"/>
      <c r="FU76" s="289"/>
      <c r="FV76" s="289"/>
      <c r="FW76" s="289"/>
      <c r="FX76" s="289"/>
      <c r="FY76" s="289"/>
      <c r="FZ76" s="289"/>
      <c r="GA76" s="289"/>
      <c r="GB76" s="289"/>
      <c r="GC76" s="289"/>
      <c r="GD76" s="289"/>
      <c r="GE76" s="289"/>
      <c r="GF76" s="289"/>
      <c r="GG76" s="289"/>
      <c r="GH76" s="289"/>
      <c r="GI76" s="289"/>
      <c r="GJ76" s="289"/>
      <c r="GK76" s="289"/>
      <c r="GL76" s="289"/>
      <c r="GM76" s="289"/>
      <c r="GN76" s="289"/>
      <c r="GO76" s="289"/>
      <c r="GP76" s="289"/>
      <c r="GQ76" s="289"/>
      <c r="GR76" s="289"/>
      <c r="GS76" s="289"/>
      <c r="GT76" s="289"/>
      <c r="GU76" s="289"/>
      <c r="GV76" s="289"/>
      <c r="GW76" s="289"/>
      <c r="GX76" s="289"/>
      <c r="GY76" s="289"/>
      <c r="GZ76" s="289"/>
      <c r="HA76" s="289"/>
      <c r="HB76" s="289"/>
      <c r="HC76" s="289"/>
      <c r="HD76" s="289"/>
      <c r="HE76" s="289"/>
      <c r="HF76" s="289"/>
      <c r="HG76" s="289"/>
      <c r="HH76" s="289"/>
      <c r="HI76" s="289"/>
      <c r="HJ76" s="289"/>
      <c r="HK76" s="289"/>
      <c r="HL76" s="289"/>
      <c r="HM76" s="289"/>
      <c r="HN76" s="289"/>
      <c r="HO76" s="289"/>
      <c r="HP76" s="289"/>
      <c r="HQ76" s="289"/>
      <c r="HR76" s="289"/>
      <c r="HS76" s="289"/>
      <c r="HT76" s="289"/>
      <c r="HU76" s="289"/>
      <c r="HV76" s="289"/>
      <c r="HW76" s="289"/>
      <c r="HX76" s="289"/>
      <c r="HY76" s="289"/>
      <c r="HZ76" s="289"/>
      <c r="IA76" s="289"/>
      <c r="IB76" s="289"/>
      <c r="IC76" s="289"/>
      <c r="ID76" s="289"/>
      <c r="IE76" s="289"/>
      <c r="IF76" s="289"/>
      <c r="IG76" s="289"/>
      <c r="IH76" s="289"/>
      <c r="II76" s="289"/>
      <c r="IJ76" s="289"/>
      <c r="IK76" s="289"/>
      <c r="IL76" s="289"/>
      <c r="IM76" s="289"/>
      <c r="IN76" s="289"/>
      <c r="IO76" s="289"/>
      <c r="IP76" s="289"/>
      <c r="IQ76" s="289"/>
      <c r="IR76" s="289"/>
      <c r="IS76" s="289"/>
      <c r="IT76" s="289"/>
      <c r="IU76" s="289"/>
      <c r="IV76" s="289"/>
      <c r="IW76" s="289"/>
      <c r="IX76" s="289"/>
    </row>
    <row r="77" spans="1:258" s="21" customFormat="1" ht="17.100000000000001" customHeight="1">
      <c r="A77" s="377"/>
      <c r="B77" s="377"/>
      <c r="C77" s="1221"/>
      <c r="D77" s="1221"/>
      <c r="E77" s="1221"/>
      <c r="F77" s="1221"/>
      <c r="G77" s="1221"/>
      <c r="H77" s="1221"/>
      <c r="I77" s="1221"/>
      <c r="J77" s="1221"/>
      <c r="K77" s="1221"/>
      <c r="L77" s="1221"/>
      <c r="M77" s="1221"/>
      <c r="N77" s="1221"/>
      <c r="O77" s="1221"/>
      <c r="P77" s="1221"/>
      <c r="Q77" s="1221"/>
      <c r="R77" s="1221"/>
      <c r="S77" s="1221"/>
      <c r="T77" s="1221"/>
      <c r="U77" s="1221"/>
      <c r="V77" s="1218"/>
      <c r="W77" s="1221"/>
      <c r="X77" s="1221"/>
      <c r="Y77" s="1221"/>
      <c r="Z77" s="1221"/>
      <c r="AA77" s="1221"/>
      <c r="AB77" s="1221"/>
      <c r="AC77" s="1221"/>
      <c r="AD77" s="1221"/>
      <c r="AE77" s="1221"/>
      <c r="AF77" s="1221"/>
      <c r="AG77" s="1221"/>
      <c r="AH77" s="1227"/>
      <c r="AI77" s="1225"/>
      <c r="AJ77" s="377"/>
      <c r="AK77" s="1221"/>
      <c r="AL77" s="1221"/>
      <c r="AM77" s="1221"/>
      <c r="AN77" s="1221"/>
      <c r="AO77" s="1221"/>
      <c r="AP77" s="1221"/>
      <c r="AQ77" s="1221"/>
      <c r="AR77" s="1221"/>
      <c r="AS77" s="1221"/>
      <c r="AT77" s="1221"/>
      <c r="AU77" s="1221"/>
      <c r="AV77" s="1229"/>
      <c r="AW77" s="1217"/>
      <c r="AX77" s="1232"/>
      <c r="AY77" s="1221"/>
      <c r="AZ77" s="1221"/>
      <c r="BA77" s="1221"/>
      <c r="BB77" s="1217"/>
      <c r="BC77" s="377"/>
      <c r="BD77" s="289"/>
      <c r="BE77" s="289"/>
      <c r="BF77" s="289"/>
      <c r="BG77" s="289"/>
      <c r="BH77" s="289"/>
      <c r="BI77" s="289"/>
      <c r="BJ77" s="289"/>
      <c r="BK77" s="289"/>
      <c r="BL77" s="289"/>
      <c r="BM77" s="289"/>
      <c r="BN77" s="289"/>
      <c r="BO77" s="289"/>
      <c r="BP77" s="289"/>
      <c r="BQ77" s="289"/>
      <c r="BR77" s="289"/>
      <c r="BS77" s="289"/>
      <c r="BT77" s="289"/>
      <c r="BU77" s="289"/>
      <c r="BV77" s="289"/>
      <c r="BW77" s="289"/>
      <c r="BX77" s="289"/>
      <c r="BY77" s="289"/>
      <c r="BZ77" s="289"/>
      <c r="CA77" s="289"/>
      <c r="CB77" s="289"/>
      <c r="CC77" s="289"/>
      <c r="CD77" s="289"/>
      <c r="CE77" s="289"/>
      <c r="CF77" s="289"/>
      <c r="CG77" s="289"/>
      <c r="CH77" s="289"/>
      <c r="CI77" s="289"/>
      <c r="CJ77" s="289"/>
      <c r="CK77" s="289"/>
      <c r="CL77" s="289"/>
      <c r="CM77" s="289"/>
      <c r="CN77" s="289"/>
      <c r="CO77" s="289"/>
      <c r="CP77" s="235">
        <f t="shared" si="113"/>
        <v>42393</v>
      </c>
      <c r="CQ77" s="300">
        <f t="shared" ca="1" si="127"/>
        <v>92.073599999999985</v>
      </c>
      <c r="CR77" s="301">
        <f t="shared" ca="1" si="127"/>
        <v>137.1096</v>
      </c>
      <c r="CS77" s="301">
        <f t="shared" ca="1" si="127"/>
        <v>15901.826792399997</v>
      </c>
      <c r="CT77" s="301">
        <f t="shared" ca="1" si="127"/>
        <v>31975.559999999994</v>
      </c>
      <c r="CU77" s="300">
        <f t="shared" ca="1" si="128"/>
        <v>960.76799999999992</v>
      </c>
      <c r="CV77" s="301">
        <f t="shared" ca="1" si="128"/>
        <v>2862.288</v>
      </c>
      <c r="CW77" s="301">
        <f t="shared" ca="1" si="128"/>
        <v>16406.16444</v>
      </c>
      <c r="CX77" s="301">
        <f t="shared" ca="1" si="128"/>
        <v>18214.560000000001</v>
      </c>
      <c r="CY77" s="293"/>
      <c r="CZ77" s="289"/>
      <c r="DA77" s="289"/>
      <c r="DB77" s="289"/>
      <c r="DC77" s="289"/>
      <c r="DD77" s="289"/>
      <c r="DE77" s="482"/>
      <c r="DF77" s="482"/>
      <c r="DG77" s="482"/>
      <c r="DH77" s="482"/>
      <c r="DI77" s="482"/>
      <c r="DJ77" s="482"/>
      <c r="DK77" s="482"/>
      <c r="DL77" s="482"/>
      <c r="DM77" s="482"/>
      <c r="DN77" s="482"/>
      <c r="DO77" s="366"/>
      <c r="DP77" s="366"/>
      <c r="DQ77" s="366"/>
      <c r="DR77" s="366"/>
      <c r="DS77" s="366"/>
      <c r="DT77" s="573">
        <f t="shared" si="120"/>
        <v>42393</v>
      </c>
      <c r="DU77" s="440">
        <f t="shared" si="121"/>
        <v>42393</v>
      </c>
      <c r="DV77" s="571">
        <f t="shared" ca="1" si="114"/>
        <v>98</v>
      </c>
      <c r="DW77" s="571">
        <f t="shared" ca="1" si="115"/>
        <v>120</v>
      </c>
      <c r="DX77" s="571">
        <f t="shared" ca="1" si="116"/>
        <v>131</v>
      </c>
      <c r="DY77" s="571">
        <f t="shared" ca="1" si="117"/>
        <v>131104.79999999999</v>
      </c>
      <c r="DZ77" s="571">
        <f t="shared" ca="1" si="118"/>
        <v>22</v>
      </c>
      <c r="EA77" s="571">
        <f t="shared" ca="1" si="119"/>
        <v>22017.599999999999</v>
      </c>
      <c r="EB77" s="571">
        <f t="shared" ca="1" si="123"/>
        <v>115</v>
      </c>
      <c r="EC77" s="571">
        <f t="shared" ca="1" si="124"/>
        <v>115092</v>
      </c>
      <c r="ED77" s="571">
        <f t="shared" ca="1" si="125"/>
        <v>16</v>
      </c>
      <c r="EE77" s="571">
        <f t="shared" ca="1" si="126"/>
        <v>16012.8</v>
      </c>
      <c r="EF77" s="571">
        <f t="shared" ca="1" si="112"/>
        <v>25</v>
      </c>
      <c r="EG77" s="404"/>
      <c r="EH77" s="289"/>
      <c r="EI77" s="289"/>
      <c r="EJ77" s="289"/>
      <c r="EK77" s="289"/>
      <c r="EL77" s="289"/>
      <c r="EM77" s="289"/>
      <c r="EN77" s="289"/>
      <c r="EO77" s="289"/>
      <c r="EP77" s="289"/>
      <c r="EQ77" s="289"/>
      <c r="ER77" s="289"/>
      <c r="ES77" s="289"/>
      <c r="ET77" s="289"/>
      <c r="EU77" s="289"/>
      <c r="EV77" s="289"/>
      <c r="EW77" s="289"/>
      <c r="EX77" s="289"/>
      <c r="EY77" s="289"/>
      <c r="EZ77" s="289"/>
      <c r="FA77" s="289"/>
      <c r="FB77" s="289"/>
      <c r="FC77" s="289"/>
      <c r="FD77" s="289"/>
      <c r="FE77" s="289"/>
      <c r="FF77" s="289"/>
      <c r="FG77" s="289"/>
      <c r="FH77" s="289"/>
      <c r="FI77" s="289"/>
      <c r="FJ77" s="289"/>
      <c r="FK77" s="289"/>
      <c r="FL77" s="289"/>
      <c r="FM77" s="289"/>
      <c r="FN77" s="289"/>
      <c r="FO77" s="289"/>
      <c r="FP77" s="289"/>
      <c r="FQ77" s="289"/>
      <c r="FR77" s="289"/>
      <c r="FS77" s="289"/>
      <c r="FT77" s="289"/>
      <c r="FU77" s="289"/>
      <c r="FV77" s="289"/>
      <c r="FW77" s="289"/>
      <c r="FX77" s="289"/>
      <c r="FY77" s="289"/>
      <c r="FZ77" s="289"/>
      <c r="GA77" s="289"/>
      <c r="GB77" s="289"/>
      <c r="GC77" s="289"/>
      <c r="GD77" s="289"/>
      <c r="GE77" s="289"/>
      <c r="GF77" s="289"/>
      <c r="GG77" s="289"/>
      <c r="GH77" s="289"/>
      <c r="GI77" s="289"/>
      <c r="GJ77" s="289"/>
      <c r="GK77" s="289"/>
      <c r="GL77" s="289"/>
      <c r="GM77" s="289"/>
      <c r="GN77" s="289"/>
      <c r="GO77" s="289"/>
      <c r="GP77" s="289"/>
      <c r="GQ77" s="289"/>
      <c r="GR77" s="289"/>
      <c r="GS77" s="289"/>
      <c r="GT77" s="289"/>
      <c r="GU77" s="289"/>
      <c r="GV77" s="289"/>
      <c r="GW77" s="289"/>
      <c r="GX77" s="289"/>
      <c r="GY77" s="289"/>
      <c r="GZ77" s="289"/>
      <c r="HA77" s="289"/>
      <c r="HB77" s="289"/>
      <c r="HC77" s="289"/>
      <c r="HD77" s="289"/>
      <c r="HE77" s="289"/>
      <c r="HF77" s="289"/>
      <c r="HG77" s="289"/>
      <c r="HH77" s="289"/>
      <c r="HI77" s="289"/>
      <c r="HJ77" s="289"/>
      <c r="HK77" s="289"/>
      <c r="HL77" s="289"/>
      <c r="HM77" s="289"/>
      <c r="HN77" s="289"/>
      <c r="HO77" s="289"/>
      <c r="HP77" s="289"/>
      <c r="HQ77" s="289"/>
      <c r="HR77" s="289"/>
      <c r="HS77" s="289"/>
      <c r="HT77" s="289"/>
      <c r="HU77" s="289"/>
      <c r="HV77" s="289"/>
      <c r="HW77" s="289"/>
      <c r="HX77" s="289"/>
      <c r="HY77" s="289"/>
      <c r="HZ77" s="289"/>
      <c r="IA77" s="289"/>
      <c r="IB77" s="289"/>
      <c r="IC77" s="289"/>
      <c r="ID77" s="289"/>
      <c r="IE77" s="289"/>
      <c r="IF77" s="289"/>
      <c r="IG77" s="289"/>
      <c r="IH77" s="289"/>
      <c r="II77" s="289"/>
      <c r="IJ77" s="289"/>
      <c r="IK77" s="289"/>
      <c r="IL77" s="289"/>
      <c r="IM77" s="289"/>
      <c r="IN77" s="289"/>
      <c r="IO77" s="289"/>
      <c r="IP77" s="289"/>
      <c r="IQ77" s="289"/>
      <c r="IR77" s="289"/>
      <c r="IS77" s="289"/>
      <c r="IT77" s="289"/>
      <c r="IU77" s="289"/>
      <c r="IV77" s="289"/>
      <c r="IW77" s="289"/>
      <c r="IX77" s="289"/>
    </row>
    <row r="78" spans="1:258" s="21" customFormat="1" ht="17.100000000000001" customHeight="1">
      <c r="A78" s="377"/>
      <c r="B78" s="377"/>
      <c r="C78" s="1221"/>
      <c r="D78" s="1221"/>
      <c r="E78" s="1221"/>
      <c r="F78" s="1221"/>
      <c r="G78" s="1221"/>
      <c r="H78" s="1221"/>
      <c r="I78" s="1221"/>
      <c r="J78" s="1221"/>
      <c r="K78" s="1221"/>
      <c r="L78" s="1221"/>
      <c r="M78" s="1221"/>
      <c r="N78" s="1221"/>
      <c r="O78" s="1221"/>
      <c r="P78" s="1221"/>
      <c r="Q78" s="1221"/>
      <c r="R78" s="1221"/>
      <c r="S78" s="1221"/>
      <c r="T78" s="1221"/>
      <c r="U78" s="1221"/>
      <c r="V78" s="1218"/>
      <c r="W78" s="1221"/>
      <c r="X78" s="1221"/>
      <c r="Y78" s="1221"/>
      <c r="Z78" s="1221"/>
      <c r="AA78" s="1221"/>
      <c r="AB78" s="1221"/>
      <c r="AC78" s="1221"/>
      <c r="AD78" s="1221"/>
      <c r="AE78" s="1221"/>
      <c r="AF78" s="1221"/>
      <c r="AG78" s="1221"/>
      <c r="AH78" s="1227"/>
      <c r="AI78" s="1227"/>
      <c r="AJ78" s="377"/>
      <c r="AK78" s="1221"/>
      <c r="AL78" s="1221"/>
      <c r="AM78" s="1221"/>
      <c r="AN78" s="1221"/>
      <c r="AO78" s="1221"/>
      <c r="AP78" s="1221"/>
      <c r="AQ78" s="1221"/>
      <c r="AR78" s="1221"/>
      <c r="AS78" s="1221"/>
      <c r="AT78" s="1221"/>
      <c r="AU78" s="1221"/>
      <c r="AV78" s="1229"/>
      <c r="AW78" s="1217"/>
      <c r="AX78" s="1232"/>
      <c r="AY78" s="1217"/>
      <c r="AZ78" s="1221"/>
      <c r="BA78" s="1221"/>
      <c r="BB78" s="1217"/>
      <c r="BC78" s="377"/>
      <c r="BD78" s="289"/>
      <c r="BE78" s="289"/>
      <c r="BF78" s="289"/>
      <c r="BG78" s="289"/>
      <c r="BH78" s="289"/>
      <c r="BI78" s="289"/>
      <c r="BJ78" s="289"/>
      <c r="BK78" s="289"/>
      <c r="BL78" s="289"/>
      <c r="BM78" s="289"/>
      <c r="BN78" s="289"/>
      <c r="BO78" s="289"/>
      <c r="BP78" s="289"/>
      <c r="BQ78" s="289"/>
      <c r="BR78" s="289"/>
      <c r="BS78" s="289"/>
      <c r="BT78" s="289"/>
      <c r="BU78" s="289"/>
      <c r="BV78" s="289"/>
      <c r="BW78" s="289"/>
      <c r="BX78" s="289"/>
      <c r="BY78" s="289"/>
      <c r="BZ78" s="289"/>
      <c r="CA78" s="289"/>
      <c r="CB78" s="289"/>
      <c r="CC78" s="289"/>
      <c r="CD78" s="289"/>
      <c r="CE78" s="289"/>
      <c r="CF78" s="289"/>
      <c r="CG78" s="289"/>
      <c r="CH78" s="289"/>
      <c r="CI78" s="289"/>
      <c r="CJ78" s="289"/>
      <c r="CK78" s="289"/>
      <c r="CL78" s="289"/>
      <c r="CM78" s="289"/>
      <c r="CN78" s="289"/>
      <c r="CO78" s="289"/>
      <c r="CP78" s="235">
        <f t="shared" si="113"/>
        <v>42394</v>
      </c>
      <c r="CQ78" s="300">
        <f t="shared" ca="1" si="127"/>
        <v>72.933300000000003</v>
      </c>
      <c r="CR78" s="301">
        <f t="shared" ca="1" si="127"/>
        <v>53.48442</v>
      </c>
      <c r="CS78" s="301">
        <f t="shared" ca="1" si="127"/>
        <v>12753.058491359998</v>
      </c>
      <c r="CT78" s="301">
        <f t="shared" ca="1" si="127"/>
        <v>30273.949800000002</v>
      </c>
      <c r="CU78" s="300">
        <f t="shared" ca="1" si="128"/>
        <v>945.92280000000005</v>
      </c>
      <c r="CV78" s="301">
        <f t="shared" ca="1" si="128"/>
        <v>2979.2148000000002</v>
      </c>
      <c r="CW78" s="301">
        <f t="shared" ca="1" si="128"/>
        <v>10734.897719999999</v>
      </c>
      <c r="CX78" s="301">
        <f t="shared" ca="1" si="128"/>
        <v>10696.883999999998</v>
      </c>
      <c r="CY78" s="293"/>
      <c r="CZ78" s="289"/>
      <c r="DA78" s="289"/>
      <c r="DB78" s="289"/>
      <c r="DC78" s="289"/>
      <c r="DD78" s="289"/>
      <c r="DE78" s="482"/>
      <c r="DF78" s="482"/>
      <c r="DG78" s="482"/>
      <c r="DH78" s="482"/>
      <c r="DI78" s="482"/>
      <c r="DJ78" s="482"/>
      <c r="DK78" s="482"/>
      <c r="DL78" s="482"/>
      <c r="DM78" s="482"/>
      <c r="DN78" s="482"/>
      <c r="DO78" s="366"/>
      <c r="DP78" s="366"/>
      <c r="DQ78" s="366"/>
      <c r="DR78" s="366"/>
      <c r="DS78" s="366"/>
      <c r="DT78" s="573">
        <f t="shared" si="120"/>
        <v>42394</v>
      </c>
      <c r="DU78" s="440">
        <f t="shared" si="121"/>
        <v>42394</v>
      </c>
      <c r="DV78" s="571">
        <f t="shared" ca="1" si="114"/>
        <v>106</v>
      </c>
      <c r="DW78" s="571">
        <f t="shared" ca="1" si="115"/>
        <v>106</v>
      </c>
      <c r="DX78" s="571">
        <f t="shared" ca="1" si="116"/>
        <v>145</v>
      </c>
      <c r="DY78" s="571">
        <f t="shared" ca="1" si="117"/>
        <v>128185.8</v>
      </c>
      <c r="DZ78" s="571">
        <f t="shared" ca="1" si="118"/>
        <v>9</v>
      </c>
      <c r="EA78" s="571">
        <f t="shared" ca="1" si="119"/>
        <v>7956.36</v>
      </c>
      <c r="EB78" s="571">
        <f t="shared" ca="1" si="123"/>
        <v>132</v>
      </c>
      <c r="EC78" s="571">
        <f t="shared" ca="1" si="124"/>
        <v>116693.28</v>
      </c>
      <c r="ED78" s="571">
        <f t="shared" ca="1" si="125"/>
        <v>6</v>
      </c>
      <c r="EE78" s="571">
        <f t="shared" ca="1" si="126"/>
        <v>5304.24</v>
      </c>
      <c r="EF78" s="571">
        <f t="shared" ca="1" si="112"/>
        <v>31</v>
      </c>
      <c r="EG78" s="404"/>
      <c r="EH78" s="289"/>
      <c r="EI78" s="289"/>
      <c r="EJ78" s="289"/>
      <c r="EK78" s="289"/>
      <c r="EL78" s="289"/>
      <c r="EM78" s="289"/>
      <c r="EN78" s="289"/>
      <c r="EO78" s="289"/>
      <c r="EP78" s="289"/>
      <c r="EQ78" s="289"/>
      <c r="ER78" s="289"/>
      <c r="ES78" s="289"/>
      <c r="ET78" s="289"/>
      <c r="EU78" s="289"/>
      <c r="EV78" s="289"/>
      <c r="EW78" s="289"/>
      <c r="EX78" s="289"/>
      <c r="EY78" s="289"/>
      <c r="EZ78" s="289"/>
      <c r="FA78" s="289"/>
      <c r="FB78" s="289"/>
      <c r="FC78" s="289"/>
      <c r="FD78" s="289"/>
      <c r="FE78" s="289"/>
      <c r="FF78" s="289"/>
      <c r="FG78" s="289"/>
      <c r="FH78" s="289"/>
      <c r="FI78" s="289"/>
      <c r="FJ78" s="289"/>
      <c r="FK78" s="289"/>
      <c r="FL78" s="289"/>
      <c r="FM78" s="289"/>
      <c r="FN78" s="289"/>
      <c r="FO78" s="289"/>
      <c r="FP78" s="289"/>
      <c r="FQ78" s="289"/>
      <c r="FR78" s="289"/>
      <c r="FS78" s="289"/>
      <c r="FT78" s="289"/>
      <c r="FU78" s="289"/>
      <c r="FV78" s="289"/>
      <c r="FW78" s="289"/>
      <c r="FX78" s="289"/>
      <c r="FY78" s="289"/>
      <c r="FZ78" s="289"/>
      <c r="GA78" s="289"/>
      <c r="GB78" s="289"/>
      <c r="GC78" s="289"/>
      <c r="GD78" s="289"/>
      <c r="GE78" s="289"/>
      <c r="GF78" s="289"/>
      <c r="GG78" s="289"/>
      <c r="GH78" s="289"/>
      <c r="GI78" s="289"/>
      <c r="GJ78" s="289"/>
      <c r="GK78" s="289"/>
      <c r="GL78" s="289"/>
      <c r="GM78" s="289"/>
      <c r="GN78" s="289"/>
      <c r="GO78" s="289"/>
      <c r="GP78" s="289"/>
      <c r="GQ78" s="289"/>
      <c r="GR78" s="289"/>
      <c r="GS78" s="289"/>
      <c r="GT78" s="289"/>
      <c r="GU78" s="289"/>
      <c r="GV78" s="289"/>
      <c r="GW78" s="289"/>
      <c r="GX78" s="289"/>
      <c r="GY78" s="289"/>
      <c r="GZ78" s="289"/>
      <c r="HA78" s="289"/>
      <c r="HB78" s="289"/>
      <c r="HC78" s="289"/>
      <c r="HD78" s="289"/>
      <c r="HE78" s="289"/>
      <c r="HF78" s="289"/>
      <c r="HG78" s="289"/>
      <c r="HH78" s="289"/>
      <c r="HI78" s="289"/>
      <c r="HJ78" s="289"/>
      <c r="HK78" s="289"/>
      <c r="HL78" s="289"/>
      <c r="HM78" s="289"/>
      <c r="HN78" s="289"/>
      <c r="HO78" s="289"/>
      <c r="HP78" s="289"/>
      <c r="HQ78" s="289"/>
      <c r="HR78" s="289"/>
      <c r="HS78" s="289"/>
      <c r="HT78" s="289"/>
      <c r="HU78" s="289"/>
      <c r="HV78" s="289"/>
      <c r="HW78" s="289"/>
      <c r="HX78" s="289"/>
      <c r="HY78" s="289"/>
      <c r="HZ78" s="289"/>
      <c r="IA78" s="289"/>
      <c r="IB78" s="289"/>
      <c r="IC78" s="289"/>
      <c r="ID78" s="289"/>
      <c r="IE78" s="289"/>
      <c r="IF78" s="289"/>
      <c r="IG78" s="289"/>
      <c r="IH78" s="289"/>
      <c r="II78" s="289"/>
      <c r="IJ78" s="289"/>
      <c r="IK78" s="289"/>
      <c r="IL78" s="289"/>
      <c r="IM78" s="289"/>
      <c r="IN78" s="289"/>
      <c r="IO78" s="289"/>
      <c r="IP78" s="289"/>
      <c r="IQ78" s="289"/>
      <c r="IR78" s="289"/>
      <c r="IS78" s="289"/>
      <c r="IT78" s="289"/>
      <c r="IU78" s="289"/>
      <c r="IV78" s="289"/>
      <c r="IW78" s="289"/>
      <c r="IX78" s="289"/>
    </row>
    <row r="79" spans="1:258" s="21" customFormat="1" ht="17.100000000000001" customHeight="1">
      <c r="A79" s="377"/>
      <c r="B79" s="377"/>
      <c r="C79" s="1217"/>
      <c r="D79" s="1228"/>
      <c r="E79" s="1229"/>
      <c r="F79" s="1229"/>
      <c r="G79" s="1229"/>
      <c r="H79" s="1229"/>
      <c r="I79" s="1229"/>
      <c r="J79" s="1230"/>
      <c r="K79" s="1230"/>
      <c r="L79" s="1230"/>
      <c r="M79" s="1230"/>
      <c r="N79" s="1230"/>
      <c r="O79" s="1230"/>
      <c r="P79" s="1230"/>
      <c r="Q79" s="1230"/>
      <c r="R79" s="1229"/>
      <c r="S79" s="1229"/>
      <c r="T79" s="1229"/>
      <c r="U79" s="1229"/>
      <c r="V79" s="1218"/>
      <c r="W79" s="1221"/>
      <c r="X79" s="1222"/>
      <c r="Y79" s="1231"/>
      <c r="Z79" s="1231"/>
      <c r="AA79" s="1231"/>
      <c r="AB79" s="1231"/>
      <c r="AC79" s="1230"/>
      <c r="AD79" s="1217"/>
      <c r="AE79" s="1229"/>
      <c r="AF79" s="1229"/>
      <c r="AG79" s="1229"/>
      <c r="AH79" s="1217"/>
      <c r="AI79" s="1229"/>
      <c r="AJ79" s="377"/>
      <c r="AK79" s="1221"/>
      <c r="AL79" s="1222"/>
      <c r="AM79" s="1230"/>
      <c r="AN79" s="1230"/>
      <c r="AO79" s="1230"/>
      <c r="AP79" s="1230"/>
      <c r="AQ79" s="1230"/>
      <c r="AR79" s="1230"/>
      <c r="AS79" s="1230"/>
      <c r="AT79" s="1230"/>
      <c r="AU79" s="1230"/>
      <c r="AV79" s="1229"/>
      <c r="AW79" s="1217"/>
      <c r="AX79" s="1232"/>
      <c r="AY79" s="1232"/>
      <c r="AZ79" s="1233"/>
      <c r="BA79" s="1234"/>
      <c r="BB79" s="1235"/>
      <c r="BC79" s="377"/>
      <c r="BD79" s="289"/>
      <c r="BE79" s="289"/>
      <c r="BF79" s="289"/>
      <c r="BG79" s="289"/>
      <c r="BH79" s="289"/>
      <c r="BI79" s="289"/>
      <c r="BJ79" s="289"/>
      <c r="BK79" s="289"/>
      <c r="BL79" s="289"/>
      <c r="BM79" s="289"/>
      <c r="BN79" s="289"/>
      <c r="BO79" s="289"/>
      <c r="BP79" s="289"/>
      <c r="BQ79" s="289"/>
      <c r="BR79" s="289"/>
      <c r="BS79" s="289"/>
      <c r="BT79" s="289"/>
      <c r="BU79" s="289"/>
      <c r="BV79" s="289"/>
      <c r="BW79" s="289"/>
      <c r="BX79" s="289"/>
      <c r="BY79" s="289"/>
      <c r="BZ79" s="289"/>
      <c r="CA79" s="289"/>
      <c r="CB79" s="289"/>
      <c r="CC79" s="289"/>
      <c r="CD79" s="289"/>
      <c r="CE79" s="289"/>
      <c r="CF79" s="289"/>
      <c r="CG79" s="289"/>
      <c r="CH79" s="289"/>
      <c r="CI79" s="289"/>
      <c r="CJ79" s="289"/>
      <c r="CK79" s="289"/>
      <c r="CL79" s="289"/>
      <c r="CM79" s="289"/>
      <c r="CN79" s="289"/>
      <c r="CO79" s="289"/>
      <c r="CP79" s="235">
        <f t="shared" si="113"/>
        <v>42395</v>
      </c>
      <c r="CQ79" s="300">
        <f t="shared" ca="1" si="127"/>
        <v>80.564400000000006</v>
      </c>
      <c r="CR79" s="301">
        <f t="shared" ca="1" si="127"/>
        <v>398.79377999999997</v>
      </c>
      <c r="CS79" s="301">
        <f t="shared" ca="1" si="127"/>
        <v>21881.164822440001</v>
      </c>
      <c r="CT79" s="301">
        <f t="shared" ca="1" si="127"/>
        <v>45612.877800000002</v>
      </c>
      <c r="CU79" s="300">
        <f t="shared" ca="1" si="128"/>
        <v>1289.0304000000001</v>
      </c>
      <c r="CV79" s="301">
        <f t="shared" ca="1" si="128"/>
        <v>3222.5759999999996</v>
      </c>
      <c r="CW79" s="301">
        <f t="shared" ca="1" si="128"/>
        <v>16467.940738199999</v>
      </c>
      <c r="CX79" s="301">
        <f t="shared" ca="1" si="128"/>
        <v>17321.346000000001</v>
      </c>
      <c r="CY79" s="293"/>
      <c r="CZ79" s="289"/>
      <c r="DA79" s="289"/>
      <c r="DB79" s="289"/>
      <c r="DC79" s="289"/>
      <c r="DD79" s="289"/>
      <c r="DE79" s="482"/>
      <c r="DF79" s="482"/>
      <c r="DG79" s="482"/>
      <c r="DH79" s="482"/>
      <c r="DI79" s="482"/>
      <c r="DJ79" s="482"/>
      <c r="DK79" s="482"/>
      <c r="DL79" s="482"/>
      <c r="DM79" s="482"/>
      <c r="DN79" s="482"/>
      <c r="DO79" s="366"/>
      <c r="DP79" s="366"/>
      <c r="DQ79" s="366"/>
      <c r="DR79" s="366"/>
      <c r="DS79" s="366"/>
      <c r="DT79" s="573">
        <f t="shared" si="120"/>
        <v>42395</v>
      </c>
      <c r="DU79" s="440">
        <f t="shared" si="121"/>
        <v>42395</v>
      </c>
      <c r="DV79" s="571">
        <f t="shared" ca="1" si="114"/>
        <v>98</v>
      </c>
      <c r="DW79" s="571">
        <f t="shared" ca="1" si="115"/>
        <v>161</v>
      </c>
      <c r="DX79" s="571">
        <f t="shared" ca="1" si="116"/>
        <v>215</v>
      </c>
      <c r="DY79" s="571">
        <f t="shared" ca="1" si="117"/>
        <v>288689.09999999998</v>
      </c>
      <c r="DZ79" s="571">
        <f t="shared" ca="1" si="118"/>
        <v>17</v>
      </c>
      <c r="EA79" s="571">
        <f t="shared" ca="1" si="119"/>
        <v>22826.579999999998</v>
      </c>
      <c r="EB79" s="571">
        <f t="shared" ca="1" si="123"/>
        <v>169</v>
      </c>
      <c r="EC79" s="571">
        <f t="shared" ca="1" si="124"/>
        <v>226923.06</v>
      </c>
      <c r="ED79" s="571">
        <f t="shared" ca="1" si="125"/>
        <v>10</v>
      </c>
      <c r="EE79" s="571">
        <f t="shared" ca="1" si="126"/>
        <v>13427.4</v>
      </c>
      <c r="EF79" s="571">
        <f t="shared" ca="1" si="112"/>
        <v>72</v>
      </c>
      <c r="EG79" s="404"/>
      <c r="EH79" s="289"/>
      <c r="EI79" s="289"/>
      <c r="EJ79" s="289"/>
      <c r="EK79" s="289"/>
      <c r="EL79" s="289"/>
      <c r="EM79" s="289"/>
      <c r="EN79" s="289"/>
      <c r="EO79" s="289"/>
      <c r="EP79" s="289"/>
      <c r="EQ79" s="289"/>
      <c r="ER79" s="289"/>
      <c r="ES79" s="289"/>
      <c r="ET79" s="289"/>
      <c r="EU79" s="289"/>
      <c r="EV79" s="289"/>
      <c r="EW79" s="289"/>
      <c r="EX79" s="289"/>
      <c r="EY79" s="289"/>
      <c r="EZ79" s="289"/>
      <c r="FA79" s="289"/>
      <c r="FB79" s="289"/>
      <c r="FC79" s="289"/>
      <c r="FD79" s="289"/>
      <c r="FE79" s="289"/>
      <c r="FF79" s="289"/>
      <c r="FG79" s="289"/>
      <c r="FH79" s="289"/>
      <c r="FI79" s="289"/>
      <c r="FJ79" s="289"/>
      <c r="FK79" s="289"/>
      <c r="FL79" s="289"/>
      <c r="FM79" s="289"/>
      <c r="FN79" s="289"/>
      <c r="FO79" s="289"/>
      <c r="FP79" s="289"/>
      <c r="FQ79" s="289"/>
      <c r="FR79" s="289"/>
      <c r="FS79" s="289"/>
      <c r="FT79" s="289"/>
      <c r="FU79" s="289"/>
      <c r="FV79" s="289"/>
      <c r="FW79" s="289"/>
      <c r="FX79" s="289"/>
      <c r="FY79" s="289"/>
      <c r="FZ79" s="289"/>
      <c r="GA79" s="289"/>
      <c r="GB79" s="289"/>
      <c r="GC79" s="289"/>
      <c r="GD79" s="289"/>
      <c r="GE79" s="289"/>
      <c r="GF79" s="289"/>
      <c r="GG79" s="289"/>
      <c r="GH79" s="289"/>
      <c r="GI79" s="289"/>
      <c r="GJ79" s="289"/>
      <c r="GK79" s="289"/>
      <c r="GL79" s="289"/>
      <c r="GM79" s="289"/>
      <c r="GN79" s="289"/>
      <c r="GO79" s="289"/>
      <c r="GP79" s="289"/>
      <c r="GQ79" s="289"/>
      <c r="GR79" s="289"/>
      <c r="GS79" s="289"/>
      <c r="GT79" s="289"/>
      <c r="GU79" s="289"/>
      <c r="GV79" s="289"/>
      <c r="GW79" s="289"/>
      <c r="GX79" s="289"/>
      <c r="GY79" s="289"/>
      <c r="GZ79" s="289"/>
      <c r="HA79" s="289"/>
      <c r="HB79" s="289"/>
      <c r="HC79" s="289"/>
      <c r="HD79" s="289"/>
      <c r="HE79" s="289"/>
      <c r="HF79" s="289"/>
      <c r="HG79" s="289"/>
      <c r="HH79" s="289"/>
      <c r="HI79" s="289"/>
      <c r="HJ79" s="289"/>
      <c r="HK79" s="289"/>
      <c r="HL79" s="289"/>
      <c r="HM79" s="289"/>
      <c r="HN79" s="289"/>
      <c r="HO79" s="289"/>
      <c r="HP79" s="289"/>
      <c r="HQ79" s="289"/>
      <c r="HR79" s="289"/>
      <c r="HS79" s="289"/>
      <c r="HT79" s="289"/>
      <c r="HU79" s="289"/>
      <c r="HV79" s="289"/>
      <c r="HW79" s="289"/>
      <c r="HX79" s="289"/>
      <c r="HY79" s="289"/>
      <c r="HZ79" s="289"/>
      <c r="IA79" s="289"/>
      <c r="IB79" s="289"/>
      <c r="IC79" s="289"/>
      <c r="ID79" s="289"/>
      <c r="IE79" s="289"/>
      <c r="IF79" s="289"/>
      <c r="IG79" s="289"/>
      <c r="IH79" s="289"/>
      <c r="II79" s="289"/>
      <c r="IJ79" s="289"/>
      <c r="IK79" s="289"/>
      <c r="IL79" s="289"/>
      <c r="IM79" s="289"/>
      <c r="IN79" s="289"/>
      <c r="IO79" s="289"/>
      <c r="IP79" s="289"/>
      <c r="IQ79" s="289"/>
      <c r="IR79" s="289"/>
      <c r="IS79" s="289"/>
      <c r="IT79" s="289"/>
      <c r="IU79" s="289"/>
      <c r="IV79" s="289"/>
      <c r="IW79" s="289"/>
      <c r="IX79" s="289"/>
    </row>
    <row r="80" spans="1:258" s="21" customFormat="1" ht="17.100000000000001" customHeight="1">
      <c r="A80" s="377"/>
      <c r="B80" s="377"/>
      <c r="C80" s="1217"/>
      <c r="D80" s="1224"/>
      <c r="E80" s="1229"/>
      <c r="F80" s="1229"/>
      <c r="G80" s="1229"/>
      <c r="H80" s="1229"/>
      <c r="I80" s="1229"/>
      <c r="J80" s="1230"/>
      <c r="K80" s="1230"/>
      <c r="L80" s="1230"/>
      <c r="M80" s="1230"/>
      <c r="N80" s="1230"/>
      <c r="O80" s="1230"/>
      <c r="P80" s="1230"/>
      <c r="Q80" s="1230"/>
      <c r="R80" s="1229"/>
      <c r="S80" s="1229"/>
      <c r="T80" s="1229"/>
      <c r="U80" s="1229"/>
      <c r="V80" s="1236"/>
      <c r="W80" s="1221"/>
      <c r="X80" s="1222"/>
      <c r="Y80" s="1231"/>
      <c r="Z80" s="1231"/>
      <c r="AA80" s="1231"/>
      <c r="AB80" s="1231"/>
      <c r="AC80" s="1230"/>
      <c r="AD80" s="1217"/>
      <c r="AE80" s="1229"/>
      <c r="AF80" s="1229"/>
      <c r="AG80" s="1229"/>
      <c r="AH80" s="1217"/>
      <c r="AI80" s="1229"/>
      <c r="AJ80" s="377"/>
      <c r="AK80" s="1221"/>
      <c r="AL80" s="1222"/>
      <c r="AM80" s="1230"/>
      <c r="AN80" s="1230"/>
      <c r="AO80" s="1230"/>
      <c r="AP80" s="1230"/>
      <c r="AQ80" s="1230"/>
      <c r="AR80" s="1230"/>
      <c r="AS80" s="1230"/>
      <c r="AT80" s="1230"/>
      <c r="AU80" s="1230"/>
      <c r="AV80" s="1229"/>
      <c r="AW80" s="1217"/>
      <c r="AX80" s="1232"/>
      <c r="AY80" s="1232"/>
      <c r="AZ80" s="1233"/>
      <c r="BA80" s="1234"/>
      <c r="BB80" s="1235"/>
      <c r="BC80" s="377"/>
      <c r="BD80" s="289"/>
      <c r="BE80" s="289"/>
      <c r="BF80" s="289"/>
      <c r="BG80" s="289"/>
      <c r="BH80" s="289"/>
      <c r="BI80" s="289"/>
      <c r="BJ80" s="289"/>
      <c r="BK80" s="289"/>
      <c r="BL80" s="289"/>
      <c r="BM80" s="289"/>
      <c r="BN80" s="289"/>
      <c r="BO80" s="289"/>
      <c r="BP80" s="289"/>
      <c r="BQ80" s="289"/>
      <c r="BR80" s="289"/>
      <c r="BS80" s="289"/>
      <c r="BT80" s="289"/>
      <c r="BU80" s="289"/>
      <c r="BV80" s="289"/>
      <c r="BW80" s="289"/>
      <c r="BX80" s="289"/>
      <c r="BY80" s="289"/>
      <c r="BZ80" s="289"/>
      <c r="CA80" s="289"/>
      <c r="CB80" s="289"/>
      <c r="CC80" s="289"/>
      <c r="CD80" s="289"/>
      <c r="CE80" s="289"/>
      <c r="CF80" s="289"/>
      <c r="CG80" s="289"/>
      <c r="CH80" s="289"/>
      <c r="CI80" s="289"/>
      <c r="CJ80" s="289"/>
      <c r="CK80" s="289"/>
      <c r="CL80" s="289"/>
      <c r="CM80" s="289"/>
      <c r="CN80" s="289"/>
      <c r="CO80" s="289"/>
      <c r="CP80" s="235">
        <f t="shared" si="113"/>
        <v>42396</v>
      </c>
      <c r="CQ80" s="300">
        <f t="shared" ref="CQ80:CT84" ca="1" si="129">IF(SUM($CQ37:$CT37)=0,"",+CQ37*$G37*8.34)</f>
        <v>74.142600000000002</v>
      </c>
      <c r="CR80" s="301">
        <f t="shared" ca="1" si="129"/>
        <v>493.89480000000003</v>
      </c>
      <c r="CS80" s="301">
        <f t="shared" ca="1" si="129"/>
        <v>16489.207988399998</v>
      </c>
      <c r="CT80" s="301">
        <f t="shared" ca="1" si="129"/>
        <v>29190</v>
      </c>
      <c r="CU80" s="300">
        <f t="shared" ref="CU80:CX84" ca="1" si="130">IF(SUM($CU37:$CX37)=0,"",+CU37*$G37*8.34)</f>
        <v>957.43200000000002</v>
      </c>
      <c r="CV80" s="301">
        <f t="shared" ca="1" si="130"/>
        <v>2778.8879999999999</v>
      </c>
      <c r="CW80" s="301">
        <f t="shared" ca="1" si="130"/>
        <v>11200.751772</v>
      </c>
      <c r="CX80" s="301">
        <f t="shared" ca="1" si="130"/>
        <v>12376.56</v>
      </c>
      <c r="CY80" s="293"/>
      <c r="CZ80" s="289"/>
      <c r="DA80" s="289"/>
      <c r="DB80" s="289"/>
      <c r="DC80" s="289"/>
      <c r="DD80" s="289"/>
      <c r="DE80" s="482"/>
      <c r="DF80" s="482"/>
      <c r="DG80" s="482"/>
      <c r="DH80" s="482"/>
      <c r="DI80" s="482"/>
      <c r="DJ80" s="482"/>
      <c r="DK80" s="482"/>
      <c r="DL80" s="482"/>
      <c r="DM80" s="482"/>
      <c r="DN80" s="482"/>
      <c r="DO80" s="366"/>
      <c r="DP80" s="366"/>
      <c r="DQ80" s="366"/>
      <c r="DR80" s="366"/>
      <c r="DS80" s="366"/>
      <c r="DT80" s="573">
        <f t="shared" si="120"/>
        <v>42396</v>
      </c>
      <c r="DU80" s="440">
        <f t="shared" si="121"/>
        <v>42396</v>
      </c>
      <c r="DV80" s="571">
        <f t="shared" ca="1" si="114"/>
        <v>95</v>
      </c>
      <c r="DW80" s="571">
        <f t="shared" ca="1" si="115"/>
        <v>140</v>
      </c>
      <c r="DX80" s="571">
        <f t="shared" ca="1" si="116"/>
        <v>131</v>
      </c>
      <c r="DY80" s="571">
        <f t="shared" ca="1" si="117"/>
        <v>152955.6</v>
      </c>
      <c r="DZ80" s="571">
        <f t="shared" ca="1" si="118"/>
        <v>13</v>
      </c>
      <c r="EA80" s="571">
        <f t="shared" ca="1" si="119"/>
        <v>15178.8</v>
      </c>
      <c r="EB80" s="571">
        <f t="shared" ca="1" si="123"/>
        <v>130</v>
      </c>
      <c r="EC80" s="571">
        <f t="shared" ca="1" si="124"/>
        <v>151788</v>
      </c>
      <c r="ED80" s="571">
        <f t="shared" ca="1" si="125"/>
        <v>8</v>
      </c>
      <c r="EE80" s="571">
        <f t="shared" ca="1" si="126"/>
        <v>9340.7999999999993</v>
      </c>
      <c r="EF80" s="571">
        <f t="shared" ca="1" si="112"/>
        <v>56</v>
      </c>
      <c r="EG80" s="404"/>
      <c r="EH80" s="289"/>
      <c r="EI80" s="289"/>
      <c r="EJ80" s="289"/>
      <c r="EK80" s="289"/>
      <c r="EL80" s="289"/>
      <c r="EM80" s="289"/>
      <c r="EN80" s="289"/>
      <c r="EO80" s="289"/>
      <c r="EP80" s="289"/>
      <c r="EQ80" s="289"/>
      <c r="ER80" s="289"/>
      <c r="ES80" s="289"/>
      <c r="ET80" s="289"/>
      <c r="EU80" s="289"/>
      <c r="EV80" s="289"/>
      <c r="EW80" s="289"/>
      <c r="EX80" s="289"/>
      <c r="EY80" s="289"/>
      <c r="EZ80" s="289"/>
      <c r="FA80" s="289"/>
      <c r="FB80" s="289"/>
      <c r="FC80" s="289"/>
      <c r="FD80" s="289"/>
      <c r="FE80" s="289"/>
      <c r="FF80" s="289"/>
      <c r="FG80" s="289"/>
      <c r="FH80" s="289"/>
      <c r="FI80" s="289"/>
      <c r="FJ80" s="289"/>
      <c r="FK80" s="289"/>
      <c r="FL80" s="289"/>
      <c r="FM80" s="289"/>
      <c r="FN80" s="289"/>
      <c r="FO80" s="289"/>
      <c r="FP80" s="289"/>
      <c r="FQ80" s="289"/>
      <c r="FR80" s="289"/>
      <c r="FS80" s="289"/>
      <c r="FT80" s="289"/>
      <c r="FU80" s="289"/>
      <c r="FV80" s="289"/>
      <c r="FW80" s="289"/>
      <c r="FX80" s="289"/>
      <c r="FY80" s="289"/>
      <c r="FZ80" s="289"/>
      <c r="GA80" s="289"/>
      <c r="GB80" s="289"/>
      <c r="GC80" s="289"/>
      <c r="GD80" s="289"/>
      <c r="GE80" s="289"/>
      <c r="GF80" s="289"/>
      <c r="GG80" s="289"/>
      <c r="GH80" s="289"/>
      <c r="GI80" s="289"/>
      <c r="GJ80" s="289"/>
      <c r="GK80" s="289"/>
      <c r="GL80" s="289"/>
      <c r="GM80" s="289"/>
      <c r="GN80" s="289"/>
      <c r="GO80" s="289"/>
      <c r="GP80" s="289"/>
      <c r="GQ80" s="289"/>
      <c r="GR80" s="289"/>
      <c r="GS80" s="289"/>
      <c r="GT80" s="289"/>
      <c r="GU80" s="289"/>
      <c r="GV80" s="289"/>
      <c r="GW80" s="289"/>
      <c r="GX80" s="289"/>
      <c r="GY80" s="289"/>
      <c r="GZ80" s="289"/>
      <c r="HA80" s="289"/>
      <c r="HB80" s="289"/>
      <c r="HC80" s="289"/>
      <c r="HD80" s="289"/>
      <c r="HE80" s="289"/>
      <c r="HF80" s="289"/>
      <c r="HG80" s="289"/>
      <c r="HH80" s="289"/>
      <c r="HI80" s="289"/>
      <c r="HJ80" s="289"/>
      <c r="HK80" s="289"/>
      <c r="HL80" s="289"/>
      <c r="HM80" s="289"/>
      <c r="HN80" s="289"/>
      <c r="HO80" s="289"/>
      <c r="HP80" s="289"/>
      <c r="HQ80" s="289"/>
      <c r="HR80" s="289"/>
      <c r="HS80" s="289"/>
      <c r="HT80" s="289"/>
      <c r="HU80" s="289"/>
      <c r="HV80" s="289"/>
      <c r="HW80" s="289"/>
      <c r="HX80" s="289"/>
      <c r="HY80" s="289"/>
      <c r="HZ80" s="289"/>
      <c r="IA80" s="289"/>
      <c r="IB80" s="289"/>
      <c r="IC80" s="289"/>
      <c r="ID80" s="289"/>
      <c r="IE80" s="289"/>
      <c r="IF80" s="289"/>
      <c r="IG80" s="289"/>
      <c r="IH80" s="289"/>
      <c r="II80" s="289"/>
      <c r="IJ80" s="289"/>
      <c r="IK80" s="289"/>
      <c r="IL80" s="289"/>
      <c r="IM80" s="289"/>
      <c r="IN80" s="289"/>
      <c r="IO80" s="289"/>
      <c r="IP80" s="289"/>
      <c r="IQ80" s="289"/>
      <c r="IR80" s="289"/>
      <c r="IS80" s="289"/>
      <c r="IT80" s="289"/>
      <c r="IU80" s="289"/>
      <c r="IV80" s="289"/>
      <c r="IW80" s="289"/>
      <c r="IX80" s="289"/>
    </row>
    <row r="81" spans="1:258" s="21" customFormat="1" ht="17.100000000000001" customHeight="1">
      <c r="A81" s="377"/>
      <c r="B81" s="377"/>
      <c r="C81" s="1217"/>
      <c r="D81" s="1224"/>
      <c r="E81" s="1229"/>
      <c r="F81" s="1229"/>
      <c r="G81" s="1229"/>
      <c r="H81" s="1229"/>
      <c r="I81" s="1229"/>
      <c r="J81" s="1230"/>
      <c r="K81" s="1230"/>
      <c r="L81" s="1230"/>
      <c r="M81" s="1230"/>
      <c r="N81" s="1230"/>
      <c r="O81" s="1230"/>
      <c r="P81" s="1230"/>
      <c r="Q81" s="1230"/>
      <c r="R81" s="1229"/>
      <c r="S81" s="1229"/>
      <c r="T81" s="1229"/>
      <c r="U81" s="1229"/>
      <c r="V81" s="1236"/>
      <c r="W81" s="1221"/>
      <c r="X81" s="1222"/>
      <c r="Y81" s="1231"/>
      <c r="Z81" s="1231"/>
      <c r="AA81" s="1231"/>
      <c r="AB81" s="1231"/>
      <c r="AC81" s="1230"/>
      <c r="AD81" s="1217"/>
      <c r="AE81" s="1229"/>
      <c r="AF81" s="1229"/>
      <c r="AG81" s="1229"/>
      <c r="AH81" s="1217"/>
      <c r="AI81" s="1229"/>
      <c r="AJ81" s="377"/>
      <c r="AK81" s="1221"/>
      <c r="AL81" s="1222"/>
      <c r="AM81" s="1230"/>
      <c r="AN81" s="1230"/>
      <c r="AO81" s="1230"/>
      <c r="AP81" s="1230"/>
      <c r="AQ81" s="1230"/>
      <c r="AR81" s="1230"/>
      <c r="AS81" s="1230"/>
      <c r="AT81" s="1230"/>
      <c r="AU81" s="1230"/>
      <c r="AV81" s="1229"/>
      <c r="AW81" s="1240"/>
      <c r="AX81" s="1232"/>
      <c r="AY81" s="1232"/>
      <c r="AZ81" s="1233"/>
      <c r="BA81" s="1234"/>
      <c r="BB81" s="1235"/>
      <c r="BC81" s="377"/>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35">
        <f t="shared" si="113"/>
        <v>42397</v>
      </c>
      <c r="CQ81" s="300">
        <f t="shared" ca="1" si="129"/>
        <v>67.820880000000002</v>
      </c>
      <c r="CR81" s="301">
        <f t="shared" ca="1" si="129"/>
        <v>235.14213000000001</v>
      </c>
      <c r="CS81" s="301">
        <f t="shared" ca="1" si="129"/>
        <v>18351.054470789997</v>
      </c>
      <c r="CT81" s="301">
        <f t="shared" ca="1" si="129"/>
        <v>27525.461100000004</v>
      </c>
      <c r="CU81" s="300">
        <f t="shared" ca="1" si="130"/>
        <v>642.51359999999988</v>
      </c>
      <c r="CV81" s="301">
        <f t="shared" ca="1" si="130"/>
        <v>1882.9217999999998</v>
      </c>
      <c r="CW81" s="301">
        <f t="shared" ca="1" si="130"/>
        <v>11703.0639672</v>
      </c>
      <c r="CX81" s="301">
        <f t="shared" ca="1" si="130"/>
        <v>11333.225999999999</v>
      </c>
      <c r="CY81" s="293"/>
      <c r="CZ81" s="289"/>
      <c r="DA81" s="289"/>
      <c r="DB81" s="289"/>
      <c r="DC81" s="289"/>
      <c r="DD81" s="289"/>
      <c r="DE81" s="482"/>
      <c r="DF81" s="482"/>
      <c r="DG81" s="482"/>
      <c r="DH81" s="482"/>
      <c r="DI81" s="482"/>
      <c r="DJ81" s="482"/>
      <c r="DK81" s="482"/>
      <c r="DL81" s="482"/>
      <c r="DM81" s="482"/>
      <c r="DN81" s="482"/>
      <c r="DO81" s="366"/>
      <c r="DP81" s="366"/>
      <c r="DQ81" s="366"/>
      <c r="DR81" s="366"/>
      <c r="DS81" s="366"/>
      <c r="DT81" s="573">
        <f t="shared" si="120"/>
        <v>42397</v>
      </c>
      <c r="DU81" s="440">
        <f t="shared" si="121"/>
        <v>42397</v>
      </c>
      <c r="DV81" s="571">
        <f t="shared" ca="1" si="114"/>
        <v>98</v>
      </c>
      <c r="DW81" s="571">
        <f t="shared" ca="1" si="115"/>
        <v>107</v>
      </c>
      <c r="DX81" s="571">
        <f t="shared" ca="1" si="116"/>
        <v>109</v>
      </c>
      <c r="DY81" s="571">
        <f t="shared" ca="1" si="117"/>
        <v>97269.42</v>
      </c>
      <c r="DZ81" s="571">
        <f t="shared" ca="1" si="118"/>
        <v>9</v>
      </c>
      <c r="EA81" s="571">
        <f t="shared" ca="1" si="119"/>
        <v>8031.42</v>
      </c>
      <c r="EB81" s="571">
        <f t="shared" ca="1" si="123"/>
        <v>131</v>
      </c>
      <c r="EC81" s="571">
        <f t="shared" ca="1" si="124"/>
        <v>116901.78</v>
      </c>
      <c r="ED81" s="571">
        <f t="shared" ca="1" si="125"/>
        <v>8</v>
      </c>
      <c r="EE81" s="571">
        <f t="shared" ca="1" si="126"/>
        <v>7139.04</v>
      </c>
      <c r="EF81" s="571">
        <f t="shared" ca="1" si="112"/>
        <v>20</v>
      </c>
      <c r="EG81" s="404"/>
      <c r="EH81" s="289"/>
      <c r="EI81" s="289"/>
      <c r="EJ81" s="289"/>
      <c r="EK81" s="289"/>
      <c r="EL81" s="289"/>
      <c r="EM81" s="289"/>
      <c r="EN81" s="289"/>
      <c r="EO81" s="289"/>
      <c r="EP81" s="289"/>
      <c r="EQ81" s="289"/>
      <c r="ER81" s="289"/>
      <c r="ES81" s="289"/>
      <c r="ET81" s="289"/>
      <c r="EU81" s="289"/>
      <c r="EV81" s="289"/>
      <c r="EW81" s="289"/>
      <c r="EX81" s="289"/>
      <c r="EY81" s="289"/>
      <c r="EZ81" s="289"/>
      <c r="FA81" s="289"/>
      <c r="FB81" s="289"/>
      <c r="FC81" s="289"/>
      <c r="FD81" s="289"/>
      <c r="FE81" s="289"/>
      <c r="FF81" s="289"/>
      <c r="FG81" s="289"/>
      <c r="FH81" s="289"/>
      <c r="FI81" s="289"/>
      <c r="FJ81" s="289"/>
      <c r="FK81" s="289"/>
      <c r="FL81" s="289"/>
      <c r="FM81" s="289"/>
      <c r="FN81" s="289"/>
      <c r="FO81" s="289"/>
      <c r="FP81" s="289"/>
      <c r="FQ81" s="289"/>
      <c r="FR81" s="289"/>
      <c r="FS81" s="289"/>
      <c r="FT81" s="289"/>
      <c r="FU81" s="289"/>
      <c r="FV81" s="289"/>
      <c r="FW81" s="289"/>
      <c r="FX81" s="289"/>
      <c r="FY81" s="289"/>
      <c r="FZ81" s="289"/>
      <c r="GA81" s="289"/>
      <c r="GB81" s="289"/>
      <c r="GC81" s="289"/>
      <c r="GD81" s="289"/>
      <c r="GE81" s="289"/>
      <c r="GF81" s="289"/>
      <c r="GG81" s="289"/>
      <c r="GH81" s="289"/>
      <c r="GI81" s="289"/>
      <c r="GJ81" s="289"/>
      <c r="GK81" s="289"/>
      <c r="GL81" s="289"/>
      <c r="GM81" s="289"/>
      <c r="GN81" s="289"/>
      <c r="GO81" s="289"/>
      <c r="GP81" s="289"/>
      <c r="GQ81" s="289"/>
      <c r="GR81" s="289"/>
      <c r="GS81" s="289"/>
      <c r="GT81" s="289"/>
      <c r="GU81" s="289"/>
      <c r="GV81" s="289"/>
      <c r="GW81" s="289"/>
      <c r="GX81" s="289"/>
      <c r="GY81" s="289"/>
      <c r="GZ81" s="289"/>
      <c r="HA81" s="289"/>
      <c r="HB81" s="289"/>
      <c r="HC81" s="289"/>
      <c r="HD81" s="289"/>
      <c r="HE81" s="289"/>
      <c r="HF81" s="289"/>
      <c r="HG81" s="289"/>
      <c r="HH81" s="289"/>
      <c r="HI81" s="289"/>
      <c r="HJ81" s="289"/>
      <c r="HK81" s="289"/>
      <c r="HL81" s="289"/>
      <c r="HM81" s="289"/>
      <c r="HN81" s="289"/>
      <c r="HO81" s="289"/>
      <c r="HP81" s="289"/>
      <c r="HQ81" s="289"/>
      <c r="HR81" s="289"/>
      <c r="HS81" s="289"/>
      <c r="HT81" s="289"/>
      <c r="HU81" s="289"/>
      <c r="HV81" s="289"/>
      <c r="HW81" s="289"/>
      <c r="HX81" s="289"/>
      <c r="HY81" s="289"/>
      <c r="HZ81" s="289"/>
      <c r="IA81" s="289"/>
      <c r="IB81" s="289"/>
      <c r="IC81" s="289"/>
      <c r="ID81" s="289"/>
      <c r="IE81" s="289"/>
      <c r="IF81" s="289"/>
      <c r="IG81" s="289"/>
      <c r="IH81" s="289"/>
      <c r="II81" s="289"/>
      <c r="IJ81" s="289"/>
      <c r="IK81" s="289"/>
      <c r="IL81" s="289"/>
      <c r="IM81" s="289"/>
      <c r="IN81" s="289"/>
      <c r="IO81" s="289"/>
      <c r="IP81" s="289"/>
      <c r="IQ81" s="289"/>
      <c r="IR81" s="289"/>
      <c r="IS81" s="289"/>
      <c r="IT81" s="289"/>
      <c r="IU81" s="289"/>
      <c r="IV81" s="289"/>
      <c r="IW81" s="289"/>
      <c r="IX81" s="289"/>
    </row>
    <row r="82" spans="1:258" s="21" customFormat="1" ht="17.100000000000001" customHeight="1">
      <c r="A82" s="377"/>
      <c r="B82" s="377"/>
      <c r="C82" s="1217"/>
      <c r="D82" s="1224"/>
      <c r="E82" s="1229"/>
      <c r="F82" s="1229"/>
      <c r="G82" s="1229"/>
      <c r="H82" s="1229"/>
      <c r="I82" s="1229"/>
      <c r="J82" s="1230"/>
      <c r="K82" s="1230"/>
      <c r="L82" s="1230"/>
      <c r="M82" s="1230"/>
      <c r="N82" s="1230"/>
      <c r="O82" s="1230"/>
      <c r="P82" s="1230"/>
      <c r="Q82" s="1230"/>
      <c r="R82" s="1229"/>
      <c r="S82" s="1229"/>
      <c r="T82" s="1229"/>
      <c r="U82" s="1229"/>
      <c r="V82" s="1236"/>
      <c r="W82" s="1221"/>
      <c r="X82" s="1222"/>
      <c r="Y82" s="1231"/>
      <c r="Z82" s="1231"/>
      <c r="AA82" s="1231"/>
      <c r="AB82" s="1231"/>
      <c r="AC82" s="1230"/>
      <c r="AD82" s="1217"/>
      <c r="AE82" s="1229"/>
      <c r="AF82" s="1229"/>
      <c r="AG82" s="1229"/>
      <c r="AH82" s="1217"/>
      <c r="AI82" s="1229"/>
      <c r="AJ82" s="377"/>
      <c r="AK82" s="1221"/>
      <c r="AL82" s="1222"/>
      <c r="AM82" s="1230"/>
      <c r="AN82" s="1230"/>
      <c r="AO82" s="1230"/>
      <c r="AP82" s="1230"/>
      <c r="AQ82" s="1230"/>
      <c r="AR82" s="1230"/>
      <c r="AS82" s="1230"/>
      <c r="AT82" s="1230"/>
      <c r="AU82" s="1230"/>
      <c r="AV82" s="1229"/>
      <c r="AW82" s="1240"/>
      <c r="AX82" s="1232"/>
      <c r="AY82" s="1232"/>
      <c r="AZ82" s="1233"/>
      <c r="BA82" s="1234"/>
      <c r="BB82" s="1235"/>
      <c r="BC82" s="377"/>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35">
        <f t="shared" si="113"/>
        <v>42398</v>
      </c>
      <c r="CQ82" s="300">
        <f t="shared" ca="1" si="129"/>
        <v>50.540399999999998</v>
      </c>
      <c r="CR82" s="301">
        <f t="shared" ca="1" si="129"/>
        <v>137.30142000000001</v>
      </c>
      <c r="CS82" s="301">
        <f t="shared" ca="1" si="129"/>
        <v>20365.012428419999</v>
      </c>
      <c r="CT82" s="301">
        <f t="shared" ca="1" si="129"/>
        <v>30020.997599999999</v>
      </c>
      <c r="CU82" s="300">
        <f t="shared" ca="1" si="130"/>
        <v>648.60179999999991</v>
      </c>
      <c r="CV82" s="301">
        <f t="shared" ca="1" si="130"/>
        <v>2105.85</v>
      </c>
      <c r="CW82" s="301">
        <f t="shared" ca="1" si="130"/>
        <v>10944.532043399999</v>
      </c>
      <c r="CX82" s="301">
        <f t="shared" ca="1" si="130"/>
        <v>11203.122000000001</v>
      </c>
      <c r="CY82" s="293"/>
      <c r="CZ82" s="289"/>
      <c r="DA82" s="289"/>
      <c r="DB82" s="289"/>
      <c r="DC82" s="289"/>
      <c r="DD82" s="289"/>
      <c r="DE82" s="482"/>
      <c r="DF82" s="482"/>
      <c r="DG82" s="482"/>
      <c r="DH82" s="482"/>
      <c r="DI82" s="482"/>
      <c r="DJ82" s="482"/>
      <c r="DK82" s="482"/>
      <c r="DL82" s="482"/>
      <c r="DM82" s="482"/>
      <c r="DN82" s="482"/>
      <c r="DO82" s="366"/>
      <c r="DP82" s="366"/>
      <c r="DQ82" s="366"/>
      <c r="DR82" s="366"/>
      <c r="DS82" s="366"/>
      <c r="DT82" s="573">
        <f t="shared" si="120"/>
        <v>42398</v>
      </c>
      <c r="DU82" s="440">
        <f t="shared" si="121"/>
        <v>42398</v>
      </c>
      <c r="DV82" s="571">
        <f t="shared" ca="1" si="114"/>
        <v>101</v>
      </c>
      <c r="DW82" s="571">
        <f t="shared" ca="1" si="115"/>
        <v>101</v>
      </c>
      <c r="DX82" s="571">
        <f t="shared" ca="1" si="116"/>
        <v>158</v>
      </c>
      <c r="DY82" s="571">
        <f t="shared" ca="1" si="117"/>
        <v>133089.72</v>
      </c>
      <c r="DZ82" s="571">
        <f t="shared" ca="1" si="118"/>
        <v>8</v>
      </c>
      <c r="EA82" s="571">
        <f t="shared" ca="1" si="119"/>
        <v>6738.72</v>
      </c>
      <c r="EB82" s="571">
        <f t="shared" ca="1" si="123"/>
        <v>123</v>
      </c>
      <c r="EC82" s="571">
        <f t="shared" ca="1" si="124"/>
        <v>103607.81999999999</v>
      </c>
      <c r="ED82" s="571">
        <f t="shared" ca="1" si="125"/>
        <v>5</v>
      </c>
      <c r="EE82" s="571">
        <f t="shared" ca="1" si="126"/>
        <v>4211.7</v>
      </c>
      <c r="EF82" s="571">
        <f t="shared" ca="1" si="112"/>
        <v>372</v>
      </c>
      <c r="EG82" s="404"/>
      <c r="EH82" s="289"/>
      <c r="EI82" s="289"/>
      <c r="EJ82" s="289"/>
      <c r="EK82" s="289"/>
      <c r="EL82" s="289"/>
      <c r="EM82" s="289"/>
      <c r="EN82" s="289"/>
      <c r="EO82" s="289"/>
      <c r="EP82" s="289"/>
      <c r="EQ82" s="289"/>
      <c r="ER82" s="289"/>
      <c r="ES82" s="289"/>
      <c r="ET82" s="289"/>
      <c r="EU82" s="289"/>
      <c r="EV82" s="289"/>
      <c r="EW82" s="289"/>
      <c r="EX82" s="289"/>
      <c r="EY82" s="289"/>
      <c r="EZ82" s="289"/>
      <c r="FA82" s="289"/>
      <c r="FB82" s="289"/>
      <c r="FC82" s="289"/>
      <c r="FD82" s="289"/>
      <c r="FE82" s="289"/>
      <c r="FF82" s="289"/>
      <c r="FG82" s="289"/>
      <c r="FH82" s="289"/>
      <c r="FI82" s="289"/>
      <c r="FJ82" s="289"/>
      <c r="FK82" s="289"/>
      <c r="FL82" s="289"/>
      <c r="FM82" s="289"/>
      <c r="FN82" s="289"/>
      <c r="FO82" s="289"/>
      <c r="FP82" s="289"/>
      <c r="FQ82" s="289"/>
      <c r="FR82" s="289"/>
      <c r="FS82" s="289"/>
      <c r="FT82" s="289"/>
      <c r="FU82" s="289"/>
      <c r="FV82" s="289"/>
      <c r="FW82" s="289"/>
      <c r="FX82" s="289"/>
      <c r="FY82" s="289"/>
      <c r="FZ82" s="289"/>
      <c r="GA82" s="289"/>
      <c r="GB82" s="289"/>
      <c r="GC82" s="289"/>
      <c r="GD82" s="289"/>
      <c r="GE82" s="289"/>
      <c r="GF82" s="289"/>
      <c r="GG82" s="289"/>
      <c r="GH82" s="289"/>
      <c r="GI82" s="289"/>
      <c r="GJ82" s="289"/>
      <c r="GK82" s="289"/>
      <c r="GL82" s="289"/>
      <c r="GM82" s="289"/>
      <c r="GN82" s="289"/>
      <c r="GO82" s="289"/>
      <c r="GP82" s="289"/>
      <c r="GQ82" s="289"/>
      <c r="GR82" s="289"/>
      <c r="GS82" s="289"/>
      <c r="GT82" s="289"/>
      <c r="GU82" s="289"/>
      <c r="GV82" s="289"/>
      <c r="GW82" s="289"/>
      <c r="GX82" s="289"/>
      <c r="GY82" s="289"/>
      <c r="GZ82" s="289"/>
      <c r="HA82" s="289"/>
      <c r="HB82" s="289"/>
      <c r="HC82" s="289"/>
      <c r="HD82" s="289"/>
      <c r="HE82" s="289"/>
      <c r="HF82" s="289"/>
      <c r="HG82" s="289"/>
      <c r="HH82" s="289"/>
      <c r="HI82" s="289"/>
      <c r="HJ82" s="289"/>
      <c r="HK82" s="289"/>
      <c r="HL82" s="289"/>
      <c r="HM82" s="289"/>
      <c r="HN82" s="289"/>
      <c r="HO82" s="289"/>
      <c r="HP82" s="289"/>
      <c r="HQ82" s="289"/>
      <c r="HR82" s="289"/>
      <c r="HS82" s="289"/>
      <c r="HT82" s="289"/>
      <c r="HU82" s="289"/>
      <c r="HV82" s="289"/>
      <c r="HW82" s="289"/>
      <c r="HX82" s="289"/>
      <c r="HY82" s="289"/>
      <c r="HZ82" s="289"/>
      <c r="IA82" s="289"/>
      <c r="IB82" s="289"/>
      <c r="IC82" s="289"/>
      <c r="ID82" s="289"/>
      <c r="IE82" s="289"/>
      <c r="IF82" s="289"/>
      <c r="IG82" s="289"/>
      <c r="IH82" s="289"/>
      <c r="II82" s="289"/>
      <c r="IJ82" s="289"/>
      <c r="IK82" s="289"/>
      <c r="IL82" s="289"/>
      <c r="IM82" s="289"/>
      <c r="IN82" s="289"/>
      <c r="IO82" s="289"/>
      <c r="IP82" s="289"/>
      <c r="IQ82" s="289"/>
      <c r="IR82" s="289"/>
      <c r="IS82" s="289"/>
      <c r="IT82" s="289"/>
      <c r="IU82" s="289"/>
      <c r="IV82" s="289"/>
      <c r="IW82" s="289"/>
      <c r="IX82" s="289"/>
    </row>
    <row r="83" spans="1:258" s="21" customFormat="1" ht="17.100000000000001" customHeight="1">
      <c r="A83" s="377"/>
      <c r="B83" s="377"/>
      <c r="C83" s="1217"/>
      <c r="D83" s="1224"/>
      <c r="E83" s="1229"/>
      <c r="F83" s="1229"/>
      <c r="G83" s="1229"/>
      <c r="H83" s="1229"/>
      <c r="I83" s="1229"/>
      <c r="J83" s="1230"/>
      <c r="K83" s="1230"/>
      <c r="L83" s="1230"/>
      <c r="M83" s="1230"/>
      <c r="N83" s="1230"/>
      <c r="O83" s="1230"/>
      <c r="P83" s="1230"/>
      <c r="Q83" s="1230"/>
      <c r="R83" s="1229"/>
      <c r="S83" s="1229"/>
      <c r="T83" s="1229"/>
      <c r="U83" s="1229"/>
      <c r="V83" s="1236"/>
      <c r="W83" s="1221"/>
      <c r="X83" s="1222"/>
      <c r="Y83" s="1231"/>
      <c r="Z83" s="1231"/>
      <c r="AA83" s="1231"/>
      <c r="AB83" s="1231"/>
      <c r="AC83" s="1230"/>
      <c r="AD83" s="1217"/>
      <c r="AE83" s="1229"/>
      <c r="AF83" s="1229"/>
      <c r="AG83" s="1229"/>
      <c r="AH83" s="1217"/>
      <c r="AI83" s="1229"/>
      <c r="AJ83" s="377"/>
      <c r="AK83" s="1221"/>
      <c r="AL83" s="1222"/>
      <c r="AM83" s="1230"/>
      <c r="AN83" s="1230"/>
      <c r="AO83" s="1230"/>
      <c r="AP83" s="1230"/>
      <c r="AQ83" s="1230"/>
      <c r="AR83" s="1230"/>
      <c r="AS83" s="1230"/>
      <c r="AT83" s="1230"/>
      <c r="AU83" s="1230"/>
      <c r="AV83" s="1229"/>
      <c r="AW83" s="1240"/>
      <c r="AX83" s="1232"/>
      <c r="AY83" s="1232"/>
      <c r="AZ83" s="1233"/>
      <c r="BA83" s="1234"/>
      <c r="BB83" s="1235"/>
      <c r="BC83" s="377"/>
      <c r="BD83" s="289"/>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c r="CL83" s="289"/>
      <c r="CM83" s="289"/>
      <c r="CN83" s="289"/>
      <c r="CO83" s="289"/>
      <c r="CP83" s="235">
        <f t="shared" si="113"/>
        <v>42399</v>
      </c>
      <c r="CQ83" s="300">
        <f t="shared" ca="1" si="129"/>
        <v>22.100999999999999</v>
      </c>
      <c r="CR83" s="301">
        <f t="shared" ca="1" si="129"/>
        <v>133.02300000000002</v>
      </c>
      <c r="CS83" s="301">
        <f t="shared" ca="1" si="129"/>
        <v>23211.684503999997</v>
      </c>
      <c r="CT83" s="301">
        <f t="shared" ca="1" si="129"/>
        <v>30695.37</v>
      </c>
      <c r="CU83" s="300">
        <f t="shared" ca="1" si="130"/>
        <v>583.79999999999995</v>
      </c>
      <c r="CV83" s="301">
        <f t="shared" ca="1" si="130"/>
        <v>2335.1999999999998</v>
      </c>
      <c r="CW83" s="301">
        <f t="shared" ca="1" si="130"/>
        <v>11747.62392</v>
      </c>
      <c r="CX83" s="301">
        <f t="shared" ca="1" si="130"/>
        <v>11342.4</v>
      </c>
      <c r="CY83" s="293"/>
      <c r="CZ83" s="289"/>
      <c r="DA83" s="289"/>
      <c r="DB83" s="289"/>
      <c r="DC83" s="289"/>
      <c r="DD83" s="289"/>
      <c r="DE83" s="482"/>
      <c r="DF83" s="482"/>
      <c r="DG83" s="482"/>
      <c r="DH83" s="482"/>
      <c r="DI83" s="482"/>
      <c r="DJ83" s="482"/>
      <c r="DK83" s="482"/>
      <c r="DL83" s="482"/>
      <c r="DM83" s="482"/>
      <c r="DN83" s="482"/>
      <c r="DO83" s="366"/>
      <c r="DP83" s="366"/>
      <c r="DQ83" s="366"/>
      <c r="DR83" s="366"/>
      <c r="DS83" s="366"/>
      <c r="DT83" s="573">
        <f t="shared" si="120"/>
        <v>42399</v>
      </c>
      <c r="DU83" s="440">
        <f t="shared" si="121"/>
        <v>42399</v>
      </c>
      <c r="DV83" s="571">
        <f t="shared" ca="1" si="114"/>
        <v>100</v>
      </c>
      <c r="DW83" s="571">
        <f t="shared" ca="1" si="115"/>
        <v>100</v>
      </c>
      <c r="DX83" s="571">
        <f t="shared" ca="1" si="116"/>
        <v>136</v>
      </c>
      <c r="DY83" s="571">
        <f t="shared" ca="1" si="117"/>
        <v>113424</v>
      </c>
      <c r="DZ83" s="571">
        <f t="shared" ca="1" si="118"/>
        <v>8</v>
      </c>
      <c r="EA83" s="571">
        <f t="shared" ca="1" si="119"/>
        <v>6672</v>
      </c>
      <c r="EB83" s="571">
        <f t="shared" ca="1" si="123"/>
        <v>116</v>
      </c>
      <c r="EC83" s="571">
        <f t="shared" ca="1" si="124"/>
        <v>96744</v>
      </c>
      <c r="ED83" s="571">
        <f t="shared" ca="1" si="125"/>
        <v>4</v>
      </c>
      <c r="EE83" s="571">
        <f t="shared" ca="1" si="126"/>
        <v>3336</v>
      </c>
      <c r="EF83" s="571">
        <f ca="1">IF($E40&gt;0,AE40,"")</f>
        <v>4000</v>
      </c>
      <c r="EG83" s="404"/>
      <c r="EH83" s="289"/>
      <c r="EI83" s="289"/>
      <c r="EJ83" s="289"/>
      <c r="EK83" s="289"/>
      <c r="EL83" s="289"/>
      <c r="EM83" s="289"/>
      <c r="EN83" s="289"/>
      <c r="EO83" s="289"/>
      <c r="EP83" s="289"/>
      <c r="EQ83" s="289"/>
      <c r="ER83" s="289"/>
      <c r="ES83" s="289"/>
      <c r="ET83" s="289"/>
      <c r="EU83" s="289"/>
      <c r="EV83" s="289"/>
      <c r="EW83" s="289"/>
      <c r="EX83" s="289"/>
      <c r="EY83" s="289"/>
      <c r="EZ83" s="289"/>
      <c r="FA83" s="289"/>
      <c r="FB83" s="289"/>
      <c r="FC83" s="289"/>
      <c r="FD83" s="289"/>
      <c r="FE83" s="289"/>
      <c r="FF83" s="289"/>
      <c r="FG83" s="289"/>
      <c r="FH83" s="289"/>
      <c r="FI83" s="289"/>
      <c r="FJ83" s="289"/>
      <c r="FK83" s="289"/>
      <c r="FL83" s="289"/>
      <c r="FM83" s="289"/>
      <c r="FN83" s="289"/>
      <c r="FO83" s="289"/>
      <c r="FP83" s="289"/>
      <c r="FQ83" s="289"/>
      <c r="FR83" s="289"/>
      <c r="FS83" s="289"/>
      <c r="FT83" s="289"/>
      <c r="FU83" s="289"/>
      <c r="FV83" s="289"/>
      <c r="FW83" s="289"/>
      <c r="FX83" s="289"/>
      <c r="FY83" s="289"/>
      <c r="FZ83" s="289"/>
      <c r="GA83" s="289"/>
      <c r="GB83" s="289"/>
      <c r="GC83" s="289"/>
      <c r="GD83" s="289"/>
      <c r="GE83" s="289"/>
      <c r="GF83" s="289"/>
      <c r="GG83" s="289"/>
      <c r="GH83" s="289"/>
      <c r="GI83" s="289"/>
      <c r="GJ83" s="289"/>
      <c r="GK83" s="289"/>
      <c r="GL83" s="289"/>
      <c r="GM83" s="289"/>
      <c r="GN83" s="289"/>
      <c r="GO83" s="289"/>
      <c r="GP83" s="289"/>
      <c r="GQ83" s="289"/>
      <c r="GR83" s="289"/>
      <c r="GS83" s="289"/>
      <c r="GT83" s="289"/>
      <c r="GU83" s="289"/>
      <c r="GV83" s="289"/>
      <c r="GW83" s="289"/>
      <c r="GX83" s="289"/>
      <c r="GY83" s="289"/>
      <c r="GZ83" s="289"/>
      <c r="HA83" s="289"/>
      <c r="HB83" s="289"/>
      <c r="HC83" s="289"/>
      <c r="HD83" s="289"/>
      <c r="HE83" s="289"/>
      <c r="HF83" s="289"/>
      <c r="HG83" s="289"/>
      <c r="HH83" s="289"/>
      <c r="HI83" s="289"/>
      <c r="HJ83" s="289"/>
      <c r="HK83" s="289"/>
      <c r="HL83" s="289"/>
      <c r="HM83" s="289"/>
      <c r="HN83" s="289"/>
      <c r="HO83" s="289"/>
      <c r="HP83" s="289"/>
      <c r="HQ83" s="289"/>
      <c r="HR83" s="289"/>
      <c r="HS83" s="289"/>
      <c r="HT83" s="289"/>
      <c r="HU83" s="289"/>
      <c r="HV83" s="289"/>
      <c r="HW83" s="289"/>
      <c r="HX83" s="289"/>
      <c r="HY83" s="289"/>
      <c r="HZ83" s="289"/>
      <c r="IA83" s="289"/>
      <c r="IB83" s="289"/>
      <c r="IC83" s="289"/>
      <c r="ID83" s="289"/>
      <c r="IE83" s="289"/>
      <c r="IF83" s="289"/>
      <c r="IG83" s="289"/>
      <c r="IH83" s="289"/>
      <c r="II83" s="289"/>
      <c r="IJ83" s="289"/>
      <c r="IK83" s="289"/>
      <c r="IL83" s="289"/>
      <c r="IM83" s="289"/>
      <c r="IN83" s="289"/>
      <c r="IO83" s="289"/>
      <c r="IP83" s="289"/>
      <c r="IQ83" s="289"/>
      <c r="IR83" s="289"/>
      <c r="IS83" s="289"/>
      <c r="IT83" s="289"/>
      <c r="IU83" s="289"/>
      <c r="IV83" s="289"/>
      <c r="IW83" s="289"/>
      <c r="IX83" s="289"/>
    </row>
    <row r="84" spans="1:258" s="21" customFormat="1" ht="17.100000000000001" customHeight="1" thickBot="1">
      <c r="A84" s="377"/>
      <c r="B84" s="377"/>
      <c r="C84" s="1217"/>
      <c r="D84" s="1224"/>
      <c r="E84" s="1229"/>
      <c r="F84" s="1229"/>
      <c r="G84" s="1229"/>
      <c r="H84" s="1229"/>
      <c r="I84" s="1229"/>
      <c r="J84" s="1230"/>
      <c r="K84" s="1230"/>
      <c r="L84" s="1230"/>
      <c r="M84" s="1230"/>
      <c r="N84" s="1230"/>
      <c r="O84" s="1230"/>
      <c r="P84" s="1230"/>
      <c r="Q84" s="1230"/>
      <c r="R84" s="1229"/>
      <c r="S84" s="1229"/>
      <c r="T84" s="1229"/>
      <c r="U84" s="1229"/>
      <c r="V84" s="1236"/>
      <c r="W84" s="1221"/>
      <c r="X84" s="1222"/>
      <c r="Y84" s="1231"/>
      <c r="Z84" s="1231"/>
      <c r="AA84" s="1231"/>
      <c r="AB84" s="1231"/>
      <c r="AC84" s="1230"/>
      <c r="AD84" s="1217"/>
      <c r="AE84" s="1229"/>
      <c r="AF84" s="1229"/>
      <c r="AG84" s="1229"/>
      <c r="AH84" s="1217"/>
      <c r="AI84" s="1229"/>
      <c r="AJ84" s="377"/>
      <c r="AK84" s="1221"/>
      <c r="AL84" s="1222"/>
      <c r="AM84" s="1230"/>
      <c r="AN84" s="1230"/>
      <c r="AO84" s="1230"/>
      <c r="AP84" s="1230"/>
      <c r="AQ84" s="1230"/>
      <c r="AR84" s="1230"/>
      <c r="AS84" s="1230"/>
      <c r="AT84" s="1230"/>
      <c r="AU84" s="1230"/>
      <c r="AV84" s="1229"/>
      <c r="AW84" s="1240"/>
      <c r="AX84" s="1232"/>
      <c r="AY84" s="1232"/>
      <c r="AZ84" s="1233"/>
      <c r="BA84" s="1234"/>
      <c r="BB84" s="1235"/>
      <c r="BC84" s="377"/>
      <c r="BD84" s="289"/>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c r="CL84" s="289"/>
      <c r="CM84" s="289"/>
      <c r="CN84" s="289"/>
      <c r="CO84" s="289"/>
      <c r="CP84" s="302">
        <f t="shared" si="113"/>
        <v>42400</v>
      </c>
      <c r="CQ84" s="300">
        <f t="shared" ca="1" si="129"/>
        <v>16.021139999999999</v>
      </c>
      <c r="CR84" s="301">
        <f t="shared" ca="1" si="129"/>
        <v>144.19026000000002</v>
      </c>
      <c r="CS84" s="301">
        <f t="shared" ca="1" si="129"/>
        <v>23682.95664117</v>
      </c>
      <c r="CT84" s="301">
        <f t="shared" ca="1" si="129"/>
        <v>33102.502500000002</v>
      </c>
      <c r="CU84" s="300">
        <f t="shared" ca="1" si="130"/>
        <v>537.17939999999999</v>
      </c>
      <c r="CV84" s="301">
        <f t="shared" ca="1" si="130"/>
        <v>1894.2641999999996</v>
      </c>
      <c r="CW84" s="301">
        <f t="shared" ca="1" si="130"/>
        <v>16250.204605200001</v>
      </c>
      <c r="CX84" s="301">
        <f t="shared" ca="1" si="130"/>
        <v>15172.962000000001</v>
      </c>
      <c r="CY84" s="293"/>
      <c r="CZ84" s="289"/>
      <c r="DA84" s="289"/>
      <c r="DB84" s="289"/>
      <c r="DC84" s="289"/>
      <c r="DD84" s="289"/>
      <c r="DE84" s="482"/>
      <c r="DF84" s="482"/>
      <c r="DG84" s="482"/>
      <c r="DH84" s="482"/>
      <c r="DI84" s="482"/>
      <c r="DJ84" s="482"/>
      <c r="DK84" s="482"/>
      <c r="DL84" s="482"/>
      <c r="DM84" s="482"/>
      <c r="DN84" s="482"/>
      <c r="DO84" s="366"/>
      <c r="DP84" s="366"/>
      <c r="DQ84" s="366"/>
      <c r="DR84" s="366"/>
      <c r="DS84" s="366"/>
      <c r="DT84" s="573">
        <f t="shared" si="120"/>
        <v>42400</v>
      </c>
      <c r="DU84" s="440">
        <f t="shared" si="121"/>
        <v>42400</v>
      </c>
      <c r="DV84" s="571">
        <f t="shared" ca="1" si="114"/>
        <v>96</v>
      </c>
      <c r="DW84" s="571">
        <f t="shared" ca="1" si="115"/>
        <v>113</v>
      </c>
      <c r="DX84" s="571">
        <f t="shared" ca="1" si="116"/>
        <v>131</v>
      </c>
      <c r="DY84" s="571">
        <f t="shared" ca="1" si="117"/>
        <v>123457.02</v>
      </c>
      <c r="DZ84" s="571">
        <f t="shared" ca="1" si="118"/>
        <v>12</v>
      </c>
      <c r="EA84" s="571">
        <f t="shared" ca="1" si="119"/>
        <v>11309.039999999999</v>
      </c>
      <c r="EB84" s="571">
        <f t="shared" ca="1" si="123"/>
        <v>116</v>
      </c>
      <c r="EC84" s="571">
        <f t="shared" ca="1" si="124"/>
        <v>109320.72</v>
      </c>
      <c r="ED84" s="571">
        <f t="shared" ca="1" si="125"/>
        <v>8</v>
      </c>
      <c r="EE84" s="571">
        <f t="shared" ca="1" si="126"/>
        <v>7539.36</v>
      </c>
      <c r="EF84" s="571">
        <f ca="1">IF($E41&gt;0,AE41,"")</f>
        <v>21</v>
      </c>
      <c r="EG84" s="404"/>
      <c r="EH84" s="289"/>
      <c r="EI84" s="289"/>
      <c r="EJ84" s="289"/>
      <c r="EK84" s="289"/>
      <c r="EL84" s="289"/>
      <c r="EM84" s="289"/>
      <c r="EN84" s="289"/>
      <c r="EO84" s="289"/>
      <c r="EP84" s="289"/>
      <c r="EQ84" s="289"/>
      <c r="ER84" s="289"/>
      <c r="ES84" s="289"/>
      <c r="ET84" s="289"/>
      <c r="EU84" s="289"/>
      <c r="EV84" s="289"/>
      <c r="EW84" s="289"/>
      <c r="EX84" s="289"/>
      <c r="EY84" s="289"/>
      <c r="EZ84" s="289"/>
      <c r="FA84" s="289"/>
      <c r="FB84" s="289"/>
      <c r="FC84" s="289"/>
      <c r="FD84" s="289"/>
      <c r="FE84" s="289"/>
      <c r="FF84" s="289"/>
      <c r="FG84" s="289"/>
      <c r="FH84" s="289"/>
      <c r="FI84" s="289"/>
      <c r="FJ84" s="289"/>
      <c r="FK84" s="289"/>
      <c r="FL84" s="289"/>
      <c r="FM84" s="289"/>
      <c r="FN84" s="289"/>
      <c r="FO84" s="289"/>
      <c r="FP84" s="289"/>
      <c r="FQ84" s="289"/>
      <c r="FR84" s="289"/>
      <c r="FS84" s="289"/>
      <c r="FT84" s="289"/>
      <c r="FU84" s="289"/>
      <c r="FV84" s="289"/>
      <c r="FW84" s="289"/>
      <c r="FX84" s="289"/>
      <c r="FY84" s="289"/>
      <c r="FZ84" s="289"/>
      <c r="GA84" s="289"/>
      <c r="GB84" s="289"/>
      <c r="GC84" s="289"/>
      <c r="GD84" s="289"/>
      <c r="GE84" s="289"/>
      <c r="GF84" s="289"/>
      <c r="GG84" s="289"/>
      <c r="GH84" s="289"/>
      <c r="GI84" s="289"/>
      <c r="GJ84" s="289"/>
      <c r="GK84" s="289"/>
      <c r="GL84" s="289"/>
      <c r="GM84" s="289"/>
      <c r="GN84" s="289"/>
      <c r="GO84" s="289"/>
      <c r="GP84" s="289"/>
      <c r="GQ84" s="289"/>
      <c r="GR84" s="289"/>
      <c r="GS84" s="289"/>
      <c r="GT84" s="289"/>
      <c r="GU84" s="289"/>
      <c r="GV84" s="289"/>
      <c r="GW84" s="289"/>
      <c r="GX84" s="289"/>
      <c r="GY84" s="289"/>
      <c r="GZ84" s="289"/>
      <c r="HA84" s="289"/>
      <c r="HB84" s="289"/>
      <c r="HC84" s="289"/>
      <c r="HD84" s="289"/>
      <c r="HE84" s="289"/>
      <c r="HF84" s="289"/>
      <c r="HG84" s="289"/>
      <c r="HH84" s="289"/>
      <c r="HI84" s="289"/>
      <c r="HJ84" s="289"/>
      <c r="HK84" s="289"/>
      <c r="HL84" s="289"/>
      <c r="HM84" s="289"/>
      <c r="HN84" s="289"/>
      <c r="HO84" s="289"/>
      <c r="HP84" s="289"/>
      <c r="HQ84" s="289"/>
      <c r="HR84" s="289"/>
      <c r="HS84" s="289"/>
      <c r="HT84" s="289"/>
      <c r="HU84" s="289"/>
      <c r="HV84" s="289"/>
      <c r="HW84" s="289"/>
      <c r="HX84" s="289"/>
      <c r="HY84" s="289"/>
      <c r="HZ84" s="289"/>
      <c r="IA84" s="289"/>
      <c r="IB84" s="289"/>
      <c r="IC84" s="289"/>
      <c r="ID84" s="289"/>
      <c r="IE84" s="289"/>
      <c r="IF84" s="289"/>
      <c r="IG84" s="289"/>
      <c r="IH84" s="289"/>
      <c r="II84" s="289"/>
      <c r="IJ84" s="289"/>
      <c r="IK84" s="289"/>
      <c r="IL84" s="289"/>
      <c r="IM84" s="289"/>
      <c r="IN84" s="289"/>
      <c r="IO84" s="289"/>
      <c r="IP84" s="289"/>
      <c r="IQ84" s="289"/>
      <c r="IR84" s="289"/>
      <c r="IS84" s="289"/>
      <c r="IT84" s="289"/>
      <c r="IU84" s="289"/>
      <c r="IV84" s="289"/>
      <c r="IW84" s="289"/>
      <c r="IX84" s="289"/>
    </row>
    <row r="85" spans="1:258" s="21" customFormat="1" ht="17.100000000000001" customHeight="1" thickBot="1">
      <c r="A85" s="377"/>
      <c r="B85" s="377"/>
      <c r="C85" s="1217"/>
      <c r="D85" s="1224"/>
      <c r="E85" s="1229"/>
      <c r="F85" s="1229"/>
      <c r="G85" s="1229"/>
      <c r="H85" s="1229"/>
      <c r="I85" s="1229"/>
      <c r="J85" s="1230"/>
      <c r="K85" s="1230"/>
      <c r="L85" s="1230"/>
      <c r="M85" s="1230"/>
      <c r="N85" s="1230"/>
      <c r="O85" s="1230"/>
      <c r="P85" s="1230"/>
      <c r="Q85" s="1230"/>
      <c r="R85" s="1229"/>
      <c r="S85" s="1229"/>
      <c r="T85" s="1229"/>
      <c r="U85" s="1229"/>
      <c r="V85" s="1236"/>
      <c r="W85" s="1221"/>
      <c r="X85" s="1222"/>
      <c r="Y85" s="1231"/>
      <c r="Z85" s="1231"/>
      <c r="AA85" s="1231"/>
      <c r="AB85" s="1231"/>
      <c r="AC85" s="1230"/>
      <c r="AD85" s="1217"/>
      <c r="AE85" s="1229"/>
      <c r="AF85" s="1229"/>
      <c r="AG85" s="1229"/>
      <c r="AH85" s="1217"/>
      <c r="AI85" s="1229"/>
      <c r="AJ85" s="377"/>
      <c r="AK85" s="1221"/>
      <c r="AL85" s="1222"/>
      <c r="AM85" s="1230"/>
      <c r="AN85" s="1230"/>
      <c r="AO85" s="1230"/>
      <c r="AP85" s="1230"/>
      <c r="AQ85" s="1230"/>
      <c r="AR85" s="1230"/>
      <c r="AS85" s="1230"/>
      <c r="AT85" s="1230"/>
      <c r="AU85" s="1230"/>
      <c r="AV85" s="1229"/>
      <c r="AW85" s="1240"/>
      <c r="AX85" s="1232"/>
      <c r="AY85" s="1232"/>
      <c r="AZ85" s="1233"/>
      <c r="BA85" s="1234"/>
      <c r="BB85" s="1235"/>
      <c r="BC85" s="377"/>
      <c r="BD85" s="289"/>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c r="CL85" s="289"/>
      <c r="CM85" s="289"/>
      <c r="CN85" s="289"/>
      <c r="CO85" s="289"/>
      <c r="CP85" s="297" t="s">
        <v>131</v>
      </c>
      <c r="CQ85" s="298">
        <f t="shared" ref="CQ85:CX85" ca="1" si="131">AVERAGE(CQ54:CQ84)</f>
        <v>43.82024322580645</v>
      </c>
      <c r="CR85" s="299">
        <f t="shared" ca="1" si="131"/>
        <v>126.51470612903225</v>
      </c>
      <c r="CS85" s="299">
        <f t="shared" ca="1" si="131"/>
        <v>20856.396981236128</v>
      </c>
      <c r="CT85" s="299">
        <f t="shared" ca="1" si="131"/>
        <v>30331.873790322577</v>
      </c>
      <c r="CU85" s="298">
        <f t="shared" ca="1" si="131"/>
        <v>566.38554193548384</v>
      </c>
      <c r="CV85" s="299">
        <f t="shared" ca="1" si="131"/>
        <v>2743.7039612903222</v>
      </c>
      <c r="CW85" s="299">
        <f t="shared" ca="1" si="131"/>
        <v>11425.576988399998</v>
      </c>
      <c r="CX85" s="299">
        <f t="shared" ca="1" si="131"/>
        <v>11711.51225806452</v>
      </c>
      <c r="CY85" s="293"/>
      <c r="CZ85" s="289"/>
      <c r="DA85" s="289"/>
      <c r="DB85" s="289"/>
      <c r="DC85" s="289"/>
      <c r="DD85" s="289"/>
      <c r="DE85" s="482"/>
      <c r="DF85" s="482"/>
      <c r="DG85" s="482"/>
      <c r="DH85" s="482"/>
      <c r="DI85" s="482"/>
      <c r="DJ85" s="482"/>
      <c r="DK85" s="482"/>
      <c r="DL85" s="482"/>
      <c r="DM85" s="482"/>
      <c r="DN85" s="482"/>
      <c r="DO85" s="366"/>
      <c r="DP85" s="366"/>
      <c r="DQ85" s="366"/>
      <c r="DR85" s="366"/>
      <c r="DS85" s="366"/>
      <c r="DT85" s="574"/>
      <c r="DU85" s="574"/>
      <c r="DV85" s="574"/>
      <c r="DW85" s="574"/>
      <c r="DX85" s="574"/>
      <c r="DY85" s="574"/>
      <c r="DZ85" s="574"/>
      <c r="EA85" s="574"/>
      <c r="EB85" s="574"/>
      <c r="EC85" s="574"/>
      <c r="ED85" s="574"/>
      <c r="EE85" s="574"/>
      <c r="EF85" s="574"/>
      <c r="EG85" s="366"/>
      <c r="EH85" s="289"/>
      <c r="EI85" s="289"/>
      <c r="EJ85" s="289"/>
      <c r="EK85" s="289"/>
      <c r="EL85" s="289"/>
      <c r="EM85" s="289"/>
      <c r="EN85" s="289"/>
      <c r="EO85" s="289"/>
      <c r="EP85" s="289"/>
      <c r="EQ85" s="289"/>
      <c r="ER85" s="289"/>
      <c r="ES85" s="289"/>
      <c r="ET85" s="289"/>
      <c r="EU85" s="289"/>
      <c r="EV85" s="289"/>
      <c r="EW85" s="289"/>
      <c r="EX85" s="289"/>
      <c r="EY85" s="289"/>
      <c r="EZ85" s="289"/>
      <c r="FA85" s="289"/>
      <c r="FB85" s="289"/>
      <c r="FC85" s="289"/>
      <c r="FD85" s="289"/>
      <c r="FE85" s="289"/>
      <c r="FF85" s="289"/>
      <c r="FG85" s="289"/>
      <c r="FH85" s="289"/>
      <c r="FI85" s="289"/>
      <c r="FJ85" s="289"/>
      <c r="FK85" s="289"/>
      <c r="FL85" s="289"/>
      <c r="FM85" s="289"/>
      <c r="FN85" s="289"/>
      <c r="FO85" s="289"/>
      <c r="FP85" s="289"/>
      <c r="FQ85" s="289"/>
      <c r="FR85" s="289"/>
      <c r="FS85" s="289"/>
      <c r="FT85" s="289"/>
      <c r="FU85" s="289"/>
      <c r="FV85" s="289"/>
      <c r="FW85" s="289"/>
      <c r="FX85" s="289"/>
      <c r="FY85" s="289"/>
      <c r="FZ85" s="289"/>
      <c r="GA85" s="289"/>
      <c r="GB85" s="289"/>
      <c r="GC85" s="289"/>
      <c r="GD85" s="289"/>
      <c r="GE85" s="289"/>
      <c r="GF85" s="289"/>
      <c r="GG85" s="289"/>
      <c r="GH85" s="289"/>
      <c r="GI85" s="289"/>
      <c r="GJ85" s="289"/>
      <c r="GK85" s="289"/>
      <c r="GL85" s="289"/>
      <c r="GM85" s="289"/>
      <c r="GN85" s="289"/>
      <c r="GO85" s="289"/>
      <c r="GP85" s="289"/>
      <c r="GQ85" s="289"/>
      <c r="GR85" s="289"/>
      <c r="GS85" s="289"/>
      <c r="GT85" s="289"/>
      <c r="GU85" s="289"/>
      <c r="GV85" s="289"/>
      <c r="GW85" s="289"/>
      <c r="GX85" s="289"/>
      <c r="GY85" s="289"/>
      <c r="GZ85" s="289"/>
      <c r="HA85" s="289"/>
      <c r="HB85" s="289"/>
      <c r="HC85" s="289"/>
      <c r="HD85" s="289"/>
      <c r="HE85" s="289"/>
      <c r="HF85" s="289"/>
      <c r="HG85" s="289"/>
      <c r="HH85" s="289"/>
      <c r="HI85" s="289"/>
      <c r="HJ85" s="289"/>
      <c r="HK85" s="289"/>
      <c r="HL85" s="289"/>
      <c r="HM85" s="289"/>
      <c r="HN85" s="289"/>
      <c r="HO85" s="289"/>
      <c r="HP85" s="289"/>
      <c r="HQ85" s="289"/>
      <c r="HR85" s="289"/>
      <c r="HS85" s="289"/>
      <c r="HT85" s="289"/>
      <c r="HU85" s="289"/>
      <c r="HV85" s="289"/>
      <c r="HW85" s="289"/>
      <c r="HX85" s="289"/>
      <c r="HY85" s="289"/>
      <c r="HZ85" s="289"/>
      <c r="IA85" s="289"/>
      <c r="IB85" s="289"/>
      <c r="IC85" s="289"/>
      <c r="ID85" s="289"/>
      <c r="IE85" s="289"/>
      <c r="IF85" s="289"/>
      <c r="IG85" s="289"/>
      <c r="IH85" s="289"/>
      <c r="II85" s="289"/>
      <c r="IJ85" s="289"/>
      <c r="IK85" s="289"/>
      <c r="IL85" s="289"/>
      <c r="IM85" s="289"/>
      <c r="IN85" s="289"/>
      <c r="IO85" s="289"/>
      <c r="IP85" s="289"/>
      <c r="IQ85" s="289"/>
      <c r="IR85" s="289"/>
      <c r="IS85" s="289"/>
      <c r="IT85" s="289"/>
      <c r="IU85" s="289"/>
      <c r="IV85" s="289"/>
      <c r="IW85" s="289"/>
      <c r="IX85" s="289"/>
    </row>
    <row r="86" spans="1:258" s="21" customFormat="1" ht="17.100000000000001" customHeight="1">
      <c r="A86" s="377"/>
      <c r="B86" s="377"/>
      <c r="C86" s="1217"/>
      <c r="D86" s="1224"/>
      <c r="E86" s="1229"/>
      <c r="F86" s="1229"/>
      <c r="G86" s="1229"/>
      <c r="H86" s="1229"/>
      <c r="I86" s="1229"/>
      <c r="J86" s="1230"/>
      <c r="K86" s="1230"/>
      <c r="L86" s="1230"/>
      <c r="M86" s="1230"/>
      <c r="N86" s="1230"/>
      <c r="O86" s="1230"/>
      <c r="P86" s="1230"/>
      <c r="Q86" s="1230"/>
      <c r="R86" s="1229"/>
      <c r="S86" s="1229"/>
      <c r="T86" s="1229"/>
      <c r="U86" s="1229"/>
      <c r="V86" s="1236"/>
      <c r="W86" s="1221"/>
      <c r="X86" s="1222"/>
      <c r="Y86" s="1231"/>
      <c r="Z86" s="1231"/>
      <c r="AA86" s="1231"/>
      <c r="AB86" s="1231"/>
      <c r="AC86" s="1230"/>
      <c r="AD86" s="1217"/>
      <c r="AE86" s="1229"/>
      <c r="AF86" s="1229"/>
      <c r="AG86" s="1229"/>
      <c r="AH86" s="1217"/>
      <c r="AI86" s="1229"/>
      <c r="AJ86" s="377"/>
      <c r="AK86" s="1221"/>
      <c r="AL86" s="1222"/>
      <c r="AM86" s="1230"/>
      <c r="AN86" s="1230"/>
      <c r="AO86" s="1230"/>
      <c r="AP86" s="1230"/>
      <c r="AQ86" s="1230"/>
      <c r="AR86" s="1230"/>
      <c r="AS86" s="1230"/>
      <c r="AT86" s="1230"/>
      <c r="AU86" s="1230"/>
      <c r="AV86" s="1229"/>
      <c r="AW86" s="1240"/>
      <c r="AX86" s="1232"/>
      <c r="AY86" s="1232"/>
      <c r="AZ86" s="1233"/>
      <c r="BA86" s="1234"/>
      <c r="BB86" s="1235"/>
      <c r="BC86" s="377"/>
      <c r="BD86" s="289"/>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c r="CL86" s="289"/>
      <c r="CM86" s="289"/>
      <c r="CN86" s="289"/>
      <c r="CO86" s="289"/>
      <c r="CP86" s="303"/>
      <c r="CQ86" s="303"/>
      <c r="CR86" s="303"/>
      <c r="CS86" s="303"/>
      <c r="CT86" s="303"/>
      <c r="CU86" s="303"/>
      <c r="CV86" s="303"/>
      <c r="CW86" s="303"/>
      <c r="CX86" s="303"/>
      <c r="CY86" s="289"/>
      <c r="CZ86" s="289"/>
      <c r="DA86" s="289"/>
      <c r="DB86" s="289"/>
      <c r="DC86" s="289"/>
      <c r="DD86" s="289"/>
      <c r="DE86" s="382"/>
      <c r="DF86" s="382"/>
      <c r="DG86" s="382"/>
      <c r="DH86" s="382"/>
      <c r="DI86" s="382"/>
      <c r="DJ86" s="382"/>
      <c r="DK86" s="382"/>
      <c r="DL86" s="382"/>
      <c r="DM86" s="382"/>
      <c r="DN86" s="382"/>
      <c r="DO86" s="382"/>
      <c r="DP86" s="382"/>
      <c r="DQ86" s="382"/>
      <c r="DR86" s="382"/>
      <c r="DS86" s="289"/>
      <c r="DT86" s="289"/>
      <c r="DU86" s="289"/>
      <c r="DV86" s="289"/>
      <c r="DW86" s="289"/>
      <c r="DX86" s="289"/>
      <c r="DY86" s="289"/>
      <c r="DZ86" s="289"/>
      <c r="EA86" s="289"/>
      <c r="EB86" s="289"/>
      <c r="EC86" s="289"/>
      <c r="ED86" s="289"/>
      <c r="EE86" s="289"/>
      <c r="EF86" s="289"/>
      <c r="EG86" s="289"/>
      <c r="EH86" s="289"/>
      <c r="EI86" s="289"/>
      <c r="EJ86" s="289"/>
      <c r="EK86" s="289"/>
      <c r="EL86" s="289"/>
      <c r="EM86" s="289"/>
      <c r="EN86" s="289"/>
      <c r="EO86" s="289"/>
      <c r="EP86" s="289"/>
      <c r="EQ86" s="289"/>
      <c r="ER86" s="289"/>
      <c r="ES86" s="289"/>
      <c r="ET86" s="289"/>
      <c r="EU86" s="289"/>
      <c r="EV86" s="289"/>
      <c r="EW86" s="289"/>
      <c r="EX86" s="289"/>
      <c r="EY86" s="289"/>
      <c r="EZ86" s="289"/>
      <c r="FA86" s="289"/>
      <c r="FB86" s="289"/>
      <c r="FC86" s="289"/>
      <c r="FD86" s="289"/>
      <c r="FE86" s="289"/>
      <c r="FF86" s="289"/>
      <c r="FG86" s="289"/>
      <c r="FH86" s="289"/>
      <c r="FI86" s="289"/>
      <c r="FJ86" s="289"/>
      <c r="FK86" s="289"/>
      <c r="FL86" s="289"/>
      <c r="FM86" s="289"/>
      <c r="FN86" s="289"/>
      <c r="FO86" s="289"/>
      <c r="FP86" s="289"/>
      <c r="FQ86" s="289"/>
      <c r="FR86" s="289"/>
      <c r="FS86" s="289"/>
      <c r="FT86" s="289"/>
      <c r="FU86" s="289"/>
      <c r="FV86" s="289"/>
      <c r="FW86" s="289"/>
      <c r="FX86" s="289"/>
      <c r="FY86" s="289"/>
      <c r="FZ86" s="289"/>
      <c r="GA86" s="289"/>
      <c r="GB86" s="289"/>
      <c r="GC86" s="289"/>
      <c r="GD86" s="289"/>
      <c r="GE86" s="289"/>
      <c r="GF86" s="289"/>
      <c r="GG86" s="289"/>
      <c r="GH86" s="289"/>
      <c r="GI86" s="289"/>
      <c r="GJ86" s="289"/>
      <c r="GK86" s="289"/>
      <c r="GL86" s="289"/>
      <c r="GM86" s="289"/>
      <c r="GN86" s="289"/>
      <c r="GO86" s="289"/>
      <c r="GP86" s="289"/>
      <c r="GQ86" s="289"/>
      <c r="GR86" s="289"/>
      <c r="GS86" s="289"/>
      <c r="GT86" s="289"/>
      <c r="GU86" s="289"/>
      <c r="GV86" s="289"/>
      <c r="GW86" s="289"/>
      <c r="GX86" s="289"/>
      <c r="GY86" s="289"/>
      <c r="GZ86" s="289"/>
      <c r="HA86" s="289"/>
      <c r="HB86" s="289"/>
      <c r="HC86" s="289"/>
      <c r="HD86" s="289"/>
      <c r="HE86" s="289"/>
      <c r="HF86" s="289"/>
      <c r="HG86" s="289"/>
      <c r="HH86" s="289"/>
      <c r="HI86" s="289"/>
      <c r="HJ86" s="289"/>
      <c r="HK86" s="289"/>
      <c r="HL86" s="289"/>
      <c r="HM86" s="289"/>
      <c r="HN86" s="289"/>
      <c r="HO86" s="289"/>
      <c r="HP86" s="289"/>
      <c r="HQ86" s="289"/>
      <c r="HR86" s="289"/>
      <c r="HS86" s="289"/>
      <c r="HT86" s="289"/>
      <c r="HU86" s="289"/>
      <c r="HV86" s="289"/>
      <c r="HW86" s="289"/>
      <c r="HX86" s="289"/>
      <c r="HY86" s="289"/>
      <c r="HZ86" s="289"/>
      <c r="IA86" s="289"/>
      <c r="IB86" s="289"/>
      <c r="IC86" s="289"/>
      <c r="ID86" s="289"/>
      <c r="IE86" s="289"/>
      <c r="IF86" s="289"/>
      <c r="IG86" s="289"/>
      <c r="IH86" s="289"/>
      <c r="II86" s="289"/>
      <c r="IJ86" s="289"/>
      <c r="IK86" s="289"/>
      <c r="IL86" s="289"/>
      <c r="IM86" s="289"/>
      <c r="IN86" s="289"/>
      <c r="IO86" s="289"/>
      <c r="IP86" s="289"/>
      <c r="IQ86" s="289"/>
      <c r="IR86" s="289"/>
      <c r="IS86" s="289"/>
      <c r="IT86" s="289"/>
      <c r="IU86" s="289"/>
      <c r="IV86" s="289"/>
      <c r="IW86" s="289"/>
      <c r="IX86" s="289"/>
    </row>
    <row r="87" spans="1:258" s="21" customFormat="1" ht="17.100000000000001" customHeight="1">
      <c r="A87" s="377"/>
      <c r="B87" s="377"/>
      <c r="C87" s="1217"/>
      <c r="D87" s="1224"/>
      <c r="E87" s="1229"/>
      <c r="F87" s="1229"/>
      <c r="G87" s="1229"/>
      <c r="H87" s="1229"/>
      <c r="I87" s="1229"/>
      <c r="J87" s="1230"/>
      <c r="K87" s="1230"/>
      <c r="L87" s="1230"/>
      <c r="M87" s="1230"/>
      <c r="N87" s="1230"/>
      <c r="O87" s="1230"/>
      <c r="P87" s="1230"/>
      <c r="Q87" s="1230"/>
      <c r="R87" s="1229"/>
      <c r="S87" s="1229"/>
      <c r="T87" s="1229"/>
      <c r="U87" s="1229"/>
      <c r="V87" s="1236"/>
      <c r="W87" s="1221"/>
      <c r="X87" s="1222"/>
      <c r="Y87" s="1231"/>
      <c r="Z87" s="1231"/>
      <c r="AA87" s="1231"/>
      <c r="AB87" s="1231"/>
      <c r="AC87" s="1230"/>
      <c r="AD87" s="1217"/>
      <c r="AE87" s="1229"/>
      <c r="AF87" s="1229"/>
      <c r="AG87" s="1229"/>
      <c r="AH87" s="1217"/>
      <c r="AI87" s="1229"/>
      <c r="AJ87" s="377"/>
      <c r="AK87" s="1221"/>
      <c r="AL87" s="1222"/>
      <c r="AM87" s="1230"/>
      <c r="AN87" s="1230"/>
      <c r="AO87" s="1230"/>
      <c r="AP87" s="1230"/>
      <c r="AQ87" s="1230"/>
      <c r="AR87" s="1230"/>
      <c r="AS87" s="1230"/>
      <c r="AT87" s="1230"/>
      <c r="AU87" s="1230"/>
      <c r="AV87" s="1229"/>
      <c r="AW87" s="1240"/>
      <c r="AX87" s="1232"/>
      <c r="AY87" s="1232"/>
      <c r="AZ87" s="1233"/>
      <c r="BA87" s="1234"/>
      <c r="BB87" s="1235"/>
      <c r="BC87" s="377"/>
      <c r="BD87" s="289"/>
      <c r="BE87" s="289"/>
      <c r="BF87" s="289"/>
      <c r="BG87" s="289"/>
      <c r="BH87" s="289"/>
      <c r="BI87" s="289"/>
      <c r="BJ87" s="289"/>
      <c r="BK87" s="289"/>
      <c r="BL87" s="289"/>
      <c r="BM87" s="289"/>
      <c r="BN87" s="289"/>
      <c r="BO87" s="289"/>
      <c r="BP87" s="289"/>
      <c r="BQ87" s="289"/>
      <c r="BR87" s="289"/>
      <c r="BS87" s="289"/>
      <c r="BT87" s="289"/>
      <c r="BU87" s="289"/>
      <c r="BV87" s="289"/>
      <c r="BW87" s="289"/>
      <c r="BX87" s="289"/>
      <c r="BY87" s="289"/>
      <c r="BZ87" s="289"/>
      <c r="CA87" s="289"/>
      <c r="CB87" s="289"/>
      <c r="CC87" s="289"/>
      <c r="CD87" s="289"/>
      <c r="CE87" s="289"/>
      <c r="CF87" s="289"/>
      <c r="CG87" s="289"/>
      <c r="CH87" s="289"/>
      <c r="CI87" s="289"/>
      <c r="CJ87" s="289"/>
      <c r="CK87" s="289"/>
      <c r="CL87" s="289"/>
      <c r="CM87" s="289"/>
      <c r="CN87" s="289"/>
      <c r="CO87" s="289"/>
      <c r="CP87" s="289"/>
      <c r="CQ87" s="289"/>
      <c r="CR87" s="289"/>
      <c r="CS87" s="289"/>
      <c r="CT87" s="289"/>
      <c r="CU87" s="289"/>
      <c r="CV87" s="289"/>
      <c r="CW87" s="289"/>
      <c r="CX87" s="289"/>
      <c r="CY87" s="289"/>
      <c r="CZ87" s="289"/>
      <c r="DA87" s="289"/>
      <c r="DB87" s="289"/>
      <c r="DC87" s="289"/>
      <c r="DD87" s="289"/>
      <c r="DE87" s="382"/>
      <c r="DF87" s="382"/>
      <c r="DG87" s="382"/>
      <c r="DH87" s="382"/>
      <c r="DI87" s="382"/>
      <c r="DJ87" s="382"/>
      <c r="DK87" s="382"/>
      <c r="DL87" s="382"/>
      <c r="DM87" s="382"/>
      <c r="DN87" s="382"/>
      <c r="DO87" s="382"/>
      <c r="DP87" s="382"/>
      <c r="DQ87" s="382"/>
      <c r="DR87" s="382"/>
      <c r="DS87" s="289"/>
      <c r="DT87" s="289"/>
      <c r="DU87" s="289"/>
      <c r="DV87" s="289"/>
      <c r="DW87" s="289"/>
      <c r="DX87" s="289"/>
      <c r="DY87" s="289"/>
      <c r="DZ87" s="289"/>
      <c r="EA87" s="289"/>
      <c r="EB87" s="289"/>
      <c r="EC87" s="289"/>
      <c r="ED87" s="289"/>
      <c r="EE87" s="289"/>
      <c r="EF87" s="289"/>
      <c r="EG87" s="289"/>
      <c r="EH87" s="289"/>
      <c r="EI87" s="289"/>
      <c r="EJ87" s="289"/>
      <c r="EK87" s="289"/>
      <c r="EL87" s="289"/>
      <c r="EM87" s="289"/>
      <c r="EN87" s="289"/>
      <c r="EO87" s="289"/>
      <c r="EP87" s="289"/>
      <c r="EQ87" s="289"/>
      <c r="ER87" s="289"/>
      <c r="ES87" s="289"/>
      <c r="ET87" s="289"/>
      <c r="EU87" s="289"/>
      <c r="EV87" s="289"/>
      <c r="EW87" s="289"/>
      <c r="EX87" s="289"/>
      <c r="EY87" s="289"/>
      <c r="EZ87" s="289"/>
      <c r="FA87" s="289"/>
      <c r="FB87" s="289"/>
      <c r="FC87" s="289"/>
      <c r="FD87" s="289"/>
      <c r="FE87" s="289"/>
      <c r="FF87" s="289"/>
      <c r="FG87" s="289"/>
      <c r="FH87" s="289"/>
      <c r="FI87" s="289"/>
      <c r="FJ87" s="289"/>
      <c r="FK87" s="289"/>
      <c r="FL87" s="289"/>
      <c r="FM87" s="289"/>
      <c r="FN87" s="289"/>
      <c r="FO87" s="289"/>
      <c r="FP87" s="289"/>
      <c r="FQ87" s="289"/>
      <c r="FR87" s="289"/>
      <c r="FS87" s="289"/>
      <c r="FT87" s="289"/>
      <c r="FU87" s="289"/>
      <c r="FV87" s="289"/>
      <c r="FW87" s="289"/>
      <c r="FX87" s="289"/>
      <c r="FY87" s="289"/>
      <c r="FZ87" s="289"/>
      <c r="GA87" s="289"/>
      <c r="GB87" s="289"/>
      <c r="GC87" s="289"/>
      <c r="GD87" s="289"/>
      <c r="GE87" s="289"/>
      <c r="GF87" s="289"/>
      <c r="GG87" s="289"/>
      <c r="GH87" s="289"/>
      <c r="GI87" s="289"/>
      <c r="GJ87" s="289"/>
      <c r="GK87" s="289"/>
      <c r="GL87" s="289"/>
      <c r="GM87" s="289"/>
      <c r="GN87" s="289"/>
      <c r="GO87" s="289"/>
      <c r="GP87" s="289"/>
      <c r="GQ87" s="289"/>
      <c r="GR87" s="289"/>
      <c r="GS87" s="289"/>
      <c r="GT87" s="289"/>
      <c r="GU87" s="289"/>
      <c r="GV87" s="289"/>
      <c r="GW87" s="289"/>
      <c r="GX87" s="289"/>
      <c r="GY87" s="289"/>
      <c r="GZ87" s="289"/>
      <c r="HA87" s="289"/>
      <c r="HB87" s="289"/>
      <c r="HC87" s="289"/>
      <c r="HD87" s="289"/>
      <c r="HE87" s="289"/>
      <c r="HF87" s="289"/>
      <c r="HG87" s="289"/>
      <c r="HH87" s="289"/>
      <c r="HI87" s="289"/>
      <c r="HJ87" s="289"/>
      <c r="HK87" s="289"/>
      <c r="HL87" s="289"/>
      <c r="HM87" s="289"/>
      <c r="HN87" s="289"/>
      <c r="HO87" s="289"/>
      <c r="HP87" s="289"/>
      <c r="HQ87" s="289"/>
      <c r="HR87" s="289"/>
      <c r="HS87" s="289"/>
      <c r="HT87" s="289"/>
      <c r="HU87" s="289"/>
      <c r="HV87" s="289"/>
      <c r="HW87" s="289"/>
      <c r="HX87" s="289"/>
      <c r="HY87" s="289"/>
      <c r="HZ87" s="289"/>
      <c r="IA87" s="289"/>
      <c r="IB87" s="289"/>
      <c r="IC87" s="289"/>
      <c r="ID87" s="289"/>
      <c r="IE87" s="289"/>
      <c r="IF87" s="289"/>
      <c r="IG87" s="289"/>
      <c r="IH87" s="289"/>
      <c r="II87" s="289"/>
      <c r="IJ87" s="289"/>
      <c r="IK87" s="289"/>
      <c r="IL87" s="289"/>
      <c r="IM87" s="289"/>
      <c r="IN87" s="289"/>
      <c r="IO87" s="289"/>
      <c r="IP87" s="289"/>
      <c r="IQ87" s="289"/>
      <c r="IR87" s="289"/>
      <c r="IS87" s="289"/>
      <c r="IT87" s="289"/>
      <c r="IU87" s="289"/>
      <c r="IV87" s="289"/>
      <c r="IW87" s="289"/>
      <c r="IX87" s="289"/>
    </row>
    <row r="88" spans="1:258" s="21" customFormat="1" ht="17.100000000000001" customHeight="1">
      <c r="A88" s="377"/>
      <c r="B88" s="377"/>
      <c r="C88" s="1217"/>
      <c r="D88" s="1224"/>
      <c r="E88" s="1229"/>
      <c r="F88" s="1229"/>
      <c r="G88" s="1229"/>
      <c r="H88" s="1229"/>
      <c r="I88" s="1229"/>
      <c r="J88" s="1230"/>
      <c r="K88" s="1230"/>
      <c r="L88" s="1230"/>
      <c r="M88" s="1230"/>
      <c r="N88" s="1230"/>
      <c r="O88" s="1230"/>
      <c r="P88" s="1230"/>
      <c r="Q88" s="1230"/>
      <c r="R88" s="1229"/>
      <c r="S88" s="1229"/>
      <c r="T88" s="1229"/>
      <c r="U88" s="1229"/>
      <c r="V88" s="1236"/>
      <c r="W88" s="1221"/>
      <c r="X88" s="1222"/>
      <c r="Y88" s="1231"/>
      <c r="Z88" s="1231"/>
      <c r="AA88" s="1231"/>
      <c r="AB88" s="1231"/>
      <c r="AC88" s="1230"/>
      <c r="AD88" s="1217"/>
      <c r="AE88" s="1229"/>
      <c r="AF88" s="1229"/>
      <c r="AG88" s="1229"/>
      <c r="AH88" s="1217"/>
      <c r="AI88" s="1229"/>
      <c r="AJ88" s="377"/>
      <c r="AK88" s="1221"/>
      <c r="AL88" s="1222"/>
      <c r="AM88" s="1230"/>
      <c r="AN88" s="1230"/>
      <c r="AO88" s="1230"/>
      <c r="AP88" s="1230"/>
      <c r="AQ88" s="1230"/>
      <c r="AR88" s="1230"/>
      <c r="AS88" s="1230"/>
      <c r="AT88" s="1230"/>
      <c r="AU88" s="1230"/>
      <c r="AV88" s="1229"/>
      <c r="AW88" s="1240"/>
      <c r="AX88" s="1232"/>
      <c r="AY88" s="1232"/>
      <c r="AZ88" s="1233"/>
      <c r="BA88" s="1234"/>
      <c r="BB88" s="1235"/>
      <c r="BC88" s="377"/>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c r="CL88" s="289"/>
      <c r="CM88" s="289"/>
      <c r="CN88" s="289"/>
      <c r="CO88" s="289"/>
      <c r="CP88" s="289"/>
      <c r="CQ88" s="289"/>
      <c r="CR88" s="289"/>
      <c r="CS88" s="289"/>
      <c r="CT88" s="289"/>
      <c r="CU88" s="289"/>
      <c r="CV88" s="289"/>
      <c r="CW88" s="289"/>
      <c r="CX88" s="289"/>
      <c r="CY88" s="289"/>
      <c r="CZ88" s="289"/>
      <c r="DA88" s="289"/>
      <c r="DB88" s="289"/>
      <c r="DC88" s="289"/>
      <c r="DD88" s="289"/>
      <c r="DE88" s="382"/>
      <c r="DF88" s="382"/>
      <c r="DG88" s="382"/>
      <c r="DH88" s="382"/>
      <c r="DI88" s="382"/>
      <c r="DJ88" s="382"/>
      <c r="DK88" s="382"/>
      <c r="DL88" s="382"/>
      <c r="DM88" s="382"/>
      <c r="DN88" s="382"/>
      <c r="DO88" s="382"/>
      <c r="DP88" s="382"/>
      <c r="DQ88" s="382"/>
      <c r="DR88" s="382"/>
      <c r="DS88" s="289"/>
      <c r="DT88" s="289"/>
      <c r="DU88" s="289"/>
      <c r="DV88" s="289"/>
      <c r="DW88" s="289"/>
      <c r="DX88" s="289"/>
      <c r="DY88" s="289"/>
      <c r="DZ88" s="289"/>
      <c r="EA88" s="289"/>
      <c r="EB88" s="289"/>
      <c r="EC88" s="289"/>
      <c r="ED88" s="289"/>
      <c r="EE88" s="289"/>
      <c r="EF88" s="289"/>
      <c r="EG88" s="289"/>
      <c r="EH88" s="289"/>
      <c r="EI88" s="289"/>
      <c r="EJ88" s="289"/>
      <c r="EK88" s="289"/>
      <c r="EL88" s="289"/>
      <c r="EM88" s="289"/>
      <c r="EN88" s="289"/>
      <c r="EO88" s="289"/>
      <c r="EP88" s="289"/>
      <c r="EQ88" s="289"/>
      <c r="ER88" s="289"/>
      <c r="ES88" s="289"/>
      <c r="ET88" s="289"/>
      <c r="EU88" s="289"/>
      <c r="EV88" s="289"/>
      <c r="EW88" s="289"/>
      <c r="EX88" s="289"/>
      <c r="EY88" s="289"/>
      <c r="EZ88" s="289"/>
      <c r="FA88" s="289"/>
      <c r="FB88" s="289"/>
      <c r="FC88" s="289"/>
      <c r="FD88" s="289"/>
      <c r="FE88" s="289"/>
      <c r="FF88" s="289"/>
      <c r="FG88" s="289"/>
      <c r="FH88" s="289"/>
      <c r="FI88" s="289"/>
      <c r="FJ88" s="289"/>
      <c r="FK88" s="289"/>
      <c r="FL88" s="289"/>
      <c r="FM88" s="289"/>
      <c r="FN88" s="289"/>
      <c r="FO88" s="289"/>
      <c r="FP88" s="289"/>
      <c r="FQ88" s="289"/>
      <c r="FR88" s="289"/>
      <c r="FS88" s="289"/>
      <c r="FT88" s="289"/>
      <c r="FU88" s="289"/>
      <c r="FV88" s="289"/>
      <c r="FW88" s="289"/>
      <c r="FX88" s="289"/>
      <c r="FY88" s="289"/>
      <c r="FZ88" s="289"/>
      <c r="GA88" s="289"/>
      <c r="GB88" s="289"/>
      <c r="GC88" s="289"/>
      <c r="GD88" s="289"/>
      <c r="GE88" s="289"/>
      <c r="GF88" s="289"/>
      <c r="GG88" s="289"/>
      <c r="GH88" s="289"/>
      <c r="GI88" s="289"/>
      <c r="GJ88" s="289"/>
      <c r="GK88" s="289"/>
      <c r="GL88" s="289"/>
      <c r="GM88" s="289"/>
      <c r="GN88" s="289"/>
      <c r="GO88" s="289"/>
      <c r="GP88" s="289"/>
      <c r="GQ88" s="289"/>
      <c r="GR88" s="289"/>
      <c r="GS88" s="289"/>
      <c r="GT88" s="289"/>
      <c r="GU88" s="289"/>
      <c r="GV88" s="289"/>
      <c r="GW88" s="289"/>
      <c r="GX88" s="289"/>
      <c r="GY88" s="289"/>
      <c r="GZ88" s="289"/>
      <c r="HA88" s="289"/>
      <c r="HB88" s="289"/>
      <c r="HC88" s="289"/>
      <c r="HD88" s="289"/>
      <c r="HE88" s="289"/>
      <c r="HF88" s="289"/>
      <c r="HG88" s="289"/>
      <c r="HH88" s="289"/>
      <c r="HI88" s="289"/>
      <c r="HJ88" s="289"/>
      <c r="HK88" s="289"/>
      <c r="HL88" s="289"/>
      <c r="HM88" s="289"/>
      <c r="HN88" s="289"/>
      <c r="HO88" s="289"/>
      <c r="HP88" s="289"/>
      <c r="HQ88" s="289"/>
      <c r="HR88" s="289"/>
      <c r="HS88" s="289"/>
      <c r="HT88" s="289"/>
      <c r="HU88" s="289"/>
      <c r="HV88" s="289"/>
      <c r="HW88" s="289"/>
      <c r="HX88" s="289"/>
      <c r="HY88" s="289"/>
      <c r="HZ88" s="289"/>
      <c r="IA88" s="289"/>
      <c r="IB88" s="289"/>
      <c r="IC88" s="289"/>
      <c r="ID88" s="289"/>
      <c r="IE88" s="289"/>
      <c r="IF88" s="289"/>
      <c r="IG88" s="289"/>
      <c r="IH88" s="289"/>
      <c r="II88" s="289"/>
      <c r="IJ88" s="289"/>
      <c r="IK88" s="289"/>
      <c r="IL88" s="289"/>
      <c r="IM88" s="289"/>
      <c r="IN88" s="289"/>
      <c r="IO88" s="289"/>
      <c r="IP88" s="289"/>
      <c r="IQ88" s="289"/>
      <c r="IR88" s="289"/>
      <c r="IS88" s="289"/>
      <c r="IT88" s="289"/>
      <c r="IU88" s="289"/>
      <c r="IV88" s="289"/>
      <c r="IW88" s="289"/>
      <c r="IX88" s="289"/>
    </row>
    <row r="89" spans="1:258" s="21" customFormat="1" ht="17.100000000000001" customHeight="1">
      <c r="A89" s="377"/>
      <c r="B89" s="377"/>
      <c r="C89" s="1217"/>
      <c r="D89" s="1224"/>
      <c r="E89" s="1229"/>
      <c r="F89" s="1229"/>
      <c r="G89" s="1229"/>
      <c r="H89" s="1229"/>
      <c r="I89" s="1229"/>
      <c r="J89" s="1230"/>
      <c r="K89" s="1230"/>
      <c r="L89" s="1230"/>
      <c r="M89" s="1230"/>
      <c r="N89" s="1230"/>
      <c r="O89" s="1230"/>
      <c r="P89" s="1230"/>
      <c r="Q89" s="1230"/>
      <c r="R89" s="1229"/>
      <c r="S89" s="1229"/>
      <c r="T89" s="1229"/>
      <c r="U89" s="1229"/>
      <c r="V89" s="1236"/>
      <c r="W89" s="1237"/>
      <c r="X89" s="1238"/>
      <c r="Y89" s="1231"/>
      <c r="Z89" s="1231"/>
      <c r="AA89" s="1231"/>
      <c r="AB89" s="1231"/>
      <c r="AC89" s="1230"/>
      <c r="AD89" s="1217"/>
      <c r="AE89" s="1229"/>
      <c r="AF89" s="1229"/>
      <c r="AG89" s="1229"/>
      <c r="AH89" s="1217"/>
      <c r="AI89" s="1229"/>
      <c r="AJ89" s="1239"/>
      <c r="AK89" s="1237"/>
      <c r="AL89" s="1238"/>
      <c r="AM89" s="1230"/>
      <c r="AN89" s="1230"/>
      <c r="AO89" s="1230"/>
      <c r="AP89" s="1230"/>
      <c r="AQ89" s="1230"/>
      <c r="AR89" s="1230"/>
      <c r="AS89" s="1230"/>
      <c r="AT89" s="1230"/>
      <c r="AU89" s="1230"/>
      <c r="AV89" s="1229"/>
      <c r="AW89" s="1240"/>
      <c r="AX89" s="1232"/>
      <c r="AY89" s="1232"/>
      <c r="AZ89" s="1233"/>
      <c r="BA89" s="1234"/>
      <c r="BB89" s="1235"/>
      <c r="BC89" s="377"/>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c r="CL89" s="289"/>
      <c r="CM89" s="289"/>
      <c r="CN89" s="289"/>
      <c r="CO89" s="289"/>
      <c r="CP89" s="289"/>
      <c r="CQ89" s="289"/>
      <c r="CR89" s="289"/>
      <c r="CS89" s="289"/>
      <c r="CT89" s="289"/>
      <c r="CU89" s="289"/>
      <c r="CV89" s="289"/>
      <c r="CW89" s="289"/>
      <c r="CX89" s="289"/>
      <c r="CY89" s="289"/>
      <c r="CZ89" s="289"/>
      <c r="DA89" s="289"/>
      <c r="DB89" s="289"/>
      <c r="DC89" s="289"/>
      <c r="DD89" s="289"/>
      <c r="DE89" s="382"/>
      <c r="DF89" s="382"/>
      <c r="DG89" s="382"/>
      <c r="DH89" s="382"/>
      <c r="DI89" s="382"/>
      <c r="DJ89" s="382"/>
      <c r="DK89" s="382"/>
      <c r="DL89" s="382"/>
      <c r="DM89" s="382"/>
      <c r="DN89" s="382"/>
      <c r="DO89" s="382"/>
      <c r="DP89" s="382"/>
      <c r="DQ89" s="382"/>
      <c r="DR89" s="382"/>
      <c r="DS89" s="289"/>
      <c r="DT89" s="289"/>
      <c r="DU89" s="289"/>
      <c r="DV89" s="289"/>
      <c r="DW89" s="289"/>
      <c r="DX89" s="289"/>
      <c r="DY89" s="289"/>
      <c r="DZ89" s="289"/>
      <c r="EA89" s="289"/>
      <c r="EB89" s="289"/>
      <c r="EC89" s="289"/>
      <c r="ED89" s="289"/>
      <c r="EE89" s="289"/>
      <c r="EF89" s="289"/>
      <c r="EG89" s="289"/>
      <c r="EH89" s="289"/>
      <c r="EI89" s="289"/>
      <c r="EJ89" s="289"/>
      <c r="EK89" s="289"/>
      <c r="EL89" s="289"/>
      <c r="EM89" s="289"/>
      <c r="EN89" s="289"/>
      <c r="EO89" s="289"/>
      <c r="EP89" s="289"/>
      <c r="EQ89" s="289"/>
      <c r="ER89" s="289"/>
      <c r="ES89" s="289"/>
      <c r="ET89" s="289"/>
      <c r="EU89" s="289"/>
      <c r="EV89" s="289"/>
      <c r="EW89" s="289"/>
      <c r="EX89" s="289"/>
      <c r="EY89" s="289"/>
      <c r="EZ89" s="289"/>
      <c r="FA89" s="289"/>
      <c r="FB89" s="289"/>
      <c r="FC89" s="289"/>
      <c r="FD89" s="289"/>
      <c r="FE89" s="289"/>
      <c r="FF89" s="289"/>
      <c r="FG89" s="289"/>
      <c r="FH89" s="289"/>
      <c r="FI89" s="289"/>
      <c r="FJ89" s="289"/>
      <c r="FK89" s="289"/>
      <c r="FL89" s="289"/>
      <c r="FM89" s="289"/>
      <c r="FN89" s="289"/>
      <c r="FO89" s="289"/>
      <c r="FP89" s="289"/>
      <c r="FQ89" s="289"/>
      <c r="FR89" s="289"/>
      <c r="FS89" s="289"/>
      <c r="FT89" s="289"/>
      <c r="FU89" s="289"/>
      <c r="FV89" s="289"/>
      <c r="FW89" s="289"/>
      <c r="FX89" s="289"/>
      <c r="FY89" s="289"/>
      <c r="FZ89" s="289"/>
      <c r="GA89" s="289"/>
      <c r="GB89" s="289"/>
      <c r="GC89" s="289"/>
      <c r="GD89" s="289"/>
      <c r="GE89" s="289"/>
      <c r="GF89" s="289"/>
      <c r="GG89" s="289"/>
      <c r="GH89" s="289"/>
      <c r="GI89" s="289"/>
      <c r="GJ89" s="289"/>
      <c r="GK89" s="289"/>
      <c r="GL89" s="289"/>
      <c r="GM89" s="289"/>
      <c r="GN89" s="289"/>
      <c r="GO89" s="289"/>
      <c r="GP89" s="289"/>
      <c r="GQ89" s="289"/>
      <c r="GR89" s="289"/>
      <c r="GS89" s="289"/>
      <c r="GT89" s="289"/>
      <c r="GU89" s="289"/>
      <c r="GV89" s="289"/>
      <c r="GW89" s="289"/>
      <c r="GX89" s="289"/>
      <c r="GY89" s="289"/>
      <c r="GZ89" s="289"/>
      <c r="HA89" s="289"/>
      <c r="HB89" s="289"/>
      <c r="HC89" s="289"/>
      <c r="HD89" s="289"/>
      <c r="HE89" s="289"/>
      <c r="HF89" s="289"/>
      <c r="HG89" s="289"/>
      <c r="HH89" s="289"/>
      <c r="HI89" s="289"/>
      <c r="HJ89" s="289"/>
      <c r="HK89" s="289"/>
      <c r="HL89" s="289"/>
      <c r="HM89" s="289"/>
      <c r="HN89" s="289"/>
      <c r="HO89" s="289"/>
      <c r="HP89" s="289"/>
      <c r="HQ89" s="289"/>
      <c r="HR89" s="289"/>
      <c r="HS89" s="289"/>
      <c r="HT89" s="289"/>
      <c r="HU89" s="289"/>
      <c r="HV89" s="289"/>
      <c r="HW89" s="289"/>
      <c r="HX89" s="289"/>
      <c r="HY89" s="289"/>
      <c r="HZ89" s="289"/>
      <c r="IA89" s="289"/>
      <c r="IB89" s="289"/>
      <c r="IC89" s="289"/>
      <c r="ID89" s="289"/>
      <c r="IE89" s="289"/>
      <c r="IF89" s="289"/>
      <c r="IG89" s="289"/>
      <c r="IH89" s="289"/>
      <c r="II89" s="289"/>
      <c r="IJ89" s="289"/>
      <c r="IK89" s="289"/>
      <c r="IL89" s="289"/>
      <c r="IM89" s="289"/>
      <c r="IN89" s="289"/>
      <c r="IO89" s="289"/>
      <c r="IP89" s="289"/>
      <c r="IQ89" s="289"/>
      <c r="IR89" s="289"/>
      <c r="IS89" s="289"/>
      <c r="IT89" s="289"/>
      <c r="IU89" s="289"/>
      <c r="IV89" s="289"/>
      <c r="IW89" s="289"/>
      <c r="IX89" s="289"/>
    </row>
    <row r="90" spans="1:258" s="21" customFormat="1" ht="17.100000000000001" customHeight="1">
      <c r="A90" s="377"/>
      <c r="B90" s="377"/>
      <c r="C90" s="1217"/>
      <c r="D90" s="1224"/>
      <c r="E90" s="1229"/>
      <c r="F90" s="1229"/>
      <c r="G90" s="1229"/>
      <c r="H90" s="1229"/>
      <c r="I90" s="1229"/>
      <c r="J90" s="1230"/>
      <c r="K90" s="1230"/>
      <c r="L90" s="1230"/>
      <c r="M90" s="1230"/>
      <c r="N90" s="1230"/>
      <c r="O90" s="1230"/>
      <c r="P90" s="1230"/>
      <c r="Q90" s="1230"/>
      <c r="R90" s="1229"/>
      <c r="S90" s="1229"/>
      <c r="T90" s="1229"/>
      <c r="U90" s="1229"/>
      <c r="V90" s="1236"/>
      <c r="W90" s="1237"/>
      <c r="X90" s="1238"/>
      <c r="Y90" s="1231"/>
      <c r="Z90" s="1231"/>
      <c r="AA90" s="1231"/>
      <c r="AB90" s="1231"/>
      <c r="AC90" s="1230"/>
      <c r="AD90" s="1217"/>
      <c r="AE90" s="1229"/>
      <c r="AF90" s="1229"/>
      <c r="AG90" s="1229"/>
      <c r="AH90" s="1217"/>
      <c r="AI90" s="1229"/>
      <c r="AJ90" s="1239"/>
      <c r="AK90" s="1237"/>
      <c r="AL90" s="1238"/>
      <c r="AM90" s="1230"/>
      <c r="AN90" s="1230"/>
      <c r="AO90" s="1230"/>
      <c r="AP90" s="1230"/>
      <c r="AQ90" s="1230"/>
      <c r="AR90" s="1230"/>
      <c r="AS90" s="1230"/>
      <c r="AT90" s="1230"/>
      <c r="AU90" s="1230"/>
      <c r="AV90" s="1229"/>
      <c r="AW90" s="1240"/>
      <c r="AX90" s="1232"/>
      <c r="AY90" s="1232"/>
      <c r="AZ90" s="1233"/>
      <c r="BA90" s="1234"/>
      <c r="BB90" s="1235"/>
      <c r="BC90" s="377"/>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c r="CL90" s="289"/>
      <c r="CM90" s="289"/>
      <c r="CN90" s="289"/>
      <c r="CO90" s="289"/>
      <c r="CP90" s="289"/>
      <c r="CQ90" s="289"/>
      <c r="CR90" s="289"/>
      <c r="CS90" s="289"/>
      <c r="CT90" s="289"/>
      <c r="CU90" s="289"/>
      <c r="CV90" s="289"/>
      <c r="CW90" s="289"/>
      <c r="CX90" s="289"/>
      <c r="CY90" s="289"/>
      <c r="CZ90" s="289"/>
      <c r="DA90" s="289"/>
      <c r="DB90" s="289"/>
      <c r="DC90" s="289"/>
      <c r="DD90" s="289"/>
      <c r="DE90" s="289"/>
      <c r="DF90" s="289"/>
      <c r="DG90" s="289"/>
      <c r="DH90" s="289"/>
      <c r="DI90" s="289"/>
      <c r="DJ90" s="289"/>
      <c r="DK90" s="289"/>
      <c r="DL90" s="289"/>
      <c r="DM90" s="289"/>
      <c r="DN90" s="289"/>
      <c r="DO90" s="289"/>
      <c r="DP90" s="289"/>
      <c r="DQ90" s="289"/>
      <c r="DR90" s="289"/>
      <c r="DS90" s="289"/>
      <c r="DT90" s="289"/>
      <c r="DU90" s="289"/>
      <c r="DV90" s="289"/>
      <c r="DW90" s="289"/>
      <c r="DX90" s="289"/>
      <c r="DY90" s="289"/>
      <c r="DZ90" s="289"/>
      <c r="EA90" s="289"/>
      <c r="EB90" s="289"/>
      <c r="EC90" s="289"/>
      <c r="ED90" s="289"/>
      <c r="EE90" s="289"/>
      <c r="EF90" s="289"/>
      <c r="EG90" s="289"/>
      <c r="EH90" s="289"/>
      <c r="EI90" s="289"/>
      <c r="EJ90" s="289"/>
      <c r="EK90" s="289"/>
      <c r="EL90" s="289"/>
      <c r="EM90" s="289"/>
      <c r="EN90" s="289"/>
      <c r="EO90" s="289"/>
      <c r="EP90" s="289"/>
      <c r="EQ90" s="289"/>
      <c r="ER90" s="289"/>
      <c r="ES90" s="289"/>
      <c r="ET90" s="289"/>
      <c r="EU90" s="289"/>
      <c r="EV90" s="289"/>
      <c r="EW90" s="289"/>
      <c r="EX90" s="289"/>
      <c r="EY90" s="289"/>
      <c r="EZ90" s="289"/>
      <c r="FA90" s="289"/>
      <c r="FB90" s="289"/>
      <c r="FC90" s="289"/>
      <c r="FD90" s="289"/>
      <c r="FE90" s="289"/>
      <c r="FF90" s="289"/>
      <c r="FG90" s="289"/>
      <c r="FH90" s="289"/>
      <c r="FI90" s="289"/>
      <c r="FJ90" s="289"/>
      <c r="FK90" s="289"/>
      <c r="FL90" s="289"/>
      <c r="FM90" s="289"/>
      <c r="FN90" s="289"/>
      <c r="FO90" s="289"/>
      <c r="FP90" s="289"/>
      <c r="FQ90" s="289"/>
      <c r="FR90" s="289"/>
      <c r="FS90" s="289"/>
      <c r="FT90" s="289"/>
      <c r="FU90" s="289"/>
      <c r="FV90" s="289"/>
      <c r="FW90" s="289"/>
      <c r="FX90" s="289"/>
      <c r="FY90" s="289"/>
      <c r="FZ90" s="289"/>
      <c r="GA90" s="289"/>
      <c r="GB90" s="289"/>
      <c r="GC90" s="289"/>
      <c r="GD90" s="289"/>
      <c r="GE90" s="289"/>
      <c r="GF90" s="289"/>
      <c r="GG90" s="289"/>
      <c r="GH90" s="289"/>
      <c r="GI90" s="289"/>
      <c r="GJ90" s="289"/>
      <c r="GK90" s="289"/>
      <c r="GL90" s="289"/>
      <c r="GM90" s="289"/>
      <c r="GN90" s="289"/>
      <c r="GO90" s="289"/>
      <c r="GP90" s="289"/>
      <c r="GQ90" s="289"/>
      <c r="GR90" s="289"/>
      <c r="GS90" s="289"/>
      <c r="GT90" s="289"/>
      <c r="GU90" s="289"/>
      <c r="GV90" s="289"/>
      <c r="GW90" s="289"/>
      <c r="GX90" s="289"/>
      <c r="GY90" s="289"/>
      <c r="GZ90" s="289"/>
      <c r="HA90" s="289"/>
      <c r="HB90" s="289"/>
      <c r="HC90" s="289"/>
      <c r="HD90" s="289"/>
      <c r="HE90" s="289"/>
      <c r="HF90" s="289"/>
      <c r="HG90" s="289"/>
      <c r="HH90" s="289"/>
      <c r="HI90" s="289"/>
      <c r="HJ90" s="289"/>
      <c r="HK90" s="289"/>
      <c r="HL90" s="289"/>
      <c r="HM90" s="289"/>
      <c r="HN90" s="289"/>
      <c r="HO90" s="289"/>
      <c r="HP90" s="289"/>
      <c r="HQ90" s="289"/>
      <c r="HR90" s="289"/>
      <c r="HS90" s="289"/>
      <c r="HT90" s="289"/>
      <c r="HU90" s="289"/>
      <c r="HV90" s="289"/>
      <c r="HW90" s="289"/>
      <c r="HX90" s="289"/>
      <c r="HY90" s="289"/>
      <c r="HZ90" s="289"/>
      <c r="IA90" s="289"/>
      <c r="IB90" s="289"/>
      <c r="IC90" s="289"/>
      <c r="ID90" s="289"/>
      <c r="IE90" s="289"/>
      <c r="IF90" s="289"/>
      <c r="IG90" s="289"/>
      <c r="IH90" s="289"/>
      <c r="II90" s="289"/>
      <c r="IJ90" s="289"/>
      <c r="IK90" s="289"/>
      <c r="IL90" s="289"/>
      <c r="IM90" s="289"/>
      <c r="IN90" s="289"/>
      <c r="IO90" s="289"/>
      <c r="IP90" s="289"/>
      <c r="IQ90" s="289"/>
      <c r="IR90" s="289"/>
      <c r="IS90" s="289"/>
      <c r="IT90" s="289"/>
      <c r="IU90" s="289"/>
      <c r="IV90" s="289"/>
      <c r="IW90" s="289"/>
      <c r="IX90" s="289"/>
    </row>
    <row r="91" spans="1:258" s="21" customFormat="1" ht="17.100000000000001" customHeight="1">
      <c r="A91" s="377"/>
      <c r="B91" s="377"/>
      <c r="C91" s="1217"/>
      <c r="D91" s="1224"/>
      <c r="E91" s="1229"/>
      <c r="F91" s="1229"/>
      <c r="G91" s="1229"/>
      <c r="H91" s="1229"/>
      <c r="I91" s="1229"/>
      <c r="J91" s="1230"/>
      <c r="K91" s="1230"/>
      <c r="L91" s="1230"/>
      <c r="M91" s="1230"/>
      <c r="N91" s="1230"/>
      <c r="O91" s="1230"/>
      <c r="P91" s="1230"/>
      <c r="Q91" s="1230"/>
      <c r="R91" s="1229"/>
      <c r="S91" s="1229"/>
      <c r="T91" s="1229"/>
      <c r="U91" s="1229"/>
      <c r="V91" s="1236"/>
      <c r="W91" s="1237"/>
      <c r="X91" s="1238"/>
      <c r="Y91" s="1231"/>
      <c r="Z91" s="1231"/>
      <c r="AA91" s="1231"/>
      <c r="AB91" s="1231"/>
      <c r="AC91" s="1230"/>
      <c r="AD91" s="1217"/>
      <c r="AE91" s="1229"/>
      <c r="AF91" s="1229"/>
      <c r="AG91" s="1229"/>
      <c r="AH91" s="1217"/>
      <c r="AI91" s="1229"/>
      <c r="AJ91" s="1239"/>
      <c r="AK91" s="1237"/>
      <c r="AL91" s="1238"/>
      <c r="AM91" s="1230"/>
      <c r="AN91" s="1230"/>
      <c r="AO91" s="1230"/>
      <c r="AP91" s="1230"/>
      <c r="AQ91" s="1230"/>
      <c r="AR91" s="1230"/>
      <c r="AS91" s="1230"/>
      <c r="AT91" s="1230"/>
      <c r="AU91" s="1230"/>
      <c r="AV91" s="1229"/>
      <c r="AW91" s="1240"/>
      <c r="AX91" s="1232"/>
      <c r="AY91" s="1232"/>
      <c r="AZ91" s="1233"/>
      <c r="BA91" s="1234"/>
      <c r="BB91" s="1235"/>
      <c r="BC91" s="377"/>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c r="CL91" s="289"/>
      <c r="CM91" s="289"/>
      <c r="CN91" s="289"/>
      <c r="CO91" s="289"/>
      <c r="CP91" s="289"/>
      <c r="CQ91" s="289"/>
      <c r="CR91" s="289"/>
      <c r="CS91" s="289"/>
      <c r="CT91" s="289"/>
      <c r="CU91" s="289"/>
      <c r="CV91" s="289"/>
      <c r="CW91" s="289"/>
      <c r="CX91" s="289"/>
      <c r="CY91" s="289"/>
      <c r="CZ91" s="289"/>
      <c r="DA91" s="289"/>
      <c r="DB91" s="289"/>
      <c r="DC91" s="289"/>
      <c r="DD91" s="289"/>
      <c r="DE91" s="289"/>
      <c r="DF91" s="289"/>
      <c r="DG91" s="289"/>
      <c r="DH91" s="289"/>
      <c r="DI91" s="289"/>
      <c r="DJ91" s="289"/>
      <c r="DK91" s="289"/>
      <c r="DL91" s="289"/>
      <c r="DM91" s="289"/>
      <c r="DN91" s="289"/>
      <c r="DO91" s="289"/>
      <c r="DP91" s="289"/>
      <c r="DQ91" s="289"/>
      <c r="DR91" s="289"/>
      <c r="DS91" s="289"/>
      <c r="DT91" s="289"/>
      <c r="DU91" s="289"/>
      <c r="DV91" s="289"/>
      <c r="DW91" s="289"/>
      <c r="DX91" s="289"/>
      <c r="DY91" s="289"/>
      <c r="DZ91" s="289"/>
      <c r="EA91" s="289"/>
      <c r="EB91" s="289"/>
      <c r="EC91" s="289"/>
      <c r="ED91" s="289"/>
      <c r="EE91" s="289"/>
      <c r="EF91" s="289"/>
      <c r="EG91" s="289"/>
      <c r="EH91" s="289"/>
      <c r="EI91" s="289"/>
      <c r="EJ91" s="289"/>
      <c r="EK91" s="289"/>
      <c r="EL91" s="289"/>
      <c r="EM91" s="289"/>
      <c r="EN91" s="289"/>
      <c r="EO91" s="289"/>
      <c r="EP91" s="289"/>
      <c r="EQ91" s="289"/>
      <c r="ER91" s="289"/>
      <c r="ES91" s="289"/>
      <c r="ET91" s="289"/>
      <c r="EU91" s="289"/>
      <c r="EV91" s="289"/>
      <c r="EW91" s="289"/>
      <c r="EX91" s="289"/>
      <c r="EY91" s="289"/>
      <c r="EZ91" s="289"/>
      <c r="FA91" s="289"/>
      <c r="FB91" s="289"/>
      <c r="FC91" s="289"/>
      <c r="FD91" s="289"/>
      <c r="FE91" s="289"/>
      <c r="FF91" s="289"/>
      <c r="FG91" s="289"/>
      <c r="FH91" s="289"/>
      <c r="FI91" s="289"/>
      <c r="FJ91" s="289"/>
      <c r="FK91" s="289"/>
      <c r="FL91" s="289"/>
      <c r="FM91" s="289"/>
      <c r="FN91" s="289"/>
      <c r="FO91" s="289"/>
      <c r="FP91" s="289"/>
      <c r="FQ91" s="289"/>
      <c r="FR91" s="289"/>
      <c r="FS91" s="289"/>
      <c r="FT91" s="289"/>
      <c r="FU91" s="289"/>
      <c r="FV91" s="289"/>
      <c r="FW91" s="289"/>
      <c r="FX91" s="289"/>
      <c r="FY91" s="289"/>
      <c r="FZ91" s="289"/>
      <c r="GA91" s="289"/>
      <c r="GB91" s="289"/>
      <c r="GC91" s="289"/>
      <c r="GD91" s="289"/>
      <c r="GE91" s="289"/>
      <c r="GF91" s="289"/>
      <c r="GG91" s="289"/>
      <c r="GH91" s="289"/>
      <c r="GI91" s="289"/>
      <c r="GJ91" s="289"/>
      <c r="GK91" s="289"/>
      <c r="GL91" s="289"/>
      <c r="GM91" s="289"/>
      <c r="GN91" s="289"/>
      <c r="GO91" s="289"/>
      <c r="GP91" s="289"/>
      <c r="GQ91" s="289"/>
      <c r="GR91" s="289"/>
      <c r="GS91" s="289"/>
      <c r="GT91" s="289"/>
      <c r="GU91" s="289"/>
      <c r="GV91" s="289"/>
      <c r="GW91" s="289"/>
      <c r="GX91" s="289"/>
      <c r="GY91" s="289"/>
      <c r="GZ91" s="289"/>
      <c r="HA91" s="289"/>
      <c r="HB91" s="289"/>
      <c r="HC91" s="289"/>
      <c r="HD91" s="289"/>
      <c r="HE91" s="289"/>
      <c r="HF91" s="289"/>
      <c r="HG91" s="289"/>
      <c r="HH91" s="289"/>
      <c r="HI91" s="289"/>
      <c r="HJ91" s="289"/>
      <c r="HK91" s="289"/>
      <c r="HL91" s="289"/>
      <c r="HM91" s="289"/>
      <c r="HN91" s="289"/>
      <c r="HO91" s="289"/>
      <c r="HP91" s="289"/>
      <c r="HQ91" s="289"/>
      <c r="HR91" s="289"/>
      <c r="HS91" s="289"/>
      <c r="HT91" s="289"/>
      <c r="HU91" s="289"/>
      <c r="HV91" s="289"/>
      <c r="HW91" s="289"/>
      <c r="HX91" s="289"/>
      <c r="HY91" s="289"/>
      <c r="HZ91" s="289"/>
      <c r="IA91" s="289"/>
      <c r="IB91" s="289"/>
      <c r="IC91" s="289"/>
      <c r="ID91" s="289"/>
      <c r="IE91" s="289"/>
      <c r="IF91" s="289"/>
      <c r="IG91" s="289"/>
      <c r="IH91" s="289"/>
      <c r="II91" s="289"/>
      <c r="IJ91" s="289"/>
      <c r="IK91" s="289"/>
      <c r="IL91" s="289"/>
      <c r="IM91" s="289"/>
      <c r="IN91" s="289"/>
      <c r="IO91" s="289"/>
      <c r="IP91" s="289"/>
      <c r="IQ91" s="289"/>
      <c r="IR91" s="289"/>
      <c r="IS91" s="289"/>
      <c r="IT91" s="289"/>
      <c r="IU91" s="289"/>
      <c r="IV91" s="289"/>
      <c r="IW91" s="289"/>
      <c r="IX91" s="289"/>
    </row>
    <row r="92" spans="1:258" s="21" customFormat="1" ht="17.100000000000001" customHeight="1">
      <c r="A92" s="377"/>
      <c r="B92" s="377"/>
      <c r="C92" s="1217"/>
      <c r="D92" s="1224"/>
      <c r="E92" s="1229"/>
      <c r="F92" s="1229"/>
      <c r="G92" s="1229"/>
      <c r="H92" s="1229"/>
      <c r="I92" s="1229"/>
      <c r="J92" s="1230"/>
      <c r="K92" s="1230"/>
      <c r="L92" s="1230"/>
      <c r="M92" s="1230"/>
      <c r="N92" s="1230"/>
      <c r="O92" s="1230"/>
      <c r="P92" s="1230"/>
      <c r="Q92" s="1230"/>
      <c r="R92" s="1229"/>
      <c r="S92" s="1229"/>
      <c r="T92" s="1229"/>
      <c r="U92" s="1229"/>
      <c r="V92" s="1236"/>
      <c r="W92" s="1237"/>
      <c r="X92" s="1238"/>
      <c r="Y92" s="1231"/>
      <c r="Z92" s="1231"/>
      <c r="AA92" s="1231"/>
      <c r="AB92" s="1231"/>
      <c r="AC92" s="1230"/>
      <c r="AD92" s="1217"/>
      <c r="AE92" s="1229"/>
      <c r="AF92" s="1229"/>
      <c r="AG92" s="1229"/>
      <c r="AH92" s="1217"/>
      <c r="AI92" s="1229"/>
      <c r="AJ92" s="1239"/>
      <c r="AK92" s="1237"/>
      <c r="AL92" s="1238"/>
      <c r="AM92" s="1230"/>
      <c r="AN92" s="1230"/>
      <c r="AO92" s="1230"/>
      <c r="AP92" s="1230"/>
      <c r="AQ92" s="1230"/>
      <c r="AR92" s="1230"/>
      <c r="AS92" s="1230"/>
      <c r="AT92" s="1230"/>
      <c r="AU92" s="1230"/>
      <c r="AV92" s="1229"/>
      <c r="AW92" s="1240"/>
      <c r="AX92" s="1232"/>
      <c r="AY92" s="1232"/>
      <c r="AZ92" s="1233"/>
      <c r="BA92" s="1234"/>
      <c r="BB92" s="1235"/>
      <c r="BC92" s="377"/>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c r="CL92" s="289"/>
      <c r="CM92" s="289"/>
      <c r="CN92" s="289"/>
      <c r="CO92" s="289"/>
      <c r="CP92" s="289"/>
      <c r="CQ92" s="289"/>
      <c r="CR92" s="289"/>
      <c r="CS92" s="289"/>
      <c r="CT92" s="289"/>
      <c r="CU92" s="289"/>
      <c r="CV92" s="289"/>
      <c r="CW92" s="289"/>
      <c r="CX92" s="289"/>
      <c r="CY92" s="289"/>
      <c r="CZ92" s="289"/>
      <c r="DA92" s="289"/>
      <c r="DB92" s="289"/>
      <c r="DC92" s="289"/>
      <c r="DD92" s="289"/>
      <c r="DE92" s="289"/>
      <c r="DF92" s="289"/>
      <c r="DG92" s="289"/>
      <c r="DH92" s="289"/>
      <c r="DI92" s="289"/>
      <c r="DJ92" s="289"/>
      <c r="DK92" s="289"/>
      <c r="DL92" s="289"/>
      <c r="DM92" s="289"/>
      <c r="DN92" s="289"/>
      <c r="DO92" s="289"/>
      <c r="DP92" s="289"/>
      <c r="DQ92" s="289"/>
      <c r="DR92" s="289"/>
      <c r="DS92" s="289"/>
      <c r="DT92" s="289"/>
      <c r="DU92" s="289"/>
      <c r="DV92" s="289"/>
      <c r="DW92" s="289"/>
      <c r="DX92" s="289"/>
      <c r="DY92" s="289"/>
      <c r="DZ92" s="289"/>
      <c r="EA92" s="289"/>
      <c r="EB92" s="289"/>
      <c r="EC92" s="289"/>
      <c r="ED92" s="289"/>
      <c r="EE92" s="289"/>
      <c r="EF92" s="289"/>
      <c r="EG92" s="289"/>
      <c r="EH92" s="289"/>
      <c r="EI92" s="289"/>
      <c r="EJ92" s="289"/>
      <c r="EK92" s="289"/>
      <c r="EL92" s="289"/>
      <c r="EM92" s="289"/>
      <c r="EN92" s="289"/>
      <c r="EO92" s="289"/>
      <c r="EP92" s="289"/>
      <c r="EQ92" s="289"/>
      <c r="ER92" s="289"/>
      <c r="ES92" s="289"/>
      <c r="ET92" s="289"/>
      <c r="EU92" s="289"/>
      <c r="EV92" s="289"/>
      <c r="EW92" s="289"/>
      <c r="EX92" s="289"/>
      <c r="EY92" s="289"/>
      <c r="EZ92" s="289"/>
      <c r="FA92" s="289"/>
      <c r="FB92" s="289"/>
      <c r="FC92" s="289"/>
      <c r="FD92" s="289"/>
      <c r="FE92" s="289"/>
      <c r="FF92" s="289"/>
      <c r="FG92" s="289"/>
      <c r="FH92" s="289"/>
      <c r="FI92" s="289"/>
      <c r="FJ92" s="289"/>
      <c r="FK92" s="289"/>
      <c r="FL92" s="289"/>
      <c r="FM92" s="289"/>
      <c r="FN92" s="289"/>
      <c r="FO92" s="289"/>
      <c r="FP92" s="289"/>
      <c r="FQ92" s="289"/>
      <c r="FR92" s="289"/>
      <c r="FS92" s="289"/>
      <c r="FT92" s="289"/>
      <c r="FU92" s="289"/>
      <c r="FV92" s="289"/>
      <c r="FW92" s="289"/>
      <c r="FX92" s="289"/>
      <c r="FY92" s="289"/>
      <c r="FZ92" s="289"/>
      <c r="GA92" s="289"/>
      <c r="GB92" s="289"/>
      <c r="GC92" s="289"/>
      <c r="GD92" s="289"/>
      <c r="GE92" s="289"/>
      <c r="GF92" s="289"/>
      <c r="GG92" s="289"/>
      <c r="GH92" s="289"/>
      <c r="GI92" s="289"/>
      <c r="GJ92" s="289"/>
      <c r="GK92" s="289"/>
      <c r="GL92" s="289"/>
      <c r="GM92" s="289"/>
      <c r="GN92" s="289"/>
      <c r="GO92" s="289"/>
      <c r="GP92" s="289"/>
      <c r="GQ92" s="289"/>
      <c r="GR92" s="289"/>
      <c r="GS92" s="289"/>
      <c r="GT92" s="289"/>
      <c r="GU92" s="289"/>
      <c r="GV92" s="289"/>
      <c r="GW92" s="289"/>
      <c r="GX92" s="289"/>
      <c r="GY92" s="289"/>
      <c r="GZ92" s="289"/>
      <c r="HA92" s="289"/>
      <c r="HB92" s="289"/>
      <c r="HC92" s="289"/>
      <c r="HD92" s="289"/>
      <c r="HE92" s="289"/>
      <c r="HF92" s="289"/>
      <c r="HG92" s="289"/>
      <c r="HH92" s="289"/>
      <c r="HI92" s="289"/>
      <c r="HJ92" s="289"/>
      <c r="HK92" s="289"/>
      <c r="HL92" s="289"/>
      <c r="HM92" s="289"/>
      <c r="HN92" s="289"/>
      <c r="HO92" s="289"/>
      <c r="HP92" s="289"/>
      <c r="HQ92" s="289"/>
      <c r="HR92" s="289"/>
      <c r="HS92" s="289"/>
      <c r="HT92" s="289"/>
      <c r="HU92" s="289"/>
      <c r="HV92" s="289"/>
      <c r="HW92" s="289"/>
      <c r="HX92" s="289"/>
      <c r="HY92" s="289"/>
      <c r="HZ92" s="289"/>
      <c r="IA92" s="289"/>
      <c r="IB92" s="289"/>
      <c r="IC92" s="289"/>
      <c r="ID92" s="289"/>
      <c r="IE92" s="289"/>
      <c r="IF92" s="289"/>
      <c r="IG92" s="289"/>
      <c r="IH92" s="289"/>
      <c r="II92" s="289"/>
      <c r="IJ92" s="289"/>
      <c r="IK92" s="289"/>
      <c r="IL92" s="289"/>
      <c r="IM92" s="289"/>
      <c r="IN92" s="289"/>
      <c r="IO92" s="289"/>
      <c r="IP92" s="289"/>
      <c r="IQ92" s="289"/>
      <c r="IR92" s="289"/>
      <c r="IS92" s="289"/>
      <c r="IT92" s="289"/>
      <c r="IU92" s="289"/>
      <c r="IV92" s="289"/>
      <c r="IW92" s="289"/>
      <c r="IX92" s="289"/>
    </row>
    <row r="93" spans="1:258" s="21" customFormat="1" ht="17.100000000000001" customHeight="1">
      <c r="A93" s="377"/>
      <c r="B93" s="377"/>
      <c r="C93" s="1217"/>
      <c r="D93" s="1224"/>
      <c r="E93" s="1229"/>
      <c r="F93" s="1229"/>
      <c r="G93" s="1229"/>
      <c r="H93" s="1229"/>
      <c r="I93" s="1229"/>
      <c r="J93" s="1230"/>
      <c r="K93" s="1230"/>
      <c r="L93" s="1230"/>
      <c r="M93" s="1230"/>
      <c r="N93" s="1230"/>
      <c r="O93" s="1230"/>
      <c r="P93" s="1230"/>
      <c r="Q93" s="1230"/>
      <c r="R93" s="1229"/>
      <c r="S93" s="1229"/>
      <c r="T93" s="1229"/>
      <c r="U93" s="1229"/>
      <c r="V93" s="1236"/>
      <c r="W93" s="1237"/>
      <c r="X93" s="1238"/>
      <c r="Y93" s="1231"/>
      <c r="Z93" s="1231"/>
      <c r="AA93" s="1231"/>
      <c r="AB93" s="1231"/>
      <c r="AC93" s="1230"/>
      <c r="AD93" s="1217"/>
      <c r="AE93" s="1229"/>
      <c r="AF93" s="1229"/>
      <c r="AG93" s="1229"/>
      <c r="AH93" s="1217"/>
      <c r="AI93" s="1229"/>
      <c r="AJ93" s="1239"/>
      <c r="AK93" s="1237"/>
      <c r="AL93" s="1238"/>
      <c r="AM93" s="1230"/>
      <c r="AN93" s="1230"/>
      <c r="AO93" s="1230"/>
      <c r="AP93" s="1230"/>
      <c r="AQ93" s="1230"/>
      <c r="AR93" s="1230"/>
      <c r="AS93" s="1230"/>
      <c r="AT93" s="1230"/>
      <c r="AU93" s="1230"/>
      <c r="AV93" s="1229"/>
      <c r="AW93" s="1240"/>
      <c r="AX93" s="1232"/>
      <c r="AY93" s="1232"/>
      <c r="AZ93" s="1233"/>
      <c r="BA93" s="1234"/>
      <c r="BB93" s="1235"/>
      <c r="BC93" s="377"/>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c r="CL93" s="289"/>
      <c r="CM93" s="289"/>
      <c r="CN93" s="289"/>
      <c r="CO93" s="289"/>
      <c r="CP93" s="289"/>
      <c r="CQ93" s="289"/>
      <c r="CR93" s="289"/>
      <c r="CS93" s="289"/>
      <c r="CT93" s="289"/>
      <c r="CU93" s="289"/>
      <c r="CV93" s="289"/>
      <c r="CW93" s="289"/>
      <c r="CX93" s="289"/>
      <c r="CY93" s="289"/>
      <c r="CZ93" s="289"/>
      <c r="DA93" s="289"/>
      <c r="DB93" s="289"/>
      <c r="DC93" s="289"/>
      <c r="DD93" s="289"/>
      <c r="DE93" s="289"/>
      <c r="DF93" s="289"/>
      <c r="DG93" s="289"/>
      <c r="DH93" s="289"/>
      <c r="DI93" s="289"/>
      <c r="DJ93" s="289"/>
      <c r="DK93" s="289"/>
      <c r="DL93" s="289"/>
      <c r="DM93" s="289"/>
      <c r="DN93" s="289"/>
      <c r="DO93" s="289"/>
      <c r="DP93" s="289"/>
      <c r="DQ93" s="289"/>
      <c r="DR93" s="289"/>
      <c r="DS93" s="289"/>
      <c r="DT93" s="289"/>
      <c r="DU93" s="289"/>
      <c r="DV93" s="289"/>
      <c r="DW93" s="289"/>
      <c r="DX93" s="289"/>
      <c r="DY93" s="289"/>
      <c r="DZ93" s="289"/>
      <c r="EA93" s="289"/>
      <c r="EB93" s="289"/>
      <c r="EC93" s="289"/>
      <c r="ED93" s="289"/>
      <c r="EE93" s="289"/>
      <c r="EF93" s="289"/>
      <c r="EG93" s="289"/>
      <c r="EH93" s="289"/>
      <c r="EI93" s="289"/>
      <c r="EJ93" s="289"/>
      <c r="EK93" s="289"/>
      <c r="EL93" s="289"/>
      <c r="EM93" s="289"/>
      <c r="EN93" s="289"/>
      <c r="EO93" s="289"/>
      <c r="EP93" s="289"/>
      <c r="EQ93" s="289"/>
      <c r="ER93" s="289"/>
      <c r="ES93" s="289"/>
      <c r="ET93" s="289"/>
      <c r="EU93" s="289"/>
      <c r="EV93" s="289"/>
      <c r="EW93" s="289"/>
      <c r="EX93" s="289"/>
      <c r="EY93" s="289"/>
      <c r="EZ93" s="289"/>
      <c r="FA93" s="289"/>
      <c r="FB93" s="289"/>
      <c r="FC93" s="289"/>
      <c r="FD93" s="289"/>
      <c r="FE93" s="289"/>
      <c r="FF93" s="289"/>
      <c r="FG93" s="289"/>
      <c r="FH93" s="289"/>
      <c r="FI93" s="289"/>
      <c r="FJ93" s="289"/>
      <c r="FK93" s="289"/>
      <c r="FL93" s="289"/>
      <c r="FM93" s="289"/>
      <c r="FN93" s="289"/>
      <c r="FO93" s="289"/>
      <c r="FP93" s="289"/>
      <c r="FQ93" s="289"/>
      <c r="FR93" s="289"/>
      <c r="FS93" s="289"/>
      <c r="FT93" s="289"/>
      <c r="FU93" s="289"/>
      <c r="FV93" s="289"/>
      <c r="FW93" s="289"/>
      <c r="FX93" s="289"/>
      <c r="FY93" s="289"/>
      <c r="FZ93" s="289"/>
      <c r="GA93" s="289"/>
      <c r="GB93" s="289"/>
      <c r="GC93" s="289"/>
      <c r="GD93" s="289"/>
      <c r="GE93" s="289"/>
      <c r="GF93" s="289"/>
      <c r="GG93" s="289"/>
      <c r="GH93" s="289"/>
      <c r="GI93" s="289"/>
      <c r="GJ93" s="289"/>
      <c r="GK93" s="289"/>
      <c r="GL93" s="289"/>
      <c r="GM93" s="289"/>
      <c r="GN93" s="289"/>
      <c r="GO93" s="289"/>
      <c r="GP93" s="289"/>
      <c r="GQ93" s="289"/>
      <c r="GR93" s="289"/>
      <c r="GS93" s="289"/>
      <c r="GT93" s="289"/>
      <c r="GU93" s="289"/>
      <c r="GV93" s="289"/>
      <c r="GW93" s="289"/>
      <c r="GX93" s="289"/>
      <c r="GY93" s="289"/>
      <c r="GZ93" s="289"/>
      <c r="HA93" s="289"/>
      <c r="HB93" s="289"/>
      <c r="HC93" s="289"/>
      <c r="HD93" s="289"/>
      <c r="HE93" s="289"/>
      <c r="HF93" s="289"/>
      <c r="HG93" s="289"/>
      <c r="HH93" s="289"/>
      <c r="HI93" s="289"/>
      <c r="HJ93" s="289"/>
      <c r="HK93" s="289"/>
      <c r="HL93" s="289"/>
      <c r="HM93" s="289"/>
      <c r="HN93" s="289"/>
      <c r="HO93" s="289"/>
      <c r="HP93" s="289"/>
      <c r="HQ93" s="289"/>
      <c r="HR93" s="289"/>
      <c r="HS93" s="289"/>
      <c r="HT93" s="289"/>
      <c r="HU93" s="289"/>
      <c r="HV93" s="289"/>
      <c r="HW93" s="289"/>
      <c r="HX93" s="289"/>
      <c r="HY93" s="289"/>
      <c r="HZ93" s="289"/>
      <c r="IA93" s="289"/>
      <c r="IB93" s="289"/>
      <c r="IC93" s="289"/>
      <c r="ID93" s="289"/>
      <c r="IE93" s="289"/>
      <c r="IF93" s="289"/>
      <c r="IG93" s="289"/>
      <c r="IH93" s="289"/>
      <c r="II93" s="289"/>
      <c r="IJ93" s="289"/>
      <c r="IK93" s="289"/>
      <c r="IL93" s="289"/>
      <c r="IM93" s="289"/>
      <c r="IN93" s="289"/>
      <c r="IO93" s="289"/>
      <c r="IP93" s="289"/>
      <c r="IQ93" s="289"/>
      <c r="IR93" s="289"/>
      <c r="IS93" s="289"/>
      <c r="IT93" s="289"/>
      <c r="IU93" s="289"/>
      <c r="IV93" s="289"/>
      <c r="IW93" s="289"/>
      <c r="IX93" s="289"/>
    </row>
    <row r="94" spans="1:258" s="21" customFormat="1" ht="17.100000000000001" customHeight="1">
      <c r="A94" s="377"/>
      <c r="B94" s="377"/>
      <c r="C94" s="1217"/>
      <c r="D94" s="1224"/>
      <c r="E94" s="1229"/>
      <c r="F94" s="1229"/>
      <c r="G94" s="1229"/>
      <c r="H94" s="1229"/>
      <c r="I94" s="1229"/>
      <c r="J94" s="1230"/>
      <c r="K94" s="1230"/>
      <c r="L94" s="1230"/>
      <c r="M94" s="1230"/>
      <c r="N94" s="1230"/>
      <c r="O94" s="1230"/>
      <c r="P94" s="1230"/>
      <c r="Q94" s="1230"/>
      <c r="R94" s="1229"/>
      <c r="S94" s="1229"/>
      <c r="T94" s="1229"/>
      <c r="U94" s="1229"/>
      <c r="V94" s="1236"/>
      <c r="W94" s="1237"/>
      <c r="X94" s="1238"/>
      <c r="Y94" s="1231"/>
      <c r="Z94" s="1231"/>
      <c r="AA94" s="1231"/>
      <c r="AB94" s="1231"/>
      <c r="AC94" s="1230"/>
      <c r="AD94" s="1217"/>
      <c r="AE94" s="1229"/>
      <c r="AF94" s="1229"/>
      <c r="AG94" s="1229"/>
      <c r="AH94" s="1217"/>
      <c r="AI94" s="1229"/>
      <c r="AJ94" s="1239"/>
      <c r="AK94" s="1237"/>
      <c r="AL94" s="1238"/>
      <c r="AM94" s="1230"/>
      <c r="AN94" s="1230"/>
      <c r="AO94" s="1230"/>
      <c r="AP94" s="1230"/>
      <c r="AQ94" s="1230"/>
      <c r="AR94" s="1230"/>
      <c r="AS94" s="1230"/>
      <c r="AT94" s="1230"/>
      <c r="AU94" s="1230"/>
      <c r="AV94" s="1229"/>
      <c r="AW94" s="1240"/>
      <c r="AX94" s="1232"/>
      <c r="AY94" s="1232"/>
      <c r="AZ94" s="1233"/>
      <c r="BA94" s="1234"/>
      <c r="BB94" s="1235"/>
      <c r="BC94" s="377"/>
      <c r="BD94" s="289"/>
      <c r="BE94" s="289"/>
      <c r="BF94" s="289"/>
      <c r="BG94" s="289"/>
      <c r="BH94" s="289"/>
      <c r="BI94" s="289"/>
      <c r="BJ94" s="289"/>
      <c r="BK94" s="289"/>
      <c r="BL94" s="289"/>
      <c r="BM94" s="289"/>
      <c r="BN94" s="289"/>
      <c r="BO94" s="289"/>
      <c r="BP94" s="289"/>
      <c r="BQ94" s="289"/>
      <c r="BR94" s="289"/>
      <c r="BS94" s="289"/>
      <c r="BT94" s="289"/>
      <c r="BU94" s="289"/>
      <c r="BV94" s="289"/>
      <c r="BW94" s="289"/>
      <c r="BX94" s="289"/>
      <c r="BY94" s="289"/>
      <c r="BZ94" s="289"/>
      <c r="CA94" s="289"/>
      <c r="CB94" s="289"/>
      <c r="CC94" s="289"/>
      <c r="CD94" s="289"/>
      <c r="CE94" s="289"/>
      <c r="CF94" s="289"/>
      <c r="CG94" s="289"/>
      <c r="CH94" s="289"/>
      <c r="CI94" s="289"/>
      <c r="CJ94" s="289"/>
      <c r="CK94" s="289"/>
      <c r="CL94" s="289"/>
      <c r="CM94" s="289"/>
      <c r="CN94" s="289"/>
      <c r="CO94" s="289"/>
      <c r="CP94" s="289"/>
      <c r="CQ94" s="289"/>
      <c r="CR94" s="289"/>
      <c r="CS94" s="289"/>
      <c r="CT94" s="289"/>
      <c r="CU94" s="289"/>
      <c r="CV94" s="289"/>
      <c r="CW94" s="289"/>
      <c r="CX94" s="289"/>
      <c r="CY94" s="289"/>
      <c r="CZ94" s="289"/>
      <c r="DA94" s="289"/>
      <c r="DB94" s="289"/>
      <c r="DC94" s="289"/>
      <c r="DD94" s="289"/>
      <c r="DE94" s="289"/>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89"/>
      <c r="EB94" s="289"/>
      <c r="EC94" s="289"/>
      <c r="ED94" s="289"/>
      <c r="EE94" s="289"/>
      <c r="EF94" s="289"/>
      <c r="EG94" s="289"/>
      <c r="EH94" s="289"/>
      <c r="EI94" s="289"/>
      <c r="EJ94" s="289"/>
      <c r="EK94" s="289"/>
      <c r="EL94" s="289"/>
      <c r="EM94" s="289"/>
      <c r="EN94" s="289"/>
      <c r="EO94" s="289"/>
      <c r="EP94" s="289"/>
      <c r="EQ94" s="289"/>
      <c r="ER94" s="289"/>
      <c r="ES94" s="289"/>
      <c r="ET94" s="289"/>
      <c r="EU94" s="289"/>
      <c r="EV94" s="289"/>
      <c r="EW94" s="289"/>
      <c r="EX94" s="289"/>
      <c r="EY94" s="289"/>
      <c r="EZ94" s="289"/>
      <c r="FA94" s="289"/>
      <c r="FB94" s="289"/>
      <c r="FC94" s="289"/>
      <c r="FD94" s="289"/>
      <c r="FE94" s="289"/>
      <c r="FF94" s="289"/>
      <c r="FG94" s="289"/>
      <c r="FH94" s="289"/>
      <c r="FI94" s="289"/>
      <c r="FJ94" s="289"/>
      <c r="FK94" s="289"/>
      <c r="FL94" s="289"/>
      <c r="FM94" s="289"/>
      <c r="FN94" s="289"/>
      <c r="FO94" s="289"/>
      <c r="FP94" s="289"/>
      <c r="FQ94" s="289"/>
      <c r="FR94" s="289"/>
      <c r="FS94" s="289"/>
      <c r="FT94" s="289"/>
      <c r="FU94" s="289"/>
      <c r="FV94" s="289"/>
      <c r="FW94" s="289"/>
      <c r="FX94" s="289"/>
      <c r="FY94" s="289"/>
      <c r="FZ94" s="289"/>
      <c r="GA94" s="289"/>
      <c r="GB94" s="289"/>
      <c r="GC94" s="289"/>
      <c r="GD94" s="289"/>
      <c r="GE94" s="289"/>
      <c r="GF94" s="289"/>
      <c r="GG94" s="289"/>
      <c r="GH94" s="289"/>
      <c r="GI94" s="289"/>
      <c r="GJ94" s="289"/>
      <c r="GK94" s="289"/>
      <c r="GL94" s="289"/>
      <c r="GM94" s="289"/>
      <c r="GN94" s="289"/>
      <c r="GO94" s="289"/>
      <c r="GP94" s="289"/>
      <c r="GQ94" s="289"/>
      <c r="GR94" s="289"/>
      <c r="GS94" s="289"/>
      <c r="GT94" s="289"/>
      <c r="GU94" s="289"/>
      <c r="GV94" s="289"/>
      <c r="GW94" s="289"/>
      <c r="GX94" s="289"/>
      <c r="GY94" s="289"/>
      <c r="GZ94" s="289"/>
      <c r="HA94" s="289"/>
      <c r="HB94" s="289"/>
      <c r="HC94" s="289"/>
      <c r="HD94" s="289"/>
      <c r="HE94" s="289"/>
      <c r="HF94" s="289"/>
      <c r="HG94" s="289"/>
      <c r="HH94" s="289"/>
      <c r="HI94" s="289"/>
      <c r="HJ94" s="289"/>
      <c r="HK94" s="289"/>
      <c r="HL94" s="289"/>
      <c r="HM94" s="289"/>
      <c r="HN94" s="289"/>
      <c r="HO94" s="289"/>
      <c r="HP94" s="289"/>
      <c r="HQ94" s="289"/>
      <c r="HR94" s="289"/>
      <c r="HS94" s="289"/>
      <c r="HT94" s="289"/>
      <c r="HU94" s="289"/>
      <c r="HV94" s="289"/>
      <c r="HW94" s="289"/>
      <c r="HX94" s="289"/>
      <c r="HY94" s="289"/>
      <c r="HZ94" s="289"/>
      <c r="IA94" s="289"/>
      <c r="IB94" s="289"/>
      <c r="IC94" s="289"/>
      <c r="ID94" s="289"/>
      <c r="IE94" s="289"/>
      <c r="IF94" s="289"/>
      <c r="IG94" s="289"/>
      <c r="IH94" s="289"/>
      <c r="II94" s="289"/>
      <c r="IJ94" s="289"/>
      <c r="IK94" s="289"/>
      <c r="IL94" s="289"/>
      <c r="IM94" s="289"/>
      <c r="IN94" s="289"/>
      <c r="IO94" s="289"/>
      <c r="IP94" s="289"/>
      <c r="IQ94" s="289"/>
      <c r="IR94" s="289"/>
      <c r="IS94" s="289"/>
      <c r="IT94" s="289"/>
      <c r="IU94" s="289"/>
      <c r="IV94" s="289"/>
      <c r="IW94" s="289"/>
      <c r="IX94" s="289"/>
    </row>
    <row r="95" spans="1:258" s="21" customFormat="1" ht="17.100000000000001" customHeight="1">
      <c r="A95" s="377"/>
      <c r="B95" s="377"/>
      <c r="C95" s="1217"/>
      <c r="D95" s="1224"/>
      <c r="E95" s="1229"/>
      <c r="F95" s="1229"/>
      <c r="G95" s="1229"/>
      <c r="H95" s="1229"/>
      <c r="I95" s="1229"/>
      <c r="J95" s="1230"/>
      <c r="K95" s="1230"/>
      <c r="L95" s="1230"/>
      <c r="M95" s="1230"/>
      <c r="N95" s="1230"/>
      <c r="O95" s="1230"/>
      <c r="P95" s="1230"/>
      <c r="Q95" s="1230"/>
      <c r="R95" s="1229"/>
      <c r="S95" s="1229"/>
      <c r="T95" s="1229"/>
      <c r="U95" s="1229"/>
      <c r="V95" s="1236"/>
      <c r="W95" s="1237"/>
      <c r="X95" s="1238"/>
      <c r="Y95" s="1231"/>
      <c r="Z95" s="1231"/>
      <c r="AA95" s="1231"/>
      <c r="AB95" s="1231"/>
      <c r="AC95" s="1230"/>
      <c r="AD95" s="1217"/>
      <c r="AE95" s="1229"/>
      <c r="AF95" s="1229"/>
      <c r="AG95" s="1229"/>
      <c r="AH95" s="1217"/>
      <c r="AI95" s="1229"/>
      <c r="AJ95" s="1239"/>
      <c r="AK95" s="1237"/>
      <c r="AL95" s="1238"/>
      <c r="AM95" s="1230"/>
      <c r="AN95" s="1230"/>
      <c r="AO95" s="1230"/>
      <c r="AP95" s="1230"/>
      <c r="AQ95" s="1230"/>
      <c r="AR95" s="1230"/>
      <c r="AS95" s="1230"/>
      <c r="AT95" s="1230"/>
      <c r="AU95" s="1230"/>
      <c r="AV95" s="1229"/>
      <c r="AW95" s="1240"/>
      <c r="AX95" s="1232"/>
      <c r="AY95" s="1232"/>
      <c r="AZ95" s="1233"/>
      <c r="BA95" s="1234"/>
      <c r="BB95" s="1235"/>
      <c r="BC95" s="377"/>
      <c r="BD95" s="289"/>
      <c r="BE95" s="289"/>
      <c r="BF95" s="289"/>
      <c r="BG95" s="289"/>
      <c r="BH95" s="289"/>
      <c r="BI95" s="289"/>
      <c r="BJ95" s="289"/>
      <c r="BK95" s="289"/>
      <c r="BL95" s="289"/>
      <c r="BM95" s="289"/>
      <c r="BN95" s="289"/>
      <c r="BO95" s="289"/>
      <c r="BP95" s="289"/>
      <c r="BQ95" s="289"/>
      <c r="BR95" s="289"/>
      <c r="BS95" s="289"/>
      <c r="BT95" s="289"/>
      <c r="BU95" s="289"/>
      <c r="BV95" s="289"/>
      <c r="BW95" s="289"/>
      <c r="BX95" s="289"/>
      <c r="BY95" s="289"/>
      <c r="BZ95" s="289"/>
      <c r="CA95" s="289"/>
      <c r="CB95" s="289"/>
      <c r="CC95" s="289"/>
      <c r="CD95" s="289"/>
      <c r="CE95" s="289"/>
      <c r="CF95" s="289"/>
      <c r="CG95" s="289"/>
      <c r="CH95" s="289"/>
      <c r="CI95" s="289"/>
      <c r="CJ95" s="289"/>
      <c r="CK95" s="289"/>
      <c r="CL95" s="289"/>
      <c r="CM95" s="289"/>
      <c r="CN95" s="289"/>
      <c r="CO95" s="289"/>
      <c r="CP95" s="289"/>
      <c r="CQ95" s="289"/>
      <c r="CR95" s="289"/>
      <c r="CS95" s="289"/>
      <c r="CT95" s="289"/>
      <c r="CU95" s="289"/>
      <c r="CV95" s="289"/>
      <c r="CW95" s="289"/>
      <c r="CX95" s="289"/>
      <c r="CY95" s="289"/>
      <c r="CZ95" s="289"/>
      <c r="DA95" s="289"/>
      <c r="DB95" s="289"/>
      <c r="DC95" s="289"/>
      <c r="DD95" s="289"/>
      <c r="DE95" s="289"/>
      <c r="DF95" s="289"/>
      <c r="DG95" s="289"/>
      <c r="DH95" s="289"/>
      <c r="DI95" s="289"/>
      <c r="DJ95" s="289"/>
      <c r="DK95" s="289"/>
      <c r="DL95" s="289"/>
      <c r="DM95" s="289"/>
      <c r="DN95" s="289"/>
      <c r="DO95" s="289"/>
      <c r="DP95" s="289"/>
      <c r="DQ95" s="289"/>
      <c r="DR95" s="289"/>
      <c r="DS95" s="289"/>
      <c r="DT95" s="289"/>
      <c r="DU95" s="289"/>
      <c r="DV95" s="289"/>
      <c r="DW95" s="289"/>
      <c r="DX95" s="289"/>
      <c r="DY95" s="289"/>
      <c r="DZ95" s="289"/>
      <c r="EA95" s="289"/>
      <c r="EB95" s="289"/>
      <c r="EC95" s="289"/>
      <c r="ED95" s="289"/>
      <c r="EE95" s="289"/>
      <c r="EF95" s="289"/>
      <c r="EG95" s="289"/>
      <c r="EH95" s="289"/>
      <c r="EI95" s="289"/>
      <c r="EJ95" s="289"/>
      <c r="EK95" s="289"/>
      <c r="EL95" s="289"/>
      <c r="EM95" s="289"/>
      <c r="EN95" s="289"/>
      <c r="EO95" s="289"/>
      <c r="EP95" s="289"/>
      <c r="EQ95" s="289"/>
      <c r="ER95" s="289"/>
      <c r="ES95" s="289"/>
      <c r="ET95" s="289"/>
      <c r="EU95" s="289"/>
      <c r="EV95" s="289"/>
      <c r="EW95" s="289"/>
      <c r="EX95" s="289"/>
      <c r="EY95" s="289"/>
      <c r="EZ95" s="289"/>
      <c r="FA95" s="289"/>
      <c r="FB95" s="289"/>
      <c r="FC95" s="289"/>
      <c r="FD95" s="289"/>
      <c r="FE95" s="289"/>
      <c r="FF95" s="289"/>
      <c r="FG95" s="289"/>
      <c r="FH95" s="289"/>
      <c r="FI95" s="289"/>
      <c r="FJ95" s="289"/>
      <c r="FK95" s="289"/>
      <c r="FL95" s="289"/>
      <c r="FM95" s="289"/>
      <c r="FN95" s="289"/>
      <c r="FO95" s="289"/>
      <c r="FP95" s="289"/>
      <c r="FQ95" s="289"/>
      <c r="FR95" s="289"/>
      <c r="FS95" s="289"/>
      <c r="FT95" s="289"/>
      <c r="FU95" s="289"/>
      <c r="FV95" s="289"/>
      <c r="FW95" s="289"/>
      <c r="FX95" s="289"/>
      <c r="FY95" s="289"/>
      <c r="FZ95" s="289"/>
      <c r="GA95" s="289"/>
      <c r="GB95" s="289"/>
      <c r="GC95" s="289"/>
      <c r="GD95" s="289"/>
      <c r="GE95" s="289"/>
      <c r="GF95" s="289"/>
      <c r="GG95" s="289"/>
      <c r="GH95" s="289"/>
      <c r="GI95" s="289"/>
      <c r="GJ95" s="289"/>
      <c r="GK95" s="289"/>
      <c r="GL95" s="289"/>
      <c r="GM95" s="289"/>
      <c r="GN95" s="289"/>
      <c r="GO95" s="289"/>
      <c r="GP95" s="289"/>
      <c r="GQ95" s="289"/>
      <c r="GR95" s="289"/>
      <c r="GS95" s="289"/>
      <c r="GT95" s="289"/>
      <c r="GU95" s="289"/>
      <c r="GV95" s="289"/>
      <c r="GW95" s="289"/>
      <c r="GX95" s="289"/>
      <c r="GY95" s="289"/>
      <c r="GZ95" s="289"/>
      <c r="HA95" s="289"/>
      <c r="HB95" s="289"/>
      <c r="HC95" s="289"/>
      <c r="HD95" s="289"/>
      <c r="HE95" s="289"/>
      <c r="HF95" s="289"/>
      <c r="HG95" s="289"/>
      <c r="HH95" s="289"/>
      <c r="HI95" s="289"/>
      <c r="HJ95" s="289"/>
      <c r="HK95" s="289"/>
      <c r="HL95" s="289"/>
      <c r="HM95" s="289"/>
      <c r="HN95" s="289"/>
      <c r="HO95" s="289"/>
      <c r="HP95" s="289"/>
      <c r="HQ95" s="289"/>
      <c r="HR95" s="289"/>
      <c r="HS95" s="289"/>
      <c r="HT95" s="289"/>
      <c r="HU95" s="289"/>
      <c r="HV95" s="289"/>
      <c r="HW95" s="289"/>
      <c r="HX95" s="289"/>
      <c r="HY95" s="289"/>
      <c r="HZ95" s="289"/>
      <c r="IA95" s="289"/>
      <c r="IB95" s="289"/>
      <c r="IC95" s="289"/>
      <c r="ID95" s="289"/>
      <c r="IE95" s="289"/>
      <c r="IF95" s="289"/>
      <c r="IG95" s="289"/>
      <c r="IH95" s="289"/>
      <c r="II95" s="289"/>
      <c r="IJ95" s="289"/>
      <c r="IK95" s="289"/>
      <c r="IL95" s="289"/>
      <c r="IM95" s="289"/>
      <c r="IN95" s="289"/>
      <c r="IO95" s="289"/>
      <c r="IP95" s="289"/>
      <c r="IQ95" s="289"/>
      <c r="IR95" s="289"/>
      <c r="IS95" s="289"/>
      <c r="IT95" s="289"/>
      <c r="IU95" s="289"/>
      <c r="IV95" s="289"/>
      <c r="IW95" s="289"/>
      <c r="IX95" s="289"/>
    </row>
    <row r="96" spans="1:258" s="21" customFormat="1" ht="17.100000000000001" customHeight="1">
      <c r="A96" s="377"/>
      <c r="B96" s="377"/>
      <c r="C96" s="1217"/>
      <c r="D96" s="1224"/>
      <c r="E96" s="1229"/>
      <c r="F96" s="1229"/>
      <c r="G96" s="1229"/>
      <c r="H96" s="1229"/>
      <c r="I96" s="1229"/>
      <c r="J96" s="1230"/>
      <c r="K96" s="1230"/>
      <c r="L96" s="1230"/>
      <c r="M96" s="1230"/>
      <c r="N96" s="1230"/>
      <c r="O96" s="1230"/>
      <c r="P96" s="1230"/>
      <c r="Q96" s="1230"/>
      <c r="R96" s="1229"/>
      <c r="S96" s="1229"/>
      <c r="T96" s="1229"/>
      <c r="U96" s="1229"/>
      <c r="V96" s="1236"/>
      <c r="W96" s="1237"/>
      <c r="X96" s="1238"/>
      <c r="Y96" s="1231"/>
      <c r="Z96" s="1231"/>
      <c r="AA96" s="1231"/>
      <c r="AB96" s="1231"/>
      <c r="AC96" s="1230"/>
      <c r="AD96" s="1217"/>
      <c r="AE96" s="1229"/>
      <c r="AF96" s="1229"/>
      <c r="AG96" s="1229"/>
      <c r="AH96" s="1217"/>
      <c r="AI96" s="1229"/>
      <c r="AJ96" s="1239"/>
      <c r="AK96" s="1237"/>
      <c r="AL96" s="1238"/>
      <c r="AM96" s="1230"/>
      <c r="AN96" s="1230"/>
      <c r="AO96" s="1230"/>
      <c r="AP96" s="1230"/>
      <c r="AQ96" s="1230"/>
      <c r="AR96" s="1230"/>
      <c r="AS96" s="1230"/>
      <c r="AT96" s="1230"/>
      <c r="AU96" s="1230"/>
      <c r="AV96" s="1229"/>
      <c r="AW96" s="1240"/>
      <c r="AX96" s="1232"/>
      <c r="AY96" s="1232"/>
      <c r="AZ96" s="1233"/>
      <c r="BA96" s="1234"/>
      <c r="BB96" s="1235"/>
      <c r="BC96" s="377"/>
      <c r="BD96" s="289"/>
      <c r="BE96" s="289"/>
      <c r="BF96" s="289"/>
      <c r="BG96" s="289"/>
      <c r="BH96" s="289"/>
      <c r="BI96" s="289"/>
      <c r="BJ96" s="289"/>
      <c r="BK96" s="289"/>
      <c r="BL96" s="289"/>
      <c r="BM96" s="289"/>
      <c r="BN96" s="289"/>
      <c r="BO96" s="289"/>
      <c r="BP96" s="289"/>
      <c r="BQ96" s="289"/>
      <c r="BR96" s="289"/>
      <c r="BS96" s="289"/>
      <c r="BT96" s="289"/>
      <c r="BU96" s="289"/>
      <c r="BV96" s="289"/>
      <c r="BW96" s="289"/>
      <c r="BX96" s="289"/>
      <c r="BY96" s="289"/>
      <c r="BZ96" s="289"/>
      <c r="CA96" s="289"/>
      <c r="CB96" s="289"/>
      <c r="CC96" s="289"/>
      <c r="CD96" s="289"/>
      <c r="CE96" s="289"/>
      <c r="CF96" s="289"/>
      <c r="CG96" s="289"/>
      <c r="CH96" s="289"/>
      <c r="CI96" s="289"/>
      <c r="CJ96" s="289"/>
      <c r="CK96" s="289"/>
      <c r="CL96" s="289"/>
      <c r="CM96" s="289"/>
      <c r="CN96" s="289"/>
      <c r="CO96" s="289"/>
      <c r="CP96" s="289"/>
      <c r="CQ96" s="289"/>
      <c r="CR96" s="289"/>
      <c r="CS96" s="289"/>
      <c r="CT96" s="289"/>
      <c r="CU96" s="289"/>
      <c r="CV96" s="289"/>
      <c r="CW96" s="289"/>
      <c r="CX96" s="289"/>
      <c r="CY96" s="289"/>
      <c r="CZ96" s="289"/>
      <c r="DA96" s="289"/>
      <c r="DB96" s="289"/>
      <c r="DC96" s="289"/>
      <c r="DD96" s="289"/>
      <c r="DE96" s="289"/>
      <c r="DF96" s="289"/>
      <c r="DG96" s="289"/>
      <c r="DH96" s="289"/>
      <c r="DI96" s="289"/>
      <c r="DJ96" s="289"/>
      <c r="DK96" s="289"/>
      <c r="DL96" s="289"/>
      <c r="DM96" s="289"/>
      <c r="DN96" s="289"/>
      <c r="DO96" s="289"/>
      <c r="DP96" s="289"/>
      <c r="DQ96" s="289"/>
      <c r="DR96" s="289"/>
      <c r="DS96" s="289"/>
      <c r="DT96" s="289"/>
      <c r="DU96" s="289"/>
      <c r="DV96" s="289"/>
      <c r="DW96" s="289"/>
      <c r="DX96" s="289"/>
      <c r="DY96" s="289"/>
      <c r="DZ96" s="289"/>
      <c r="EA96" s="289"/>
      <c r="EB96" s="289"/>
      <c r="EC96" s="289"/>
      <c r="ED96" s="289"/>
      <c r="EE96" s="289"/>
      <c r="EF96" s="289"/>
      <c r="EG96" s="289"/>
      <c r="EH96" s="289"/>
      <c r="EI96" s="289"/>
      <c r="EJ96" s="289"/>
      <c r="EK96" s="289"/>
      <c r="EL96" s="289"/>
      <c r="EM96" s="289"/>
      <c r="EN96" s="289"/>
      <c r="EO96" s="289"/>
      <c r="EP96" s="289"/>
      <c r="EQ96" s="289"/>
      <c r="ER96" s="289"/>
      <c r="ES96" s="289"/>
      <c r="ET96" s="289"/>
      <c r="EU96" s="289"/>
      <c r="EV96" s="289"/>
      <c r="EW96" s="289"/>
      <c r="EX96" s="289"/>
      <c r="EY96" s="289"/>
      <c r="EZ96" s="289"/>
      <c r="FA96" s="289"/>
      <c r="FB96" s="289"/>
      <c r="FC96" s="289"/>
      <c r="FD96" s="289"/>
      <c r="FE96" s="289"/>
      <c r="FF96" s="289"/>
      <c r="FG96" s="289"/>
      <c r="FH96" s="289"/>
      <c r="FI96" s="289"/>
      <c r="FJ96" s="289"/>
      <c r="FK96" s="289"/>
      <c r="FL96" s="289"/>
      <c r="FM96" s="289"/>
      <c r="FN96" s="289"/>
      <c r="FO96" s="289"/>
      <c r="FP96" s="289"/>
      <c r="FQ96" s="289"/>
      <c r="FR96" s="289"/>
      <c r="FS96" s="289"/>
      <c r="FT96" s="289"/>
      <c r="FU96" s="289"/>
      <c r="FV96" s="289"/>
      <c r="FW96" s="289"/>
      <c r="FX96" s="289"/>
      <c r="FY96" s="289"/>
      <c r="FZ96" s="289"/>
      <c r="GA96" s="289"/>
      <c r="GB96" s="289"/>
      <c r="GC96" s="289"/>
      <c r="GD96" s="289"/>
      <c r="GE96" s="289"/>
      <c r="GF96" s="289"/>
      <c r="GG96" s="289"/>
      <c r="GH96" s="289"/>
      <c r="GI96" s="289"/>
      <c r="GJ96" s="289"/>
      <c r="GK96" s="289"/>
      <c r="GL96" s="289"/>
      <c r="GM96" s="289"/>
      <c r="GN96" s="289"/>
      <c r="GO96" s="289"/>
      <c r="GP96" s="289"/>
      <c r="GQ96" s="289"/>
      <c r="GR96" s="289"/>
      <c r="GS96" s="289"/>
      <c r="GT96" s="289"/>
      <c r="GU96" s="289"/>
      <c r="GV96" s="289"/>
      <c r="GW96" s="289"/>
      <c r="GX96" s="289"/>
      <c r="GY96" s="289"/>
      <c r="GZ96" s="289"/>
      <c r="HA96" s="289"/>
      <c r="HB96" s="289"/>
      <c r="HC96" s="289"/>
      <c r="HD96" s="289"/>
      <c r="HE96" s="289"/>
      <c r="HF96" s="289"/>
      <c r="HG96" s="289"/>
      <c r="HH96" s="289"/>
      <c r="HI96" s="289"/>
      <c r="HJ96" s="289"/>
      <c r="HK96" s="289"/>
      <c r="HL96" s="289"/>
      <c r="HM96" s="289"/>
      <c r="HN96" s="289"/>
      <c r="HO96" s="289"/>
      <c r="HP96" s="289"/>
      <c r="HQ96" s="289"/>
      <c r="HR96" s="289"/>
      <c r="HS96" s="289"/>
      <c r="HT96" s="289"/>
      <c r="HU96" s="289"/>
      <c r="HV96" s="289"/>
      <c r="HW96" s="289"/>
      <c r="HX96" s="289"/>
      <c r="HY96" s="289"/>
      <c r="HZ96" s="289"/>
      <c r="IA96" s="289"/>
      <c r="IB96" s="289"/>
      <c r="IC96" s="289"/>
      <c r="ID96" s="289"/>
      <c r="IE96" s="289"/>
      <c r="IF96" s="289"/>
      <c r="IG96" s="289"/>
      <c r="IH96" s="289"/>
      <c r="II96" s="289"/>
      <c r="IJ96" s="289"/>
      <c r="IK96" s="289"/>
      <c r="IL96" s="289"/>
      <c r="IM96" s="289"/>
      <c r="IN96" s="289"/>
      <c r="IO96" s="289"/>
      <c r="IP96" s="289"/>
      <c r="IQ96" s="289"/>
      <c r="IR96" s="289"/>
      <c r="IS96" s="289"/>
      <c r="IT96" s="289"/>
      <c r="IU96" s="289"/>
      <c r="IV96" s="289"/>
      <c r="IW96" s="289"/>
      <c r="IX96" s="289"/>
    </row>
    <row r="97" spans="1:258" s="21" customFormat="1" ht="17.100000000000001" customHeight="1">
      <c r="A97" s="377"/>
      <c r="B97" s="377"/>
      <c r="C97" s="1217"/>
      <c r="D97" s="1224"/>
      <c r="E97" s="1229"/>
      <c r="F97" s="1229"/>
      <c r="G97" s="1229"/>
      <c r="H97" s="1229"/>
      <c r="I97" s="1229"/>
      <c r="J97" s="1230"/>
      <c r="K97" s="1230"/>
      <c r="L97" s="1230"/>
      <c r="M97" s="1230"/>
      <c r="N97" s="1230"/>
      <c r="O97" s="1230"/>
      <c r="P97" s="1230"/>
      <c r="Q97" s="1230"/>
      <c r="R97" s="1229"/>
      <c r="S97" s="1229"/>
      <c r="T97" s="1229"/>
      <c r="U97" s="1229"/>
      <c r="V97" s="1236"/>
      <c r="W97" s="1237"/>
      <c r="X97" s="1238"/>
      <c r="Y97" s="1231"/>
      <c r="Z97" s="1231"/>
      <c r="AA97" s="1231"/>
      <c r="AB97" s="1231"/>
      <c r="AC97" s="1230"/>
      <c r="AD97" s="1217"/>
      <c r="AE97" s="1229"/>
      <c r="AF97" s="1229"/>
      <c r="AG97" s="1229"/>
      <c r="AH97" s="1217"/>
      <c r="AI97" s="1229"/>
      <c r="AJ97" s="1239"/>
      <c r="AK97" s="1237"/>
      <c r="AL97" s="1238"/>
      <c r="AM97" s="1230"/>
      <c r="AN97" s="1230"/>
      <c r="AO97" s="1230"/>
      <c r="AP97" s="1230"/>
      <c r="AQ97" s="1230"/>
      <c r="AR97" s="1230"/>
      <c r="AS97" s="1230"/>
      <c r="AT97" s="1230"/>
      <c r="AU97" s="1230"/>
      <c r="AV97" s="1229"/>
      <c r="AW97" s="1240"/>
      <c r="AX97" s="1232"/>
      <c r="AY97" s="1232"/>
      <c r="AZ97" s="1233"/>
      <c r="BA97" s="1234"/>
      <c r="BB97" s="1235"/>
      <c r="BC97" s="377"/>
      <c r="BD97" s="289"/>
      <c r="BE97" s="289"/>
      <c r="BF97" s="289"/>
      <c r="BG97" s="289"/>
      <c r="BH97" s="289"/>
      <c r="BI97" s="289"/>
      <c r="BJ97" s="289"/>
      <c r="BK97" s="289"/>
      <c r="BL97" s="289"/>
      <c r="BM97" s="289"/>
      <c r="BN97" s="289"/>
      <c r="BO97" s="289"/>
      <c r="BP97" s="289"/>
      <c r="BQ97" s="289"/>
      <c r="BR97" s="289"/>
      <c r="BS97" s="289"/>
      <c r="BT97" s="289"/>
      <c r="BU97" s="289"/>
      <c r="BV97" s="289"/>
      <c r="BW97" s="289"/>
      <c r="BX97" s="289"/>
      <c r="BY97" s="289"/>
      <c r="BZ97" s="289"/>
      <c r="CA97" s="289"/>
      <c r="CB97" s="289"/>
      <c r="CC97" s="289"/>
      <c r="CD97" s="289"/>
      <c r="CE97" s="289"/>
      <c r="CF97" s="289"/>
      <c r="CG97" s="289"/>
      <c r="CH97" s="289"/>
      <c r="CI97" s="289"/>
      <c r="CJ97" s="289"/>
      <c r="CK97" s="289"/>
      <c r="CL97" s="289"/>
      <c r="CM97" s="289"/>
      <c r="CN97" s="289"/>
      <c r="CO97" s="289"/>
      <c r="CP97" s="289"/>
      <c r="CQ97" s="289"/>
      <c r="CR97" s="289"/>
      <c r="CS97" s="289"/>
      <c r="CT97" s="289"/>
      <c r="CU97" s="289"/>
      <c r="CV97" s="289"/>
      <c r="CW97" s="289"/>
      <c r="CX97" s="289"/>
      <c r="CY97" s="289"/>
      <c r="CZ97" s="289"/>
      <c r="DA97" s="289"/>
      <c r="DB97" s="289"/>
      <c r="DC97" s="289"/>
      <c r="DD97" s="289"/>
      <c r="DE97" s="289"/>
      <c r="DF97" s="289"/>
      <c r="DG97" s="289"/>
      <c r="DH97" s="289"/>
      <c r="DI97" s="289"/>
      <c r="DJ97" s="289"/>
      <c r="DK97" s="289"/>
      <c r="DL97" s="289"/>
      <c r="DM97" s="289"/>
      <c r="DN97" s="289"/>
      <c r="DO97" s="289"/>
      <c r="DP97" s="289"/>
      <c r="DQ97" s="289"/>
      <c r="DR97" s="289"/>
      <c r="DS97" s="289"/>
      <c r="DT97" s="289"/>
      <c r="DU97" s="289"/>
      <c r="DV97" s="289"/>
      <c r="DW97" s="289"/>
      <c r="DX97" s="289"/>
      <c r="DY97" s="289"/>
      <c r="DZ97" s="289"/>
      <c r="EA97" s="289"/>
      <c r="EB97" s="289"/>
      <c r="EC97" s="289"/>
      <c r="ED97" s="289"/>
      <c r="EE97" s="289"/>
      <c r="EF97" s="289"/>
      <c r="EG97" s="289"/>
      <c r="EH97" s="289"/>
      <c r="EI97" s="289"/>
      <c r="EJ97" s="289"/>
      <c r="EK97" s="289"/>
      <c r="EL97" s="289"/>
      <c r="EM97" s="289"/>
      <c r="EN97" s="289"/>
      <c r="EO97" s="289"/>
      <c r="EP97" s="289"/>
      <c r="EQ97" s="289"/>
      <c r="ER97" s="289"/>
      <c r="ES97" s="289"/>
      <c r="ET97" s="289"/>
      <c r="EU97" s="289"/>
      <c r="EV97" s="289"/>
      <c r="EW97" s="289"/>
      <c r="EX97" s="289"/>
      <c r="EY97" s="289"/>
      <c r="EZ97" s="289"/>
      <c r="FA97" s="289"/>
      <c r="FB97" s="289"/>
      <c r="FC97" s="289"/>
      <c r="FD97" s="289"/>
      <c r="FE97" s="289"/>
      <c r="FF97" s="289"/>
      <c r="FG97" s="289"/>
      <c r="FH97" s="289"/>
      <c r="FI97" s="289"/>
      <c r="FJ97" s="289"/>
      <c r="FK97" s="289"/>
      <c r="FL97" s="289"/>
      <c r="FM97" s="289"/>
      <c r="FN97" s="289"/>
      <c r="FO97" s="289"/>
      <c r="FP97" s="289"/>
      <c r="FQ97" s="289"/>
      <c r="FR97" s="289"/>
      <c r="FS97" s="289"/>
      <c r="FT97" s="289"/>
      <c r="FU97" s="289"/>
      <c r="FV97" s="289"/>
      <c r="FW97" s="289"/>
      <c r="FX97" s="289"/>
      <c r="FY97" s="289"/>
      <c r="FZ97" s="289"/>
      <c r="GA97" s="289"/>
      <c r="GB97" s="289"/>
      <c r="GC97" s="289"/>
      <c r="GD97" s="289"/>
      <c r="GE97" s="289"/>
      <c r="GF97" s="289"/>
      <c r="GG97" s="289"/>
      <c r="GH97" s="289"/>
      <c r="GI97" s="289"/>
      <c r="GJ97" s="289"/>
      <c r="GK97" s="289"/>
      <c r="GL97" s="289"/>
      <c r="GM97" s="289"/>
      <c r="GN97" s="289"/>
      <c r="GO97" s="289"/>
      <c r="GP97" s="289"/>
      <c r="GQ97" s="289"/>
      <c r="GR97" s="289"/>
      <c r="GS97" s="289"/>
      <c r="GT97" s="289"/>
      <c r="GU97" s="289"/>
      <c r="GV97" s="289"/>
      <c r="GW97" s="289"/>
      <c r="GX97" s="289"/>
      <c r="GY97" s="289"/>
      <c r="GZ97" s="289"/>
      <c r="HA97" s="289"/>
      <c r="HB97" s="289"/>
      <c r="HC97" s="289"/>
      <c r="HD97" s="289"/>
      <c r="HE97" s="289"/>
      <c r="HF97" s="289"/>
      <c r="HG97" s="289"/>
      <c r="HH97" s="289"/>
      <c r="HI97" s="289"/>
      <c r="HJ97" s="289"/>
      <c r="HK97" s="289"/>
      <c r="HL97" s="289"/>
      <c r="HM97" s="289"/>
      <c r="HN97" s="289"/>
      <c r="HO97" s="289"/>
      <c r="HP97" s="289"/>
      <c r="HQ97" s="289"/>
      <c r="HR97" s="289"/>
      <c r="HS97" s="289"/>
      <c r="HT97" s="289"/>
      <c r="HU97" s="289"/>
      <c r="HV97" s="289"/>
      <c r="HW97" s="289"/>
      <c r="HX97" s="289"/>
      <c r="HY97" s="289"/>
      <c r="HZ97" s="289"/>
      <c r="IA97" s="289"/>
      <c r="IB97" s="289"/>
      <c r="IC97" s="289"/>
      <c r="ID97" s="289"/>
      <c r="IE97" s="289"/>
      <c r="IF97" s="289"/>
      <c r="IG97" s="289"/>
      <c r="IH97" s="289"/>
      <c r="II97" s="289"/>
      <c r="IJ97" s="289"/>
      <c r="IK97" s="289"/>
      <c r="IL97" s="289"/>
      <c r="IM97" s="289"/>
      <c r="IN97" s="289"/>
      <c r="IO97" s="289"/>
      <c r="IP97" s="289"/>
      <c r="IQ97" s="289"/>
      <c r="IR97" s="289"/>
      <c r="IS97" s="289"/>
      <c r="IT97" s="289"/>
      <c r="IU97" s="289"/>
      <c r="IV97" s="289"/>
      <c r="IW97" s="289"/>
      <c r="IX97" s="289"/>
    </row>
    <row r="98" spans="1:258" s="21" customFormat="1" ht="17.100000000000001" customHeight="1">
      <c r="A98" s="377"/>
      <c r="B98" s="377"/>
      <c r="C98" s="1217"/>
      <c r="D98" s="1224"/>
      <c r="E98" s="1229"/>
      <c r="F98" s="1229"/>
      <c r="G98" s="1229"/>
      <c r="H98" s="1229"/>
      <c r="I98" s="1229"/>
      <c r="J98" s="1230"/>
      <c r="K98" s="1230"/>
      <c r="L98" s="1230"/>
      <c r="M98" s="1230"/>
      <c r="N98" s="1230"/>
      <c r="O98" s="1230"/>
      <c r="P98" s="1230"/>
      <c r="Q98" s="1230"/>
      <c r="R98" s="1229"/>
      <c r="S98" s="1229"/>
      <c r="T98" s="1229"/>
      <c r="U98" s="1229"/>
      <c r="V98" s="1236"/>
      <c r="W98" s="1237"/>
      <c r="X98" s="1238"/>
      <c r="Y98" s="1231"/>
      <c r="Z98" s="1231"/>
      <c r="AA98" s="1231"/>
      <c r="AB98" s="1231"/>
      <c r="AC98" s="1230"/>
      <c r="AD98" s="1217"/>
      <c r="AE98" s="1229"/>
      <c r="AF98" s="1229"/>
      <c r="AG98" s="1229"/>
      <c r="AH98" s="1217"/>
      <c r="AI98" s="1229"/>
      <c r="AJ98" s="1239"/>
      <c r="AK98" s="1237"/>
      <c r="AL98" s="1238"/>
      <c r="AM98" s="1230"/>
      <c r="AN98" s="1230"/>
      <c r="AO98" s="1230"/>
      <c r="AP98" s="1230"/>
      <c r="AQ98" s="1230"/>
      <c r="AR98" s="1230"/>
      <c r="AS98" s="1230"/>
      <c r="AT98" s="1230"/>
      <c r="AU98" s="1230"/>
      <c r="AV98" s="1229"/>
      <c r="AW98" s="1217"/>
      <c r="AX98" s="1232"/>
      <c r="AY98" s="1232"/>
      <c r="AZ98" s="1233"/>
      <c r="BA98" s="1234"/>
      <c r="BB98" s="1235"/>
      <c r="BC98" s="377"/>
      <c r="BD98" s="289"/>
      <c r="BE98" s="289"/>
      <c r="BF98" s="289"/>
      <c r="BG98" s="289"/>
      <c r="BH98" s="289"/>
      <c r="BI98" s="289"/>
      <c r="BJ98" s="289"/>
      <c r="BK98" s="289"/>
      <c r="BL98" s="289"/>
      <c r="BM98" s="289"/>
      <c r="BN98" s="289"/>
      <c r="BO98" s="289"/>
      <c r="BP98" s="289"/>
      <c r="BQ98" s="289"/>
      <c r="BR98" s="289"/>
      <c r="BS98" s="289"/>
      <c r="BT98" s="289"/>
      <c r="BU98" s="289"/>
      <c r="BV98" s="289"/>
      <c r="BW98" s="289"/>
      <c r="BX98" s="289"/>
      <c r="BY98" s="289"/>
      <c r="BZ98" s="289"/>
      <c r="CA98" s="289"/>
      <c r="CB98" s="289"/>
      <c r="CC98" s="289"/>
      <c r="CD98" s="289"/>
      <c r="CE98" s="289"/>
      <c r="CF98" s="289"/>
      <c r="CG98" s="289"/>
      <c r="CH98" s="289"/>
      <c r="CI98" s="289"/>
      <c r="CJ98" s="289"/>
      <c r="CK98" s="289"/>
      <c r="CL98" s="289"/>
      <c r="CM98" s="289"/>
      <c r="CN98" s="289"/>
      <c r="CO98" s="289"/>
      <c r="CP98" s="289"/>
      <c r="CQ98" s="289"/>
      <c r="CR98" s="289"/>
      <c r="CS98" s="289"/>
      <c r="CT98" s="289"/>
      <c r="CU98" s="289"/>
      <c r="CV98" s="289"/>
      <c r="CW98" s="289"/>
      <c r="CX98" s="289"/>
      <c r="CY98" s="289"/>
      <c r="CZ98" s="289"/>
      <c r="DA98" s="289"/>
      <c r="DB98" s="289"/>
      <c r="DC98" s="289"/>
      <c r="DD98" s="289"/>
      <c r="DE98" s="289"/>
      <c r="DF98" s="289"/>
      <c r="DG98" s="289"/>
      <c r="DH98" s="289"/>
      <c r="DI98" s="289"/>
      <c r="DJ98" s="289"/>
      <c r="DK98" s="289"/>
      <c r="DL98" s="289"/>
      <c r="DM98" s="289"/>
      <c r="DN98" s="289"/>
      <c r="DO98" s="289"/>
      <c r="DP98" s="289"/>
      <c r="DQ98" s="289"/>
      <c r="DR98" s="289"/>
      <c r="DS98" s="289"/>
      <c r="DT98" s="289"/>
      <c r="DU98" s="289"/>
      <c r="DV98" s="289"/>
      <c r="DW98" s="289"/>
      <c r="DX98" s="289"/>
      <c r="DY98" s="289"/>
      <c r="DZ98" s="289"/>
      <c r="EA98" s="289"/>
      <c r="EB98" s="289"/>
      <c r="EC98" s="289"/>
      <c r="ED98" s="289"/>
      <c r="EE98" s="289"/>
      <c r="EF98" s="289"/>
      <c r="EG98" s="289"/>
      <c r="EH98" s="289"/>
      <c r="EI98" s="289"/>
      <c r="EJ98" s="289"/>
      <c r="EK98" s="289"/>
      <c r="EL98" s="289"/>
      <c r="EM98" s="289"/>
      <c r="EN98" s="289"/>
      <c r="EO98" s="289"/>
      <c r="EP98" s="289"/>
      <c r="EQ98" s="289"/>
      <c r="ER98" s="289"/>
      <c r="ES98" s="289"/>
      <c r="ET98" s="289"/>
      <c r="EU98" s="289"/>
      <c r="EV98" s="289"/>
      <c r="EW98" s="289"/>
      <c r="EX98" s="289"/>
      <c r="EY98" s="289"/>
      <c r="EZ98" s="289"/>
      <c r="FA98" s="289"/>
      <c r="FB98" s="289"/>
      <c r="FC98" s="289"/>
      <c r="FD98" s="289"/>
      <c r="FE98" s="289"/>
      <c r="FF98" s="289"/>
      <c r="FG98" s="289"/>
      <c r="FH98" s="289"/>
      <c r="FI98" s="289"/>
      <c r="FJ98" s="289"/>
      <c r="FK98" s="289"/>
      <c r="FL98" s="289"/>
      <c r="FM98" s="289"/>
      <c r="FN98" s="289"/>
      <c r="FO98" s="289"/>
      <c r="FP98" s="289"/>
      <c r="FQ98" s="289"/>
      <c r="FR98" s="289"/>
      <c r="FS98" s="289"/>
      <c r="FT98" s="289"/>
      <c r="FU98" s="289"/>
      <c r="FV98" s="289"/>
      <c r="FW98" s="289"/>
      <c r="FX98" s="289"/>
      <c r="FY98" s="289"/>
      <c r="FZ98" s="289"/>
      <c r="GA98" s="289"/>
      <c r="GB98" s="289"/>
      <c r="GC98" s="289"/>
      <c r="GD98" s="289"/>
      <c r="GE98" s="289"/>
      <c r="GF98" s="289"/>
      <c r="GG98" s="289"/>
      <c r="GH98" s="289"/>
      <c r="GI98" s="289"/>
      <c r="GJ98" s="289"/>
      <c r="GK98" s="289"/>
      <c r="GL98" s="289"/>
      <c r="GM98" s="289"/>
      <c r="GN98" s="289"/>
      <c r="GO98" s="289"/>
      <c r="GP98" s="289"/>
      <c r="GQ98" s="289"/>
      <c r="GR98" s="289"/>
      <c r="GS98" s="289"/>
      <c r="GT98" s="289"/>
      <c r="GU98" s="289"/>
      <c r="GV98" s="289"/>
      <c r="GW98" s="289"/>
      <c r="GX98" s="289"/>
      <c r="GY98" s="289"/>
      <c r="GZ98" s="289"/>
      <c r="HA98" s="289"/>
      <c r="HB98" s="289"/>
      <c r="HC98" s="289"/>
      <c r="HD98" s="289"/>
      <c r="HE98" s="289"/>
      <c r="HF98" s="289"/>
      <c r="HG98" s="289"/>
      <c r="HH98" s="289"/>
      <c r="HI98" s="289"/>
      <c r="HJ98" s="289"/>
      <c r="HK98" s="289"/>
      <c r="HL98" s="289"/>
      <c r="HM98" s="289"/>
      <c r="HN98" s="289"/>
      <c r="HO98" s="289"/>
      <c r="HP98" s="289"/>
      <c r="HQ98" s="289"/>
      <c r="HR98" s="289"/>
      <c r="HS98" s="289"/>
      <c r="HT98" s="289"/>
      <c r="HU98" s="289"/>
      <c r="HV98" s="289"/>
      <c r="HW98" s="289"/>
      <c r="HX98" s="289"/>
      <c r="HY98" s="289"/>
      <c r="HZ98" s="289"/>
      <c r="IA98" s="289"/>
      <c r="IB98" s="289"/>
      <c r="IC98" s="289"/>
      <c r="ID98" s="289"/>
      <c r="IE98" s="289"/>
      <c r="IF98" s="289"/>
      <c r="IG98" s="289"/>
      <c r="IH98" s="289"/>
      <c r="II98" s="289"/>
      <c r="IJ98" s="289"/>
      <c r="IK98" s="289"/>
      <c r="IL98" s="289"/>
      <c r="IM98" s="289"/>
      <c r="IN98" s="289"/>
      <c r="IO98" s="289"/>
      <c r="IP98" s="289"/>
      <c r="IQ98" s="289"/>
      <c r="IR98" s="289"/>
      <c r="IS98" s="289"/>
      <c r="IT98" s="289"/>
      <c r="IU98" s="289"/>
      <c r="IV98" s="289"/>
      <c r="IW98" s="289"/>
      <c r="IX98" s="289"/>
    </row>
    <row r="99" spans="1:258" s="21" customFormat="1" ht="17.100000000000001" customHeight="1">
      <c r="A99" s="377"/>
      <c r="B99" s="377"/>
      <c r="C99" s="1217"/>
      <c r="D99" s="1224"/>
      <c r="E99" s="1229"/>
      <c r="F99" s="1229"/>
      <c r="G99" s="1229"/>
      <c r="H99" s="1229"/>
      <c r="I99" s="1229"/>
      <c r="J99" s="1230"/>
      <c r="K99" s="1230"/>
      <c r="L99" s="1230"/>
      <c r="M99" s="1230"/>
      <c r="N99" s="1230"/>
      <c r="O99" s="1230"/>
      <c r="P99" s="1230"/>
      <c r="Q99" s="1230"/>
      <c r="R99" s="1229"/>
      <c r="S99" s="1229"/>
      <c r="T99" s="1229"/>
      <c r="U99" s="1229"/>
      <c r="V99" s="1236"/>
      <c r="W99" s="1237"/>
      <c r="X99" s="1238"/>
      <c r="Y99" s="1231"/>
      <c r="Z99" s="1231"/>
      <c r="AA99" s="1231"/>
      <c r="AB99" s="1231"/>
      <c r="AC99" s="1230"/>
      <c r="AD99" s="1217"/>
      <c r="AE99" s="1229"/>
      <c r="AF99" s="1229"/>
      <c r="AG99" s="1229"/>
      <c r="AH99" s="1217"/>
      <c r="AI99" s="1229"/>
      <c r="AJ99" s="1239"/>
      <c r="AK99" s="1237"/>
      <c r="AL99" s="1238"/>
      <c r="AM99" s="1230"/>
      <c r="AN99" s="1230"/>
      <c r="AO99" s="1230"/>
      <c r="AP99" s="1230"/>
      <c r="AQ99" s="1230"/>
      <c r="AR99" s="1230"/>
      <c r="AS99" s="1230"/>
      <c r="AT99" s="1230"/>
      <c r="AU99" s="1230"/>
      <c r="AV99" s="1229"/>
      <c r="AW99" s="1217"/>
      <c r="AX99" s="1232"/>
      <c r="AY99" s="1232"/>
      <c r="AZ99" s="1233"/>
      <c r="BA99" s="1234"/>
      <c r="BB99" s="1235"/>
      <c r="BC99" s="377"/>
      <c r="BD99" s="289"/>
      <c r="BE99" s="289"/>
      <c r="BF99" s="289"/>
      <c r="BG99" s="289"/>
      <c r="BH99" s="289"/>
      <c r="BI99" s="289"/>
      <c r="BJ99" s="289"/>
      <c r="BK99" s="289"/>
      <c r="BL99" s="289"/>
      <c r="BM99" s="289"/>
      <c r="BN99" s="289"/>
      <c r="BO99" s="289"/>
      <c r="BP99" s="289"/>
      <c r="BQ99" s="289"/>
      <c r="BR99" s="289"/>
      <c r="BS99" s="289"/>
      <c r="BT99" s="289"/>
      <c r="BU99" s="289"/>
      <c r="BV99" s="289"/>
      <c r="BW99" s="289"/>
      <c r="BX99" s="289"/>
      <c r="BY99" s="289"/>
      <c r="BZ99" s="289"/>
      <c r="CA99" s="289"/>
      <c r="CB99" s="289"/>
      <c r="CC99" s="289"/>
      <c r="CD99" s="289"/>
      <c r="CE99" s="289"/>
      <c r="CF99" s="289"/>
      <c r="CG99" s="289"/>
      <c r="CH99" s="289"/>
      <c r="CI99" s="289"/>
      <c r="CJ99" s="289"/>
      <c r="CK99" s="289"/>
      <c r="CL99" s="289"/>
      <c r="CM99" s="289"/>
      <c r="CN99" s="289"/>
      <c r="CO99" s="289"/>
      <c r="CP99" s="289"/>
      <c r="CQ99" s="289"/>
      <c r="CR99" s="289"/>
      <c r="CS99" s="289"/>
      <c r="CT99" s="289"/>
      <c r="CU99" s="289"/>
      <c r="CV99" s="289"/>
      <c r="CW99" s="289"/>
      <c r="CX99" s="289"/>
      <c r="CY99" s="289"/>
      <c r="CZ99" s="289"/>
      <c r="DA99" s="289"/>
      <c r="DB99" s="289"/>
      <c r="DC99" s="289"/>
      <c r="DD99" s="289"/>
      <c r="DE99" s="289"/>
      <c r="DF99" s="289"/>
      <c r="DG99" s="289"/>
      <c r="DH99" s="289"/>
      <c r="DI99" s="289"/>
      <c r="DJ99" s="289"/>
      <c r="DK99" s="289"/>
      <c r="DL99" s="289"/>
      <c r="DM99" s="289"/>
      <c r="DN99" s="289"/>
      <c r="DO99" s="289"/>
      <c r="DP99" s="289"/>
      <c r="DQ99" s="289"/>
      <c r="DR99" s="289"/>
      <c r="DS99" s="289"/>
      <c r="DT99" s="289"/>
      <c r="DU99" s="289"/>
      <c r="DV99" s="289"/>
      <c r="DW99" s="289"/>
      <c r="DX99" s="289"/>
      <c r="DY99" s="289"/>
      <c r="DZ99" s="289"/>
      <c r="EA99" s="289"/>
      <c r="EB99" s="289"/>
      <c r="EC99" s="289"/>
      <c r="ED99" s="289"/>
      <c r="EE99" s="289"/>
      <c r="EF99" s="289"/>
      <c r="EG99" s="289"/>
      <c r="EH99" s="289"/>
      <c r="EI99" s="289"/>
      <c r="EJ99" s="289"/>
      <c r="EK99" s="289"/>
      <c r="EL99" s="289"/>
      <c r="EM99" s="289"/>
      <c r="EN99" s="289"/>
      <c r="EO99" s="289"/>
      <c r="EP99" s="289"/>
      <c r="EQ99" s="289"/>
      <c r="ER99" s="289"/>
      <c r="ES99" s="289"/>
      <c r="ET99" s="289"/>
      <c r="EU99" s="289"/>
      <c r="EV99" s="289"/>
      <c r="EW99" s="289"/>
      <c r="EX99" s="289"/>
      <c r="EY99" s="289"/>
      <c r="EZ99" s="289"/>
      <c r="FA99" s="289"/>
      <c r="FB99" s="289"/>
      <c r="FC99" s="289"/>
      <c r="FD99" s="289"/>
      <c r="FE99" s="289"/>
      <c r="FF99" s="289"/>
      <c r="FG99" s="289"/>
      <c r="FH99" s="289"/>
      <c r="FI99" s="289"/>
      <c r="FJ99" s="289"/>
      <c r="FK99" s="289"/>
      <c r="FL99" s="289"/>
      <c r="FM99" s="289"/>
      <c r="FN99" s="289"/>
      <c r="FO99" s="289"/>
      <c r="FP99" s="289"/>
      <c r="FQ99" s="289"/>
      <c r="FR99" s="289"/>
      <c r="FS99" s="289"/>
      <c r="FT99" s="289"/>
      <c r="FU99" s="289"/>
      <c r="FV99" s="289"/>
      <c r="FW99" s="289"/>
      <c r="FX99" s="289"/>
      <c r="FY99" s="289"/>
      <c r="FZ99" s="289"/>
      <c r="GA99" s="289"/>
      <c r="GB99" s="289"/>
      <c r="GC99" s="289"/>
      <c r="GD99" s="289"/>
      <c r="GE99" s="289"/>
      <c r="GF99" s="289"/>
      <c r="GG99" s="289"/>
      <c r="GH99" s="289"/>
      <c r="GI99" s="289"/>
      <c r="GJ99" s="289"/>
      <c r="GK99" s="289"/>
      <c r="GL99" s="289"/>
      <c r="GM99" s="289"/>
      <c r="GN99" s="289"/>
      <c r="GO99" s="289"/>
      <c r="GP99" s="289"/>
      <c r="GQ99" s="289"/>
      <c r="GR99" s="289"/>
      <c r="GS99" s="289"/>
      <c r="GT99" s="289"/>
      <c r="GU99" s="289"/>
      <c r="GV99" s="289"/>
      <c r="GW99" s="289"/>
      <c r="GX99" s="289"/>
      <c r="GY99" s="289"/>
      <c r="GZ99" s="289"/>
      <c r="HA99" s="289"/>
      <c r="HB99" s="289"/>
      <c r="HC99" s="289"/>
      <c r="HD99" s="289"/>
      <c r="HE99" s="289"/>
      <c r="HF99" s="289"/>
      <c r="HG99" s="289"/>
      <c r="HH99" s="289"/>
      <c r="HI99" s="289"/>
      <c r="HJ99" s="289"/>
      <c r="HK99" s="289"/>
      <c r="HL99" s="289"/>
      <c r="HM99" s="289"/>
      <c r="HN99" s="289"/>
      <c r="HO99" s="289"/>
      <c r="HP99" s="289"/>
      <c r="HQ99" s="289"/>
      <c r="HR99" s="289"/>
      <c r="HS99" s="289"/>
      <c r="HT99" s="289"/>
      <c r="HU99" s="289"/>
      <c r="HV99" s="289"/>
      <c r="HW99" s="289"/>
      <c r="HX99" s="289"/>
      <c r="HY99" s="289"/>
      <c r="HZ99" s="289"/>
      <c r="IA99" s="289"/>
      <c r="IB99" s="289"/>
      <c r="IC99" s="289"/>
      <c r="ID99" s="289"/>
      <c r="IE99" s="289"/>
      <c r="IF99" s="289"/>
      <c r="IG99" s="289"/>
      <c r="IH99" s="289"/>
      <c r="II99" s="289"/>
      <c r="IJ99" s="289"/>
      <c r="IK99" s="289"/>
      <c r="IL99" s="289"/>
      <c r="IM99" s="289"/>
      <c r="IN99" s="289"/>
      <c r="IO99" s="289"/>
      <c r="IP99" s="289"/>
      <c r="IQ99" s="289"/>
      <c r="IR99" s="289"/>
      <c r="IS99" s="289"/>
      <c r="IT99" s="289"/>
      <c r="IU99" s="289"/>
      <c r="IV99" s="289"/>
      <c r="IW99" s="289"/>
      <c r="IX99" s="289"/>
    </row>
    <row r="100" spans="1:258" s="21" customFormat="1" ht="17.100000000000001" customHeight="1">
      <c r="A100" s="377"/>
      <c r="B100" s="377"/>
      <c r="C100" s="1217"/>
      <c r="D100" s="1224"/>
      <c r="E100" s="1229"/>
      <c r="F100" s="1229"/>
      <c r="G100" s="1229"/>
      <c r="H100" s="1229"/>
      <c r="I100" s="1229"/>
      <c r="J100" s="1230"/>
      <c r="K100" s="1230"/>
      <c r="L100" s="1230"/>
      <c r="M100" s="1230"/>
      <c r="N100" s="1230"/>
      <c r="O100" s="1230"/>
      <c r="P100" s="1230"/>
      <c r="Q100" s="1230"/>
      <c r="R100" s="1229"/>
      <c r="S100" s="1229"/>
      <c r="T100" s="1229"/>
      <c r="U100" s="1229"/>
      <c r="V100" s="1236"/>
      <c r="W100" s="1237"/>
      <c r="X100" s="1238"/>
      <c r="Y100" s="1231"/>
      <c r="Z100" s="1231"/>
      <c r="AA100" s="1231"/>
      <c r="AB100" s="1231"/>
      <c r="AC100" s="1230"/>
      <c r="AD100" s="1217"/>
      <c r="AE100" s="1229"/>
      <c r="AF100" s="1229"/>
      <c r="AG100" s="1229"/>
      <c r="AH100" s="1217"/>
      <c r="AI100" s="1229"/>
      <c r="AJ100" s="1239"/>
      <c r="AK100" s="1237"/>
      <c r="AL100" s="1238"/>
      <c r="AM100" s="1230"/>
      <c r="AN100" s="1230"/>
      <c r="AO100" s="1230"/>
      <c r="AP100" s="1230"/>
      <c r="AQ100" s="1230"/>
      <c r="AR100" s="1230"/>
      <c r="AS100" s="1230"/>
      <c r="AT100" s="1230"/>
      <c r="AU100" s="1230"/>
      <c r="AV100" s="1229"/>
      <c r="AW100" s="1217"/>
      <c r="AX100" s="1232"/>
      <c r="AY100" s="1232"/>
      <c r="AZ100" s="1233"/>
      <c r="BA100" s="1234"/>
      <c r="BB100" s="1235"/>
      <c r="BC100" s="377"/>
      <c r="BD100" s="289"/>
      <c r="BE100" s="289"/>
      <c r="BF100" s="289"/>
      <c r="BG100" s="289"/>
      <c r="BH100" s="289"/>
      <c r="BI100" s="289"/>
      <c r="BJ100" s="289"/>
      <c r="BK100" s="289"/>
      <c r="BL100" s="289"/>
      <c r="BM100" s="289"/>
      <c r="BN100" s="289"/>
      <c r="BO100" s="289"/>
      <c r="BP100" s="289"/>
      <c r="BQ100" s="289"/>
      <c r="BR100" s="289"/>
      <c r="BS100" s="289"/>
      <c r="BT100" s="289"/>
      <c r="BU100" s="289"/>
      <c r="BV100" s="289"/>
      <c r="BW100" s="289"/>
      <c r="BX100" s="289"/>
      <c r="BY100" s="289"/>
      <c r="BZ100" s="289"/>
      <c r="CA100" s="289"/>
      <c r="CB100" s="289"/>
      <c r="CC100" s="289"/>
      <c r="CD100" s="289"/>
      <c r="CE100" s="289"/>
      <c r="CF100" s="289"/>
      <c r="CG100" s="289"/>
      <c r="CH100" s="289"/>
      <c r="CI100" s="289"/>
      <c r="CJ100" s="289"/>
      <c r="CK100" s="289"/>
      <c r="CL100" s="289"/>
      <c r="CM100" s="289"/>
      <c r="CN100" s="289"/>
      <c r="CO100" s="289"/>
      <c r="CP100" s="289"/>
      <c r="CQ100" s="289"/>
      <c r="CR100" s="289"/>
      <c r="CS100" s="289"/>
      <c r="CT100" s="289"/>
      <c r="CU100" s="289"/>
      <c r="CV100" s="289"/>
      <c r="CW100" s="289"/>
      <c r="CX100" s="289"/>
      <c r="CY100" s="289"/>
      <c r="CZ100" s="289"/>
      <c r="DA100" s="289"/>
      <c r="DB100" s="289"/>
      <c r="DC100" s="289"/>
      <c r="DD100" s="289"/>
      <c r="DE100" s="289"/>
      <c r="DF100" s="289"/>
      <c r="DG100" s="289"/>
      <c r="DH100" s="289"/>
      <c r="DI100" s="289"/>
      <c r="DJ100" s="289"/>
      <c r="DK100" s="289"/>
      <c r="DL100" s="289"/>
      <c r="DM100" s="289"/>
      <c r="DN100" s="289"/>
      <c r="DO100" s="289"/>
      <c r="DP100" s="289"/>
      <c r="DQ100" s="289"/>
      <c r="DR100" s="289"/>
      <c r="DS100" s="289"/>
      <c r="DT100" s="289"/>
      <c r="DU100" s="289"/>
      <c r="DV100" s="289"/>
      <c r="DW100" s="289"/>
      <c r="DX100" s="289"/>
      <c r="DY100" s="289"/>
      <c r="DZ100" s="289"/>
      <c r="EA100" s="289"/>
      <c r="EB100" s="289"/>
      <c r="EC100" s="289"/>
      <c r="ED100" s="289"/>
      <c r="EE100" s="289"/>
      <c r="EF100" s="289"/>
      <c r="EG100" s="289"/>
      <c r="EH100" s="289"/>
      <c r="EI100" s="289"/>
      <c r="EJ100" s="289"/>
      <c r="EK100" s="289"/>
      <c r="EL100" s="289"/>
      <c r="EM100" s="289"/>
      <c r="EN100" s="289"/>
      <c r="EO100" s="289"/>
      <c r="EP100" s="289"/>
      <c r="EQ100" s="289"/>
      <c r="ER100" s="289"/>
      <c r="ES100" s="289"/>
      <c r="ET100" s="289"/>
      <c r="EU100" s="289"/>
      <c r="EV100" s="289"/>
      <c r="EW100" s="289"/>
      <c r="EX100" s="289"/>
      <c r="EY100" s="289"/>
      <c r="EZ100" s="289"/>
      <c r="FA100" s="289"/>
      <c r="FB100" s="289"/>
      <c r="FC100" s="289"/>
      <c r="FD100" s="289"/>
      <c r="FE100" s="289"/>
      <c r="FF100" s="289"/>
      <c r="FG100" s="289"/>
      <c r="FH100" s="289"/>
      <c r="FI100" s="289"/>
      <c r="FJ100" s="289"/>
      <c r="FK100" s="289"/>
      <c r="FL100" s="289"/>
      <c r="FM100" s="289"/>
      <c r="FN100" s="289"/>
      <c r="FO100" s="289"/>
      <c r="FP100" s="289"/>
      <c r="FQ100" s="289"/>
      <c r="FR100" s="289"/>
      <c r="FS100" s="289"/>
      <c r="FT100" s="289"/>
      <c r="FU100" s="289"/>
      <c r="FV100" s="289"/>
      <c r="FW100" s="289"/>
      <c r="FX100" s="289"/>
      <c r="FY100" s="289"/>
      <c r="FZ100" s="289"/>
      <c r="GA100" s="289"/>
      <c r="GB100" s="289"/>
      <c r="GC100" s="289"/>
      <c r="GD100" s="289"/>
      <c r="GE100" s="289"/>
      <c r="GF100" s="289"/>
      <c r="GG100" s="289"/>
      <c r="GH100" s="289"/>
      <c r="GI100" s="289"/>
      <c r="GJ100" s="289"/>
      <c r="GK100" s="289"/>
      <c r="GL100" s="289"/>
      <c r="GM100" s="289"/>
      <c r="GN100" s="289"/>
      <c r="GO100" s="289"/>
      <c r="GP100" s="289"/>
      <c r="GQ100" s="289"/>
      <c r="GR100" s="289"/>
      <c r="GS100" s="289"/>
      <c r="GT100" s="289"/>
      <c r="GU100" s="289"/>
      <c r="GV100" s="289"/>
      <c r="GW100" s="289"/>
      <c r="GX100" s="289"/>
      <c r="GY100" s="289"/>
      <c r="GZ100" s="289"/>
      <c r="HA100" s="289"/>
      <c r="HB100" s="289"/>
      <c r="HC100" s="289"/>
      <c r="HD100" s="289"/>
      <c r="HE100" s="289"/>
      <c r="HF100" s="289"/>
      <c r="HG100" s="289"/>
      <c r="HH100" s="289"/>
      <c r="HI100" s="289"/>
      <c r="HJ100" s="289"/>
      <c r="HK100" s="289"/>
      <c r="HL100" s="289"/>
      <c r="HM100" s="289"/>
      <c r="HN100" s="289"/>
      <c r="HO100" s="289"/>
      <c r="HP100" s="289"/>
      <c r="HQ100" s="289"/>
      <c r="HR100" s="289"/>
      <c r="HS100" s="289"/>
      <c r="HT100" s="289"/>
      <c r="HU100" s="289"/>
      <c r="HV100" s="289"/>
      <c r="HW100" s="289"/>
      <c r="HX100" s="289"/>
      <c r="HY100" s="289"/>
      <c r="HZ100" s="289"/>
      <c r="IA100" s="289"/>
      <c r="IB100" s="289"/>
      <c r="IC100" s="289"/>
      <c r="ID100" s="289"/>
      <c r="IE100" s="289"/>
      <c r="IF100" s="289"/>
      <c r="IG100" s="289"/>
      <c r="IH100" s="289"/>
      <c r="II100" s="289"/>
      <c r="IJ100" s="289"/>
      <c r="IK100" s="289"/>
      <c r="IL100" s="289"/>
      <c r="IM100" s="289"/>
      <c r="IN100" s="289"/>
      <c r="IO100" s="289"/>
      <c r="IP100" s="289"/>
      <c r="IQ100" s="289"/>
      <c r="IR100" s="289"/>
      <c r="IS100" s="289"/>
      <c r="IT100" s="289"/>
      <c r="IU100" s="289"/>
      <c r="IV100" s="289"/>
      <c r="IW100" s="289"/>
      <c r="IX100" s="289"/>
    </row>
    <row r="101" spans="1:258" s="21" customFormat="1" ht="17.100000000000001" customHeight="1">
      <c r="A101" s="377"/>
      <c r="B101" s="377"/>
      <c r="C101" s="1217"/>
      <c r="D101" s="1224"/>
      <c r="E101" s="1229"/>
      <c r="F101" s="1229"/>
      <c r="G101" s="1229"/>
      <c r="H101" s="1229"/>
      <c r="I101" s="1229"/>
      <c r="J101" s="1230"/>
      <c r="K101" s="1230"/>
      <c r="L101" s="1230"/>
      <c r="M101" s="1230"/>
      <c r="N101" s="1230"/>
      <c r="O101" s="1230"/>
      <c r="P101" s="1230"/>
      <c r="Q101" s="1230"/>
      <c r="R101" s="1229"/>
      <c r="S101" s="1229"/>
      <c r="T101" s="1229"/>
      <c r="U101" s="1229"/>
      <c r="V101" s="1236"/>
      <c r="W101" s="1237"/>
      <c r="X101" s="1238"/>
      <c r="Y101" s="1231"/>
      <c r="Z101" s="1231"/>
      <c r="AA101" s="1231"/>
      <c r="AB101" s="1231"/>
      <c r="AC101" s="1230"/>
      <c r="AD101" s="1217"/>
      <c r="AE101" s="1229"/>
      <c r="AF101" s="1229"/>
      <c r="AG101" s="1229"/>
      <c r="AH101" s="1217"/>
      <c r="AI101" s="1229"/>
      <c r="AJ101" s="1239"/>
      <c r="AK101" s="1237"/>
      <c r="AL101" s="1238"/>
      <c r="AM101" s="1230"/>
      <c r="AN101" s="1230"/>
      <c r="AO101" s="1230"/>
      <c r="AP101" s="1230"/>
      <c r="AQ101" s="1230"/>
      <c r="AR101" s="1230"/>
      <c r="AS101" s="1230"/>
      <c r="AT101" s="1230"/>
      <c r="AU101" s="1230"/>
      <c r="AV101" s="1229"/>
      <c r="AW101" s="1217"/>
      <c r="AX101" s="1232"/>
      <c r="AY101" s="1232"/>
      <c r="AZ101" s="1233"/>
      <c r="BA101" s="1234"/>
      <c r="BB101" s="1235"/>
      <c r="BC101" s="377"/>
      <c r="BD101" s="289"/>
      <c r="BE101" s="289"/>
      <c r="BF101" s="289"/>
      <c r="BG101" s="289"/>
      <c r="BH101" s="289"/>
      <c r="BI101" s="289"/>
      <c r="BJ101" s="289"/>
      <c r="BK101" s="289"/>
      <c r="BL101" s="289"/>
      <c r="BM101" s="289"/>
      <c r="BN101" s="289"/>
      <c r="BO101" s="289"/>
      <c r="BP101" s="289"/>
      <c r="BQ101" s="289"/>
      <c r="BR101" s="289"/>
      <c r="BS101" s="289"/>
      <c r="BT101" s="289"/>
      <c r="BU101" s="289"/>
      <c r="BV101" s="289"/>
      <c r="BW101" s="289"/>
      <c r="BX101" s="289"/>
      <c r="BY101" s="289"/>
      <c r="BZ101" s="289"/>
      <c r="CA101" s="289"/>
      <c r="CB101" s="289"/>
      <c r="CC101" s="289"/>
      <c r="CD101" s="289"/>
      <c r="CE101" s="289"/>
      <c r="CF101" s="289"/>
      <c r="CG101" s="289"/>
      <c r="CH101" s="289"/>
      <c r="CI101" s="289"/>
      <c r="CJ101" s="289"/>
      <c r="CK101" s="289"/>
      <c r="CL101" s="289"/>
      <c r="CM101" s="289"/>
      <c r="CN101" s="289"/>
      <c r="CO101" s="289"/>
      <c r="CP101" s="289"/>
      <c r="CQ101" s="289"/>
      <c r="CR101" s="289"/>
      <c r="CS101" s="289"/>
      <c r="CT101" s="289"/>
      <c r="CU101" s="289"/>
      <c r="CV101" s="289"/>
      <c r="CW101" s="289"/>
      <c r="CX101" s="289"/>
      <c r="CY101" s="289"/>
      <c r="CZ101" s="289"/>
      <c r="DA101" s="289"/>
      <c r="DB101" s="289"/>
      <c r="DC101" s="289"/>
      <c r="DD101" s="289"/>
      <c r="DE101" s="289"/>
      <c r="DF101" s="289"/>
      <c r="DG101" s="289"/>
      <c r="DH101" s="289"/>
      <c r="DI101" s="289"/>
      <c r="DJ101" s="289"/>
      <c r="DK101" s="289"/>
      <c r="DL101" s="289"/>
      <c r="DM101" s="289"/>
      <c r="DN101" s="289"/>
      <c r="DO101" s="289"/>
      <c r="DP101" s="289"/>
      <c r="DQ101" s="289"/>
      <c r="DR101" s="289"/>
      <c r="DS101" s="289"/>
      <c r="DT101" s="289"/>
      <c r="DU101" s="289"/>
      <c r="DV101" s="289"/>
      <c r="DW101" s="289"/>
      <c r="DX101" s="289"/>
      <c r="DY101" s="289"/>
      <c r="DZ101" s="289"/>
      <c r="EA101" s="289"/>
      <c r="EB101" s="289"/>
      <c r="EC101" s="289"/>
      <c r="ED101" s="289"/>
      <c r="EE101" s="289"/>
      <c r="EF101" s="289"/>
      <c r="EG101" s="289"/>
      <c r="EH101" s="289"/>
      <c r="EI101" s="289"/>
      <c r="EJ101" s="289"/>
      <c r="EK101" s="289"/>
      <c r="EL101" s="289"/>
      <c r="EM101" s="289"/>
      <c r="EN101" s="289"/>
      <c r="EO101" s="289"/>
      <c r="EP101" s="289"/>
      <c r="EQ101" s="289"/>
      <c r="ER101" s="289"/>
      <c r="ES101" s="289"/>
      <c r="ET101" s="289"/>
      <c r="EU101" s="289"/>
      <c r="EV101" s="289"/>
      <c r="EW101" s="289"/>
      <c r="EX101" s="289"/>
      <c r="EY101" s="289"/>
      <c r="EZ101" s="289"/>
      <c r="FA101" s="289"/>
      <c r="FB101" s="289"/>
      <c r="FC101" s="289"/>
      <c r="FD101" s="289"/>
      <c r="FE101" s="289"/>
      <c r="FF101" s="289"/>
      <c r="FG101" s="289"/>
      <c r="FH101" s="289"/>
      <c r="FI101" s="289"/>
      <c r="FJ101" s="289"/>
      <c r="FK101" s="289"/>
      <c r="FL101" s="289"/>
      <c r="FM101" s="289"/>
      <c r="FN101" s="289"/>
      <c r="FO101" s="289"/>
      <c r="FP101" s="289"/>
      <c r="FQ101" s="289"/>
      <c r="FR101" s="289"/>
      <c r="FS101" s="289"/>
      <c r="FT101" s="289"/>
      <c r="FU101" s="289"/>
      <c r="FV101" s="289"/>
      <c r="FW101" s="289"/>
      <c r="FX101" s="289"/>
      <c r="FY101" s="289"/>
      <c r="FZ101" s="289"/>
      <c r="GA101" s="289"/>
      <c r="GB101" s="289"/>
      <c r="GC101" s="289"/>
      <c r="GD101" s="289"/>
      <c r="GE101" s="289"/>
      <c r="GF101" s="289"/>
      <c r="GG101" s="289"/>
      <c r="GH101" s="289"/>
      <c r="GI101" s="289"/>
      <c r="GJ101" s="289"/>
      <c r="GK101" s="289"/>
      <c r="GL101" s="289"/>
      <c r="GM101" s="289"/>
      <c r="GN101" s="289"/>
      <c r="GO101" s="289"/>
      <c r="GP101" s="289"/>
      <c r="GQ101" s="289"/>
      <c r="GR101" s="289"/>
      <c r="GS101" s="289"/>
      <c r="GT101" s="289"/>
      <c r="GU101" s="289"/>
      <c r="GV101" s="289"/>
      <c r="GW101" s="289"/>
      <c r="GX101" s="289"/>
      <c r="GY101" s="289"/>
      <c r="GZ101" s="289"/>
      <c r="HA101" s="289"/>
      <c r="HB101" s="289"/>
      <c r="HC101" s="289"/>
      <c r="HD101" s="289"/>
      <c r="HE101" s="289"/>
      <c r="HF101" s="289"/>
      <c r="HG101" s="289"/>
      <c r="HH101" s="289"/>
      <c r="HI101" s="289"/>
      <c r="HJ101" s="289"/>
      <c r="HK101" s="289"/>
      <c r="HL101" s="289"/>
      <c r="HM101" s="289"/>
      <c r="HN101" s="289"/>
      <c r="HO101" s="289"/>
      <c r="HP101" s="289"/>
      <c r="HQ101" s="289"/>
      <c r="HR101" s="289"/>
      <c r="HS101" s="289"/>
      <c r="HT101" s="289"/>
      <c r="HU101" s="289"/>
      <c r="HV101" s="289"/>
      <c r="HW101" s="289"/>
      <c r="HX101" s="289"/>
      <c r="HY101" s="289"/>
      <c r="HZ101" s="289"/>
      <c r="IA101" s="289"/>
      <c r="IB101" s="289"/>
      <c r="IC101" s="289"/>
      <c r="ID101" s="289"/>
      <c r="IE101" s="289"/>
      <c r="IF101" s="289"/>
      <c r="IG101" s="289"/>
      <c r="IH101" s="289"/>
      <c r="II101" s="289"/>
      <c r="IJ101" s="289"/>
      <c r="IK101" s="289"/>
      <c r="IL101" s="289"/>
      <c r="IM101" s="289"/>
      <c r="IN101" s="289"/>
      <c r="IO101" s="289"/>
      <c r="IP101" s="289"/>
      <c r="IQ101" s="289"/>
      <c r="IR101" s="289"/>
      <c r="IS101" s="289"/>
      <c r="IT101" s="289"/>
      <c r="IU101" s="289"/>
      <c r="IV101" s="289"/>
      <c r="IW101" s="289"/>
      <c r="IX101" s="289"/>
    </row>
    <row r="102" spans="1:258" s="21" customFormat="1" ht="17.100000000000001" customHeight="1">
      <c r="A102" s="377"/>
      <c r="B102" s="377"/>
      <c r="C102" s="1217"/>
      <c r="D102" s="1224"/>
      <c r="E102" s="1229"/>
      <c r="F102" s="1229"/>
      <c r="G102" s="1229"/>
      <c r="H102" s="1229"/>
      <c r="I102" s="1229"/>
      <c r="J102" s="1230"/>
      <c r="K102" s="1230"/>
      <c r="L102" s="1230"/>
      <c r="M102" s="1230"/>
      <c r="N102" s="1230"/>
      <c r="O102" s="1230"/>
      <c r="P102" s="1230"/>
      <c r="Q102" s="1230"/>
      <c r="R102" s="1229"/>
      <c r="S102" s="1229"/>
      <c r="T102" s="1229"/>
      <c r="U102" s="1229"/>
      <c r="V102" s="1236"/>
      <c r="W102" s="1237"/>
      <c r="X102" s="1238"/>
      <c r="Y102" s="1231"/>
      <c r="Z102" s="1231"/>
      <c r="AA102" s="1231"/>
      <c r="AB102" s="1231"/>
      <c r="AC102" s="1230"/>
      <c r="AD102" s="1217"/>
      <c r="AE102" s="1229"/>
      <c r="AF102" s="1229"/>
      <c r="AG102" s="1229"/>
      <c r="AH102" s="1217"/>
      <c r="AI102" s="1229"/>
      <c r="AJ102" s="1239"/>
      <c r="AK102" s="1237"/>
      <c r="AL102" s="1238"/>
      <c r="AM102" s="1230"/>
      <c r="AN102" s="1230"/>
      <c r="AO102" s="1230"/>
      <c r="AP102" s="1230"/>
      <c r="AQ102" s="1230"/>
      <c r="AR102" s="1230"/>
      <c r="AS102" s="1230"/>
      <c r="AT102" s="1230"/>
      <c r="AU102" s="1230"/>
      <c r="AV102" s="1229"/>
      <c r="AW102" s="1217"/>
      <c r="AX102" s="1232"/>
      <c r="AY102" s="1232"/>
      <c r="AZ102" s="1233"/>
      <c r="BA102" s="1234"/>
      <c r="BB102" s="1235"/>
      <c r="BC102" s="377"/>
      <c r="BD102" s="289"/>
      <c r="BE102" s="289"/>
      <c r="BF102" s="289"/>
      <c r="BG102" s="289"/>
      <c r="BH102" s="289"/>
      <c r="BI102" s="289"/>
      <c r="BJ102" s="289"/>
      <c r="BK102" s="289"/>
      <c r="BL102" s="289"/>
      <c r="BM102" s="289"/>
      <c r="BN102" s="289"/>
      <c r="BO102" s="289"/>
      <c r="BP102" s="289"/>
      <c r="BQ102" s="289"/>
      <c r="BR102" s="289"/>
      <c r="BS102" s="289"/>
      <c r="BT102" s="289"/>
      <c r="BU102" s="289"/>
      <c r="BV102" s="289"/>
      <c r="BW102" s="289"/>
      <c r="BX102" s="289"/>
      <c r="BY102" s="289"/>
      <c r="BZ102" s="289"/>
      <c r="CA102" s="289"/>
      <c r="CB102" s="289"/>
      <c r="CC102" s="289"/>
      <c r="CD102" s="289"/>
      <c r="CE102" s="289"/>
      <c r="CF102" s="289"/>
      <c r="CG102" s="289"/>
      <c r="CH102" s="289"/>
      <c r="CI102" s="289"/>
      <c r="CJ102" s="289"/>
      <c r="CK102" s="289"/>
      <c r="CL102" s="289"/>
      <c r="CM102" s="289"/>
      <c r="CN102" s="289"/>
      <c r="CO102" s="289"/>
      <c r="CP102" s="289"/>
      <c r="CQ102" s="289"/>
      <c r="CR102" s="289"/>
      <c r="CS102" s="289"/>
      <c r="CT102" s="289"/>
      <c r="CU102" s="289"/>
      <c r="CV102" s="289"/>
      <c r="CW102" s="289"/>
      <c r="CX102" s="289"/>
      <c r="CY102" s="289"/>
      <c r="CZ102" s="289"/>
      <c r="DA102" s="289"/>
      <c r="DB102" s="289"/>
      <c r="DC102" s="289"/>
      <c r="DD102" s="289"/>
      <c r="DE102" s="289"/>
      <c r="DF102" s="289"/>
      <c r="DG102" s="289"/>
      <c r="DH102" s="289"/>
      <c r="DI102" s="289"/>
      <c r="DJ102" s="289"/>
      <c r="DK102" s="289"/>
      <c r="DL102" s="289"/>
      <c r="DM102" s="289"/>
      <c r="DN102" s="289"/>
      <c r="DO102" s="289"/>
      <c r="DP102" s="289"/>
      <c r="DQ102" s="289"/>
      <c r="DR102" s="289"/>
      <c r="DS102" s="289"/>
      <c r="DT102" s="289"/>
      <c r="DU102" s="289"/>
      <c r="DV102" s="289"/>
      <c r="DW102" s="289"/>
      <c r="DX102" s="289"/>
      <c r="DY102" s="289"/>
      <c r="DZ102" s="289"/>
      <c r="EA102" s="289"/>
      <c r="EB102" s="289"/>
      <c r="EC102" s="289"/>
      <c r="ED102" s="289"/>
      <c r="EE102" s="289"/>
      <c r="EF102" s="289"/>
      <c r="EG102" s="289"/>
      <c r="EH102" s="289"/>
      <c r="EI102" s="289"/>
      <c r="EJ102" s="289"/>
      <c r="EK102" s="289"/>
      <c r="EL102" s="289"/>
      <c r="EM102" s="289"/>
      <c r="EN102" s="289"/>
      <c r="EO102" s="289"/>
      <c r="EP102" s="289"/>
      <c r="EQ102" s="289"/>
      <c r="ER102" s="289"/>
      <c r="ES102" s="289"/>
      <c r="ET102" s="289"/>
      <c r="EU102" s="289"/>
      <c r="EV102" s="289"/>
      <c r="EW102" s="289"/>
      <c r="EX102" s="289"/>
      <c r="EY102" s="289"/>
      <c r="EZ102" s="289"/>
      <c r="FA102" s="289"/>
      <c r="FB102" s="289"/>
      <c r="FC102" s="289"/>
      <c r="FD102" s="289"/>
      <c r="FE102" s="289"/>
      <c r="FF102" s="289"/>
      <c r="FG102" s="289"/>
      <c r="FH102" s="289"/>
      <c r="FI102" s="289"/>
      <c r="FJ102" s="289"/>
      <c r="FK102" s="289"/>
      <c r="FL102" s="289"/>
      <c r="FM102" s="289"/>
      <c r="FN102" s="289"/>
      <c r="FO102" s="289"/>
      <c r="FP102" s="289"/>
      <c r="FQ102" s="289"/>
      <c r="FR102" s="289"/>
      <c r="FS102" s="289"/>
      <c r="FT102" s="289"/>
      <c r="FU102" s="289"/>
      <c r="FV102" s="289"/>
      <c r="FW102" s="289"/>
      <c r="FX102" s="289"/>
      <c r="FY102" s="289"/>
      <c r="FZ102" s="289"/>
      <c r="GA102" s="289"/>
      <c r="GB102" s="289"/>
      <c r="GC102" s="289"/>
      <c r="GD102" s="289"/>
      <c r="GE102" s="289"/>
      <c r="GF102" s="289"/>
      <c r="GG102" s="289"/>
      <c r="GH102" s="289"/>
      <c r="GI102" s="289"/>
      <c r="GJ102" s="289"/>
      <c r="GK102" s="289"/>
      <c r="GL102" s="289"/>
      <c r="GM102" s="289"/>
      <c r="GN102" s="289"/>
      <c r="GO102" s="289"/>
      <c r="GP102" s="289"/>
      <c r="GQ102" s="289"/>
      <c r="GR102" s="289"/>
      <c r="GS102" s="289"/>
      <c r="GT102" s="289"/>
      <c r="GU102" s="289"/>
      <c r="GV102" s="289"/>
      <c r="GW102" s="289"/>
      <c r="GX102" s="289"/>
      <c r="GY102" s="289"/>
      <c r="GZ102" s="289"/>
      <c r="HA102" s="289"/>
      <c r="HB102" s="289"/>
      <c r="HC102" s="289"/>
      <c r="HD102" s="289"/>
      <c r="HE102" s="289"/>
      <c r="HF102" s="289"/>
      <c r="HG102" s="289"/>
      <c r="HH102" s="289"/>
      <c r="HI102" s="289"/>
      <c r="HJ102" s="289"/>
      <c r="HK102" s="289"/>
      <c r="HL102" s="289"/>
      <c r="HM102" s="289"/>
      <c r="HN102" s="289"/>
      <c r="HO102" s="289"/>
      <c r="HP102" s="289"/>
      <c r="HQ102" s="289"/>
      <c r="HR102" s="289"/>
      <c r="HS102" s="289"/>
      <c r="HT102" s="289"/>
      <c r="HU102" s="289"/>
      <c r="HV102" s="289"/>
      <c r="HW102" s="289"/>
      <c r="HX102" s="289"/>
      <c r="HY102" s="289"/>
      <c r="HZ102" s="289"/>
      <c r="IA102" s="289"/>
      <c r="IB102" s="289"/>
      <c r="IC102" s="289"/>
      <c r="ID102" s="289"/>
      <c r="IE102" s="289"/>
      <c r="IF102" s="289"/>
      <c r="IG102" s="289"/>
      <c r="IH102" s="289"/>
      <c r="II102" s="289"/>
      <c r="IJ102" s="289"/>
      <c r="IK102" s="289"/>
      <c r="IL102" s="289"/>
      <c r="IM102" s="289"/>
      <c r="IN102" s="289"/>
      <c r="IO102" s="289"/>
      <c r="IP102" s="289"/>
      <c r="IQ102" s="289"/>
      <c r="IR102" s="289"/>
      <c r="IS102" s="289"/>
      <c r="IT102" s="289"/>
      <c r="IU102" s="289"/>
      <c r="IV102" s="289"/>
      <c r="IW102" s="289"/>
      <c r="IX102" s="289"/>
    </row>
    <row r="103" spans="1:258" s="21" customFormat="1" ht="17.100000000000001" customHeight="1">
      <c r="A103" s="377"/>
      <c r="B103" s="377"/>
      <c r="C103" s="1217"/>
      <c r="D103" s="1224"/>
      <c r="E103" s="1229"/>
      <c r="F103" s="1229"/>
      <c r="G103" s="1229"/>
      <c r="H103" s="1229"/>
      <c r="I103" s="1229"/>
      <c r="J103" s="1230"/>
      <c r="K103" s="1230"/>
      <c r="L103" s="1230"/>
      <c r="M103" s="1230"/>
      <c r="N103" s="1230"/>
      <c r="O103" s="1230"/>
      <c r="P103" s="1230"/>
      <c r="Q103" s="1230"/>
      <c r="R103" s="1229"/>
      <c r="S103" s="1229"/>
      <c r="T103" s="1229"/>
      <c r="U103" s="1229"/>
      <c r="V103" s="1236"/>
      <c r="W103" s="1237"/>
      <c r="X103" s="1238"/>
      <c r="Y103" s="1231"/>
      <c r="Z103" s="1231"/>
      <c r="AA103" s="1231"/>
      <c r="AB103" s="1231"/>
      <c r="AC103" s="1230"/>
      <c r="AD103" s="1217"/>
      <c r="AE103" s="1229"/>
      <c r="AF103" s="1229"/>
      <c r="AG103" s="1229"/>
      <c r="AH103" s="1217"/>
      <c r="AI103" s="1229"/>
      <c r="AJ103" s="1239"/>
      <c r="AK103" s="1237"/>
      <c r="AL103" s="1238"/>
      <c r="AM103" s="1230"/>
      <c r="AN103" s="1230"/>
      <c r="AO103" s="1230"/>
      <c r="AP103" s="1230"/>
      <c r="AQ103" s="1230"/>
      <c r="AR103" s="1230"/>
      <c r="AS103" s="1230"/>
      <c r="AT103" s="1230"/>
      <c r="AU103" s="1230"/>
      <c r="AV103" s="1229"/>
      <c r="AW103" s="1217"/>
      <c r="AX103" s="1232"/>
      <c r="AY103" s="1232"/>
      <c r="AZ103" s="1233"/>
      <c r="BA103" s="1234"/>
      <c r="BB103" s="1235"/>
      <c r="BC103" s="377"/>
      <c r="BD103" s="289"/>
      <c r="BE103" s="289"/>
      <c r="BF103" s="289"/>
      <c r="BG103" s="289"/>
      <c r="BH103" s="289"/>
      <c r="BI103" s="289"/>
      <c r="BJ103" s="289"/>
      <c r="BK103" s="289"/>
      <c r="BL103" s="289"/>
      <c r="BM103" s="289"/>
      <c r="BN103" s="289"/>
      <c r="BO103" s="289"/>
      <c r="BP103" s="289"/>
      <c r="BQ103" s="289"/>
      <c r="BR103" s="289"/>
      <c r="BS103" s="289"/>
      <c r="BT103" s="289"/>
      <c r="BU103" s="289"/>
      <c r="BV103" s="289"/>
      <c r="BW103" s="289"/>
      <c r="BX103" s="289"/>
      <c r="BY103" s="289"/>
      <c r="BZ103" s="289"/>
      <c r="CA103" s="289"/>
      <c r="CB103" s="289"/>
      <c r="CC103" s="289"/>
      <c r="CD103" s="289"/>
      <c r="CE103" s="289"/>
      <c r="CF103" s="289"/>
      <c r="CG103" s="289"/>
      <c r="CH103" s="289"/>
      <c r="CI103" s="289"/>
      <c r="CJ103" s="289"/>
      <c r="CK103" s="289"/>
      <c r="CL103" s="289"/>
      <c r="CM103" s="289"/>
      <c r="CN103" s="289"/>
      <c r="CO103" s="289"/>
      <c r="CP103" s="289"/>
      <c r="CQ103" s="289"/>
      <c r="CR103" s="289"/>
      <c r="CS103" s="289"/>
      <c r="CT103" s="289"/>
      <c r="CU103" s="289"/>
      <c r="CV103" s="289"/>
      <c r="CW103" s="289"/>
      <c r="CX103" s="289"/>
      <c r="CY103" s="289"/>
      <c r="CZ103" s="289"/>
      <c r="DA103" s="289"/>
      <c r="DB103" s="289"/>
      <c r="DC103" s="289"/>
      <c r="DD103" s="289"/>
      <c r="DE103" s="289"/>
      <c r="DF103" s="289"/>
      <c r="DG103" s="289"/>
      <c r="DH103" s="289"/>
      <c r="DI103" s="289"/>
      <c r="DJ103" s="289"/>
      <c r="DK103" s="289"/>
      <c r="DL103" s="289"/>
      <c r="DM103" s="289"/>
      <c r="DN103" s="289"/>
      <c r="DO103" s="289"/>
      <c r="DP103" s="289"/>
      <c r="DQ103" s="289"/>
      <c r="DR103" s="289"/>
      <c r="DS103" s="289"/>
      <c r="DT103" s="289"/>
      <c r="DU103" s="289"/>
      <c r="DV103" s="289"/>
      <c r="DW103" s="289"/>
      <c r="DX103" s="289"/>
      <c r="DY103" s="289"/>
      <c r="DZ103" s="289"/>
      <c r="EA103" s="289"/>
      <c r="EB103" s="289"/>
      <c r="EC103" s="289"/>
      <c r="ED103" s="289"/>
      <c r="EE103" s="289"/>
      <c r="EF103" s="289"/>
      <c r="EG103" s="289"/>
      <c r="EH103" s="289"/>
      <c r="EI103" s="289"/>
      <c r="EJ103" s="289"/>
      <c r="EK103" s="289"/>
      <c r="EL103" s="289"/>
      <c r="EM103" s="289"/>
      <c r="EN103" s="289"/>
      <c r="EO103" s="289"/>
      <c r="EP103" s="289"/>
      <c r="EQ103" s="289"/>
      <c r="ER103" s="289"/>
      <c r="ES103" s="289"/>
      <c r="ET103" s="289"/>
      <c r="EU103" s="289"/>
      <c r="EV103" s="289"/>
      <c r="EW103" s="289"/>
      <c r="EX103" s="289"/>
      <c r="EY103" s="289"/>
      <c r="EZ103" s="289"/>
      <c r="FA103" s="289"/>
      <c r="FB103" s="289"/>
      <c r="FC103" s="289"/>
      <c r="FD103" s="289"/>
      <c r="FE103" s="289"/>
      <c r="FF103" s="289"/>
      <c r="FG103" s="289"/>
      <c r="FH103" s="289"/>
      <c r="FI103" s="289"/>
      <c r="FJ103" s="289"/>
      <c r="FK103" s="289"/>
      <c r="FL103" s="289"/>
      <c r="FM103" s="289"/>
      <c r="FN103" s="289"/>
      <c r="FO103" s="289"/>
      <c r="FP103" s="289"/>
      <c r="FQ103" s="289"/>
      <c r="FR103" s="289"/>
      <c r="FS103" s="289"/>
      <c r="FT103" s="289"/>
      <c r="FU103" s="289"/>
      <c r="FV103" s="289"/>
      <c r="FW103" s="289"/>
      <c r="FX103" s="289"/>
      <c r="FY103" s="289"/>
      <c r="FZ103" s="289"/>
      <c r="GA103" s="289"/>
      <c r="GB103" s="289"/>
      <c r="GC103" s="289"/>
      <c r="GD103" s="289"/>
      <c r="GE103" s="289"/>
      <c r="GF103" s="289"/>
      <c r="GG103" s="289"/>
      <c r="GH103" s="289"/>
      <c r="GI103" s="289"/>
      <c r="GJ103" s="289"/>
      <c r="GK103" s="289"/>
      <c r="GL103" s="289"/>
      <c r="GM103" s="289"/>
      <c r="GN103" s="289"/>
      <c r="GO103" s="289"/>
      <c r="GP103" s="289"/>
      <c r="GQ103" s="289"/>
      <c r="GR103" s="289"/>
      <c r="GS103" s="289"/>
      <c r="GT103" s="289"/>
      <c r="GU103" s="289"/>
      <c r="GV103" s="289"/>
      <c r="GW103" s="289"/>
      <c r="GX103" s="289"/>
      <c r="GY103" s="289"/>
      <c r="GZ103" s="289"/>
      <c r="HA103" s="289"/>
      <c r="HB103" s="289"/>
      <c r="HC103" s="289"/>
      <c r="HD103" s="289"/>
      <c r="HE103" s="289"/>
      <c r="HF103" s="289"/>
      <c r="HG103" s="289"/>
      <c r="HH103" s="289"/>
      <c r="HI103" s="289"/>
      <c r="HJ103" s="289"/>
      <c r="HK103" s="289"/>
      <c r="HL103" s="289"/>
      <c r="HM103" s="289"/>
      <c r="HN103" s="289"/>
      <c r="HO103" s="289"/>
      <c r="HP103" s="289"/>
      <c r="HQ103" s="289"/>
      <c r="HR103" s="289"/>
      <c r="HS103" s="289"/>
      <c r="HT103" s="289"/>
      <c r="HU103" s="289"/>
      <c r="HV103" s="289"/>
      <c r="HW103" s="289"/>
      <c r="HX103" s="289"/>
      <c r="HY103" s="289"/>
      <c r="HZ103" s="289"/>
      <c r="IA103" s="289"/>
      <c r="IB103" s="289"/>
      <c r="IC103" s="289"/>
      <c r="ID103" s="289"/>
      <c r="IE103" s="289"/>
      <c r="IF103" s="289"/>
      <c r="IG103" s="289"/>
      <c r="IH103" s="289"/>
      <c r="II103" s="289"/>
      <c r="IJ103" s="289"/>
      <c r="IK103" s="289"/>
      <c r="IL103" s="289"/>
      <c r="IM103" s="289"/>
      <c r="IN103" s="289"/>
      <c r="IO103" s="289"/>
      <c r="IP103" s="289"/>
      <c r="IQ103" s="289"/>
      <c r="IR103" s="289"/>
      <c r="IS103" s="289"/>
      <c r="IT103" s="289"/>
      <c r="IU103" s="289"/>
      <c r="IV103" s="289"/>
      <c r="IW103" s="289"/>
      <c r="IX103" s="289"/>
    </row>
    <row r="104" spans="1:258" s="21" customFormat="1" ht="17.100000000000001" customHeight="1">
      <c r="A104" s="377"/>
      <c r="B104" s="377"/>
      <c r="C104" s="1217"/>
      <c r="D104" s="1224"/>
      <c r="E104" s="1229"/>
      <c r="F104" s="1229"/>
      <c r="G104" s="1229"/>
      <c r="H104" s="1229"/>
      <c r="I104" s="1229"/>
      <c r="J104" s="1230"/>
      <c r="K104" s="1230"/>
      <c r="L104" s="1230"/>
      <c r="M104" s="1230"/>
      <c r="N104" s="1230"/>
      <c r="O104" s="1230"/>
      <c r="P104" s="1230"/>
      <c r="Q104" s="1230"/>
      <c r="R104" s="1229"/>
      <c r="S104" s="1229"/>
      <c r="T104" s="1229"/>
      <c r="U104" s="1229"/>
      <c r="V104" s="1236"/>
      <c r="W104" s="1237"/>
      <c r="X104" s="1238"/>
      <c r="Y104" s="1231"/>
      <c r="Z104" s="1231"/>
      <c r="AA104" s="1231"/>
      <c r="AB104" s="1231"/>
      <c r="AC104" s="1230"/>
      <c r="AD104" s="1217"/>
      <c r="AE104" s="1229"/>
      <c r="AF104" s="1229"/>
      <c r="AG104" s="1229"/>
      <c r="AH104" s="1217"/>
      <c r="AI104" s="1229"/>
      <c r="AJ104" s="1239"/>
      <c r="AK104" s="1237"/>
      <c r="AL104" s="1238"/>
      <c r="AM104" s="1230"/>
      <c r="AN104" s="1230"/>
      <c r="AO104" s="1230"/>
      <c r="AP104" s="1230"/>
      <c r="AQ104" s="1230"/>
      <c r="AR104" s="1230"/>
      <c r="AS104" s="1230"/>
      <c r="AT104" s="1230"/>
      <c r="AU104" s="1230"/>
      <c r="AV104" s="1229"/>
      <c r="AW104" s="1217"/>
      <c r="AX104" s="1232"/>
      <c r="AY104" s="1232"/>
      <c r="AZ104" s="1233"/>
      <c r="BA104" s="1234"/>
      <c r="BB104" s="1235"/>
      <c r="BC104" s="377"/>
      <c r="BD104" s="289"/>
      <c r="BE104" s="289"/>
      <c r="BF104" s="289"/>
      <c r="BG104" s="289"/>
      <c r="BH104" s="289"/>
      <c r="BI104" s="289"/>
      <c r="BJ104" s="289"/>
      <c r="BK104" s="289"/>
      <c r="BL104" s="289"/>
      <c r="BM104" s="289"/>
      <c r="BN104" s="289"/>
      <c r="BO104" s="289"/>
      <c r="BP104" s="289"/>
      <c r="BQ104" s="289"/>
      <c r="BR104" s="289"/>
      <c r="BS104" s="289"/>
      <c r="BT104" s="289"/>
      <c r="BU104" s="289"/>
      <c r="BV104" s="289"/>
      <c r="BW104" s="289"/>
      <c r="BX104" s="289"/>
      <c r="BY104" s="289"/>
      <c r="BZ104" s="289"/>
      <c r="CA104" s="289"/>
      <c r="CB104" s="289"/>
      <c r="CC104" s="289"/>
      <c r="CD104" s="289"/>
      <c r="CE104" s="289"/>
      <c r="CF104" s="289"/>
      <c r="CG104" s="289"/>
      <c r="CH104" s="289"/>
      <c r="CI104" s="289"/>
      <c r="CJ104" s="289"/>
      <c r="CK104" s="289"/>
      <c r="CL104" s="289"/>
      <c r="CM104" s="289"/>
      <c r="CN104" s="289"/>
      <c r="CO104" s="289"/>
      <c r="CP104" s="289"/>
      <c r="CQ104" s="289"/>
      <c r="CR104" s="289"/>
      <c r="CS104" s="289"/>
      <c r="CT104" s="289"/>
      <c r="CU104" s="289"/>
      <c r="CV104" s="289"/>
      <c r="CW104" s="289"/>
      <c r="CX104" s="289"/>
      <c r="CY104" s="289"/>
      <c r="CZ104" s="289"/>
      <c r="DA104" s="289"/>
      <c r="DB104" s="289"/>
      <c r="DC104" s="289"/>
      <c r="DD104" s="289"/>
      <c r="DE104" s="289"/>
      <c r="DF104" s="289"/>
      <c r="DG104" s="289"/>
      <c r="DH104" s="289"/>
      <c r="DI104" s="289"/>
      <c r="DJ104" s="289"/>
      <c r="DK104" s="289"/>
      <c r="DL104" s="289"/>
      <c r="DM104" s="289"/>
      <c r="DN104" s="289"/>
      <c r="DO104" s="289"/>
      <c r="DP104" s="289"/>
      <c r="DQ104" s="289"/>
      <c r="DR104" s="289"/>
      <c r="DS104" s="289"/>
      <c r="DT104" s="289"/>
      <c r="DU104" s="289"/>
      <c r="DV104" s="289"/>
      <c r="DW104" s="289"/>
      <c r="DX104" s="289"/>
      <c r="DY104" s="289"/>
      <c r="DZ104" s="289"/>
      <c r="EA104" s="289"/>
      <c r="EB104" s="289"/>
      <c r="EC104" s="289"/>
      <c r="ED104" s="289"/>
      <c r="EE104" s="289"/>
      <c r="EF104" s="289"/>
      <c r="EG104" s="289"/>
      <c r="EH104" s="289"/>
      <c r="EI104" s="289"/>
      <c r="EJ104" s="289"/>
      <c r="EK104" s="289"/>
      <c r="EL104" s="289"/>
      <c r="EM104" s="289"/>
      <c r="EN104" s="289"/>
      <c r="EO104" s="289"/>
      <c r="EP104" s="289"/>
      <c r="EQ104" s="289"/>
      <c r="ER104" s="289"/>
      <c r="ES104" s="289"/>
      <c r="ET104" s="289"/>
      <c r="EU104" s="289"/>
      <c r="EV104" s="289"/>
      <c r="EW104" s="289"/>
      <c r="EX104" s="289"/>
      <c r="EY104" s="289"/>
      <c r="EZ104" s="289"/>
      <c r="FA104" s="289"/>
      <c r="FB104" s="289"/>
      <c r="FC104" s="289"/>
      <c r="FD104" s="289"/>
      <c r="FE104" s="289"/>
      <c r="FF104" s="289"/>
      <c r="FG104" s="289"/>
      <c r="FH104" s="289"/>
      <c r="FI104" s="289"/>
      <c r="FJ104" s="289"/>
      <c r="FK104" s="289"/>
      <c r="FL104" s="289"/>
      <c r="FM104" s="289"/>
      <c r="FN104" s="289"/>
      <c r="FO104" s="289"/>
      <c r="FP104" s="289"/>
      <c r="FQ104" s="289"/>
      <c r="FR104" s="289"/>
      <c r="FS104" s="289"/>
      <c r="FT104" s="289"/>
      <c r="FU104" s="289"/>
      <c r="FV104" s="289"/>
      <c r="FW104" s="289"/>
      <c r="FX104" s="289"/>
      <c r="FY104" s="289"/>
      <c r="FZ104" s="289"/>
      <c r="GA104" s="289"/>
      <c r="GB104" s="289"/>
      <c r="GC104" s="289"/>
      <c r="GD104" s="289"/>
      <c r="GE104" s="289"/>
      <c r="GF104" s="289"/>
      <c r="GG104" s="289"/>
      <c r="GH104" s="289"/>
      <c r="GI104" s="289"/>
      <c r="GJ104" s="289"/>
      <c r="GK104" s="289"/>
      <c r="GL104" s="289"/>
      <c r="GM104" s="289"/>
      <c r="GN104" s="289"/>
      <c r="GO104" s="289"/>
      <c r="GP104" s="289"/>
      <c r="GQ104" s="289"/>
      <c r="GR104" s="289"/>
      <c r="GS104" s="289"/>
      <c r="GT104" s="289"/>
      <c r="GU104" s="289"/>
      <c r="GV104" s="289"/>
      <c r="GW104" s="289"/>
      <c r="GX104" s="289"/>
      <c r="GY104" s="289"/>
      <c r="GZ104" s="289"/>
      <c r="HA104" s="289"/>
      <c r="HB104" s="289"/>
      <c r="HC104" s="289"/>
      <c r="HD104" s="289"/>
      <c r="HE104" s="289"/>
      <c r="HF104" s="289"/>
      <c r="HG104" s="289"/>
      <c r="HH104" s="289"/>
      <c r="HI104" s="289"/>
      <c r="HJ104" s="289"/>
      <c r="HK104" s="289"/>
      <c r="HL104" s="289"/>
      <c r="HM104" s="289"/>
      <c r="HN104" s="289"/>
      <c r="HO104" s="289"/>
      <c r="HP104" s="289"/>
      <c r="HQ104" s="289"/>
      <c r="HR104" s="289"/>
      <c r="HS104" s="289"/>
      <c r="HT104" s="289"/>
      <c r="HU104" s="289"/>
      <c r="HV104" s="289"/>
      <c r="HW104" s="289"/>
      <c r="HX104" s="289"/>
      <c r="HY104" s="289"/>
      <c r="HZ104" s="289"/>
      <c r="IA104" s="289"/>
      <c r="IB104" s="289"/>
      <c r="IC104" s="289"/>
      <c r="ID104" s="289"/>
      <c r="IE104" s="289"/>
      <c r="IF104" s="289"/>
      <c r="IG104" s="289"/>
      <c r="IH104" s="289"/>
      <c r="II104" s="289"/>
      <c r="IJ104" s="289"/>
      <c r="IK104" s="289"/>
      <c r="IL104" s="289"/>
      <c r="IM104" s="289"/>
      <c r="IN104" s="289"/>
      <c r="IO104" s="289"/>
      <c r="IP104" s="289"/>
      <c r="IQ104" s="289"/>
      <c r="IR104" s="289"/>
      <c r="IS104" s="289"/>
      <c r="IT104" s="289"/>
      <c r="IU104" s="289"/>
      <c r="IV104" s="289"/>
      <c r="IW104" s="289"/>
      <c r="IX104" s="289"/>
    </row>
    <row r="105" spans="1:258" s="21" customFormat="1" ht="17.100000000000001" customHeight="1">
      <c r="A105" s="377"/>
      <c r="B105" s="377"/>
      <c r="C105" s="1217"/>
      <c r="D105" s="1224"/>
      <c r="E105" s="1229"/>
      <c r="F105" s="1229"/>
      <c r="G105" s="1229"/>
      <c r="H105" s="1229"/>
      <c r="I105" s="1229"/>
      <c r="J105" s="1230"/>
      <c r="K105" s="1230"/>
      <c r="L105" s="1230"/>
      <c r="M105" s="1230"/>
      <c r="N105" s="1230"/>
      <c r="O105" s="1230"/>
      <c r="P105" s="1230"/>
      <c r="Q105" s="1230"/>
      <c r="R105" s="1229"/>
      <c r="S105" s="1229"/>
      <c r="T105" s="1229"/>
      <c r="U105" s="1229"/>
      <c r="V105" s="1236"/>
      <c r="W105" s="1237"/>
      <c r="X105" s="1238"/>
      <c r="Y105" s="1231"/>
      <c r="Z105" s="1231"/>
      <c r="AA105" s="1231"/>
      <c r="AB105" s="1231"/>
      <c r="AC105" s="1230"/>
      <c r="AD105" s="1217"/>
      <c r="AE105" s="1229"/>
      <c r="AF105" s="1229"/>
      <c r="AG105" s="1229"/>
      <c r="AH105" s="1217"/>
      <c r="AI105" s="1229"/>
      <c r="AJ105" s="1239"/>
      <c r="AK105" s="1237"/>
      <c r="AL105" s="1238"/>
      <c r="AM105" s="1230"/>
      <c r="AN105" s="1230"/>
      <c r="AO105" s="1230"/>
      <c r="AP105" s="1230"/>
      <c r="AQ105" s="1230"/>
      <c r="AR105" s="1230"/>
      <c r="AS105" s="1230"/>
      <c r="AT105" s="1230"/>
      <c r="AU105" s="1230"/>
      <c r="AV105" s="1229"/>
      <c r="AW105" s="1217"/>
      <c r="AX105" s="1232"/>
      <c r="AY105" s="1232"/>
      <c r="AZ105" s="1233"/>
      <c r="BA105" s="1234"/>
      <c r="BB105" s="1235"/>
      <c r="BC105" s="377"/>
      <c r="BD105" s="289"/>
      <c r="BE105" s="289"/>
      <c r="BF105" s="289"/>
      <c r="BG105" s="289"/>
      <c r="BH105" s="289"/>
      <c r="BI105" s="289"/>
      <c r="BJ105" s="289"/>
      <c r="BK105" s="289"/>
      <c r="BL105" s="289"/>
      <c r="BM105" s="289"/>
      <c r="BN105" s="289"/>
      <c r="BO105" s="289"/>
      <c r="BP105" s="289"/>
      <c r="BQ105" s="289"/>
      <c r="BR105" s="289"/>
      <c r="BS105" s="289"/>
      <c r="BT105" s="289"/>
      <c r="BU105" s="289"/>
      <c r="BV105" s="289"/>
      <c r="BW105" s="289"/>
      <c r="BX105" s="289"/>
      <c r="BY105" s="289"/>
      <c r="BZ105" s="289"/>
      <c r="CA105" s="289"/>
      <c r="CB105" s="289"/>
      <c r="CC105" s="289"/>
      <c r="CD105" s="289"/>
      <c r="CE105" s="289"/>
      <c r="CF105" s="289"/>
      <c r="CG105" s="289"/>
      <c r="CH105" s="289"/>
      <c r="CI105" s="289"/>
      <c r="CJ105" s="289"/>
      <c r="CK105" s="289"/>
      <c r="CL105" s="289"/>
      <c r="CM105" s="289"/>
      <c r="CN105" s="289"/>
      <c r="CO105" s="289"/>
      <c r="CP105" s="289"/>
      <c r="CQ105" s="289"/>
      <c r="CR105" s="289"/>
      <c r="CS105" s="289"/>
      <c r="CT105" s="289"/>
      <c r="CU105" s="289"/>
      <c r="CV105" s="289"/>
      <c r="CW105" s="289"/>
      <c r="CX105" s="289"/>
      <c r="CY105" s="289"/>
      <c r="CZ105" s="289"/>
      <c r="DA105" s="289"/>
      <c r="DB105" s="289"/>
      <c r="DC105" s="289"/>
      <c r="DD105" s="289"/>
      <c r="DE105" s="289"/>
      <c r="DF105" s="289"/>
      <c r="DG105" s="289"/>
      <c r="DH105" s="289"/>
      <c r="DI105" s="289"/>
      <c r="DJ105" s="289"/>
      <c r="DK105" s="289"/>
      <c r="DL105" s="289"/>
      <c r="DM105" s="289"/>
      <c r="DN105" s="289"/>
      <c r="DO105" s="289"/>
      <c r="DP105" s="289"/>
      <c r="DQ105" s="289"/>
      <c r="DR105" s="289"/>
      <c r="DS105" s="289"/>
      <c r="DT105" s="289"/>
      <c r="DU105" s="289"/>
      <c r="DV105" s="289"/>
      <c r="DW105" s="289"/>
      <c r="DX105" s="289"/>
      <c r="DY105" s="289"/>
      <c r="DZ105" s="289"/>
      <c r="EA105" s="289"/>
      <c r="EB105" s="289"/>
      <c r="EC105" s="289"/>
      <c r="ED105" s="289"/>
      <c r="EE105" s="289"/>
      <c r="EF105" s="289"/>
      <c r="EG105" s="289"/>
      <c r="EH105" s="289"/>
      <c r="EI105" s="289"/>
      <c r="EJ105" s="289"/>
      <c r="EK105" s="289"/>
      <c r="EL105" s="289"/>
      <c r="EM105" s="289"/>
      <c r="EN105" s="289"/>
      <c r="EO105" s="289"/>
      <c r="EP105" s="289"/>
      <c r="EQ105" s="289"/>
      <c r="ER105" s="289"/>
      <c r="ES105" s="289"/>
      <c r="ET105" s="289"/>
      <c r="EU105" s="289"/>
      <c r="EV105" s="289"/>
      <c r="EW105" s="289"/>
      <c r="EX105" s="289"/>
      <c r="EY105" s="289"/>
      <c r="EZ105" s="289"/>
      <c r="FA105" s="289"/>
      <c r="FB105" s="289"/>
      <c r="FC105" s="289"/>
      <c r="FD105" s="289"/>
      <c r="FE105" s="289"/>
      <c r="FF105" s="289"/>
      <c r="FG105" s="289"/>
      <c r="FH105" s="289"/>
      <c r="FI105" s="289"/>
      <c r="FJ105" s="289"/>
      <c r="FK105" s="289"/>
      <c r="FL105" s="289"/>
      <c r="FM105" s="289"/>
      <c r="FN105" s="289"/>
      <c r="FO105" s="289"/>
      <c r="FP105" s="289"/>
      <c r="FQ105" s="289"/>
      <c r="FR105" s="289"/>
      <c r="FS105" s="289"/>
      <c r="FT105" s="289"/>
      <c r="FU105" s="289"/>
      <c r="FV105" s="289"/>
      <c r="FW105" s="289"/>
      <c r="FX105" s="289"/>
      <c r="FY105" s="289"/>
      <c r="FZ105" s="289"/>
      <c r="GA105" s="289"/>
      <c r="GB105" s="289"/>
      <c r="GC105" s="289"/>
      <c r="GD105" s="289"/>
      <c r="GE105" s="289"/>
      <c r="GF105" s="289"/>
      <c r="GG105" s="289"/>
      <c r="GH105" s="289"/>
      <c r="GI105" s="289"/>
      <c r="GJ105" s="289"/>
      <c r="GK105" s="289"/>
      <c r="GL105" s="289"/>
      <c r="GM105" s="289"/>
      <c r="GN105" s="289"/>
      <c r="GO105" s="289"/>
      <c r="GP105" s="289"/>
      <c r="GQ105" s="289"/>
      <c r="GR105" s="289"/>
      <c r="GS105" s="289"/>
      <c r="GT105" s="289"/>
      <c r="GU105" s="289"/>
      <c r="GV105" s="289"/>
      <c r="GW105" s="289"/>
      <c r="GX105" s="289"/>
      <c r="GY105" s="289"/>
      <c r="GZ105" s="289"/>
      <c r="HA105" s="289"/>
      <c r="HB105" s="289"/>
      <c r="HC105" s="289"/>
      <c r="HD105" s="289"/>
      <c r="HE105" s="289"/>
      <c r="HF105" s="289"/>
      <c r="HG105" s="289"/>
      <c r="HH105" s="289"/>
      <c r="HI105" s="289"/>
      <c r="HJ105" s="289"/>
      <c r="HK105" s="289"/>
      <c r="HL105" s="289"/>
      <c r="HM105" s="289"/>
      <c r="HN105" s="289"/>
      <c r="HO105" s="289"/>
      <c r="HP105" s="289"/>
      <c r="HQ105" s="289"/>
      <c r="HR105" s="289"/>
      <c r="HS105" s="289"/>
      <c r="HT105" s="289"/>
      <c r="HU105" s="289"/>
      <c r="HV105" s="289"/>
      <c r="HW105" s="289"/>
      <c r="HX105" s="289"/>
      <c r="HY105" s="289"/>
      <c r="HZ105" s="289"/>
      <c r="IA105" s="289"/>
      <c r="IB105" s="289"/>
      <c r="IC105" s="289"/>
      <c r="ID105" s="289"/>
      <c r="IE105" s="289"/>
      <c r="IF105" s="289"/>
      <c r="IG105" s="289"/>
      <c r="IH105" s="289"/>
      <c r="II105" s="289"/>
      <c r="IJ105" s="289"/>
      <c r="IK105" s="289"/>
      <c r="IL105" s="289"/>
      <c r="IM105" s="289"/>
      <c r="IN105" s="289"/>
      <c r="IO105" s="289"/>
      <c r="IP105" s="289"/>
      <c r="IQ105" s="289"/>
      <c r="IR105" s="289"/>
      <c r="IS105" s="289"/>
      <c r="IT105" s="289"/>
      <c r="IU105" s="289"/>
      <c r="IV105" s="289"/>
      <c r="IW105" s="289"/>
      <c r="IX105" s="289"/>
    </row>
    <row r="106" spans="1:258" s="21" customFormat="1" ht="17.100000000000001" customHeight="1">
      <c r="A106" s="377"/>
      <c r="B106" s="377"/>
      <c r="C106" s="1217"/>
      <c r="D106" s="1224"/>
      <c r="E106" s="1229"/>
      <c r="F106" s="1229"/>
      <c r="G106" s="1229"/>
      <c r="H106" s="1229"/>
      <c r="I106" s="1229"/>
      <c r="J106" s="1230"/>
      <c r="K106" s="1230"/>
      <c r="L106" s="1230"/>
      <c r="M106" s="1230"/>
      <c r="N106" s="1230"/>
      <c r="O106" s="1230"/>
      <c r="P106" s="1230"/>
      <c r="Q106" s="1230"/>
      <c r="R106" s="1229"/>
      <c r="S106" s="1229"/>
      <c r="T106" s="1229"/>
      <c r="U106" s="1229"/>
      <c r="V106" s="1236"/>
      <c r="W106" s="1221"/>
      <c r="X106" s="1222"/>
      <c r="Y106" s="1231"/>
      <c r="Z106" s="1231"/>
      <c r="AA106" s="1231"/>
      <c r="AB106" s="1231"/>
      <c r="AC106" s="1230"/>
      <c r="AD106" s="1217"/>
      <c r="AE106" s="1229"/>
      <c r="AF106" s="1229"/>
      <c r="AG106" s="1229"/>
      <c r="AH106" s="1217"/>
      <c r="AI106" s="1229"/>
      <c r="AJ106" s="377"/>
      <c r="AK106" s="1221"/>
      <c r="AL106" s="1222"/>
      <c r="AM106" s="1230"/>
      <c r="AN106" s="1230"/>
      <c r="AO106" s="1230"/>
      <c r="AP106" s="1230"/>
      <c r="AQ106" s="1230"/>
      <c r="AR106" s="1230"/>
      <c r="AS106" s="1230"/>
      <c r="AT106" s="1230"/>
      <c r="AU106" s="1230"/>
      <c r="AV106" s="1229"/>
      <c r="AW106" s="1217"/>
      <c r="AX106" s="1232"/>
      <c r="AY106" s="1232"/>
      <c r="AZ106" s="1233"/>
      <c r="BA106" s="1234"/>
      <c r="BB106" s="1235"/>
      <c r="BC106" s="377"/>
      <c r="BD106" s="289"/>
      <c r="BE106" s="289"/>
      <c r="BF106" s="289"/>
      <c r="BG106" s="289"/>
      <c r="BH106" s="289"/>
      <c r="BI106" s="289"/>
      <c r="BJ106" s="289"/>
      <c r="BK106" s="289"/>
      <c r="BL106" s="289"/>
      <c r="BM106" s="289"/>
      <c r="BN106" s="289"/>
      <c r="BO106" s="289"/>
      <c r="BP106" s="289"/>
      <c r="BQ106" s="289"/>
      <c r="BR106" s="289"/>
      <c r="BS106" s="289"/>
      <c r="BT106" s="289"/>
      <c r="BU106" s="289"/>
      <c r="BV106" s="289"/>
      <c r="BW106" s="289"/>
      <c r="BX106" s="289"/>
      <c r="BY106" s="289"/>
      <c r="BZ106" s="289"/>
      <c r="CA106" s="289"/>
      <c r="CB106" s="289"/>
      <c r="CC106" s="289"/>
      <c r="CD106" s="289"/>
      <c r="CE106" s="289"/>
      <c r="CF106" s="289"/>
      <c r="CG106" s="289"/>
      <c r="CH106" s="289"/>
      <c r="CI106" s="289"/>
      <c r="CJ106" s="289"/>
      <c r="CK106" s="289"/>
      <c r="CL106" s="289"/>
      <c r="CM106" s="289"/>
      <c r="CN106" s="289"/>
      <c r="CO106" s="289"/>
      <c r="CP106" s="289"/>
      <c r="CQ106" s="289"/>
      <c r="CR106" s="289"/>
      <c r="CS106" s="289"/>
      <c r="CT106" s="289"/>
      <c r="CU106" s="289"/>
      <c r="CV106" s="289"/>
      <c r="CW106" s="289"/>
      <c r="CX106" s="289"/>
      <c r="CY106" s="289"/>
      <c r="CZ106" s="289"/>
      <c r="DA106" s="289"/>
      <c r="DB106" s="289"/>
      <c r="DC106" s="289"/>
      <c r="DD106" s="289"/>
      <c r="DE106" s="289"/>
      <c r="DF106" s="289"/>
      <c r="DG106" s="289"/>
      <c r="DH106" s="289"/>
      <c r="DI106" s="289"/>
      <c r="DJ106" s="289"/>
      <c r="DK106" s="289"/>
      <c r="DL106" s="289"/>
      <c r="DM106" s="289"/>
      <c r="DN106" s="289"/>
      <c r="DO106" s="289"/>
      <c r="DP106" s="289"/>
      <c r="DQ106" s="289"/>
      <c r="DR106" s="289"/>
      <c r="DS106" s="289"/>
      <c r="DT106" s="289"/>
      <c r="DU106" s="289"/>
      <c r="DV106" s="289"/>
      <c r="DW106" s="289"/>
      <c r="DX106" s="289"/>
      <c r="DY106" s="289"/>
      <c r="DZ106" s="289"/>
      <c r="EA106" s="289"/>
      <c r="EB106" s="289"/>
      <c r="EC106" s="289"/>
      <c r="ED106" s="289"/>
      <c r="EE106" s="289"/>
      <c r="EF106" s="289"/>
      <c r="EG106" s="289"/>
      <c r="EH106" s="289"/>
      <c r="EI106" s="289"/>
      <c r="EJ106" s="289"/>
      <c r="EK106" s="289"/>
      <c r="EL106" s="289"/>
      <c r="EM106" s="289"/>
      <c r="EN106" s="289"/>
      <c r="EO106" s="289"/>
      <c r="EP106" s="289"/>
      <c r="EQ106" s="289"/>
      <c r="ER106" s="289"/>
      <c r="ES106" s="289"/>
      <c r="ET106" s="289"/>
      <c r="EU106" s="289"/>
      <c r="EV106" s="289"/>
      <c r="EW106" s="289"/>
      <c r="EX106" s="289"/>
      <c r="EY106" s="289"/>
      <c r="EZ106" s="289"/>
      <c r="FA106" s="289"/>
      <c r="FB106" s="289"/>
      <c r="FC106" s="289"/>
      <c r="FD106" s="289"/>
      <c r="FE106" s="289"/>
      <c r="FF106" s="289"/>
      <c r="FG106" s="289"/>
      <c r="FH106" s="289"/>
      <c r="FI106" s="289"/>
      <c r="FJ106" s="289"/>
      <c r="FK106" s="289"/>
      <c r="FL106" s="289"/>
      <c r="FM106" s="289"/>
      <c r="FN106" s="289"/>
      <c r="FO106" s="289"/>
      <c r="FP106" s="289"/>
      <c r="FQ106" s="289"/>
      <c r="FR106" s="289"/>
      <c r="FS106" s="289"/>
      <c r="FT106" s="289"/>
      <c r="FU106" s="289"/>
      <c r="FV106" s="289"/>
      <c r="FW106" s="289"/>
      <c r="FX106" s="289"/>
      <c r="FY106" s="289"/>
      <c r="FZ106" s="289"/>
      <c r="GA106" s="289"/>
      <c r="GB106" s="289"/>
      <c r="GC106" s="289"/>
      <c r="GD106" s="289"/>
      <c r="GE106" s="289"/>
      <c r="GF106" s="289"/>
      <c r="GG106" s="289"/>
      <c r="GH106" s="289"/>
      <c r="GI106" s="289"/>
      <c r="GJ106" s="289"/>
      <c r="GK106" s="289"/>
      <c r="GL106" s="289"/>
      <c r="GM106" s="289"/>
      <c r="GN106" s="289"/>
      <c r="GO106" s="289"/>
      <c r="GP106" s="289"/>
      <c r="GQ106" s="289"/>
      <c r="GR106" s="289"/>
      <c r="GS106" s="289"/>
      <c r="GT106" s="289"/>
      <c r="GU106" s="289"/>
      <c r="GV106" s="289"/>
      <c r="GW106" s="289"/>
      <c r="GX106" s="289"/>
      <c r="GY106" s="289"/>
      <c r="GZ106" s="289"/>
      <c r="HA106" s="289"/>
      <c r="HB106" s="289"/>
      <c r="HC106" s="289"/>
      <c r="HD106" s="289"/>
      <c r="HE106" s="289"/>
      <c r="HF106" s="289"/>
      <c r="HG106" s="289"/>
      <c r="HH106" s="289"/>
      <c r="HI106" s="289"/>
      <c r="HJ106" s="289"/>
      <c r="HK106" s="289"/>
      <c r="HL106" s="289"/>
      <c r="HM106" s="289"/>
      <c r="HN106" s="289"/>
      <c r="HO106" s="289"/>
      <c r="HP106" s="289"/>
      <c r="HQ106" s="289"/>
      <c r="HR106" s="289"/>
      <c r="HS106" s="289"/>
      <c r="HT106" s="289"/>
      <c r="HU106" s="289"/>
      <c r="HV106" s="289"/>
      <c r="HW106" s="289"/>
      <c r="HX106" s="289"/>
      <c r="HY106" s="289"/>
      <c r="HZ106" s="289"/>
      <c r="IA106" s="289"/>
      <c r="IB106" s="289"/>
      <c r="IC106" s="289"/>
      <c r="ID106" s="289"/>
      <c r="IE106" s="289"/>
      <c r="IF106" s="289"/>
      <c r="IG106" s="289"/>
      <c r="IH106" s="289"/>
      <c r="II106" s="289"/>
      <c r="IJ106" s="289"/>
      <c r="IK106" s="289"/>
      <c r="IL106" s="289"/>
      <c r="IM106" s="289"/>
      <c r="IN106" s="289"/>
      <c r="IO106" s="289"/>
      <c r="IP106" s="289"/>
      <c r="IQ106" s="289"/>
      <c r="IR106" s="289"/>
      <c r="IS106" s="289"/>
      <c r="IT106" s="289"/>
      <c r="IU106" s="289"/>
      <c r="IV106" s="289"/>
      <c r="IW106" s="289"/>
      <c r="IX106" s="289"/>
    </row>
    <row r="107" spans="1:258" s="21" customFormat="1" ht="17.100000000000001" customHeight="1">
      <c r="A107" s="377"/>
      <c r="B107" s="377"/>
      <c r="C107" s="1217"/>
      <c r="D107" s="1224"/>
      <c r="E107" s="1229"/>
      <c r="F107" s="1229"/>
      <c r="G107" s="1229"/>
      <c r="H107" s="1229"/>
      <c r="I107" s="1229"/>
      <c r="J107" s="1230"/>
      <c r="K107" s="1230"/>
      <c r="L107" s="1230"/>
      <c r="M107" s="1230"/>
      <c r="N107" s="1230"/>
      <c r="O107" s="1230"/>
      <c r="P107" s="1230"/>
      <c r="Q107" s="1230"/>
      <c r="R107" s="1229"/>
      <c r="S107" s="1229"/>
      <c r="T107" s="1229"/>
      <c r="U107" s="1229"/>
      <c r="V107" s="1236"/>
      <c r="W107" s="1221"/>
      <c r="X107" s="1222"/>
      <c r="Y107" s="1231"/>
      <c r="Z107" s="1231"/>
      <c r="AA107" s="1231"/>
      <c r="AB107" s="1231"/>
      <c r="AC107" s="1230"/>
      <c r="AD107" s="1217"/>
      <c r="AE107" s="1229"/>
      <c r="AF107" s="1229"/>
      <c r="AG107" s="1229"/>
      <c r="AH107" s="1217"/>
      <c r="AI107" s="1229"/>
      <c r="AJ107" s="377"/>
      <c r="AK107" s="1221"/>
      <c r="AL107" s="1222"/>
      <c r="AM107" s="1230"/>
      <c r="AN107" s="1230"/>
      <c r="AO107" s="1230"/>
      <c r="AP107" s="1230"/>
      <c r="AQ107" s="1230"/>
      <c r="AR107" s="1230"/>
      <c r="AS107" s="1230"/>
      <c r="AT107" s="1230"/>
      <c r="AU107" s="1230"/>
      <c r="AV107" s="1229"/>
      <c r="AW107" s="1217"/>
      <c r="AX107" s="1232"/>
      <c r="AY107" s="1232"/>
      <c r="AZ107" s="1233"/>
      <c r="BA107" s="1234"/>
      <c r="BB107" s="1235"/>
      <c r="BC107" s="377"/>
      <c r="BD107" s="289"/>
      <c r="BE107" s="289"/>
      <c r="BF107" s="289"/>
      <c r="BG107" s="289"/>
      <c r="BH107" s="289"/>
      <c r="BI107" s="289"/>
      <c r="BJ107" s="289"/>
      <c r="BK107" s="289"/>
      <c r="BL107" s="289"/>
      <c r="BM107" s="289"/>
      <c r="BN107" s="289"/>
      <c r="BO107" s="289"/>
      <c r="BP107" s="289"/>
      <c r="BQ107" s="289"/>
      <c r="BR107" s="289"/>
      <c r="BS107" s="289"/>
      <c r="BT107" s="289"/>
      <c r="BU107" s="289"/>
      <c r="BV107" s="289"/>
      <c r="BW107" s="289"/>
      <c r="BX107" s="289"/>
      <c r="BY107" s="289"/>
      <c r="BZ107" s="289"/>
      <c r="CA107" s="289"/>
      <c r="CB107" s="289"/>
      <c r="CC107" s="289"/>
      <c r="CD107" s="289"/>
      <c r="CE107" s="289"/>
      <c r="CF107" s="289"/>
      <c r="CG107" s="289"/>
      <c r="CH107" s="289"/>
      <c r="CI107" s="289"/>
      <c r="CJ107" s="289"/>
      <c r="CK107" s="289"/>
      <c r="CL107" s="289"/>
      <c r="CM107" s="289"/>
      <c r="CN107" s="289"/>
      <c r="CO107" s="289"/>
      <c r="CP107" s="289"/>
      <c r="CQ107" s="289"/>
      <c r="CR107" s="289"/>
      <c r="CS107" s="289"/>
      <c r="CT107" s="289"/>
      <c r="CU107" s="289"/>
      <c r="CV107" s="289"/>
      <c r="CW107" s="289"/>
      <c r="CX107" s="289"/>
      <c r="CY107" s="289"/>
      <c r="CZ107" s="289"/>
      <c r="DA107" s="289"/>
      <c r="DB107" s="289"/>
      <c r="DC107" s="289"/>
      <c r="DD107" s="289"/>
      <c r="DE107" s="289"/>
      <c r="DF107" s="289"/>
      <c r="DG107" s="289"/>
      <c r="DH107" s="289"/>
      <c r="DI107" s="289"/>
      <c r="DJ107" s="289"/>
      <c r="DK107" s="289"/>
      <c r="DL107" s="289"/>
      <c r="DM107" s="289"/>
      <c r="DN107" s="289"/>
      <c r="DO107" s="289"/>
      <c r="DP107" s="289"/>
      <c r="DQ107" s="289"/>
      <c r="DR107" s="289"/>
      <c r="DS107" s="289"/>
      <c r="DT107" s="289"/>
      <c r="DU107" s="289"/>
      <c r="DV107" s="289"/>
      <c r="DW107" s="289"/>
      <c r="DX107" s="289"/>
      <c r="DY107" s="289"/>
      <c r="DZ107" s="289"/>
      <c r="EA107" s="289"/>
      <c r="EB107" s="289"/>
      <c r="EC107" s="289"/>
      <c r="ED107" s="289"/>
      <c r="EE107" s="289"/>
      <c r="EF107" s="289"/>
      <c r="EG107" s="289"/>
      <c r="EH107" s="289"/>
      <c r="EI107" s="289"/>
      <c r="EJ107" s="289"/>
      <c r="EK107" s="289"/>
      <c r="EL107" s="289"/>
      <c r="EM107" s="289"/>
      <c r="EN107" s="289"/>
      <c r="EO107" s="289"/>
      <c r="EP107" s="289"/>
      <c r="EQ107" s="289"/>
      <c r="ER107" s="289"/>
      <c r="ES107" s="289"/>
      <c r="ET107" s="289"/>
      <c r="EU107" s="289"/>
      <c r="EV107" s="289"/>
      <c r="EW107" s="289"/>
      <c r="EX107" s="289"/>
      <c r="EY107" s="289"/>
      <c r="EZ107" s="289"/>
      <c r="FA107" s="289"/>
      <c r="FB107" s="289"/>
      <c r="FC107" s="289"/>
      <c r="FD107" s="289"/>
      <c r="FE107" s="289"/>
      <c r="FF107" s="289"/>
      <c r="FG107" s="289"/>
      <c r="FH107" s="289"/>
      <c r="FI107" s="289"/>
      <c r="FJ107" s="289"/>
      <c r="FK107" s="289"/>
      <c r="FL107" s="289"/>
      <c r="FM107" s="289"/>
      <c r="FN107" s="289"/>
      <c r="FO107" s="289"/>
      <c r="FP107" s="289"/>
      <c r="FQ107" s="289"/>
      <c r="FR107" s="289"/>
      <c r="FS107" s="289"/>
      <c r="FT107" s="289"/>
      <c r="FU107" s="289"/>
      <c r="FV107" s="289"/>
      <c r="FW107" s="289"/>
      <c r="FX107" s="289"/>
      <c r="FY107" s="289"/>
      <c r="FZ107" s="289"/>
      <c r="GA107" s="289"/>
      <c r="GB107" s="289"/>
      <c r="GC107" s="289"/>
      <c r="GD107" s="289"/>
      <c r="GE107" s="289"/>
      <c r="GF107" s="289"/>
      <c r="GG107" s="289"/>
      <c r="GH107" s="289"/>
      <c r="GI107" s="289"/>
      <c r="GJ107" s="289"/>
      <c r="GK107" s="289"/>
      <c r="GL107" s="289"/>
      <c r="GM107" s="289"/>
      <c r="GN107" s="289"/>
      <c r="GO107" s="289"/>
      <c r="GP107" s="289"/>
      <c r="GQ107" s="289"/>
      <c r="GR107" s="289"/>
      <c r="GS107" s="289"/>
      <c r="GT107" s="289"/>
      <c r="GU107" s="289"/>
      <c r="GV107" s="289"/>
      <c r="GW107" s="289"/>
      <c r="GX107" s="289"/>
      <c r="GY107" s="289"/>
      <c r="GZ107" s="289"/>
      <c r="HA107" s="289"/>
      <c r="HB107" s="289"/>
      <c r="HC107" s="289"/>
      <c r="HD107" s="289"/>
      <c r="HE107" s="289"/>
      <c r="HF107" s="289"/>
      <c r="HG107" s="289"/>
      <c r="HH107" s="289"/>
      <c r="HI107" s="289"/>
      <c r="HJ107" s="289"/>
      <c r="HK107" s="289"/>
      <c r="HL107" s="289"/>
      <c r="HM107" s="289"/>
      <c r="HN107" s="289"/>
      <c r="HO107" s="289"/>
      <c r="HP107" s="289"/>
      <c r="HQ107" s="289"/>
      <c r="HR107" s="289"/>
      <c r="HS107" s="289"/>
      <c r="HT107" s="289"/>
      <c r="HU107" s="289"/>
      <c r="HV107" s="289"/>
      <c r="HW107" s="289"/>
      <c r="HX107" s="289"/>
      <c r="HY107" s="289"/>
      <c r="HZ107" s="289"/>
      <c r="IA107" s="289"/>
      <c r="IB107" s="289"/>
      <c r="IC107" s="289"/>
      <c r="ID107" s="289"/>
      <c r="IE107" s="289"/>
      <c r="IF107" s="289"/>
      <c r="IG107" s="289"/>
      <c r="IH107" s="289"/>
      <c r="II107" s="289"/>
      <c r="IJ107" s="289"/>
      <c r="IK107" s="289"/>
      <c r="IL107" s="289"/>
      <c r="IM107" s="289"/>
      <c r="IN107" s="289"/>
      <c r="IO107" s="289"/>
      <c r="IP107" s="289"/>
      <c r="IQ107" s="289"/>
      <c r="IR107" s="289"/>
      <c r="IS107" s="289"/>
      <c r="IT107" s="289"/>
      <c r="IU107" s="289"/>
      <c r="IV107" s="289"/>
      <c r="IW107" s="289"/>
      <c r="IX107" s="289"/>
    </row>
    <row r="108" spans="1:258" s="21" customFormat="1" ht="17.100000000000001" customHeight="1">
      <c r="A108" s="377"/>
      <c r="B108" s="377"/>
      <c r="C108" s="1217"/>
      <c r="D108" s="1224"/>
      <c r="E108" s="1229"/>
      <c r="F108" s="1229"/>
      <c r="G108" s="1229"/>
      <c r="H108" s="1229"/>
      <c r="I108" s="1229"/>
      <c r="J108" s="1230"/>
      <c r="K108" s="1230"/>
      <c r="L108" s="1230"/>
      <c r="M108" s="1230"/>
      <c r="N108" s="1230"/>
      <c r="O108" s="1230"/>
      <c r="P108" s="1230"/>
      <c r="Q108" s="1230"/>
      <c r="R108" s="1229"/>
      <c r="S108" s="1229"/>
      <c r="T108" s="1229"/>
      <c r="U108" s="1229"/>
      <c r="V108" s="1236"/>
      <c r="W108" s="1221"/>
      <c r="X108" s="1222"/>
      <c r="Y108" s="1231"/>
      <c r="Z108" s="1231"/>
      <c r="AA108" s="1231"/>
      <c r="AB108" s="1231"/>
      <c r="AC108" s="1230"/>
      <c r="AD108" s="1217"/>
      <c r="AE108" s="1229"/>
      <c r="AF108" s="1229"/>
      <c r="AG108" s="1229"/>
      <c r="AH108" s="1217"/>
      <c r="AI108" s="1229"/>
      <c r="AJ108" s="377"/>
      <c r="AK108" s="1221"/>
      <c r="AL108" s="1222"/>
      <c r="AM108" s="1230"/>
      <c r="AN108" s="1230"/>
      <c r="AO108" s="1230"/>
      <c r="AP108" s="1230"/>
      <c r="AQ108" s="1230"/>
      <c r="AR108" s="1230"/>
      <c r="AS108" s="1230"/>
      <c r="AT108" s="1230"/>
      <c r="AU108" s="1230"/>
      <c r="AV108" s="1229"/>
      <c r="AW108" s="1217"/>
      <c r="AX108" s="1232"/>
      <c r="AY108" s="1232"/>
      <c r="AZ108" s="1233"/>
      <c r="BA108" s="1234"/>
      <c r="BB108" s="1235"/>
      <c r="BC108" s="377"/>
      <c r="BD108" s="289"/>
      <c r="BE108" s="289"/>
      <c r="BF108" s="289"/>
      <c r="BG108" s="289"/>
      <c r="BH108" s="289"/>
      <c r="BI108" s="289"/>
      <c r="BJ108" s="289"/>
      <c r="BK108" s="289"/>
      <c r="BL108" s="289"/>
      <c r="BM108" s="289"/>
      <c r="BN108" s="289"/>
      <c r="BO108" s="289"/>
      <c r="BP108" s="289"/>
      <c r="BQ108" s="289"/>
      <c r="BR108" s="289"/>
      <c r="BS108" s="289"/>
      <c r="BT108" s="289"/>
      <c r="BU108" s="289"/>
      <c r="BV108" s="289"/>
      <c r="BW108" s="289"/>
      <c r="BX108" s="289"/>
      <c r="BY108" s="289"/>
      <c r="BZ108" s="289"/>
      <c r="CA108" s="289"/>
      <c r="CB108" s="289"/>
      <c r="CC108" s="289"/>
      <c r="CD108" s="289"/>
      <c r="CE108" s="289"/>
      <c r="CF108" s="289"/>
      <c r="CG108" s="289"/>
      <c r="CH108" s="289"/>
      <c r="CI108" s="289"/>
      <c r="CJ108" s="289"/>
      <c r="CK108" s="289"/>
      <c r="CL108" s="289"/>
      <c r="CM108" s="289"/>
      <c r="CN108" s="289"/>
      <c r="CO108" s="289"/>
      <c r="CP108" s="289"/>
      <c r="CQ108" s="289"/>
      <c r="CR108" s="289"/>
      <c r="CS108" s="289"/>
      <c r="CT108" s="289"/>
      <c r="CU108" s="289"/>
      <c r="CV108" s="289"/>
      <c r="CW108" s="289"/>
      <c r="CX108" s="289"/>
      <c r="CY108" s="289"/>
      <c r="CZ108" s="289"/>
      <c r="DA108" s="289"/>
      <c r="DB108" s="289"/>
      <c r="DC108" s="289"/>
      <c r="DD108" s="289"/>
      <c r="DE108" s="289"/>
      <c r="DF108" s="289"/>
      <c r="DG108" s="289"/>
      <c r="DH108" s="289"/>
      <c r="DI108" s="289"/>
      <c r="DJ108" s="289"/>
      <c r="DK108" s="289"/>
      <c r="DL108" s="289"/>
      <c r="DM108" s="289"/>
      <c r="DN108" s="289"/>
      <c r="DO108" s="289"/>
      <c r="DP108" s="289"/>
      <c r="DQ108" s="289"/>
      <c r="DR108" s="289"/>
      <c r="DS108" s="289"/>
      <c r="DT108" s="289"/>
      <c r="DU108" s="289"/>
      <c r="DV108" s="289"/>
      <c r="DW108" s="289"/>
      <c r="DX108" s="289"/>
      <c r="DY108" s="289"/>
      <c r="DZ108" s="289"/>
      <c r="EA108" s="289"/>
      <c r="EB108" s="289"/>
      <c r="EC108" s="289"/>
      <c r="ED108" s="289"/>
      <c r="EE108" s="289"/>
      <c r="EF108" s="289"/>
      <c r="EG108" s="289"/>
      <c r="EH108" s="289"/>
      <c r="EI108" s="289"/>
      <c r="EJ108" s="289"/>
      <c r="EK108" s="289"/>
      <c r="EL108" s="289"/>
      <c r="EM108" s="289"/>
      <c r="EN108" s="289"/>
      <c r="EO108" s="289"/>
      <c r="EP108" s="289"/>
      <c r="EQ108" s="289"/>
      <c r="ER108" s="289"/>
      <c r="ES108" s="289"/>
      <c r="ET108" s="289"/>
      <c r="EU108" s="289"/>
      <c r="EV108" s="289"/>
      <c r="EW108" s="289"/>
      <c r="EX108" s="289"/>
      <c r="EY108" s="289"/>
      <c r="EZ108" s="289"/>
      <c r="FA108" s="289"/>
      <c r="FB108" s="289"/>
      <c r="FC108" s="289"/>
      <c r="FD108" s="289"/>
      <c r="FE108" s="289"/>
      <c r="FF108" s="289"/>
      <c r="FG108" s="289"/>
      <c r="FH108" s="289"/>
      <c r="FI108" s="289"/>
      <c r="FJ108" s="289"/>
      <c r="FK108" s="289"/>
      <c r="FL108" s="289"/>
      <c r="FM108" s="289"/>
      <c r="FN108" s="289"/>
      <c r="FO108" s="289"/>
      <c r="FP108" s="289"/>
      <c r="FQ108" s="289"/>
      <c r="FR108" s="289"/>
      <c r="FS108" s="289"/>
      <c r="FT108" s="289"/>
      <c r="FU108" s="289"/>
      <c r="FV108" s="289"/>
      <c r="FW108" s="289"/>
      <c r="FX108" s="289"/>
      <c r="FY108" s="289"/>
      <c r="FZ108" s="289"/>
      <c r="GA108" s="289"/>
      <c r="GB108" s="289"/>
      <c r="GC108" s="289"/>
      <c r="GD108" s="289"/>
      <c r="GE108" s="289"/>
      <c r="GF108" s="289"/>
      <c r="GG108" s="289"/>
      <c r="GH108" s="289"/>
      <c r="GI108" s="289"/>
      <c r="GJ108" s="289"/>
      <c r="GK108" s="289"/>
      <c r="GL108" s="289"/>
      <c r="GM108" s="289"/>
      <c r="GN108" s="289"/>
      <c r="GO108" s="289"/>
      <c r="GP108" s="289"/>
      <c r="GQ108" s="289"/>
      <c r="GR108" s="289"/>
      <c r="GS108" s="289"/>
      <c r="GT108" s="289"/>
      <c r="GU108" s="289"/>
      <c r="GV108" s="289"/>
      <c r="GW108" s="289"/>
      <c r="GX108" s="289"/>
      <c r="GY108" s="289"/>
      <c r="GZ108" s="289"/>
      <c r="HA108" s="289"/>
      <c r="HB108" s="289"/>
      <c r="HC108" s="289"/>
      <c r="HD108" s="289"/>
      <c r="HE108" s="289"/>
      <c r="HF108" s="289"/>
      <c r="HG108" s="289"/>
      <c r="HH108" s="289"/>
      <c r="HI108" s="289"/>
      <c r="HJ108" s="289"/>
      <c r="HK108" s="289"/>
      <c r="HL108" s="289"/>
      <c r="HM108" s="289"/>
      <c r="HN108" s="289"/>
      <c r="HO108" s="289"/>
      <c r="HP108" s="289"/>
      <c r="HQ108" s="289"/>
      <c r="HR108" s="289"/>
      <c r="HS108" s="289"/>
      <c r="HT108" s="289"/>
      <c r="HU108" s="289"/>
      <c r="HV108" s="289"/>
      <c r="HW108" s="289"/>
      <c r="HX108" s="289"/>
      <c r="HY108" s="289"/>
      <c r="HZ108" s="289"/>
      <c r="IA108" s="289"/>
      <c r="IB108" s="289"/>
      <c r="IC108" s="289"/>
      <c r="ID108" s="289"/>
      <c r="IE108" s="289"/>
      <c r="IF108" s="289"/>
      <c r="IG108" s="289"/>
      <c r="IH108" s="289"/>
      <c r="II108" s="289"/>
      <c r="IJ108" s="289"/>
      <c r="IK108" s="289"/>
      <c r="IL108" s="289"/>
      <c r="IM108" s="289"/>
      <c r="IN108" s="289"/>
      <c r="IO108" s="289"/>
      <c r="IP108" s="289"/>
      <c r="IQ108" s="289"/>
      <c r="IR108" s="289"/>
      <c r="IS108" s="289"/>
      <c r="IT108" s="289"/>
      <c r="IU108" s="289"/>
      <c r="IV108" s="289"/>
      <c r="IW108" s="289"/>
      <c r="IX108" s="289"/>
    </row>
    <row r="109" spans="1:258" s="21" customFormat="1" ht="17.100000000000001" customHeight="1">
      <c r="A109" s="377"/>
      <c r="B109" s="377"/>
      <c r="C109" s="1217"/>
      <c r="D109" s="1224"/>
      <c r="E109" s="1229"/>
      <c r="F109" s="1229"/>
      <c r="G109" s="1229"/>
      <c r="H109" s="1229"/>
      <c r="I109" s="1229"/>
      <c r="J109" s="1230"/>
      <c r="K109" s="1230"/>
      <c r="L109" s="1230"/>
      <c r="M109" s="1230"/>
      <c r="N109" s="1230"/>
      <c r="O109" s="1230"/>
      <c r="P109" s="1230"/>
      <c r="Q109" s="1230"/>
      <c r="R109" s="1229"/>
      <c r="S109" s="1229"/>
      <c r="T109" s="1229"/>
      <c r="U109" s="1229"/>
      <c r="V109" s="1236"/>
      <c r="W109" s="1221"/>
      <c r="X109" s="1222"/>
      <c r="Y109" s="1231"/>
      <c r="Z109" s="1231"/>
      <c r="AA109" s="1231"/>
      <c r="AB109" s="1231"/>
      <c r="AC109" s="1230"/>
      <c r="AD109" s="1217"/>
      <c r="AE109" s="1229"/>
      <c r="AF109" s="1229"/>
      <c r="AG109" s="1229"/>
      <c r="AH109" s="1217"/>
      <c r="AI109" s="1229"/>
      <c r="AJ109" s="377"/>
      <c r="AK109" s="1221"/>
      <c r="AL109" s="1222"/>
      <c r="AM109" s="1230"/>
      <c r="AN109" s="1230"/>
      <c r="AO109" s="1230"/>
      <c r="AP109" s="1230"/>
      <c r="AQ109" s="1230"/>
      <c r="AR109" s="1230"/>
      <c r="AS109" s="1230"/>
      <c r="AT109" s="1230"/>
      <c r="AU109" s="1230"/>
      <c r="AV109" s="1229"/>
      <c r="AW109" s="377"/>
      <c r="AX109" s="377"/>
      <c r="AY109" s="1232"/>
      <c r="AZ109" s="1233"/>
      <c r="BA109" s="1234"/>
      <c r="BB109" s="1235"/>
      <c r="BC109" s="377"/>
      <c r="BD109" s="289"/>
      <c r="BE109" s="289"/>
      <c r="BF109" s="289"/>
      <c r="BG109" s="289"/>
      <c r="BH109" s="289"/>
      <c r="BI109" s="289"/>
      <c r="BJ109" s="289"/>
      <c r="BK109" s="289"/>
      <c r="BL109" s="289"/>
      <c r="BM109" s="289"/>
      <c r="BN109" s="289"/>
      <c r="BO109" s="289"/>
      <c r="BP109" s="289"/>
      <c r="BQ109" s="289"/>
      <c r="BR109" s="289"/>
      <c r="BS109" s="289"/>
      <c r="BT109" s="289"/>
      <c r="BU109" s="289"/>
      <c r="BV109" s="289"/>
      <c r="BW109" s="289"/>
      <c r="BX109" s="289"/>
      <c r="BY109" s="289"/>
      <c r="BZ109" s="289"/>
      <c r="CA109" s="289"/>
      <c r="CB109" s="289"/>
      <c r="CC109" s="289"/>
      <c r="CD109" s="289"/>
      <c r="CE109" s="289"/>
      <c r="CF109" s="289"/>
      <c r="CG109" s="289"/>
      <c r="CH109" s="289"/>
      <c r="CI109" s="289"/>
      <c r="CJ109" s="289"/>
      <c r="CK109" s="289"/>
      <c r="CL109" s="289"/>
      <c r="CM109" s="289"/>
      <c r="CN109" s="289"/>
      <c r="CO109" s="289"/>
      <c r="CP109" s="289"/>
      <c r="CQ109" s="289"/>
      <c r="CR109" s="289"/>
      <c r="CS109" s="289"/>
      <c r="CT109" s="289"/>
      <c r="CU109" s="289"/>
      <c r="CV109" s="289"/>
      <c r="CW109" s="289"/>
      <c r="CX109" s="289"/>
      <c r="CY109" s="289"/>
      <c r="CZ109" s="289"/>
      <c r="DA109" s="289"/>
      <c r="DB109" s="289"/>
      <c r="DC109" s="289"/>
      <c r="DD109" s="289"/>
      <c r="DE109" s="289"/>
      <c r="DF109" s="289"/>
      <c r="DG109" s="289"/>
      <c r="DH109" s="289"/>
      <c r="DI109" s="289"/>
      <c r="DJ109" s="289"/>
      <c r="DK109" s="289"/>
      <c r="DL109" s="289"/>
      <c r="DM109" s="289"/>
      <c r="DN109" s="289"/>
      <c r="DO109" s="289"/>
      <c r="DP109" s="289"/>
      <c r="DQ109" s="289"/>
      <c r="DR109" s="289"/>
      <c r="DS109" s="289"/>
      <c r="DT109" s="289"/>
      <c r="DU109" s="289"/>
      <c r="DV109" s="289"/>
      <c r="DW109" s="289"/>
      <c r="DX109" s="289"/>
      <c r="DY109" s="289"/>
      <c r="DZ109" s="289"/>
      <c r="EA109" s="289"/>
      <c r="EB109" s="289"/>
      <c r="EC109" s="289"/>
      <c r="ED109" s="289"/>
      <c r="EE109" s="289"/>
      <c r="EF109" s="289"/>
      <c r="EG109" s="289"/>
      <c r="EH109" s="289"/>
      <c r="EI109" s="289"/>
      <c r="EJ109" s="289"/>
      <c r="EK109" s="289"/>
      <c r="EL109" s="289"/>
      <c r="EM109" s="289"/>
      <c r="EN109" s="289"/>
      <c r="EO109" s="289"/>
      <c r="EP109" s="289"/>
      <c r="EQ109" s="289"/>
      <c r="ER109" s="289"/>
      <c r="ES109" s="289"/>
      <c r="ET109" s="289"/>
      <c r="EU109" s="289"/>
      <c r="EV109" s="289"/>
      <c r="EW109" s="289"/>
      <c r="EX109" s="289"/>
      <c r="EY109" s="289"/>
      <c r="EZ109" s="289"/>
      <c r="FA109" s="289"/>
      <c r="FB109" s="289"/>
      <c r="FC109" s="289"/>
      <c r="FD109" s="289"/>
      <c r="FE109" s="289"/>
      <c r="FF109" s="289"/>
      <c r="FG109" s="289"/>
      <c r="FH109" s="289"/>
      <c r="FI109" s="289"/>
      <c r="FJ109" s="289"/>
      <c r="FK109" s="289"/>
      <c r="FL109" s="289"/>
      <c r="FM109" s="289"/>
      <c r="FN109" s="289"/>
      <c r="FO109" s="289"/>
      <c r="FP109" s="289"/>
      <c r="FQ109" s="289"/>
      <c r="FR109" s="289"/>
      <c r="FS109" s="289"/>
      <c r="FT109" s="289"/>
      <c r="FU109" s="289"/>
      <c r="FV109" s="289"/>
      <c r="FW109" s="289"/>
      <c r="FX109" s="289"/>
      <c r="FY109" s="289"/>
      <c r="FZ109" s="289"/>
      <c r="GA109" s="289"/>
      <c r="GB109" s="289"/>
      <c r="GC109" s="289"/>
      <c r="GD109" s="289"/>
      <c r="GE109" s="289"/>
      <c r="GF109" s="289"/>
      <c r="GG109" s="289"/>
      <c r="GH109" s="289"/>
      <c r="GI109" s="289"/>
      <c r="GJ109" s="289"/>
      <c r="GK109" s="289"/>
      <c r="GL109" s="289"/>
      <c r="GM109" s="289"/>
      <c r="GN109" s="289"/>
      <c r="GO109" s="289"/>
      <c r="GP109" s="289"/>
      <c r="GQ109" s="289"/>
      <c r="GR109" s="289"/>
      <c r="GS109" s="289"/>
      <c r="GT109" s="289"/>
      <c r="GU109" s="289"/>
      <c r="GV109" s="289"/>
      <c r="GW109" s="289"/>
      <c r="GX109" s="289"/>
      <c r="GY109" s="289"/>
      <c r="GZ109" s="289"/>
      <c r="HA109" s="289"/>
      <c r="HB109" s="289"/>
      <c r="HC109" s="289"/>
      <c r="HD109" s="289"/>
      <c r="HE109" s="289"/>
      <c r="HF109" s="289"/>
      <c r="HG109" s="289"/>
      <c r="HH109" s="289"/>
      <c r="HI109" s="289"/>
      <c r="HJ109" s="289"/>
      <c r="HK109" s="289"/>
      <c r="HL109" s="289"/>
      <c r="HM109" s="289"/>
      <c r="HN109" s="289"/>
      <c r="HO109" s="289"/>
      <c r="HP109" s="289"/>
      <c r="HQ109" s="289"/>
      <c r="HR109" s="289"/>
      <c r="HS109" s="289"/>
      <c r="HT109" s="289"/>
      <c r="HU109" s="289"/>
      <c r="HV109" s="289"/>
      <c r="HW109" s="289"/>
      <c r="HX109" s="289"/>
      <c r="HY109" s="289"/>
      <c r="HZ109" s="289"/>
      <c r="IA109" s="289"/>
      <c r="IB109" s="289"/>
      <c r="IC109" s="289"/>
      <c r="ID109" s="289"/>
      <c r="IE109" s="289"/>
      <c r="IF109" s="289"/>
      <c r="IG109" s="289"/>
      <c r="IH109" s="289"/>
      <c r="II109" s="289"/>
      <c r="IJ109" s="289"/>
      <c r="IK109" s="289"/>
      <c r="IL109" s="289"/>
      <c r="IM109" s="289"/>
      <c r="IN109" s="289"/>
      <c r="IO109" s="289"/>
      <c r="IP109" s="289"/>
      <c r="IQ109" s="289"/>
      <c r="IR109" s="289"/>
      <c r="IS109" s="289"/>
      <c r="IT109" s="289"/>
      <c r="IU109" s="289"/>
      <c r="IV109" s="289"/>
      <c r="IW109" s="289"/>
      <c r="IX109" s="289"/>
    </row>
    <row r="110" spans="1:258" s="21" customFormat="1" ht="17.100000000000001" customHeight="1">
      <c r="A110" s="377"/>
      <c r="B110" s="377"/>
      <c r="C110" s="1217"/>
      <c r="D110" s="1224"/>
      <c r="E110" s="1229"/>
      <c r="F110" s="1229"/>
      <c r="G110" s="1229"/>
      <c r="H110" s="1229"/>
      <c r="I110" s="1229"/>
      <c r="J110" s="1230"/>
      <c r="K110" s="1230"/>
      <c r="L110" s="1230"/>
      <c r="M110" s="1230"/>
      <c r="N110" s="1230"/>
      <c r="O110" s="1230"/>
      <c r="P110" s="1230"/>
      <c r="Q110" s="1230"/>
      <c r="R110" s="1229"/>
      <c r="S110" s="1229"/>
      <c r="T110" s="1229"/>
      <c r="U110" s="1229"/>
      <c r="V110" s="1236"/>
      <c r="W110" s="1221"/>
      <c r="X110" s="1222"/>
      <c r="Y110" s="1231"/>
      <c r="Z110" s="1231"/>
      <c r="AA110" s="1231"/>
      <c r="AB110" s="1231"/>
      <c r="AC110" s="1230"/>
      <c r="AD110" s="1217"/>
      <c r="AE110" s="1229"/>
      <c r="AF110" s="1229"/>
      <c r="AG110" s="1229"/>
      <c r="AH110" s="1217"/>
      <c r="AI110" s="1229"/>
      <c r="AJ110" s="377"/>
      <c r="AK110" s="1221"/>
      <c r="AL110" s="1222"/>
      <c r="AM110" s="1230"/>
      <c r="AN110" s="1230"/>
      <c r="AO110" s="1230"/>
      <c r="AP110" s="1230"/>
      <c r="AQ110" s="1230"/>
      <c r="AR110" s="1230"/>
      <c r="AS110" s="1230"/>
      <c r="AT110" s="1230"/>
      <c r="AU110" s="1230"/>
      <c r="AV110" s="1229"/>
      <c r="AW110" s="377"/>
      <c r="AX110" s="1217"/>
      <c r="AY110" s="1232"/>
      <c r="AZ110" s="1233"/>
      <c r="BA110" s="1234"/>
      <c r="BB110" s="1235"/>
      <c r="BC110" s="377"/>
      <c r="BD110" s="289"/>
      <c r="BE110" s="289"/>
      <c r="BF110" s="289"/>
      <c r="BG110" s="289"/>
      <c r="BH110" s="289"/>
      <c r="BI110" s="289"/>
      <c r="BJ110" s="289"/>
      <c r="BK110" s="289"/>
      <c r="BL110" s="289"/>
      <c r="BM110" s="289"/>
      <c r="BN110" s="289"/>
      <c r="BO110" s="289"/>
      <c r="BP110" s="289"/>
      <c r="BQ110" s="289"/>
      <c r="BR110" s="289"/>
      <c r="BS110" s="289"/>
      <c r="BT110" s="289"/>
      <c r="BU110" s="289"/>
      <c r="BV110" s="289"/>
      <c r="BW110" s="289"/>
      <c r="BX110" s="289"/>
      <c r="BY110" s="289"/>
      <c r="BZ110" s="289"/>
      <c r="CA110" s="289"/>
      <c r="CB110" s="289"/>
      <c r="CC110" s="289"/>
      <c r="CD110" s="289"/>
      <c r="CE110" s="289"/>
      <c r="CF110" s="289"/>
      <c r="CG110" s="289"/>
      <c r="CH110" s="289"/>
      <c r="CI110" s="289"/>
      <c r="CJ110" s="289"/>
      <c r="CK110" s="289"/>
      <c r="CL110" s="289"/>
      <c r="CM110" s="289"/>
      <c r="CN110" s="289"/>
      <c r="CO110" s="289"/>
      <c r="CP110" s="289"/>
      <c r="CQ110" s="289"/>
      <c r="CR110" s="289"/>
      <c r="CS110" s="289"/>
      <c r="CT110" s="289"/>
      <c r="CU110" s="289"/>
      <c r="CV110" s="289"/>
      <c r="CW110" s="289"/>
      <c r="CX110" s="289"/>
      <c r="CY110" s="289"/>
      <c r="CZ110" s="289"/>
      <c r="DA110" s="289"/>
      <c r="DB110" s="289"/>
      <c r="DC110" s="289"/>
      <c r="DD110" s="289"/>
      <c r="DE110" s="289"/>
      <c r="DF110" s="289"/>
      <c r="DG110" s="289"/>
      <c r="DH110" s="289"/>
      <c r="DI110" s="289"/>
      <c r="DJ110" s="289"/>
      <c r="DK110" s="289"/>
      <c r="DL110" s="289"/>
      <c r="DM110" s="289"/>
      <c r="DN110" s="289"/>
      <c r="DO110" s="289"/>
      <c r="DP110" s="289"/>
      <c r="DQ110" s="289"/>
      <c r="DR110" s="289"/>
      <c r="DS110" s="289"/>
      <c r="DT110" s="289"/>
      <c r="DU110" s="289"/>
      <c r="DV110" s="289"/>
      <c r="DW110" s="289"/>
      <c r="DX110" s="289"/>
      <c r="DY110" s="289"/>
      <c r="DZ110" s="289"/>
      <c r="EA110" s="289"/>
      <c r="EB110" s="289"/>
      <c r="EC110" s="289"/>
      <c r="ED110" s="289"/>
      <c r="EE110" s="289"/>
      <c r="EF110" s="289"/>
      <c r="EG110" s="289"/>
      <c r="EH110" s="289"/>
      <c r="EI110" s="289"/>
      <c r="EJ110" s="289"/>
      <c r="EK110" s="289"/>
      <c r="EL110" s="289"/>
      <c r="EM110" s="289"/>
      <c r="EN110" s="289"/>
      <c r="EO110" s="289"/>
      <c r="EP110" s="289"/>
      <c r="EQ110" s="289"/>
      <c r="ER110" s="289"/>
      <c r="ES110" s="289"/>
      <c r="ET110" s="289"/>
      <c r="EU110" s="289"/>
      <c r="EV110" s="289"/>
      <c r="EW110" s="289"/>
      <c r="EX110" s="289"/>
      <c r="EY110" s="289"/>
      <c r="EZ110" s="289"/>
      <c r="FA110" s="289"/>
      <c r="FB110" s="289"/>
      <c r="FC110" s="289"/>
      <c r="FD110" s="289"/>
      <c r="FE110" s="289"/>
      <c r="FF110" s="289"/>
      <c r="FG110" s="289"/>
      <c r="FH110" s="289"/>
      <c r="FI110" s="289"/>
      <c r="FJ110" s="289"/>
      <c r="FK110" s="289"/>
      <c r="FL110" s="289"/>
      <c r="FM110" s="289"/>
      <c r="FN110" s="289"/>
      <c r="FO110" s="289"/>
      <c r="FP110" s="289"/>
      <c r="FQ110" s="289"/>
      <c r="FR110" s="289"/>
      <c r="FS110" s="289"/>
      <c r="FT110" s="289"/>
      <c r="FU110" s="289"/>
      <c r="FV110" s="289"/>
      <c r="FW110" s="289"/>
      <c r="FX110" s="289"/>
      <c r="FY110" s="289"/>
      <c r="FZ110" s="289"/>
      <c r="GA110" s="289"/>
      <c r="GB110" s="289"/>
      <c r="GC110" s="289"/>
      <c r="GD110" s="289"/>
      <c r="GE110" s="289"/>
      <c r="GF110" s="289"/>
      <c r="GG110" s="289"/>
      <c r="GH110" s="289"/>
      <c r="GI110" s="289"/>
      <c r="GJ110" s="289"/>
      <c r="GK110" s="289"/>
      <c r="GL110" s="289"/>
      <c r="GM110" s="289"/>
      <c r="GN110" s="289"/>
      <c r="GO110" s="289"/>
      <c r="GP110" s="289"/>
      <c r="GQ110" s="289"/>
      <c r="GR110" s="289"/>
      <c r="GS110" s="289"/>
      <c r="GT110" s="289"/>
      <c r="GU110" s="289"/>
      <c r="GV110" s="289"/>
      <c r="GW110" s="289"/>
      <c r="GX110" s="289"/>
      <c r="GY110" s="289"/>
      <c r="GZ110" s="289"/>
      <c r="HA110" s="289"/>
      <c r="HB110" s="289"/>
      <c r="HC110" s="289"/>
      <c r="HD110" s="289"/>
      <c r="HE110" s="289"/>
      <c r="HF110" s="289"/>
      <c r="HG110" s="289"/>
      <c r="HH110" s="289"/>
      <c r="HI110" s="289"/>
      <c r="HJ110" s="289"/>
      <c r="HK110" s="289"/>
      <c r="HL110" s="289"/>
      <c r="HM110" s="289"/>
      <c r="HN110" s="289"/>
      <c r="HO110" s="289"/>
      <c r="HP110" s="289"/>
      <c r="HQ110" s="289"/>
      <c r="HR110" s="289"/>
      <c r="HS110" s="289"/>
      <c r="HT110" s="289"/>
      <c r="HU110" s="289"/>
      <c r="HV110" s="289"/>
      <c r="HW110" s="289"/>
      <c r="HX110" s="289"/>
      <c r="HY110" s="289"/>
      <c r="HZ110" s="289"/>
      <c r="IA110" s="289"/>
      <c r="IB110" s="289"/>
      <c r="IC110" s="289"/>
      <c r="ID110" s="289"/>
      <c r="IE110" s="289"/>
      <c r="IF110" s="289"/>
      <c r="IG110" s="289"/>
      <c r="IH110" s="289"/>
      <c r="II110" s="289"/>
      <c r="IJ110" s="289"/>
      <c r="IK110" s="289"/>
      <c r="IL110" s="289"/>
      <c r="IM110" s="289"/>
      <c r="IN110" s="289"/>
      <c r="IO110" s="289"/>
      <c r="IP110" s="289"/>
      <c r="IQ110" s="289"/>
      <c r="IR110" s="289"/>
      <c r="IS110" s="289"/>
      <c r="IT110" s="289"/>
      <c r="IU110" s="289"/>
      <c r="IV110" s="289"/>
      <c r="IW110" s="289"/>
      <c r="IX110" s="289"/>
    </row>
    <row r="111" spans="1:258" s="21" customFormat="1" ht="17.100000000000001" customHeight="1">
      <c r="A111" s="377"/>
      <c r="B111" s="377"/>
      <c r="C111" s="1217"/>
      <c r="D111" s="1224"/>
      <c r="E111" s="1229"/>
      <c r="F111" s="1229"/>
      <c r="G111" s="1229"/>
      <c r="H111" s="1229"/>
      <c r="I111" s="1229"/>
      <c r="J111" s="1230"/>
      <c r="K111" s="1230"/>
      <c r="L111" s="1230"/>
      <c r="M111" s="1230"/>
      <c r="N111" s="1230"/>
      <c r="O111" s="1230"/>
      <c r="P111" s="1230"/>
      <c r="Q111" s="1230"/>
      <c r="R111" s="1229"/>
      <c r="S111" s="1229"/>
      <c r="T111" s="1229"/>
      <c r="U111" s="1229"/>
      <c r="V111" s="1236"/>
      <c r="W111" s="1221"/>
      <c r="X111" s="1222"/>
      <c r="Y111" s="1231"/>
      <c r="Z111" s="1231"/>
      <c r="AA111" s="1231"/>
      <c r="AB111" s="1231"/>
      <c r="AC111" s="1230"/>
      <c r="AD111" s="1217"/>
      <c r="AE111" s="1229"/>
      <c r="AF111" s="1229"/>
      <c r="AG111" s="1229"/>
      <c r="AH111" s="1217"/>
      <c r="AI111" s="1229"/>
      <c r="AJ111" s="377"/>
      <c r="AK111" s="1221"/>
      <c r="AL111" s="1222"/>
      <c r="AM111" s="1230"/>
      <c r="AN111" s="1230"/>
      <c r="AO111" s="1230"/>
      <c r="AP111" s="1230"/>
      <c r="AQ111" s="1230"/>
      <c r="AR111" s="1230"/>
      <c r="AS111" s="1230"/>
      <c r="AT111" s="1230"/>
      <c r="AU111" s="1230"/>
      <c r="AV111" s="1229"/>
      <c r="AW111" s="377"/>
      <c r="AX111" s="1243"/>
      <c r="AY111" s="1232"/>
      <c r="AZ111" s="1233"/>
      <c r="BA111" s="1234"/>
      <c r="BB111" s="1235"/>
      <c r="BC111" s="377"/>
      <c r="BD111" s="289"/>
      <c r="BE111" s="289"/>
      <c r="BF111" s="289"/>
      <c r="BG111" s="289"/>
      <c r="BH111" s="289"/>
      <c r="BI111" s="289"/>
      <c r="BJ111" s="289"/>
      <c r="BK111" s="289"/>
      <c r="BL111" s="289"/>
      <c r="BM111" s="289"/>
      <c r="BN111" s="289"/>
      <c r="BO111" s="289"/>
      <c r="BP111" s="289"/>
      <c r="BQ111" s="289"/>
      <c r="BR111" s="289"/>
      <c r="BS111" s="289"/>
      <c r="BT111" s="289"/>
      <c r="BU111" s="289"/>
      <c r="BV111" s="289"/>
      <c r="BW111" s="289"/>
      <c r="BX111" s="289"/>
      <c r="BY111" s="289"/>
      <c r="BZ111" s="289"/>
      <c r="CA111" s="289"/>
      <c r="CB111" s="289"/>
      <c r="CC111" s="289"/>
      <c r="CD111" s="289"/>
      <c r="CE111" s="289"/>
      <c r="CF111" s="289"/>
      <c r="CG111" s="289"/>
      <c r="CH111" s="289"/>
      <c r="CI111" s="289"/>
      <c r="CJ111" s="289"/>
      <c r="CK111" s="289"/>
      <c r="CL111" s="289"/>
      <c r="CM111" s="289"/>
      <c r="CN111" s="289"/>
      <c r="CO111" s="289"/>
      <c r="CP111" s="289"/>
      <c r="CQ111" s="289"/>
      <c r="CR111" s="289"/>
      <c r="CS111" s="289"/>
      <c r="CT111" s="289"/>
      <c r="CU111" s="289"/>
      <c r="CV111" s="289"/>
      <c r="CW111" s="289"/>
      <c r="CX111" s="289"/>
      <c r="CY111" s="289"/>
      <c r="CZ111" s="289"/>
      <c r="DA111" s="289"/>
      <c r="DB111" s="289"/>
      <c r="DC111" s="289"/>
      <c r="DD111" s="289"/>
      <c r="DE111" s="289"/>
      <c r="DF111" s="289"/>
      <c r="DG111" s="289"/>
      <c r="DH111" s="289"/>
      <c r="DI111" s="289"/>
      <c r="DJ111" s="289"/>
      <c r="DK111" s="289"/>
      <c r="DL111" s="289"/>
      <c r="DM111" s="289"/>
      <c r="DN111" s="289"/>
      <c r="DO111" s="289"/>
      <c r="DP111" s="289"/>
      <c r="DQ111" s="289"/>
      <c r="DR111" s="289"/>
      <c r="DS111" s="289"/>
      <c r="DT111" s="289"/>
      <c r="DU111" s="289"/>
      <c r="DV111" s="289"/>
      <c r="DW111" s="289"/>
      <c r="DX111" s="289"/>
      <c r="DY111" s="289"/>
      <c r="DZ111" s="289"/>
      <c r="EA111" s="289"/>
      <c r="EB111" s="289"/>
      <c r="EC111" s="289"/>
      <c r="ED111" s="289"/>
      <c r="EE111" s="289"/>
      <c r="EF111" s="289"/>
      <c r="EG111" s="289"/>
      <c r="EH111" s="289"/>
      <c r="EI111" s="289"/>
      <c r="EJ111" s="289"/>
      <c r="EK111" s="289"/>
      <c r="EL111" s="289"/>
      <c r="EM111" s="289"/>
      <c r="EN111" s="289"/>
      <c r="EO111" s="289"/>
      <c r="EP111" s="289"/>
      <c r="EQ111" s="289"/>
      <c r="ER111" s="289"/>
      <c r="ES111" s="289"/>
      <c r="ET111" s="289"/>
      <c r="EU111" s="289"/>
      <c r="EV111" s="289"/>
      <c r="EW111" s="289"/>
      <c r="EX111" s="289"/>
      <c r="EY111" s="289"/>
      <c r="EZ111" s="289"/>
      <c r="FA111" s="289"/>
      <c r="FB111" s="289"/>
      <c r="FC111" s="289"/>
      <c r="FD111" s="289"/>
      <c r="FE111" s="289"/>
      <c r="FF111" s="289"/>
      <c r="FG111" s="289"/>
      <c r="FH111" s="289"/>
      <c r="FI111" s="289"/>
      <c r="FJ111" s="289"/>
      <c r="FK111" s="289"/>
      <c r="FL111" s="289"/>
      <c r="FM111" s="289"/>
      <c r="FN111" s="289"/>
      <c r="FO111" s="289"/>
      <c r="FP111" s="289"/>
      <c r="FQ111" s="289"/>
      <c r="FR111" s="289"/>
      <c r="FS111" s="289"/>
      <c r="FT111" s="289"/>
      <c r="FU111" s="289"/>
      <c r="FV111" s="289"/>
      <c r="FW111" s="289"/>
      <c r="FX111" s="289"/>
      <c r="FY111" s="289"/>
      <c r="FZ111" s="289"/>
      <c r="GA111" s="289"/>
      <c r="GB111" s="289"/>
      <c r="GC111" s="289"/>
      <c r="GD111" s="289"/>
      <c r="GE111" s="289"/>
      <c r="GF111" s="289"/>
      <c r="GG111" s="289"/>
      <c r="GH111" s="289"/>
      <c r="GI111" s="289"/>
      <c r="GJ111" s="289"/>
      <c r="GK111" s="289"/>
      <c r="GL111" s="289"/>
      <c r="GM111" s="289"/>
      <c r="GN111" s="289"/>
      <c r="GO111" s="289"/>
      <c r="GP111" s="289"/>
      <c r="GQ111" s="289"/>
      <c r="GR111" s="289"/>
      <c r="GS111" s="289"/>
      <c r="GT111" s="289"/>
      <c r="GU111" s="289"/>
      <c r="GV111" s="289"/>
      <c r="GW111" s="289"/>
      <c r="GX111" s="289"/>
      <c r="GY111" s="289"/>
      <c r="GZ111" s="289"/>
      <c r="HA111" s="289"/>
      <c r="HB111" s="289"/>
      <c r="HC111" s="289"/>
      <c r="HD111" s="289"/>
      <c r="HE111" s="289"/>
      <c r="HF111" s="289"/>
      <c r="HG111" s="289"/>
      <c r="HH111" s="289"/>
      <c r="HI111" s="289"/>
      <c r="HJ111" s="289"/>
      <c r="HK111" s="289"/>
      <c r="HL111" s="289"/>
      <c r="HM111" s="289"/>
      <c r="HN111" s="289"/>
      <c r="HO111" s="289"/>
      <c r="HP111" s="289"/>
      <c r="HQ111" s="289"/>
      <c r="HR111" s="289"/>
      <c r="HS111" s="289"/>
      <c r="HT111" s="289"/>
      <c r="HU111" s="289"/>
      <c r="HV111" s="289"/>
      <c r="HW111" s="289"/>
      <c r="HX111" s="289"/>
      <c r="HY111" s="289"/>
      <c r="HZ111" s="289"/>
      <c r="IA111" s="289"/>
      <c r="IB111" s="289"/>
      <c r="IC111" s="289"/>
      <c r="ID111" s="289"/>
      <c r="IE111" s="289"/>
      <c r="IF111" s="289"/>
      <c r="IG111" s="289"/>
      <c r="IH111" s="289"/>
      <c r="II111" s="289"/>
      <c r="IJ111" s="289"/>
      <c r="IK111" s="289"/>
      <c r="IL111" s="289"/>
      <c r="IM111" s="289"/>
      <c r="IN111" s="289"/>
      <c r="IO111" s="289"/>
      <c r="IP111" s="289"/>
      <c r="IQ111" s="289"/>
      <c r="IR111" s="289"/>
      <c r="IS111" s="289"/>
      <c r="IT111" s="289"/>
      <c r="IU111" s="289"/>
      <c r="IV111" s="289"/>
      <c r="IW111" s="289"/>
      <c r="IX111" s="289"/>
    </row>
    <row r="112" spans="1:258" s="21" customFormat="1" ht="17.100000000000001" customHeight="1">
      <c r="A112" s="377"/>
      <c r="B112" s="377"/>
      <c r="C112" s="1217"/>
      <c r="D112" s="1224"/>
      <c r="E112" s="1229"/>
      <c r="F112" s="1229"/>
      <c r="G112" s="1229"/>
      <c r="H112" s="1229"/>
      <c r="I112" s="1229"/>
      <c r="J112" s="1230"/>
      <c r="K112" s="1230"/>
      <c r="L112" s="1230"/>
      <c r="M112" s="1230"/>
      <c r="N112" s="1230"/>
      <c r="O112" s="1230"/>
      <c r="P112" s="1230"/>
      <c r="Q112" s="1230"/>
      <c r="R112" s="1229"/>
      <c r="S112" s="1229"/>
      <c r="T112" s="1229"/>
      <c r="U112" s="1229"/>
      <c r="V112" s="1236"/>
      <c r="W112" s="1221"/>
      <c r="X112" s="1222"/>
      <c r="Y112" s="1231"/>
      <c r="Z112" s="1231"/>
      <c r="AA112" s="1231"/>
      <c r="AB112" s="1231"/>
      <c r="AC112" s="1230"/>
      <c r="AD112" s="1217"/>
      <c r="AE112" s="1229"/>
      <c r="AF112" s="1229"/>
      <c r="AG112" s="1229"/>
      <c r="AH112" s="1217"/>
      <c r="AI112" s="1229"/>
      <c r="AJ112" s="377"/>
      <c r="AK112" s="1221"/>
      <c r="AL112" s="1222"/>
      <c r="AM112" s="1230"/>
      <c r="AN112" s="1230"/>
      <c r="AO112" s="1230"/>
      <c r="AP112" s="1230"/>
      <c r="AQ112" s="1230"/>
      <c r="AR112" s="1230"/>
      <c r="AS112" s="1230"/>
      <c r="AT112" s="1230"/>
      <c r="AU112" s="1230"/>
      <c r="AV112" s="1229"/>
      <c r="AW112" s="1217"/>
      <c r="AX112" s="1243"/>
      <c r="AY112" s="1232"/>
      <c r="AZ112" s="1233"/>
      <c r="BA112" s="1234"/>
      <c r="BB112" s="1235"/>
      <c r="BC112" s="377"/>
      <c r="BD112" s="289"/>
      <c r="BE112" s="289"/>
      <c r="BF112" s="289"/>
      <c r="BG112" s="289"/>
      <c r="BH112" s="289"/>
      <c r="BI112" s="289"/>
      <c r="BJ112" s="289"/>
      <c r="BK112" s="289"/>
      <c r="BL112" s="289"/>
      <c r="BM112" s="289"/>
      <c r="BN112" s="289"/>
      <c r="BO112" s="289"/>
      <c r="BP112" s="289"/>
      <c r="BQ112" s="289"/>
      <c r="BR112" s="289"/>
      <c r="BS112" s="289"/>
      <c r="BT112" s="289"/>
      <c r="BU112" s="289"/>
      <c r="BV112" s="289"/>
      <c r="BW112" s="289"/>
      <c r="BX112" s="289"/>
      <c r="BY112" s="289"/>
      <c r="BZ112" s="289"/>
      <c r="CA112" s="289"/>
      <c r="CB112" s="289"/>
      <c r="CC112" s="289"/>
      <c r="CD112" s="289"/>
      <c r="CE112" s="289"/>
      <c r="CF112" s="289"/>
      <c r="CG112" s="289"/>
      <c r="CH112" s="289"/>
      <c r="CI112" s="289"/>
      <c r="CJ112" s="289"/>
      <c r="CK112" s="289"/>
      <c r="CL112" s="289"/>
      <c r="CM112" s="289"/>
      <c r="CN112" s="289"/>
      <c r="CO112" s="289"/>
      <c r="CP112" s="289"/>
      <c r="CQ112" s="289"/>
      <c r="CR112" s="289"/>
      <c r="CS112" s="289"/>
      <c r="CT112" s="289"/>
      <c r="CU112" s="289"/>
      <c r="CV112" s="289"/>
      <c r="CW112" s="289"/>
      <c r="CX112" s="289"/>
      <c r="CY112" s="289"/>
      <c r="CZ112" s="289"/>
      <c r="DA112" s="289"/>
      <c r="DB112" s="289"/>
      <c r="DC112" s="289"/>
      <c r="DD112" s="289"/>
      <c r="DE112" s="289"/>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89"/>
      <c r="EB112" s="289"/>
      <c r="EC112" s="289"/>
      <c r="ED112" s="289"/>
      <c r="EE112" s="289"/>
      <c r="EF112" s="289"/>
      <c r="EG112" s="289"/>
      <c r="EH112" s="289"/>
      <c r="EI112" s="289"/>
      <c r="EJ112" s="289"/>
      <c r="EK112" s="289"/>
      <c r="EL112" s="289"/>
      <c r="EM112" s="289"/>
      <c r="EN112" s="289"/>
      <c r="EO112" s="289"/>
      <c r="EP112" s="289"/>
      <c r="EQ112" s="289"/>
      <c r="ER112" s="289"/>
      <c r="ES112" s="289"/>
      <c r="ET112" s="289"/>
      <c r="EU112" s="289"/>
      <c r="EV112" s="289"/>
      <c r="EW112" s="289"/>
      <c r="EX112" s="289"/>
      <c r="EY112" s="289"/>
      <c r="EZ112" s="289"/>
      <c r="FA112" s="289"/>
      <c r="FB112" s="289"/>
      <c r="FC112" s="289"/>
      <c r="FD112" s="289"/>
      <c r="FE112" s="289"/>
      <c r="FF112" s="289"/>
      <c r="FG112" s="289"/>
      <c r="FH112" s="289"/>
      <c r="FI112" s="289"/>
      <c r="FJ112" s="289"/>
      <c r="FK112" s="289"/>
      <c r="FL112" s="289"/>
      <c r="FM112" s="289"/>
      <c r="FN112" s="289"/>
      <c r="FO112" s="289"/>
      <c r="FP112" s="289"/>
      <c r="FQ112" s="289"/>
      <c r="FR112" s="289"/>
      <c r="FS112" s="289"/>
      <c r="FT112" s="289"/>
      <c r="FU112" s="289"/>
      <c r="FV112" s="289"/>
      <c r="FW112" s="289"/>
      <c r="FX112" s="289"/>
      <c r="FY112" s="289"/>
      <c r="FZ112" s="289"/>
      <c r="GA112" s="289"/>
      <c r="GB112" s="289"/>
      <c r="GC112" s="289"/>
      <c r="GD112" s="289"/>
      <c r="GE112" s="289"/>
      <c r="GF112" s="289"/>
      <c r="GG112" s="289"/>
      <c r="GH112" s="289"/>
      <c r="GI112" s="289"/>
      <c r="GJ112" s="289"/>
      <c r="GK112" s="289"/>
      <c r="GL112" s="289"/>
      <c r="GM112" s="289"/>
      <c r="GN112" s="289"/>
      <c r="GO112" s="289"/>
      <c r="GP112" s="289"/>
      <c r="GQ112" s="289"/>
      <c r="GR112" s="289"/>
      <c r="GS112" s="289"/>
      <c r="GT112" s="289"/>
      <c r="GU112" s="289"/>
      <c r="GV112" s="289"/>
      <c r="GW112" s="289"/>
      <c r="GX112" s="289"/>
      <c r="GY112" s="289"/>
      <c r="GZ112" s="289"/>
      <c r="HA112" s="289"/>
      <c r="HB112" s="289"/>
      <c r="HC112" s="289"/>
      <c r="HD112" s="289"/>
      <c r="HE112" s="289"/>
      <c r="HF112" s="289"/>
      <c r="HG112" s="289"/>
      <c r="HH112" s="289"/>
      <c r="HI112" s="289"/>
      <c r="HJ112" s="289"/>
      <c r="HK112" s="289"/>
      <c r="HL112" s="289"/>
      <c r="HM112" s="289"/>
      <c r="HN112" s="289"/>
      <c r="HO112" s="289"/>
      <c r="HP112" s="289"/>
      <c r="HQ112" s="289"/>
      <c r="HR112" s="289"/>
      <c r="HS112" s="289"/>
      <c r="HT112" s="289"/>
      <c r="HU112" s="289"/>
      <c r="HV112" s="289"/>
      <c r="HW112" s="289"/>
      <c r="HX112" s="289"/>
      <c r="HY112" s="289"/>
      <c r="HZ112" s="289"/>
      <c r="IA112" s="289"/>
      <c r="IB112" s="289"/>
      <c r="IC112" s="289"/>
      <c r="ID112" s="289"/>
      <c r="IE112" s="289"/>
      <c r="IF112" s="289"/>
      <c r="IG112" s="289"/>
      <c r="IH112" s="289"/>
      <c r="II112" s="289"/>
      <c r="IJ112" s="289"/>
      <c r="IK112" s="289"/>
      <c r="IL112" s="289"/>
      <c r="IM112" s="289"/>
      <c r="IN112" s="289"/>
      <c r="IO112" s="289"/>
      <c r="IP112" s="289"/>
      <c r="IQ112" s="289"/>
      <c r="IR112" s="289"/>
      <c r="IS112" s="289"/>
      <c r="IT112" s="289"/>
      <c r="IU112" s="289"/>
      <c r="IV112" s="289"/>
      <c r="IW112" s="289"/>
      <c r="IX112" s="289"/>
    </row>
    <row r="113" spans="1:258" s="21" customFormat="1" ht="17.100000000000001" customHeight="1">
      <c r="A113" s="377"/>
      <c r="B113" s="377"/>
      <c r="C113" s="1217"/>
      <c r="D113" s="1224"/>
      <c r="E113" s="1229"/>
      <c r="F113" s="1229"/>
      <c r="G113" s="1229"/>
      <c r="H113" s="1229"/>
      <c r="I113" s="1229"/>
      <c r="J113" s="1230"/>
      <c r="K113" s="1230"/>
      <c r="L113" s="1230"/>
      <c r="M113" s="1230"/>
      <c r="N113" s="1230"/>
      <c r="O113" s="1230"/>
      <c r="P113" s="1230"/>
      <c r="Q113" s="1230"/>
      <c r="R113" s="1229"/>
      <c r="S113" s="1229"/>
      <c r="T113" s="1229"/>
      <c r="U113" s="1229"/>
      <c r="V113" s="1236"/>
      <c r="W113" s="1221"/>
      <c r="X113" s="1222"/>
      <c r="Y113" s="1231"/>
      <c r="Z113" s="1231"/>
      <c r="AA113" s="1231"/>
      <c r="AB113" s="1231"/>
      <c r="AC113" s="1230"/>
      <c r="AD113" s="1217"/>
      <c r="AE113" s="1229"/>
      <c r="AF113" s="1229"/>
      <c r="AG113" s="1229"/>
      <c r="AH113" s="1217"/>
      <c r="AI113" s="1229"/>
      <c r="AJ113" s="377"/>
      <c r="AK113" s="1221"/>
      <c r="AL113" s="1222"/>
      <c r="AM113" s="1230"/>
      <c r="AN113" s="1230"/>
      <c r="AO113" s="1230"/>
      <c r="AP113" s="1230"/>
      <c r="AQ113" s="1230"/>
      <c r="AR113" s="1230"/>
      <c r="AS113" s="1230"/>
      <c r="AT113" s="1230"/>
      <c r="AU113" s="1230"/>
      <c r="AV113" s="1229"/>
      <c r="AW113" s="1246"/>
      <c r="AX113" s="1243"/>
      <c r="AY113" s="1232"/>
      <c r="AZ113" s="1233"/>
      <c r="BA113" s="1234"/>
      <c r="BB113" s="1235"/>
      <c r="BC113" s="377"/>
      <c r="BD113" s="289"/>
      <c r="BE113" s="289"/>
      <c r="BF113" s="289"/>
      <c r="BG113" s="289"/>
      <c r="BH113" s="289"/>
      <c r="BI113" s="289"/>
      <c r="BJ113" s="289"/>
      <c r="BK113" s="289"/>
      <c r="BL113" s="289"/>
      <c r="BM113" s="289"/>
      <c r="BN113" s="289"/>
      <c r="BO113" s="289"/>
      <c r="BP113" s="289"/>
      <c r="BQ113" s="289"/>
      <c r="BR113" s="289"/>
      <c r="BS113" s="289"/>
      <c r="BT113" s="289"/>
      <c r="BU113" s="289"/>
      <c r="BV113" s="289"/>
      <c r="BW113" s="289"/>
      <c r="BX113" s="289"/>
      <c r="BY113" s="289"/>
      <c r="BZ113" s="289"/>
      <c r="CA113" s="289"/>
      <c r="CB113" s="289"/>
      <c r="CC113" s="289"/>
      <c r="CD113" s="289"/>
      <c r="CE113" s="289"/>
      <c r="CF113" s="289"/>
      <c r="CG113" s="289"/>
      <c r="CH113" s="289"/>
      <c r="CI113" s="289"/>
      <c r="CJ113" s="289"/>
      <c r="CK113" s="289"/>
      <c r="CL113" s="289"/>
      <c r="CM113" s="289"/>
      <c r="CN113" s="289"/>
      <c r="CO113" s="289"/>
      <c r="CP113" s="289"/>
      <c r="CQ113" s="289"/>
      <c r="CR113" s="289"/>
      <c r="CS113" s="289"/>
      <c r="CT113" s="289"/>
      <c r="CU113" s="289"/>
      <c r="CV113" s="289"/>
      <c r="CW113" s="289"/>
      <c r="CX113" s="289"/>
      <c r="CY113" s="289"/>
      <c r="CZ113" s="289"/>
      <c r="DA113" s="289"/>
      <c r="DB113" s="289"/>
      <c r="DC113" s="289"/>
      <c r="DD113" s="289"/>
      <c r="DE113" s="289"/>
      <c r="DF113" s="289"/>
      <c r="DG113" s="289"/>
      <c r="DH113" s="289"/>
      <c r="DI113" s="289"/>
      <c r="DJ113" s="289"/>
      <c r="DK113" s="289"/>
      <c r="DL113" s="289"/>
      <c r="DM113" s="289"/>
      <c r="DN113" s="289"/>
      <c r="DO113" s="289"/>
      <c r="DP113" s="289"/>
      <c r="DQ113" s="289"/>
      <c r="DR113" s="289"/>
      <c r="DS113" s="289"/>
      <c r="DT113" s="289"/>
      <c r="DU113" s="289"/>
      <c r="DV113" s="289"/>
      <c r="DW113" s="289"/>
      <c r="DX113" s="289"/>
      <c r="DY113" s="289"/>
      <c r="DZ113" s="289"/>
      <c r="EA113" s="289"/>
      <c r="EB113" s="289"/>
      <c r="EC113" s="289"/>
      <c r="ED113" s="289"/>
      <c r="EE113" s="289"/>
      <c r="EF113" s="289"/>
      <c r="EG113" s="289"/>
      <c r="EH113" s="289"/>
      <c r="EI113" s="289"/>
      <c r="EJ113" s="289"/>
      <c r="EK113" s="289"/>
      <c r="EL113" s="289"/>
      <c r="EM113" s="289"/>
      <c r="EN113" s="289"/>
      <c r="EO113" s="289"/>
      <c r="EP113" s="289"/>
      <c r="EQ113" s="289"/>
      <c r="ER113" s="289"/>
      <c r="ES113" s="289"/>
      <c r="ET113" s="289"/>
      <c r="EU113" s="289"/>
      <c r="EV113" s="289"/>
      <c r="EW113" s="289"/>
      <c r="EX113" s="289"/>
      <c r="EY113" s="289"/>
      <c r="EZ113" s="289"/>
      <c r="FA113" s="289"/>
      <c r="FB113" s="289"/>
      <c r="FC113" s="289"/>
      <c r="FD113" s="289"/>
      <c r="FE113" s="289"/>
      <c r="FF113" s="289"/>
      <c r="FG113" s="289"/>
      <c r="FH113" s="289"/>
      <c r="FI113" s="289"/>
      <c r="FJ113" s="289"/>
      <c r="FK113" s="289"/>
      <c r="FL113" s="289"/>
      <c r="FM113" s="289"/>
      <c r="FN113" s="289"/>
      <c r="FO113" s="289"/>
      <c r="FP113" s="289"/>
      <c r="FQ113" s="289"/>
      <c r="FR113" s="289"/>
      <c r="FS113" s="289"/>
      <c r="FT113" s="289"/>
      <c r="FU113" s="289"/>
      <c r="FV113" s="289"/>
      <c r="FW113" s="289"/>
      <c r="FX113" s="289"/>
      <c r="FY113" s="289"/>
      <c r="FZ113" s="289"/>
      <c r="GA113" s="289"/>
      <c r="GB113" s="289"/>
      <c r="GC113" s="289"/>
      <c r="GD113" s="289"/>
      <c r="GE113" s="289"/>
      <c r="GF113" s="289"/>
      <c r="GG113" s="289"/>
      <c r="GH113" s="289"/>
      <c r="GI113" s="289"/>
      <c r="GJ113" s="289"/>
      <c r="GK113" s="289"/>
      <c r="GL113" s="289"/>
      <c r="GM113" s="289"/>
      <c r="GN113" s="289"/>
      <c r="GO113" s="289"/>
      <c r="GP113" s="289"/>
      <c r="GQ113" s="289"/>
      <c r="GR113" s="289"/>
      <c r="GS113" s="289"/>
      <c r="GT113" s="289"/>
      <c r="GU113" s="289"/>
      <c r="GV113" s="289"/>
      <c r="GW113" s="289"/>
      <c r="GX113" s="289"/>
      <c r="GY113" s="289"/>
      <c r="GZ113" s="289"/>
      <c r="HA113" s="289"/>
      <c r="HB113" s="289"/>
      <c r="HC113" s="289"/>
      <c r="HD113" s="289"/>
      <c r="HE113" s="289"/>
      <c r="HF113" s="289"/>
      <c r="HG113" s="289"/>
      <c r="HH113" s="289"/>
      <c r="HI113" s="289"/>
      <c r="HJ113" s="289"/>
      <c r="HK113" s="289"/>
      <c r="HL113" s="289"/>
      <c r="HM113" s="289"/>
      <c r="HN113" s="289"/>
      <c r="HO113" s="289"/>
      <c r="HP113" s="289"/>
      <c r="HQ113" s="289"/>
      <c r="HR113" s="289"/>
      <c r="HS113" s="289"/>
      <c r="HT113" s="289"/>
      <c r="HU113" s="289"/>
      <c r="HV113" s="289"/>
      <c r="HW113" s="289"/>
      <c r="HX113" s="289"/>
      <c r="HY113" s="289"/>
      <c r="HZ113" s="289"/>
      <c r="IA113" s="289"/>
      <c r="IB113" s="289"/>
      <c r="IC113" s="289"/>
      <c r="ID113" s="289"/>
      <c r="IE113" s="289"/>
      <c r="IF113" s="289"/>
      <c r="IG113" s="289"/>
      <c r="IH113" s="289"/>
      <c r="II113" s="289"/>
      <c r="IJ113" s="289"/>
      <c r="IK113" s="289"/>
      <c r="IL113" s="289"/>
      <c r="IM113" s="289"/>
      <c r="IN113" s="289"/>
      <c r="IO113" s="289"/>
      <c r="IP113" s="289"/>
      <c r="IQ113" s="289"/>
      <c r="IR113" s="289"/>
      <c r="IS113" s="289"/>
      <c r="IT113" s="289"/>
      <c r="IU113" s="289"/>
      <c r="IV113" s="289"/>
      <c r="IW113" s="289"/>
      <c r="IX113" s="289"/>
    </row>
    <row r="114" spans="1:258" s="21" customFormat="1" ht="17.100000000000001" customHeight="1">
      <c r="A114" s="377"/>
      <c r="B114" s="377"/>
      <c r="C114" s="1217"/>
      <c r="D114" s="1224"/>
      <c r="E114" s="1229"/>
      <c r="F114" s="1229"/>
      <c r="G114" s="1229"/>
      <c r="H114" s="1229"/>
      <c r="I114" s="1229"/>
      <c r="J114" s="1230"/>
      <c r="K114" s="1230"/>
      <c r="L114" s="1230"/>
      <c r="M114" s="1230"/>
      <c r="N114" s="1230"/>
      <c r="O114" s="1230"/>
      <c r="P114" s="1230"/>
      <c r="Q114" s="1230"/>
      <c r="R114" s="1229"/>
      <c r="S114" s="1229"/>
      <c r="T114" s="1229"/>
      <c r="U114" s="1229"/>
      <c r="V114" s="1236"/>
      <c r="W114" s="1221"/>
      <c r="X114" s="1222"/>
      <c r="Y114" s="1231"/>
      <c r="Z114" s="1231"/>
      <c r="AA114" s="1231"/>
      <c r="AB114" s="1231"/>
      <c r="AC114" s="1230"/>
      <c r="AD114" s="1217"/>
      <c r="AE114" s="1229"/>
      <c r="AF114" s="1229"/>
      <c r="AG114" s="1229"/>
      <c r="AH114" s="1217"/>
      <c r="AI114" s="1229"/>
      <c r="AJ114" s="377"/>
      <c r="AK114" s="1221"/>
      <c r="AL114" s="1222"/>
      <c r="AM114" s="1230"/>
      <c r="AN114" s="1230"/>
      <c r="AO114" s="1230"/>
      <c r="AP114" s="1230"/>
      <c r="AQ114" s="1230"/>
      <c r="AR114" s="1230"/>
      <c r="AS114" s="1230"/>
      <c r="AT114" s="1230"/>
      <c r="AU114" s="1230"/>
      <c r="AV114" s="1229"/>
      <c r="AW114" s="1246"/>
      <c r="AX114" s="1243"/>
      <c r="AY114" s="1232"/>
      <c r="AZ114" s="1233"/>
      <c r="BA114" s="1234"/>
      <c r="BB114" s="1235"/>
      <c r="BC114" s="377"/>
      <c r="BD114" s="289"/>
      <c r="BE114" s="289"/>
      <c r="BF114" s="289"/>
      <c r="BG114" s="289"/>
      <c r="BH114" s="289"/>
      <c r="BI114" s="289"/>
      <c r="BJ114" s="289"/>
      <c r="BK114" s="289"/>
      <c r="BL114" s="289"/>
      <c r="BM114" s="289"/>
      <c r="BN114" s="289"/>
      <c r="BO114" s="289"/>
      <c r="BP114" s="289"/>
      <c r="BQ114" s="289"/>
      <c r="BR114" s="289"/>
      <c r="BS114" s="289"/>
      <c r="BT114" s="289"/>
      <c r="BU114" s="289"/>
      <c r="BV114" s="289"/>
      <c r="BW114" s="289"/>
      <c r="BX114" s="289"/>
      <c r="BY114" s="289"/>
      <c r="BZ114" s="289"/>
      <c r="CA114" s="289"/>
      <c r="CB114" s="289"/>
      <c r="CC114" s="289"/>
      <c r="CD114" s="289"/>
      <c r="CE114" s="289"/>
      <c r="CF114" s="289"/>
      <c r="CG114" s="289"/>
      <c r="CH114" s="289"/>
      <c r="CI114" s="289"/>
      <c r="CJ114" s="289"/>
      <c r="CK114" s="289"/>
      <c r="CL114" s="289"/>
      <c r="CM114" s="289"/>
      <c r="CN114" s="289"/>
      <c r="CO114" s="289"/>
      <c r="CP114" s="289"/>
      <c r="CQ114" s="289"/>
      <c r="CR114" s="289"/>
      <c r="CS114" s="289"/>
      <c r="CT114" s="289"/>
      <c r="CU114" s="289"/>
      <c r="CV114" s="289"/>
      <c r="CW114" s="289"/>
      <c r="CX114" s="289"/>
      <c r="CY114" s="289"/>
      <c r="CZ114" s="289"/>
      <c r="DA114" s="289"/>
      <c r="DB114" s="289"/>
      <c r="DC114" s="289"/>
      <c r="DD114" s="289"/>
      <c r="DE114" s="289"/>
      <c r="DF114" s="289"/>
      <c r="DG114" s="289"/>
      <c r="DH114" s="289"/>
      <c r="DI114" s="289"/>
      <c r="DJ114" s="289"/>
      <c r="DK114" s="289"/>
      <c r="DL114" s="289"/>
      <c r="DM114" s="289"/>
      <c r="DN114" s="289"/>
      <c r="DO114" s="289"/>
      <c r="DP114" s="289"/>
      <c r="DQ114" s="289"/>
      <c r="DR114" s="289"/>
      <c r="DS114" s="289"/>
      <c r="DT114" s="289"/>
      <c r="DU114" s="289"/>
      <c r="DV114" s="289"/>
      <c r="DW114" s="289"/>
      <c r="DX114" s="289"/>
      <c r="DY114" s="289"/>
      <c r="DZ114" s="289"/>
      <c r="EA114" s="289"/>
      <c r="EB114" s="289"/>
      <c r="EC114" s="289"/>
      <c r="ED114" s="289"/>
      <c r="EE114" s="289"/>
      <c r="EF114" s="289"/>
      <c r="EG114" s="289"/>
      <c r="EH114" s="289"/>
      <c r="EI114" s="289"/>
      <c r="EJ114" s="289"/>
      <c r="EK114" s="289"/>
      <c r="EL114" s="289"/>
      <c r="EM114" s="289"/>
      <c r="EN114" s="289"/>
      <c r="EO114" s="289"/>
      <c r="EP114" s="289"/>
      <c r="EQ114" s="289"/>
      <c r="ER114" s="289"/>
      <c r="ES114" s="289"/>
      <c r="ET114" s="289"/>
      <c r="EU114" s="289"/>
      <c r="EV114" s="289"/>
      <c r="EW114" s="289"/>
      <c r="EX114" s="289"/>
      <c r="EY114" s="289"/>
      <c r="EZ114" s="289"/>
      <c r="FA114" s="289"/>
      <c r="FB114" s="289"/>
      <c r="FC114" s="289"/>
      <c r="FD114" s="289"/>
      <c r="FE114" s="289"/>
      <c r="FF114" s="289"/>
      <c r="FG114" s="289"/>
      <c r="FH114" s="289"/>
      <c r="FI114" s="289"/>
      <c r="FJ114" s="289"/>
      <c r="FK114" s="289"/>
      <c r="FL114" s="289"/>
      <c r="FM114" s="289"/>
      <c r="FN114" s="289"/>
      <c r="FO114" s="289"/>
      <c r="FP114" s="289"/>
      <c r="FQ114" s="289"/>
      <c r="FR114" s="289"/>
      <c r="FS114" s="289"/>
      <c r="FT114" s="289"/>
      <c r="FU114" s="289"/>
      <c r="FV114" s="289"/>
      <c r="FW114" s="289"/>
      <c r="FX114" s="289"/>
      <c r="FY114" s="289"/>
      <c r="FZ114" s="289"/>
      <c r="GA114" s="289"/>
      <c r="GB114" s="289"/>
      <c r="GC114" s="289"/>
      <c r="GD114" s="289"/>
      <c r="GE114" s="289"/>
      <c r="GF114" s="289"/>
      <c r="GG114" s="289"/>
      <c r="GH114" s="289"/>
      <c r="GI114" s="289"/>
      <c r="GJ114" s="289"/>
      <c r="GK114" s="289"/>
      <c r="GL114" s="289"/>
      <c r="GM114" s="289"/>
      <c r="GN114" s="289"/>
      <c r="GO114" s="289"/>
      <c r="GP114" s="289"/>
      <c r="GQ114" s="289"/>
      <c r="GR114" s="289"/>
      <c r="GS114" s="289"/>
      <c r="GT114" s="289"/>
      <c r="GU114" s="289"/>
      <c r="GV114" s="289"/>
      <c r="GW114" s="289"/>
      <c r="GX114" s="289"/>
      <c r="GY114" s="289"/>
      <c r="GZ114" s="289"/>
      <c r="HA114" s="289"/>
      <c r="HB114" s="289"/>
      <c r="HC114" s="289"/>
      <c r="HD114" s="289"/>
      <c r="HE114" s="289"/>
      <c r="HF114" s="289"/>
      <c r="HG114" s="289"/>
      <c r="HH114" s="289"/>
      <c r="HI114" s="289"/>
      <c r="HJ114" s="289"/>
      <c r="HK114" s="289"/>
      <c r="HL114" s="289"/>
      <c r="HM114" s="289"/>
      <c r="HN114" s="289"/>
      <c r="HO114" s="289"/>
      <c r="HP114" s="289"/>
      <c r="HQ114" s="289"/>
      <c r="HR114" s="289"/>
      <c r="HS114" s="289"/>
      <c r="HT114" s="289"/>
      <c r="HU114" s="289"/>
      <c r="HV114" s="289"/>
      <c r="HW114" s="289"/>
      <c r="HX114" s="289"/>
      <c r="HY114" s="289"/>
      <c r="HZ114" s="289"/>
      <c r="IA114" s="289"/>
      <c r="IB114" s="289"/>
      <c r="IC114" s="289"/>
      <c r="ID114" s="289"/>
      <c r="IE114" s="289"/>
      <c r="IF114" s="289"/>
      <c r="IG114" s="289"/>
      <c r="IH114" s="289"/>
      <c r="II114" s="289"/>
      <c r="IJ114" s="289"/>
      <c r="IK114" s="289"/>
      <c r="IL114" s="289"/>
      <c r="IM114" s="289"/>
      <c r="IN114" s="289"/>
      <c r="IO114" s="289"/>
      <c r="IP114" s="289"/>
      <c r="IQ114" s="289"/>
      <c r="IR114" s="289"/>
      <c r="IS114" s="289"/>
      <c r="IT114" s="289"/>
      <c r="IU114" s="289"/>
      <c r="IV114" s="289"/>
      <c r="IW114" s="289"/>
      <c r="IX114" s="289"/>
    </row>
    <row r="115" spans="1:258" s="21" customFormat="1" ht="17.100000000000001" customHeight="1">
      <c r="A115" s="377"/>
      <c r="B115" s="377"/>
      <c r="C115" s="1217"/>
      <c r="D115" s="1224"/>
      <c r="E115" s="1229"/>
      <c r="F115" s="1229"/>
      <c r="G115" s="1229"/>
      <c r="H115" s="1229"/>
      <c r="I115" s="1229"/>
      <c r="J115" s="1230"/>
      <c r="K115" s="1230"/>
      <c r="L115" s="1230"/>
      <c r="M115" s="1230"/>
      <c r="N115" s="1230"/>
      <c r="O115" s="1230"/>
      <c r="P115" s="1230"/>
      <c r="Q115" s="1230"/>
      <c r="R115" s="1229"/>
      <c r="S115" s="1229"/>
      <c r="T115" s="1229"/>
      <c r="U115" s="1229"/>
      <c r="V115" s="1236"/>
      <c r="W115" s="1221"/>
      <c r="X115" s="1222"/>
      <c r="Y115" s="1231"/>
      <c r="Z115" s="1231"/>
      <c r="AA115" s="1231"/>
      <c r="AB115" s="1231"/>
      <c r="AC115" s="1230"/>
      <c r="AD115" s="1217"/>
      <c r="AE115" s="1229"/>
      <c r="AF115" s="1229"/>
      <c r="AG115" s="1229"/>
      <c r="AH115" s="1217"/>
      <c r="AI115" s="1229"/>
      <c r="AJ115" s="377"/>
      <c r="AK115" s="1221"/>
      <c r="AL115" s="1222"/>
      <c r="AM115" s="1230"/>
      <c r="AN115" s="1230"/>
      <c r="AO115" s="1230"/>
      <c r="AP115" s="1230"/>
      <c r="AQ115" s="1230"/>
      <c r="AR115" s="1230"/>
      <c r="AS115" s="1230"/>
      <c r="AT115" s="1230"/>
      <c r="AU115" s="1230"/>
      <c r="AV115" s="377"/>
      <c r="AW115" s="1217"/>
      <c r="AX115" s="1243"/>
      <c r="AY115" s="1232"/>
      <c r="AZ115" s="1233"/>
      <c r="BA115" s="1234"/>
      <c r="BB115" s="1235"/>
      <c r="BC115" s="377"/>
      <c r="BD115" s="289"/>
      <c r="BE115" s="289"/>
      <c r="BF115" s="289"/>
      <c r="BG115" s="289"/>
      <c r="BH115" s="289"/>
      <c r="BI115" s="289"/>
      <c r="BJ115" s="289"/>
      <c r="BK115" s="289"/>
      <c r="BL115" s="289"/>
      <c r="BM115" s="289"/>
      <c r="BN115" s="289"/>
      <c r="BO115" s="289"/>
      <c r="BP115" s="289"/>
      <c r="BQ115" s="289"/>
      <c r="BR115" s="289"/>
      <c r="BS115" s="289"/>
      <c r="BT115" s="289"/>
      <c r="BU115" s="289"/>
      <c r="BV115" s="289"/>
      <c r="BW115" s="289"/>
      <c r="BX115" s="289"/>
      <c r="BY115" s="289"/>
      <c r="BZ115" s="289"/>
      <c r="CA115" s="289"/>
      <c r="CB115" s="289"/>
      <c r="CC115" s="289"/>
      <c r="CD115" s="289"/>
      <c r="CE115" s="289"/>
      <c r="CF115" s="289"/>
      <c r="CG115" s="289"/>
      <c r="CH115" s="289"/>
      <c r="CI115" s="289"/>
      <c r="CJ115" s="289"/>
      <c r="CK115" s="289"/>
      <c r="CL115" s="289"/>
      <c r="CM115" s="289"/>
      <c r="CN115" s="289"/>
      <c r="CO115" s="289"/>
      <c r="CP115" s="289"/>
      <c r="CQ115" s="289"/>
      <c r="CR115" s="289"/>
      <c r="CS115" s="289"/>
      <c r="CT115" s="289"/>
      <c r="CU115" s="289"/>
      <c r="CV115" s="289"/>
      <c r="CW115" s="289"/>
      <c r="CX115" s="289"/>
      <c r="CY115" s="289"/>
      <c r="CZ115" s="289"/>
      <c r="DA115" s="289"/>
      <c r="DB115" s="289"/>
      <c r="DC115" s="289"/>
      <c r="DD115" s="289"/>
      <c r="DE115" s="289"/>
      <c r="DF115" s="289"/>
      <c r="DG115" s="289"/>
      <c r="DH115" s="289"/>
      <c r="DI115" s="289"/>
      <c r="DJ115" s="289"/>
      <c r="DK115" s="289"/>
      <c r="DL115" s="289"/>
      <c r="DM115" s="289"/>
      <c r="DN115" s="289"/>
      <c r="DO115" s="289"/>
      <c r="DP115" s="289"/>
      <c r="DQ115" s="289"/>
      <c r="DR115" s="289"/>
      <c r="DS115" s="289"/>
      <c r="DT115" s="289"/>
      <c r="DU115" s="289"/>
      <c r="DV115" s="289"/>
      <c r="DW115" s="289"/>
      <c r="DX115" s="289"/>
      <c r="DY115" s="289"/>
      <c r="DZ115" s="289"/>
      <c r="EA115" s="289"/>
      <c r="EB115" s="289"/>
      <c r="EC115" s="289"/>
      <c r="ED115" s="289"/>
      <c r="EE115" s="289"/>
      <c r="EF115" s="289"/>
      <c r="EG115" s="289"/>
      <c r="EH115" s="289"/>
      <c r="EI115" s="289"/>
      <c r="EJ115" s="289"/>
      <c r="EK115" s="289"/>
      <c r="EL115" s="289"/>
      <c r="EM115" s="289"/>
      <c r="EN115" s="289"/>
      <c r="EO115" s="289"/>
      <c r="EP115" s="289"/>
      <c r="EQ115" s="289"/>
      <c r="ER115" s="289"/>
      <c r="ES115" s="289"/>
      <c r="ET115" s="289"/>
      <c r="EU115" s="289"/>
      <c r="EV115" s="289"/>
      <c r="EW115" s="289"/>
      <c r="EX115" s="289"/>
      <c r="EY115" s="289"/>
      <c r="EZ115" s="289"/>
      <c r="FA115" s="289"/>
      <c r="FB115" s="289"/>
      <c r="FC115" s="289"/>
      <c r="FD115" s="289"/>
      <c r="FE115" s="289"/>
      <c r="FF115" s="289"/>
      <c r="FG115" s="289"/>
      <c r="FH115" s="289"/>
      <c r="FI115" s="289"/>
      <c r="FJ115" s="289"/>
      <c r="FK115" s="289"/>
      <c r="FL115" s="289"/>
      <c r="FM115" s="289"/>
      <c r="FN115" s="289"/>
      <c r="FO115" s="289"/>
      <c r="FP115" s="289"/>
      <c r="FQ115" s="289"/>
      <c r="FR115" s="289"/>
      <c r="FS115" s="289"/>
      <c r="FT115" s="289"/>
      <c r="FU115" s="289"/>
      <c r="FV115" s="289"/>
      <c r="FW115" s="289"/>
      <c r="FX115" s="289"/>
      <c r="FY115" s="289"/>
      <c r="FZ115" s="289"/>
      <c r="GA115" s="289"/>
      <c r="GB115" s="289"/>
      <c r="GC115" s="289"/>
      <c r="GD115" s="289"/>
      <c r="GE115" s="289"/>
      <c r="GF115" s="289"/>
      <c r="GG115" s="289"/>
      <c r="GH115" s="289"/>
      <c r="GI115" s="289"/>
      <c r="GJ115" s="289"/>
      <c r="GK115" s="289"/>
      <c r="GL115" s="289"/>
      <c r="GM115" s="289"/>
      <c r="GN115" s="289"/>
      <c r="GO115" s="289"/>
      <c r="GP115" s="289"/>
      <c r="GQ115" s="289"/>
      <c r="GR115" s="289"/>
      <c r="GS115" s="289"/>
      <c r="GT115" s="289"/>
      <c r="GU115" s="289"/>
      <c r="GV115" s="289"/>
      <c r="GW115" s="289"/>
      <c r="GX115" s="289"/>
      <c r="GY115" s="289"/>
      <c r="GZ115" s="289"/>
      <c r="HA115" s="289"/>
      <c r="HB115" s="289"/>
      <c r="HC115" s="289"/>
      <c r="HD115" s="289"/>
      <c r="HE115" s="289"/>
      <c r="HF115" s="289"/>
      <c r="HG115" s="289"/>
      <c r="HH115" s="289"/>
      <c r="HI115" s="289"/>
      <c r="HJ115" s="289"/>
      <c r="HK115" s="289"/>
      <c r="HL115" s="289"/>
      <c r="HM115" s="289"/>
      <c r="HN115" s="289"/>
      <c r="HO115" s="289"/>
      <c r="HP115" s="289"/>
      <c r="HQ115" s="289"/>
      <c r="HR115" s="289"/>
      <c r="HS115" s="289"/>
      <c r="HT115" s="289"/>
      <c r="HU115" s="289"/>
      <c r="HV115" s="289"/>
      <c r="HW115" s="289"/>
      <c r="HX115" s="289"/>
      <c r="HY115" s="289"/>
      <c r="HZ115" s="289"/>
      <c r="IA115" s="289"/>
      <c r="IB115" s="289"/>
      <c r="IC115" s="289"/>
      <c r="ID115" s="289"/>
      <c r="IE115" s="289"/>
      <c r="IF115" s="289"/>
      <c r="IG115" s="289"/>
      <c r="IH115" s="289"/>
      <c r="II115" s="289"/>
      <c r="IJ115" s="289"/>
      <c r="IK115" s="289"/>
      <c r="IL115" s="289"/>
      <c r="IM115" s="289"/>
      <c r="IN115" s="289"/>
      <c r="IO115" s="289"/>
      <c r="IP115" s="289"/>
      <c r="IQ115" s="289"/>
      <c r="IR115" s="289"/>
      <c r="IS115" s="289"/>
      <c r="IT115" s="289"/>
      <c r="IU115" s="289"/>
      <c r="IV115" s="289"/>
      <c r="IW115" s="289"/>
      <c r="IX115" s="289"/>
    </row>
    <row r="116" spans="1:258" s="21" customFormat="1" ht="17.100000000000001" customHeight="1">
      <c r="A116" s="377"/>
      <c r="B116" s="377"/>
      <c r="C116" s="1217"/>
      <c r="D116" s="1224"/>
      <c r="E116" s="1229"/>
      <c r="F116" s="1229"/>
      <c r="G116" s="1229"/>
      <c r="H116" s="1229"/>
      <c r="I116" s="1229"/>
      <c r="J116" s="1230"/>
      <c r="K116" s="1230"/>
      <c r="L116" s="1230"/>
      <c r="M116" s="1230"/>
      <c r="N116" s="1230"/>
      <c r="O116" s="1230"/>
      <c r="P116" s="1230"/>
      <c r="Q116" s="1230"/>
      <c r="R116" s="1229"/>
      <c r="S116" s="1229"/>
      <c r="T116" s="1229"/>
      <c r="U116" s="1229"/>
      <c r="V116" s="1236"/>
      <c r="W116" s="1221"/>
      <c r="X116" s="1222"/>
      <c r="Y116" s="1231"/>
      <c r="Z116" s="1231"/>
      <c r="AA116" s="1231"/>
      <c r="AB116" s="1231"/>
      <c r="AC116" s="1230"/>
      <c r="AD116" s="1217"/>
      <c r="AE116" s="1229"/>
      <c r="AF116" s="1229"/>
      <c r="AG116" s="1229"/>
      <c r="AH116" s="1217"/>
      <c r="AI116" s="1229"/>
      <c r="AJ116" s="377"/>
      <c r="AK116" s="1221"/>
      <c r="AL116" s="1222"/>
      <c r="AM116" s="1230"/>
      <c r="AN116" s="1230"/>
      <c r="AO116" s="1230"/>
      <c r="AP116" s="1230"/>
      <c r="AQ116" s="1230"/>
      <c r="AR116" s="1230"/>
      <c r="AS116" s="1230"/>
      <c r="AT116" s="1230"/>
      <c r="AU116" s="1230"/>
      <c r="AV116" s="377"/>
      <c r="AW116" s="377"/>
      <c r="AX116" s="377"/>
      <c r="AY116" s="1232"/>
      <c r="AZ116" s="1233"/>
      <c r="BA116" s="1234"/>
      <c r="BB116" s="1235"/>
      <c r="BC116" s="377"/>
      <c r="BD116" s="289"/>
      <c r="BE116" s="289"/>
      <c r="BF116" s="289"/>
      <c r="BG116" s="289"/>
      <c r="BH116" s="289"/>
      <c r="BI116" s="289"/>
      <c r="BJ116" s="289"/>
      <c r="BK116" s="289"/>
      <c r="BL116" s="289"/>
      <c r="BM116" s="289"/>
      <c r="BN116" s="289"/>
      <c r="BO116" s="289"/>
      <c r="BP116" s="289"/>
      <c r="BQ116" s="289"/>
      <c r="BR116" s="289"/>
      <c r="BS116" s="289"/>
      <c r="BT116" s="289"/>
      <c r="BU116" s="289"/>
      <c r="BV116" s="289"/>
      <c r="BW116" s="289"/>
      <c r="BX116" s="289"/>
      <c r="BY116" s="289"/>
      <c r="BZ116" s="289"/>
      <c r="CA116" s="289"/>
      <c r="CB116" s="289"/>
      <c r="CC116" s="289"/>
      <c r="CD116" s="289"/>
      <c r="CE116" s="289"/>
      <c r="CF116" s="289"/>
      <c r="CG116" s="289"/>
      <c r="CH116" s="289"/>
      <c r="CI116" s="289"/>
      <c r="CJ116" s="289"/>
      <c r="CK116" s="289"/>
      <c r="CL116" s="289"/>
      <c r="CM116" s="289"/>
      <c r="CN116" s="289"/>
      <c r="CO116" s="289"/>
      <c r="CP116" s="289"/>
      <c r="CQ116" s="289"/>
      <c r="CR116" s="289"/>
      <c r="CS116" s="289"/>
      <c r="CT116" s="289"/>
      <c r="CU116" s="289"/>
      <c r="CV116" s="289"/>
      <c r="CW116" s="289"/>
      <c r="CX116" s="289"/>
      <c r="CY116" s="289"/>
      <c r="CZ116" s="289"/>
      <c r="DA116" s="289"/>
      <c r="DB116" s="289"/>
      <c r="DC116" s="289"/>
      <c r="DD116" s="289"/>
      <c r="DE116" s="289"/>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89"/>
      <c r="EB116" s="289"/>
      <c r="EC116" s="289"/>
      <c r="ED116" s="289"/>
      <c r="EE116" s="289"/>
      <c r="EF116" s="289"/>
      <c r="EG116" s="289"/>
      <c r="EH116" s="289"/>
      <c r="EI116" s="289"/>
      <c r="EJ116" s="289"/>
      <c r="EK116" s="289"/>
      <c r="EL116" s="289"/>
      <c r="EM116" s="289"/>
      <c r="EN116" s="289"/>
      <c r="EO116" s="289"/>
      <c r="EP116" s="289"/>
      <c r="EQ116" s="289"/>
      <c r="ER116" s="289"/>
      <c r="ES116" s="289"/>
      <c r="ET116" s="289"/>
      <c r="EU116" s="289"/>
      <c r="EV116" s="289"/>
      <c r="EW116" s="289"/>
      <c r="EX116" s="289"/>
      <c r="EY116" s="289"/>
      <c r="EZ116" s="289"/>
      <c r="FA116" s="289"/>
      <c r="FB116" s="289"/>
      <c r="FC116" s="289"/>
      <c r="FD116" s="289"/>
      <c r="FE116" s="289"/>
      <c r="FF116" s="289"/>
      <c r="FG116" s="289"/>
      <c r="FH116" s="289"/>
      <c r="FI116" s="289"/>
      <c r="FJ116" s="289"/>
      <c r="FK116" s="289"/>
      <c r="FL116" s="289"/>
      <c r="FM116" s="289"/>
      <c r="FN116" s="289"/>
      <c r="FO116" s="289"/>
      <c r="FP116" s="289"/>
      <c r="FQ116" s="289"/>
      <c r="FR116" s="289"/>
      <c r="FS116" s="289"/>
      <c r="FT116" s="289"/>
      <c r="FU116" s="289"/>
      <c r="FV116" s="289"/>
      <c r="FW116" s="289"/>
      <c r="FX116" s="289"/>
      <c r="FY116" s="289"/>
      <c r="FZ116" s="289"/>
      <c r="GA116" s="289"/>
      <c r="GB116" s="289"/>
      <c r="GC116" s="289"/>
      <c r="GD116" s="289"/>
      <c r="GE116" s="289"/>
      <c r="GF116" s="289"/>
      <c r="GG116" s="289"/>
      <c r="GH116" s="289"/>
      <c r="GI116" s="289"/>
      <c r="GJ116" s="289"/>
      <c r="GK116" s="289"/>
      <c r="GL116" s="289"/>
      <c r="GM116" s="289"/>
      <c r="GN116" s="289"/>
      <c r="GO116" s="289"/>
      <c r="GP116" s="289"/>
      <c r="GQ116" s="289"/>
      <c r="GR116" s="289"/>
      <c r="GS116" s="289"/>
      <c r="GT116" s="289"/>
      <c r="GU116" s="289"/>
      <c r="GV116" s="289"/>
      <c r="GW116" s="289"/>
      <c r="GX116" s="289"/>
      <c r="GY116" s="289"/>
      <c r="GZ116" s="289"/>
      <c r="HA116" s="289"/>
      <c r="HB116" s="289"/>
      <c r="HC116" s="289"/>
      <c r="HD116" s="289"/>
      <c r="HE116" s="289"/>
      <c r="HF116" s="289"/>
      <c r="HG116" s="289"/>
      <c r="HH116" s="289"/>
      <c r="HI116" s="289"/>
      <c r="HJ116" s="289"/>
      <c r="HK116" s="289"/>
      <c r="HL116" s="289"/>
      <c r="HM116" s="289"/>
      <c r="HN116" s="289"/>
      <c r="HO116" s="289"/>
      <c r="HP116" s="289"/>
      <c r="HQ116" s="289"/>
      <c r="HR116" s="289"/>
      <c r="HS116" s="289"/>
      <c r="HT116" s="289"/>
      <c r="HU116" s="289"/>
      <c r="HV116" s="289"/>
      <c r="HW116" s="289"/>
      <c r="HX116" s="289"/>
      <c r="HY116" s="289"/>
      <c r="HZ116" s="289"/>
      <c r="IA116" s="289"/>
      <c r="IB116" s="289"/>
      <c r="IC116" s="289"/>
      <c r="ID116" s="289"/>
      <c r="IE116" s="289"/>
      <c r="IF116" s="289"/>
      <c r="IG116" s="289"/>
      <c r="IH116" s="289"/>
      <c r="II116" s="289"/>
      <c r="IJ116" s="289"/>
      <c r="IK116" s="289"/>
      <c r="IL116" s="289"/>
      <c r="IM116" s="289"/>
      <c r="IN116" s="289"/>
      <c r="IO116" s="289"/>
      <c r="IP116" s="289"/>
      <c r="IQ116" s="289"/>
      <c r="IR116" s="289"/>
      <c r="IS116" s="289"/>
      <c r="IT116" s="289"/>
      <c r="IU116" s="289"/>
      <c r="IV116" s="289"/>
      <c r="IW116" s="289"/>
      <c r="IX116" s="289"/>
    </row>
    <row r="117" spans="1:258" s="21" customFormat="1" ht="17.100000000000001" customHeight="1">
      <c r="A117" s="377"/>
      <c r="B117" s="377"/>
      <c r="C117" s="377"/>
      <c r="D117" s="377"/>
      <c r="E117" s="377"/>
      <c r="F117" s="377"/>
      <c r="G117" s="377"/>
      <c r="H117" s="377"/>
      <c r="I117" s="377"/>
      <c r="J117" s="377"/>
      <c r="K117" s="377"/>
      <c r="L117" s="377"/>
      <c r="M117" s="377"/>
      <c r="N117" s="377"/>
      <c r="O117" s="377"/>
      <c r="P117" s="377"/>
      <c r="Q117" s="377"/>
      <c r="R117" s="377"/>
      <c r="S117" s="377"/>
      <c r="T117" s="377"/>
      <c r="U117" s="377"/>
      <c r="V117" s="1241"/>
      <c r="W117" s="377"/>
      <c r="X117" s="377"/>
      <c r="Y117" s="377"/>
      <c r="Z117" s="377"/>
      <c r="AA117" s="377"/>
      <c r="AB117" s="377"/>
      <c r="AC117" s="377"/>
      <c r="AD117" s="377"/>
      <c r="AE117" s="377"/>
      <c r="AF117" s="377"/>
      <c r="AG117" s="377"/>
      <c r="AH117" s="377"/>
      <c r="AI117" s="377"/>
      <c r="AJ117" s="377"/>
      <c r="AK117" s="377"/>
      <c r="AL117" s="377"/>
      <c r="AM117" s="377"/>
      <c r="AN117" s="377"/>
      <c r="AO117" s="377"/>
      <c r="AP117" s="377"/>
      <c r="AQ117" s="377"/>
      <c r="AR117" s="377"/>
      <c r="AS117" s="377"/>
      <c r="AT117" s="377"/>
      <c r="AU117" s="377"/>
      <c r="AV117" s="377"/>
      <c r="AW117" s="377"/>
      <c r="AX117" s="377"/>
      <c r="AY117" s="377"/>
      <c r="AZ117" s="377"/>
      <c r="BA117" s="377"/>
      <c r="BB117" s="377"/>
      <c r="BC117" s="377"/>
      <c r="BD117" s="289"/>
      <c r="BE117" s="289"/>
      <c r="BF117" s="289"/>
      <c r="BG117" s="289"/>
      <c r="BH117" s="289"/>
      <c r="BI117" s="289"/>
      <c r="BJ117" s="289"/>
      <c r="BK117" s="289"/>
      <c r="BL117" s="289"/>
      <c r="BM117" s="289"/>
      <c r="BN117" s="289"/>
      <c r="BO117" s="289"/>
      <c r="BP117" s="289"/>
      <c r="BQ117" s="289"/>
      <c r="BR117" s="289"/>
      <c r="BS117" s="289"/>
      <c r="BT117" s="289"/>
      <c r="BU117" s="289"/>
      <c r="BV117" s="289"/>
      <c r="BW117" s="289"/>
      <c r="BX117" s="289"/>
      <c r="BY117" s="289"/>
      <c r="BZ117" s="289"/>
      <c r="CA117" s="289"/>
      <c r="CB117" s="289"/>
      <c r="CC117" s="289"/>
      <c r="CD117" s="289"/>
      <c r="CE117" s="289"/>
      <c r="CF117" s="289"/>
      <c r="CG117" s="289"/>
      <c r="CH117" s="289"/>
      <c r="CI117" s="289"/>
      <c r="CJ117" s="289"/>
      <c r="CK117" s="289"/>
      <c r="CL117" s="289"/>
      <c r="CM117" s="289"/>
      <c r="CN117" s="289"/>
      <c r="CO117" s="289"/>
      <c r="CP117" s="289"/>
      <c r="CQ117" s="289"/>
      <c r="CR117" s="289"/>
      <c r="CS117" s="289"/>
      <c r="CT117" s="289"/>
      <c r="CU117" s="289"/>
      <c r="CV117" s="289"/>
      <c r="CW117" s="289"/>
      <c r="CX117" s="289"/>
      <c r="CY117" s="289"/>
      <c r="CZ117" s="289"/>
      <c r="DA117" s="289"/>
      <c r="DB117" s="289"/>
      <c r="DC117" s="289"/>
      <c r="DD117" s="289"/>
      <c r="DE117" s="289"/>
      <c r="DF117" s="289"/>
      <c r="DG117" s="289"/>
      <c r="DH117" s="289"/>
      <c r="DI117" s="289"/>
      <c r="DJ117" s="289"/>
      <c r="DK117" s="289"/>
      <c r="DL117" s="289"/>
      <c r="DM117" s="289"/>
      <c r="DN117" s="289"/>
      <c r="DO117" s="289"/>
      <c r="DP117" s="289"/>
      <c r="DQ117" s="289"/>
      <c r="DR117" s="289"/>
      <c r="DS117" s="289"/>
      <c r="DT117" s="289"/>
      <c r="DU117" s="289"/>
      <c r="DV117" s="289"/>
      <c r="DW117" s="289"/>
      <c r="DX117" s="289"/>
      <c r="DY117" s="289"/>
      <c r="DZ117" s="289"/>
      <c r="EA117" s="289"/>
      <c r="EB117" s="289"/>
      <c r="EC117" s="289"/>
      <c r="ED117" s="289"/>
      <c r="EE117" s="289"/>
      <c r="EF117" s="289"/>
      <c r="EG117" s="289"/>
      <c r="EH117" s="289"/>
      <c r="EI117" s="289"/>
      <c r="EJ117" s="289"/>
      <c r="EK117" s="289"/>
      <c r="EL117" s="289"/>
      <c r="EM117" s="289"/>
      <c r="EN117" s="289"/>
      <c r="EO117" s="289"/>
      <c r="EP117" s="289"/>
      <c r="EQ117" s="289"/>
      <c r="ER117" s="289"/>
      <c r="ES117" s="289"/>
      <c r="ET117" s="289"/>
      <c r="EU117" s="289"/>
      <c r="EV117" s="289"/>
      <c r="EW117" s="289"/>
      <c r="EX117" s="289"/>
      <c r="EY117" s="289"/>
      <c r="EZ117" s="289"/>
      <c r="FA117" s="289"/>
      <c r="FB117" s="289"/>
      <c r="FC117" s="289"/>
      <c r="FD117" s="289"/>
      <c r="FE117" s="289"/>
      <c r="FF117" s="289"/>
      <c r="FG117" s="289"/>
      <c r="FH117" s="289"/>
      <c r="FI117" s="289"/>
      <c r="FJ117" s="289"/>
      <c r="FK117" s="289"/>
      <c r="FL117" s="289"/>
      <c r="FM117" s="289"/>
      <c r="FN117" s="289"/>
      <c r="FO117" s="289"/>
      <c r="FP117" s="289"/>
      <c r="FQ117" s="289"/>
      <c r="FR117" s="289"/>
      <c r="FS117" s="289"/>
      <c r="FT117" s="289"/>
      <c r="FU117" s="289"/>
      <c r="FV117" s="289"/>
      <c r="FW117" s="289"/>
      <c r="FX117" s="289"/>
      <c r="FY117" s="289"/>
      <c r="FZ117" s="289"/>
      <c r="GA117" s="289"/>
      <c r="GB117" s="289"/>
      <c r="GC117" s="289"/>
      <c r="GD117" s="289"/>
      <c r="GE117" s="289"/>
      <c r="GF117" s="289"/>
      <c r="GG117" s="289"/>
      <c r="GH117" s="289"/>
      <c r="GI117" s="289"/>
      <c r="GJ117" s="289"/>
      <c r="GK117" s="289"/>
      <c r="GL117" s="289"/>
      <c r="GM117" s="289"/>
      <c r="GN117" s="289"/>
      <c r="GO117" s="289"/>
      <c r="GP117" s="289"/>
      <c r="GQ117" s="289"/>
      <c r="GR117" s="289"/>
      <c r="GS117" s="289"/>
      <c r="GT117" s="289"/>
      <c r="GU117" s="289"/>
      <c r="GV117" s="289"/>
      <c r="GW117" s="289"/>
      <c r="GX117" s="289"/>
      <c r="GY117" s="289"/>
      <c r="GZ117" s="289"/>
      <c r="HA117" s="289"/>
      <c r="HB117" s="289"/>
      <c r="HC117" s="289"/>
      <c r="HD117" s="289"/>
      <c r="HE117" s="289"/>
      <c r="HF117" s="289"/>
      <c r="HG117" s="289"/>
      <c r="HH117" s="289"/>
      <c r="HI117" s="289"/>
      <c r="HJ117" s="289"/>
      <c r="HK117" s="289"/>
      <c r="HL117" s="289"/>
      <c r="HM117" s="289"/>
      <c r="HN117" s="289"/>
      <c r="HO117" s="289"/>
      <c r="HP117" s="289"/>
      <c r="HQ117" s="289"/>
      <c r="HR117" s="289"/>
      <c r="HS117" s="289"/>
      <c r="HT117" s="289"/>
      <c r="HU117" s="289"/>
      <c r="HV117" s="289"/>
      <c r="HW117" s="289"/>
      <c r="HX117" s="289"/>
      <c r="HY117" s="289"/>
      <c r="HZ117" s="289"/>
      <c r="IA117" s="289"/>
      <c r="IB117" s="289"/>
      <c r="IC117" s="289"/>
      <c r="ID117" s="289"/>
      <c r="IE117" s="289"/>
      <c r="IF117" s="289"/>
      <c r="IG117" s="289"/>
      <c r="IH117" s="289"/>
      <c r="II117" s="289"/>
      <c r="IJ117" s="289"/>
      <c r="IK117" s="289"/>
      <c r="IL117" s="289"/>
      <c r="IM117" s="289"/>
      <c r="IN117" s="289"/>
      <c r="IO117" s="289"/>
      <c r="IP117" s="289"/>
      <c r="IQ117" s="289"/>
      <c r="IR117" s="289"/>
      <c r="IS117" s="289"/>
      <c r="IT117" s="289"/>
      <c r="IU117" s="289"/>
      <c r="IV117" s="289"/>
      <c r="IW117" s="289"/>
      <c r="IX117" s="289"/>
    </row>
    <row r="118" spans="1:258" s="21" customFormat="1" ht="17.100000000000001" customHeight="1">
      <c r="A118" s="377"/>
      <c r="B118" s="377"/>
      <c r="C118" s="377"/>
      <c r="D118" s="377"/>
      <c r="E118" s="377"/>
      <c r="F118" s="377"/>
      <c r="G118" s="377"/>
      <c r="H118" s="377"/>
      <c r="I118" s="377"/>
      <c r="J118" s="377"/>
      <c r="K118" s="377"/>
      <c r="L118" s="377"/>
      <c r="M118" s="377"/>
      <c r="N118" s="377"/>
      <c r="O118" s="377"/>
      <c r="P118" s="377"/>
      <c r="Q118" s="377"/>
      <c r="R118" s="377"/>
      <c r="S118" s="377"/>
      <c r="T118" s="377"/>
      <c r="U118" s="377"/>
      <c r="V118" s="1241"/>
      <c r="W118" s="377"/>
      <c r="X118" s="377"/>
      <c r="Y118" s="377"/>
      <c r="Z118" s="377"/>
      <c r="AA118" s="377"/>
      <c r="AB118" s="377"/>
      <c r="AC118" s="377"/>
      <c r="AD118" s="377"/>
      <c r="AE118" s="377"/>
      <c r="AF118" s="377"/>
      <c r="AG118" s="377"/>
      <c r="AH118" s="377"/>
      <c r="AI118" s="377"/>
      <c r="AJ118" s="377"/>
      <c r="AK118" s="377"/>
      <c r="AL118" s="377"/>
      <c r="AM118" s="377"/>
      <c r="AN118" s="377"/>
      <c r="AO118" s="377"/>
      <c r="AP118" s="377"/>
      <c r="AQ118" s="377"/>
      <c r="AR118" s="377"/>
      <c r="AS118" s="377"/>
      <c r="AT118" s="377"/>
      <c r="AU118" s="377"/>
      <c r="AV118" s="1217"/>
      <c r="AW118" s="377"/>
      <c r="AX118" s="377"/>
      <c r="AY118" s="1217"/>
      <c r="AZ118" s="1217"/>
      <c r="BA118" s="1217"/>
      <c r="BB118" s="1217"/>
      <c r="BC118" s="377"/>
      <c r="BD118" s="289"/>
      <c r="BE118" s="289"/>
      <c r="BF118" s="289"/>
      <c r="BG118" s="289"/>
      <c r="BH118" s="289"/>
      <c r="BI118" s="289"/>
      <c r="BJ118" s="289"/>
      <c r="BK118" s="289"/>
      <c r="BL118" s="289"/>
      <c r="BM118" s="289"/>
      <c r="BN118" s="289"/>
      <c r="BO118" s="289"/>
      <c r="BP118" s="289"/>
      <c r="BQ118" s="289"/>
      <c r="BR118" s="289"/>
      <c r="BS118" s="289"/>
      <c r="BT118" s="289"/>
      <c r="BU118" s="289"/>
      <c r="BV118" s="289"/>
      <c r="BW118" s="289"/>
      <c r="BX118" s="289"/>
      <c r="BY118" s="289"/>
      <c r="BZ118" s="289"/>
      <c r="CA118" s="289"/>
      <c r="CB118" s="289"/>
      <c r="CC118" s="289"/>
      <c r="CD118" s="289"/>
      <c r="CE118" s="289"/>
      <c r="CF118" s="289"/>
      <c r="CG118" s="289"/>
      <c r="CH118" s="289"/>
      <c r="CI118" s="289"/>
      <c r="CJ118" s="289"/>
      <c r="CK118" s="289"/>
      <c r="CL118" s="289"/>
      <c r="CM118" s="289"/>
      <c r="CN118" s="289"/>
      <c r="CO118" s="289"/>
      <c r="CP118" s="289"/>
      <c r="CQ118" s="289"/>
      <c r="CR118" s="289"/>
      <c r="CS118" s="289"/>
      <c r="CT118" s="289"/>
      <c r="CU118" s="289"/>
      <c r="CV118" s="289"/>
      <c r="CW118" s="289"/>
      <c r="CX118" s="289"/>
      <c r="CY118" s="289"/>
      <c r="CZ118" s="289"/>
      <c r="DA118" s="289"/>
      <c r="DB118" s="289"/>
      <c r="DC118" s="289"/>
      <c r="DD118" s="289"/>
      <c r="DE118" s="289"/>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89"/>
      <c r="EB118" s="289"/>
      <c r="EC118" s="289"/>
      <c r="ED118" s="289"/>
      <c r="EE118" s="289"/>
      <c r="EF118" s="289"/>
      <c r="EG118" s="289"/>
      <c r="EH118" s="289"/>
      <c r="EI118" s="289"/>
      <c r="EJ118" s="289"/>
      <c r="EK118" s="289"/>
      <c r="EL118" s="289"/>
      <c r="EM118" s="289"/>
      <c r="EN118" s="289"/>
      <c r="EO118" s="289"/>
      <c r="EP118" s="289"/>
      <c r="EQ118" s="289"/>
      <c r="ER118" s="289"/>
      <c r="ES118" s="289"/>
      <c r="ET118" s="289"/>
      <c r="EU118" s="289"/>
      <c r="EV118" s="289"/>
      <c r="EW118" s="289"/>
      <c r="EX118" s="289"/>
      <c r="EY118" s="289"/>
      <c r="EZ118" s="289"/>
      <c r="FA118" s="289"/>
      <c r="FB118" s="289"/>
      <c r="FC118" s="289"/>
      <c r="FD118" s="289"/>
      <c r="FE118" s="289"/>
      <c r="FF118" s="289"/>
      <c r="FG118" s="289"/>
      <c r="FH118" s="289"/>
      <c r="FI118" s="289"/>
      <c r="FJ118" s="289"/>
      <c r="FK118" s="289"/>
      <c r="FL118" s="289"/>
      <c r="FM118" s="289"/>
      <c r="FN118" s="289"/>
      <c r="FO118" s="289"/>
      <c r="FP118" s="289"/>
      <c r="FQ118" s="289"/>
      <c r="FR118" s="289"/>
      <c r="FS118" s="289"/>
      <c r="FT118" s="289"/>
      <c r="FU118" s="289"/>
      <c r="FV118" s="289"/>
      <c r="FW118" s="289"/>
      <c r="FX118" s="289"/>
      <c r="FY118" s="289"/>
      <c r="FZ118" s="289"/>
      <c r="GA118" s="289"/>
      <c r="GB118" s="289"/>
      <c r="GC118" s="289"/>
      <c r="GD118" s="289"/>
      <c r="GE118" s="289"/>
      <c r="GF118" s="289"/>
      <c r="GG118" s="289"/>
      <c r="GH118" s="289"/>
      <c r="GI118" s="289"/>
      <c r="GJ118" s="289"/>
      <c r="GK118" s="289"/>
      <c r="GL118" s="289"/>
      <c r="GM118" s="289"/>
      <c r="GN118" s="289"/>
      <c r="GO118" s="289"/>
      <c r="GP118" s="289"/>
      <c r="GQ118" s="289"/>
      <c r="GR118" s="289"/>
      <c r="GS118" s="289"/>
      <c r="GT118" s="289"/>
      <c r="GU118" s="289"/>
      <c r="GV118" s="289"/>
      <c r="GW118" s="289"/>
      <c r="GX118" s="289"/>
      <c r="GY118" s="289"/>
      <c r="GZ118" s="289"/>
      <c r="HA118" s="289"/>
      <c r="HB118" s="289"/>
      <c r="HC118" s="289"/>
      <c r="HD118" s="289"/>
      <c r="HE118" s="289"/>
      <c r="HF118" s="289"/>
      <c r="HG118" s="289"/>
      <c r="HH118" s="289"/>
      <c r="HI118" s="289"/>
      <c r="HJ118" s="289"/>
      <c r="HK118" s="289"/>
      <c r="HL118" s="289"/>
      <c r="HM118" s="289"/>
      <c r="HN118" s="289"/>
      <c r="HO118" s="289"/>
      <c r="HP118" s="289"/>
      <c r="HQ118" s="289"/>
      <c r="HR118" s="289"/>
      <c r="HS118" s="289"/>
      <c r="HT118" s="289"/>
      <c r="HU118" s="289"/>
      <c r="HV118" s="289"/>
      <c r="HW118" s="289"/>
      <c r="HX118" s="289"/>
      <c r="HY118" s="289"/>
      <c r="HZ118" s="289"/>
      <c r="IA118" s="289"/>
      <c r="IB118" s="289"/>
      <c r="IC118" s="289"/>
      <c r="ID118" s="289"/>
      <c r="IE118" s="289"/>
      <c r="IF118" s="289"/>
      <c r="IG118" s="289"/>
      <c r="IH118" s="289"/>
      <c r="II118" s="289"/>
      <c r="IJ118" s="289"/>
      <c r="IK118" s="289"/>
      <c r="IL118" s="289"/>
      <c r="IM118" s="289"/>
      <c r="IN118" s="289"/>
      <c r="IO118" s="289"/>
      <c r="IP118" s="289"/>
      <c r="IQ118" s="289"/>
      <c r="IR118" s="289"/>
      <c r="IS118" s="289"/>
      <c r="IT118" s="289"/>
      <c r="IU118" s="289"/>
      <c r="IV118" s="289"/>
      <c r="IW118" s="289"/>
      <c r="IX118" s="289"/>
    </row>
    <row r="119" spans="1:258" s="21" customFormat="1" ht="17.100000000000001" customHeight="1">
      <c r="A119" s="377"/>
      <c r="B119" s="377"/>
      <c r="C119" s="377"/>
      <c r="D119" s="377"/>
      <c r="E119" s="377"/>
      <c r="F119" s="377"/>
      <c r="G119" s="377"/>
      <c r="H119" s="377"/>
      <c r="I119" s="377"/>
      <c r="J119" s="377"/>
      <c r="K119" s="377"/>
      <c r="L119" s="377"/>
      <c r="M119" s="377"/>
      <c r="N119" s="377"/>
      <c r="O119" s="377"/>
      <c r="P119" s="377"/>
      <c r="Q119" s="377"/>
      <c r="R119" s="377"/>
      <c r="S119" s="377"/>
      <c r="T119" s="377"/>
      <c r="U119" s="377"/>
      <c r="V119" s="1241"/>
      <c r="W119" s="377"/>
      <c r="X119" s="377"/>
      <c r="Y119" s="377"/>
      <c r="Z119" s="377"/>
      <c r="AA119" s="377"/>
      <c r="AB119" s="377"/>
      <c r="AC119" s="377"/>
      <c r="AD119" s="377"/>
      <c r="AE119" s="377"/>
      <c r="AF119" s="377"/>
      <c r="AG119" s="377"/>
      <c r="AH119" s="377"/>
      <c r="AI119" s="377"/>
      <c r="AJ119" s="377"/>
      <c r="AK119" s="377"/>
      <c r="AL119" s="377"/>
      <c r="AM119" s="377"/>
      <c r="AN119" s="377"/>
      <c r="AO119" s="377"/>
      <c r="AP119" s="377"/>
      <c r="AQ119" s="377"/>
      <c r="AR119" s="377"/>
      <c r="AS119" s="377"/>
      <c r="AT119" s="377"/>
      <c r="AU119" s="377"/>
      <c r="AV119" s="1245"/>
      <c r="AW119" s="377"/>
      <c r="AX119" s="377"/>
      <c r="AY119" s="1244"/>
      <c r="AZ119" s="1243"/>
      <c r="BA119" s="1217"/>
      <c r="BB119" s="1217"/>
      <c r="BC119" s="377"/>
      <c r="BD119" s="289"/>
      <c r="BE119" s="289"/>
      <c r="BF119" s="289"/>
      <c r="BG119" s="289"/>
      <c r="BH119" s="289"/>
      <c r="BI119" s="289"/>
      <c r="BJ119" s="289"/>
      <c r="BK119" s="289"/>
      <c r="BL119" s="289"/>
      <c r="BM119" s="289"/>
      <c r="BN119" s="289"/>
      <c r="BO119" s="289"/>
      <c r="BP119" s="289"/>
      <c r="BQ119" s="289"/>
      <c r="BR119" s="289"/>
      <c r="BS119" s="289"/>
      <c r="BT119" s="289"/>
      <c r="BU119" s="289"/>
      <c r="BV119" s="289"/>
      <c r="BW119" s="289"/>
      <c r="BX119" s="289"/>
      <c r="BY119" s="289"/>
      <c r="BZ119" s="289"/>
      <c r="CA119" s="289"/>
      <c r="CB119" s="289"/>
      <c r="CC119" s="289"/>
      <c r="CD119" s="289"/>
      <c r="CE119" s="289"/>
      <c r="CF119" s="289"/>
      <c r="CG119" s="289"/>
      <c r="CH119" s="289"/>
      <c r="CI119" s="289"/>
      <c r="CJ119" s="289"/>
      <c r="CK119" s="289"/>
      <c r="CL119" s="289"/>
      <c r="CM119" s="289"/>
      <c r="CN119" s="289"/>
      <c r="CO119" s="289"/>
      <c r="CP119" s="289"/>
      <c r="CQ119" s="289"/>
      <c r="CR119" s="289"/>
      <c r="CS119" s="289"/>
      <c r="CT119" s="289"/>
      <c r="CU119" s="289"/>
      <c r="CV119" s="289"/>
      <c r="CW119" s="289"/>
      <c r="CX119" s="289"/>
      <c r="CY119" s="289"/>
      <c r="CZ119" s="289"/>
      <c r="DA119" s="289"/>
      <c r="DB119" s="289"/>
      <c r="DC119" s="289"/>
      <c r="DD119" s="289"/>
      <c r="DE119" s="289"/>
      <c r="DF119" s="289"/>
      <c r="DG119" s="289"/>
      <c r="DH119" s="289"/>
      <c r="DI119" s="289"/>
      <c r="DJ119" s="289"/>
      <c r="DK119" s="289"/>
      <c r="DL119" s="289"/>
      <c r="DM119" s="289"/>
      <c r="DN119" s="289"/>
      <c r="DO119" s="289"/>
      <c r="DP119" s="289"/>
      <c r="DQ119" s="289"/>
      <c r="DR119" s="289"/>
      <c r="DS119" s="289"/>
      <c r="DT119" s="289"/>
      <c r="DU119" s="289"/>
      <c r="DV119" s="289"/>
      <c r="DW119" s="289"/>
      <c r="DX119" s="289"/>
      <c r="DY119" s="289"/>
      <c r="DZ119" s="289"/>
      <c r="EA119" s="289"/>
      <c r="EB119" s="289"/>
      <c r="EC119" s="289"/>
      <c r="ED119" s="289"/>
      <c r="EE119" s="289"/>
      <c r="EF119" s="289"/>
      <c r="EG119" s="289"/>
      <c r="EH119" s="289"/>
      <c r="EI119" s="289"/>
      <c r="EJ119" s="289"/>
      <c r="EK119" s="289"/>
      <c r="EL119" s="289"/>
      <c r="EM119" s="289"/>
      <c r="EN119" s="289"/>
      <c r="EO119" s="289"/>
      <c r="EP119" s="289"/>
      <c r="EQ119" s="289"/>
      <c r="ER119" s="289"/>
      <c r="ES119" s="289"/>
      <c r="ET119" s="289"/>
      <c r="EU119" s="289"/>
      <c r="EV119" s="289"/>
      <c r="EW119" s="289"/>
      <c r="EX119" s="289"/>
      <c r="EY119" s="289"/>
      <c r="EZ119" s="289"/>
      <c r="FA119" s="289"/>
      <c r="FB119" s="289"/>
      <c r="FC119" s="289"/>
      <c r="FD119" s="289"/>
      <c r="FE119" s="289"/>
      <c r="FF119" s="289"/>
      <c r="FG119" s="289"/>
      <c r="FH119" s="289"/>
      <c r="FI119" s="289"/>
      <c r="FJ119" s="289"/>
      <c r="FK119" s="289"/>
      <c r="FL119" s="289"/>
      <c r="FM119" s="289"/>
      <c r="FN119" s="289"/>
      <c r="FO119" s="289"/>
      <c r="FP119" s="289"/>
      <c r="FQ119" s="289"/>
      <c r="FR119" s="289"/>
      <c r="FS119" s="289"/>
      <c r="FT119" s="289"/>
      <c r="FU119" s="289"/>
      <c r="FV119" s="289"/>
      <c r="FW119" s="289"/>
      <c r="FX119" s="289"/>
      <c r="FY119" s="289"/>
      <c r="FZ119" s="289"/>
      <c r="GA119" s="289"/>
      <c r="GB119" s="289"/>
      <c r="GC119" s="289"/>
      <c r="GD119" s="289"/>
      <c r="GE119" s="289"/>
      <c r="GF119" s="289"/>
      <c r="GG119" s="289"/>
      <c r="GH119" s="289"/>
      <c r="GI119" s="289"/>
      <c r="GJ119" s="289"/>
      <c r="GK119" s="289"/>
      <c r="GL119" s="289"/>
      <c r="GM119" s="289"/>
      <c r="GN119" s="289"/>
      <c r="GO119" s="289"/>
      <c r="GP119" s="289"/>
      <c r="GQ119" s="289"/>
      <c r="GR119" s="289"/>
      <c r="GS119" s="289"/>
      <c r="GT119" s="289"/>
      <c r="GU119" s="289"/>
      <c r="GV119" s="289"/>
      <c r="GW119" s="289"/>
      <c r="GX119" s="289"/>
      <c r="GY119" s="289"/>
      <c r="GZ119" s="289"/>
      <c r="HA119" s="289"/>
      <c r="HB119" s="289"/>
      <c r="HC119" s="289"/>
      <c r="HD119" s="289"/>
      <c r="HE119" s="289"/>
      <c r="HF119" s="289"/>
      <c r="HG119" s="289"/>
      <c r="HH119" s="289"/>
      <c r="HI119" s="289"/>
      <c r="HJ119" s="289"/>
      <c r="HK119" s="289"/>
      <c r="HL119" s="289"/>
      <c r="HM119" s="289"/>
      <c r="HN119" s="289"/>
      <c r="HO119" s="289"/>
      <c r="HP119" s="289"/>
      <c r="HQ119" s="289"/>
      <c r="HR119" s="289"/>
      <c r="HS119" s="289"/>
      <c r="HT119" s="289"/>
      <c r="HU119" s="289"/>
      <c r="HV119" s="289"/>
      <c r="HW119" s="289"/>
      <c r="HX119" s="289"/>
      <c r="HY119" s="289"/>
      <c r="HZ119" s="289"/>
      <c r="IA119" s="289"/>
      <c r="IB119" s="289"/>
      <c r="IC119" s="289"/>
      <c r="ID119" s="289"/>
      <c r="IE119" s="289"/>
      <c r="IF119" s="289"/>
      <c r="IG119" s="289"/>
      <c r="IH119" s="289"/>
      <c r="II119" s="289"/>
      <c r="IJ119" s="289"/>
      <c r="IK119" s="289"/>
      <c r="IL119" s="289"/>
      <c r="IM119" s="289"/>
      <c r="IN119" s="289"/>
      <c r="IO119" s="289"/>
      <c r="IP119" s="289"/>
      <c r="IQ119" s="289"/>
      <c r="IR119" s="289"/>
      <c r="IS119" s="289"/>
      <c r="IT119" s="289"/>
      <c r="IU119" s="289"/>
      <c r="IV119" s="289"/>
      <c r="IW119" s="289"/>
      <c r="IX119" s="289"/>
    </row>
    <row r="120" spans="1:258" s="21" customFormat="1" ht="17.100000000000001" customHeight="1">
      <c r="A120" s="377"/>
      <c r="B120" s="377"/>
      <c r="C120" s="377"/>
      <c r="D120" s="377"/>
      <c r="E120" s="377"/>
      <c r="F120" s="377"/>
      <c r="G120" s="377"/>
      <c r="H120" s="377"/>
      <c r="I120" s="377"/>
      <c r="J120" s="377"/>
      <c r="K120" s="377"/>
      <c r="L120" s="377"/>
      <c r="M120" s="377"/>
      <c r="N120" s="377"/>
      <c r="O120" s="377"/>
      <c r="P120" s="377"/>
      <c r="Q120" s="377"/>
      <c r="R120" s="377"/>
      <c r="S120" s="377"/>
      <c r="T120" s="377"/>
      <c r="U120" s="377"/>
      <c r="V120" s="1241"/>
      <c r="W120" s="377"/>
      <c r="X120" s="377"/>
      <c r="Y120" s="377"/>
      <c r="Z120" s="377"/>
      <c r="AA120" s="377"/>
      <c r="AB120" s="377"/>
      <c r="AC120" s="377"/>
      <c r="AD120" s="377"/>
      <c r="AE120" s="377"/>
      <c r="AF120" s="377"/>
      <c r="AG120" s="377"/>
      <c r="AH120" s="377"/>
      <c r="AI120" s="377"/>
      <c r="AJ120" s="377"/>
      <c r="AK120" s="377"/>
      <c r="AL120" s="1217"/>
      <c r="AM120" s="1217"/>
      <c r="AN120" s="1217"/>
      <c r="AO120" s="1217"/>
      <c r="AP120" s="1217"/>
      <c r="AQ120" s="1217"/>
      <c r="AR120" s="1217"/>
      <c r="AS120" s="1217"/>
      <c r="AT120" s="1217"/>
      <c r="AU120" s="1217"/>
      <c r="AV120" s="1245"/>
      <c r="AW120" s="377"/>
      <c r="AX120" s="377"/>
      <c r="AY120" s="1244"/>
      <c r="AZ120" s="1243"/>
      <c r="BA120" s="1217"/>
      <c r="BB120" s="1217"/>
      <c r="BC120" s="377"/>
      <c r="BD120" s="289"/>
      <c r="BE120" s="289"/>
      <c r="BF120" s="289"/>
      <c r="BG120" s="289"/>
      <c r="BH120" s="289"/>
      <c r="BI120" s="289"/>
      <c r="BJ120" s="289"/>
      <c r="BK120" s="289"/>
      <c r="BL120" s="289"/>
      <c r="BM120" s="289"/>
      <c r="BN120" s="289"/>
      <c r="BO120" s="289"/>
      <c r="BP120" s="289"/>
      <c r="BQ120" s="289"/>
      <c r="BR120" s="289"/>
      <c r="BS120" s="289"/>
      <c r="BT120" s="289"/>
      <c r="BU120" s="289"/>
      <c r="BV120" s="289"/>
      <c r="BW120" s="289"/>
      <c r="BX120" s="289"/>
      <c r="BY120" s="289"/>
      <c r="BZ120" s="289"/>
      <c r="CA120" s="289"/>
      <c r="CB120" s="289"/>
      <c r="CC120" s="289"/>
      <c r="CD120" s="289"/>
      <c r="CE120" s="289"/>
      <c r="CF120" s="289"/>
      <c r="CG120" s="289"/>
      <c r="CH120" s="289"/>
      <c r="CI120" s="289"/>
      <c r="CJ120" s="289"/>
      <c r="CK120" s="289"/>
      <c r="CL120" s="289"/>
      <c r="CM120" s="289"/>
      <c r="CN120" s="289"/>
      <c r="CO120" s="289"/>
      <c r="CP120" s="289"/>
      <c r="CQ120" s="289"/>
      <c r="CR120" s="289"/>
      <c r="CS120" s="289"/>
      <c r="CT120" s="289"/>
      <c r="CU120" s="289"/>
      <c r="CV120" s="289"/>
      <c r="CW120" s="289"/>
      <c r="CX120" s="289"/>
      <c r="CY120" s="289"/>
      <c r="CZ120" s="289"/>
      <c r="DA120" s="289"/>
      <c r="DB120" s="289"/>
      <c r="DC120" s="289"/>
      <c r="DD120" s="289"/>
      <c r="DE120" s="289"/>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89"/>
      <c r="EB120" s="289"/>
      <c r="EC120" s="289"/>
      <c r="ED120" s="289"/>
      <c r="EE120" s="289"/>
      <c r="EF120" s="289"/>
      <c r="EG120" s="289"/>
      <c r="EH120" s="289"/>
      <c r="EI120" s="289"/>
      <c r="EJ120" s="289"/>
      <c r="EK120" s="289"/>
      <c r="EL120" s="289"/>
      <c r="EM120" s="289"/>
      <c r="EN120" s="289"/>
      <c r="EO120" s="289"/>
      <c r="EP120" s="289"/>
      <c r="EQ120" s="289"/>
      <c r="ER120" s="289"/>
      <c r="ES120" s="289"/>
      <c r="ET120" s="289"/>
      <c r="EU120" s="289"/>
      <c r="EV120" s="289"/>
      <c r="EW120" s="289"/>
      <c r="EX120" s="289"/>
      <c r="EY120" s="289"/>
      <c r="EZ120" s="289"/>
      <c r="FA120" s="289"/>
      <c r="FB120" s="289"/>
      <c r="FC120" s="289"/>
      <c r="FD120" s="289"/>
      <c r="FE120" s="289"/>
      <c r="FF120" s="289"/>
      <c r="FG120" s="289"/>
      <c r="FH120" s="289"/>
      <c r="FI120" s="289"/>
      <c r="FJ120" s="289"/>
      <c r="FK120" s="289"/>
      <c r="FL120" s="289"/>
      <c r="FM120" s="289"/>
      <c r="FN120" s="289"/>
      <c r="FO120" s="289"/>
      <c r="FP120" s="289"/>
      <c r="FQ120" s="289"/>
      <c r="FR120" s="289"/>
      <c r="FS120" s="289"/>
      <c r="FT120" s="289"/>
      <c r="FU120" s="289"/>
      <c r="FV120" s="289"/>
      <c r="FW120" s="289"/>
      <c r="FX120" s="289"/>
      <c r="FY120" s="289"/>
      <c r="FZ120" s="289"/>
      <c r="GA120" s="289"/>
      <c r="GB120" s="289"/>
      <c r="GC120" s="289"/>
      <c r="GD120" s="289"/>
      <c r="GE120" s="289"/>
      <c r="GF120" s="289"/>
      <c r="GG120" s="289"/>
      <c r="GH120" s="289"/>
      <c r="GI120" s="289"/>
      <c r="GJ120" s="289"/>
      <c r="GK120" s="289"/>
      <c r="GL120" s="289"/>
      <c r="GM120" s="289"/>
      <c r="GN120" s="289"/>
      <c r="GO120" s="289"/>
      <c r="GP120" s="289"/>
      <c r="GQ120" s="289"/>
      <c r="GR120" s="289"/>
      <c r="GS120" s="289"/>
      <c r="GT120" s="289"/>
      <c r="GU120" s="289"/>
      <c r="GV120" s="289"/>
      <c r="GW120" s="289"/>
      <c r="GX120" s="289"/>
      <c r="GY120" s="289"/>
      <c r="GZ120" s="289"/>
      <c r="HA120" s="289"/>
      <c r="HB120" s="289"/>
      <c r="HC120" s="289"/>
      <c r="HD120" s="289"/>
      <c r="HE120" s="289"/>
      <c r="HF120" s="289"/>
      <c r="HG120" s="289"/>
      <c r="HH120" s="289"/>
      <c r="HI120" s="289"/>
      <c r="HJ120" s="289"/>
      <c r="HK120" s="289"/>
      <c r="HL120" s="289"/>
      <c r="HM120" s="289"/>
      <c r="HN120" s="289"/>
      <c r="HO120" s="289"/>
      <c r="HP120" s="289"/>
      <c r="HQ120" s="289"/>
      <c r="HR120" s="289"/>
      <c r="HS120" s="289"/>
      <c r="HT120" s="289"/>
      <c r="HU120" s="289"/>
      <c r="HV120" s="289"/>
      <c r="HW120" s="289"/>
      <c r="HX120" s="289"/>
      <c r="HY120" s="289"/>
      <c r="HZ120" s="289"/>
      <c r="IA120" s="289"/>
      <c r="IB120" s="289"/>
      <c r="IC120" s="289"/>
      <c r="ID120" s="289"/>
      <c r="IE120" s="289"/>
      <c r="IF120" s="289"/>
      <c r="IG120" s="289"/>
      <c r="IH120" s="289"/>
      <c r="II120" s="289"/>
      <c r="IJ120" s="289"/>
      <c r="IK120" s="289"/>
      <c r="IL120" s="289"/>
      <c r="IM120" s="289"/>
      <c r="IN120" s="289"/>
      <c r="IO120" s="289"/>
      <c r="IP120" s="289"/>
      <c r="IQ120" s="289"/>
      <c r="IR120" s="289"/>
      <c r="IS120" s="289"/>
      <c r="IT120" s="289"/>
      <c r="IU120" s="289"/>
      <c r="IV120" s="289"/>
      <c r="IW120" s="289"/>
      <c r="IX120" s="289"/>
    </row>
    <row r="121" spans="1:258" s="21" customFormat="1" ht="17.100000000000001" customHeight="1">
      <c r="A121" s="377"/>
      <c r="B121" s="377"/>
      <c r="C121" s="377"/>
      <c r="D121" s="377"/>
      <c r="E121" s="377"/>
      <c r="F121" s="377"/>
      <c r="G121" s="377"/>
      <c r="H121" s="377"/>
      <c r="I121" s="377"/>
      <c r="J121" s="377"/>
      <c r="K121" s="377"/>
      <c r="L121" s="377"/>
      <c r="M121" s="377"/>
      <c r="N121" s="377"/>
      <c r="O121" s="377"/>
      <c r="P121" s="377"/>
      <c r="Q121" s="377"/>
      <c r="R121" s="377"/>
      <c r="S121" s="377"/>
      <c r="T121" s="377"/>
      <c r="U121" s="377"/>
      <c r="V121" s="1241"/>
      <c r="W121" s="377"/>
      <c r="X121" s="377"/>
      <c r="Y121" s="377"/>
      <c r="Z121" s="377"/>
      <c r="AA121" s="377"/>
      <c r="AB121" s="377"/>
      <c r="AC121" s="377"/>
      <c r="AD121" s="377"/>
      <c r="AE121" s="377"/>
      <c r="AF121" s="377"/>
      <c r="AG121" s="377"/>
      <c r="AH121" s="377"/>
      <c r="AI121" s="377"/>
      <c r="AJ121" s="377"/>
      <c r="AK121" s="377"/>
      <c r="AL121" s="1245"/>
      <c r="AM121" s="1246"/>
      <c r="AN121" s="1246"/>
      <c r="AO121" s="1242"/>
      <c r="AP121" s="1247"/>
      <c r="AQ121" s="1245"/>
      <c r="AR121" s="1248"/>
      <c r="AS121" s="1245"/>
      <c r="AT121" s="1247"/>
      <c r="AU121" s="1246"/>
      <c r="AV121" s="1217"/>
      <c r="AW121" s="377"/>
      <c r="AX121" s="377"/>
      <c r="AY121" s="1244"/>
      <c r="AZ121" s="1243"/>
      <c r="BA121" s="1217"/>
      <c r="BB121" s="1217"/>
      <c r="BC121" s="377"/>
      <c r="BD121" s="289"/>
      <c r="BE121" s="289"/>
      <c r="BF121" s="289"/>
      <c r="BG121" s="289"/>
      <c r="BH121" s="289"/>
      <c r="BI121" s="289"/>
      <c r="BJ121" s="289"/>
      <c r="BK121" s="289"/>
      <c r="BL121" s="289"/>
      <c r="BM121" s="289"/>
      <c r="BN121" s="289"/>
      <c r="BO121" s="289"/>
      <c r="BP121" s="289"/>
      <c r="BQ121" s="289"/>
      <c r="BR121" s="289"/>
      <c r="BS121" s="289"/>
      <c r="BT121" s="289"/>
      <c r="BU121" s="289"/>
      <c r="BV121" s="289"/>
      <c r="BW121" s="289"/>
      <c r="BX121" s="289"/>
      <c r="BY121" s="289"/>
      <c r="BZ121" s="289"/>
      <c r="CA121" s="289"/>
      <c r="CB121" s="289"/>
      <c r="CC121" s="289"/>
      <c r="CD121" s="289"/>
      <c r="CE121" s="289"/>
      <c r="CF121" s="289"/>
      <c r="CG121" s="289"/>
      <c r="CH121" s="289"/>
      <c r="CI121" s="289"/>
      <c r="CJ121" s="289"/>
      <c r="CK121" s="289"/>
      <c r="CL121" s="289"/>
      <c r="CM121" s="289"/>
      <c r="CN121" s="289"/>
      <c r="CO121" s="289"/>
      <c r="CP121" s="289"/>
      <c r="CQ121" s="289"/>
      <c r="CR121" s="289"/>
      <c r="CS121" s="289"/>
      <c r="CT121" s="289"/>
      <c r="CU121" s="289"/>
      <c r="CV121" s="289"/>
      <c r="CW121" s="289"/>
      <c r="CX121" s="289"/>
      <c r="CY121" s="289"/>
      <c r="CZ121" s="289"/>
      <c r="DA121" s="289"/>
      <c r="DB121" s="289"/>
      <c r="DC121" s="289"/>
      <c r="DD121" s="289"/>
      <c r="DE121" s="289"/>
      <c r="DF121" s="289"/>
      <c r="DG121" s="289"/>
      <c r="DH121" s="289"/>
      <c r="DI121" s="289"/>
      <c r="DJ121" s="289"/>
      <c r="DK121" s="289"/>
      <c r="DL121" s="289"/>
      <c r="DM121" s="289"/>
      <c r="DN121" s="289"/>
      <c r="DO121" s="289"/>
      <c r="DP121" s="289"/>
      <c r="DQ121" s="289"/>
      <c r="DR121" s="289"/>
      <c r="DS121" s="289"/>
      <c r="DT121" s="289"/>
      <c r="DU121" s="289"/>
      <c r="DV121" s="289"/>
      <c r="DW121" s="289"/>
      <c r="DX121" s="289"/>
      <c r="DY121" s="289"/>
      <c r="DZ121" s="289"/>
      <c r="EA121" s="289"/>
      <c r="EB121" s="289"/>
      <c r="EC121" s="289"/>
      <c r="ED121" s="289"/>
      <c r="EE121" s="289"/>
      <c r="EF121" s="289"/>
      <c r="EG121" s="289"/>
      <c r="EH121" s="289"/>
      <c r="EI121" s="289"/>
      <c r="EJ121" s="289"/>
      <c r="EK121" s="289"/>
      <c r="EL121" s="289"/>
      <c r="EM121" s="289"/>
      <c r="EN121" s="289"/>
      <c r="EO121" s="289"/>
      <c r="EP121" s="289"/>
      <c r="EQ121" s="289"/>
      <c r="ER121" s="289"/>
      <c r="ES121" s="289"/>
      <c r="ET121" s="289"/>
      <c r="EU121" s="289"/>
      <c r="EV121" s="289"/>
      <c r="EW121" s="289"/>
      <c r="EX121" s="289"/>
      <c r="EY121" s="289"/>
      <c r="EZ121" s="289"/>
      <c r="FA121" s="289"/>
      <c r="FB121" s="289"/>
      <c r="FC121" s="289"/>
      <c r="FD121" s="289"/>
      <c r="FE121" s="289"/>
      <c r="FF121" s="289"/>
      <c r="FG121" s="289"/>
      <c r="FH121" s="289"/>
      <c r="FI121" s="289"/>
      <c r="FJ121" s="289"/>
      <c r="FK121" s="289"/>
      <c r="FL121" s="289"/>
      <c r="FM121" s="289"/>
      <c r="FN121" s="289"/>
      <c r="FO121" s="289"/>
      <c r="FP121" s="289"/>
      <c r="FQ121" s="289"/>
      <c r="FR121" s="289"/>
      <c r="FS121" s="289"/>
      <c r="FT121" s="289"/>
      <c r="FU121" s="289"/>
      <c r="FV121" s="289"/>
      <c r="FW121" s="289"/>
      <c r="FX121" s="289"/>
      <c r="FY121" s="289"/>
      <c r="FZ121" s="289"/>
      <c r="GA121" s="289"/>
      <c r="GB121" s="289"/>
      <c r="GC121" s="289"/>
      <c r="GD121" s="289"/>
      <c r="GE121" s="289"/>
      <c r="GF121" s="289"/>
      <c r="GG121" s="289"/>
      <c r="GH121" s="289"/>
      <c r="GI121" s="289"/>
      <c r="GJ121" s="289"/>
      <c r="GK121" s="289"/>
      <c r="GL121" s="289"/>
      <c r="GM121" s="289"/>
      <c r="GN121" s="289"/>
      <c r="GO121" s="289"/>
      <c r="GP121" s="289"/>
      <c r="GQ121" s="289"/>
      <c r="GR121" s="289"/>
      <c r="GS121" s="289"/>
      <c r="GT121" s="289"/>
      <c r="GU121" s="289"/>
      <c r="GV121" s="289"/>
      <c r="GW121" s="289"/>
      <c r="GX121" s="289"/>
      <c r="GY121" s="289"/>
      <c r="GZ121" s="289"/>
      <c r="HA121" s="289"/>
      <c r="HB121" s="289"/>
      <c r="HC121" s="289"/>
      <c r="HD121" s="289"/>
      <c r="HE121" s="289"/>
      <c r="HF121" s="289"/>
      <c r="HG121" s="289"/>
      <c r="HH121" s="289"/>
      <c r="HI121" s="289"/>
      <c r="HJ121" s="289"/>
      <c r="HK121" s="289"/>
      <c r="HL121" s="289"/>
      <c r="HM121" s="289"/>
      <c r="HN121" s="289"/>
      <c r="HO121" s="289"/>
      <c r="HP121" s="289"/>
      <c r="HQ121" s="289"/>
      <c r="HR121" s="289"/>
      <c r="HS121" s="289"/>
      <c r="HT121" s="289"/>
      <c r="HU121" s="289"/>
      <c r="HV121" s="289"/>
      <c r="HW121" s="289"/>
      <c r="HX121" s="289"/>
      <c r="HY121" s="289"/>
      <c r="HZ121" s="289"/>
      <c r="IA121" s="289"/>
      <c r="IB121" s="289"/>
      <c r="IC121" s="289"/>
      <c r="ID121" s="289"/>
      <c r="IE121" s="289"/>
      <c r="IF121" s="289"/>
      <c r="IG121" s="289"/>
      <c r="IH121" s="289"/>
      <c r="II121" s="289"/>
      <c r="IJ121" s="289"/>
      <c r="IK121" s="289"/>
      <c r="IL121" s="289"/>
      <c r="IM121" s="289"/>
      <c r="IN121" s="289"/>
      <c r="IO121" s="289"/>
      <c r="IP121" s="289"/>
      <c r="IQ121" s="289"/>
      <c r="IR121" s="289"/>
      <c r="IS121" s="289"/>
      <c r="IT121" s="289"/>
      <c r="IU121" s="289"/>
      <c r="IV121" s="289"/>
      <c r="IW121" s="289"/>
      <c r="IX121" s="289"/>
    </row>
    <row r="122" spans="1:258" s="21" customFormat="1" ht="17.100000000000001" customHeight="1">
      <c r="A122" s="377"/>
      <c r="B122" s="377"/>
      <c r="C122" s="377"/>
      <c r="D122" s="377"/>
      <c r="E122" s="377"/>
      <c r="F122" s="377"/>
      <c r="G122" s="377"/>
      <c r="H122" s="377"/>
      <c r="I122" s="377"/>
      <c r="J122" s="377"/>
      <c r="K122" s="377"/>
      <c r="L122" s="377"/>
      <c r="M122" s="377"/>
      <c r="N122" s="377"/>
      <c r="O122" s="377"/>
      <c r="P122" s="377"/>
      <c r="Q122" s="377"/>
      <c r="R122" s="377"/>
      <c r="S122" s="377"/>
      <c r="T122" s="377"/>
      <c r="U122" s="377"/>
      <c r="V122" s="1241"/>
      <c r="W122" s="377"/>
      <c r="X122" s="377"/>
      <c r="Y122" s="377"/>
      <c r="Z122" s="377"/>
      <c r="AA122" s="377"/>
      <c r="AB122" s="377"/>
      <c r="AC122" s="377"/>
      <c r="AD122" s="377"/>
      <c r="AE122" s="377"/>
      <c r="AF122" s="377"/>
      <c r="AG122" s="377"/>
      <c r="AH122" s="377"/>
      <c r="AI122" s="377"/>
      <c r="AJ122" s="377"/>
      <c r="AK122" s="377"/>
      <c r="AL122" s="1245"/>
      <c r="AM122" s="1245"/>
      <c r="AN122" s="1246"/>
      <c r="AO122" s="1247"/>
      <c r="AP122" s="1245"/>
      <c r="AQ122" s="1245"/>
      <c r="AR122" s="1247"/>
      <c r="AS122" s="1245"/>
      <c r="AT122" s="1247"/>
      <c r="AU122" s="1245"/>
      <c r="AV122" s="377"/>
      <c r="AW122" s="377"/>
      <c r="AX122" s="377"/>
      <c r="AY122" s="1244"/>
      <c r="AZ122" s="1243"/>
      <c r="BA122" s="1217"/>
      <c r="BB122" s="1217"/>
      <c r="BC122" s="377"/>
      <c r="BD122" s="289"/>
      <c r="BE122" s="289"/>
      <c r="BF122" s="289"/>
      <c r="BG122" s="289"/>
      <c r="BH122" s="289"/>
      <c r="BI122" s="289"/>
      <c r="BJ122" s="289"/>
      <c r="BK122" s="289"/>
      <c r="BL122" s="289"/>
      <c r="BM122" s="289"/>
      <c r="BN122" s="289"/>
      <c r="BO122" s="289"/>
      <c r="BP122" s="289"/>
      <c r="BQ122" s="289"/>
      <c r="BR122" s="289"/>
      <c r="BS122" s="289"/>
      <c r="BT122" s="289"/>
      <c r="BU122" s="289"/>
      <c r="BV122" s="289"/>
      <c r="BW122" s="289"/>
      <c r="BX122" s="289"/>
      <c r="BY122" s="289"/>
      <c r="BZ122" s="289"/>
      <c r="CA122" s="289"/>
      <c r="CB122" s="289"/>
      <c r="CC122" s="289"/>
      <c r="CD122" s="289"/>
      <c r="CE122" s="289"/>
      <c r="CF122" s="289"/>
      <c r="CG122" s="289"/>
      <c r="CH122" s="289"/>
      <c r="CI122" s="289"/>
      <c r="CJ122" s="289"/>
      <c r="CK122" s="289"/>
      <c r="CL122" s="289"/>
      <c r="CM122" s="289"/>
      <c r="CN122" s="289"/>
      <c r="CO122" s="289"/>
      <c r="CP122" s="289"/>
      <c r="CQ122" s="289"/>
      <c r="CR122" s="289"/>
      <c r="CS122" s="289"/>
      <c r="CT122" s="289"/>
      <c r="CU122" s="289"/>
      <c r="CV122" s="289"/>
      <c r="CW122" s="289"/>
      <c r="CX122" s="289"/>
      <c r="CY122" s="289"/>
      <c r="CZ122" s="289"/>
      <c r="DA122" s="289"/>
      <c r="DB122" s="289"/>
      <c r="DC122" s="289"/>
      <c r="DD122" s="289"/>
      <c r="DE122" s="289"/>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89"/>
      <c r="EB122" s="289"/>
      <c r="EC122" s="289"/>
      <c r="ED122" s="289"/>
      <c r="EE122" s="289"/>
      <c r="EF122" s="289"/>
      <c r="EG122" s="289"/>
      <c r="EH122" s="289"/>
      <c r="EI122" s="289"/>
      <c r="EJ122" s="289"/>
      <c r="EK122" s="289"/>
      <c r="EL122" s="289"/>
      <c r="EM122" s="289"/>
      <c r="EN122" s="289"/>
      <c r="EO122" s="289"/>
      <c r="EP122" s="289"/>
      <c r="EQ122" s="289"/>
      <c r="ER122" s="289"/>
      <c r="ES122" s="289"/>
      <c r="ET122" s="289"/>
      <c r="EU122" s="289"/>
      <c r="EV122" s="289"/>
      <c r="EW122" s="289"/>
      <c r="EX122" s="289"/>
      <c r="EY122" s="289"/>
      <c r="EZ122" s="289"/>
      <c r="FA122" s="289"/>
      <c r="FB122" s="289"/>
      <c r="FC122" s="289"/>
      <c r="FD122" s="289"/>
      <c r="FE122" s="289"/>
      <c r="FF122" s="289"/>
      <c r="FG122" s="289"/>
      <c r="FH122" s="289"/>
      <c r="FI122" s="289"/>
      <c r="FJ122" s="289"/>
      <c r="FK122" s="289"/>
      <c r="FL122" s="289"/>
      <c r="FM122" s="289"/>
      <c r="FN122" s="289"/>
      <c r="FO122" s="289"/>
      <c r="FP122" s="289"/>
      <c r="FQ122" s="289"/>
      <c r="FR122" s="289"/>
      <c r="FS122" s="289"/>
      <c r="FT122" s="289"/>
      <c r="FU122" s="289"/>
      <c r="FV122" s="289"/>
      <c r="FW122" s="289"/>
      <c r="FX122" s="289"/>
      <c r="FY122" s="289"/>
      <c r="FZ122" s="289"/>
      <c r="GA122" s="289"/>
      <c r="GB122" s="289"/>
      <c r="GC122" s="289"/>
      <c r="GD122" s="289"/>
      <c r="GE122" s="289"/>
      <c r="GF122" s="289"/>
      <c r="GG122" s="289"/>
      <c r="GH122" s="289"/>
      <c r="GI122" s="289"/>
      <c r="GJ122" s="289"/>
      <c r="GK122" s="289"/>
      <c r="GL122" s="289"/>
      <c r="GM122" s="289"/>
      <c r="GN122" s="289"/>
      <c r="GO122" s="289"/>
      <c r="GP122" s="289"/>
      <c r="GQ122" s="289"/>
      <c r="GR122" s="289"/>
      <c r="GS122" s="289"/>
      <c r="GT122" s="289"/>
      <c r="GU122" s="289"/>
      <c r="GV122" s="289"/>
      <c r="GW122" s="289"/>
      <c r="GX122" s="289"/>
      <c r="GY122" s="289"/>
      <c r="GZ122" s="289"/>
      <c r="HA122" s="289"/>
      <c r="HB122" s="289"/>
      <c r="HC122" s="289"/>
      <c r="HD122" s="289"/>
      <c r="HE122" s="289"/>
      <c r="HF122" s="289"/>
      <c r="HG122" s="289"/>
      <c r="HH122" s="289"/>
      <c r="HI122" s="289"/>
      <c r="HJ122" s="289"/>
      <c r="HK122" s="289"/>
      <c r="HL122" s="289"/>
      <c r="HM122" s="289"/>
      <c r="HN122" s="289"/>
      <c r="HO122" s="289"/>
      <c r="HP122" s="289"/>
      <c r="HQ122" s="289"/>
      <c r="HR122" s="289"/>
      <c r="HS122" s="289"/>
      <c r="HT122" s="289"/>
      <c r="HU122" s="289"/>
      <c r="HV122" s="289"/>
      <c r="HW122" s="289"/>
      <c r="HX122" s="289"/>
      <c r="HY122" s="289"/>
      <c r="HZ122" s="289"/>
      <c r="IA122" s="289"/>
      <c r="IB122" s="289"/>
      <c r="IC122" s="289"/>
      <c r="ID122" s="289"/>
      <c r="IE122" s="289"/>
      <c r="IF122" s="289"/>
      <c r="IG122" s="289"/>
      <c r="IH122" s="289"/>
      <c r="II122" s="289"/>
      <c r="IJ122" s="289"/>
      <c r="IK122" s="289"/>
      <c r="IL122" s="289"/>
      <c r="IM122" s="289"/>
      <c r="IN122" s="289"/>
      <c r="IO122" s="289"/>
      <c r="IP122" s="289"/>
      <c r="IQ122" s="289"/>
      <c r="IR122" s="289"/>
      <c r="IS122" s="289"/>
      <c r="IT122" s="289"/>
      <c r="IU122" s="289"/>
      <c r="IV122" s="289"/>
      <c r="IW122" s="289"/>
      <c r="IX122" s="289"/>
    </row>
    <row r="123" spans="1:258" s="21" customFormat="1" ht="17.100000000000001" customHeight="1">
      <c r="A123" s="377"/>
      <c r="B123" s="377"/>
      <c r="C123" s="377"/>
      <c r="D123" s="377"/>
      <c r="E123" s="377"/>
      <c r="F123" s="377"/>
      <c r="G123" s="377"/>
      <c r="H123" s="377"/>
      <c r="I123" s="377"/>
      <c r="J123" s="377"/>
      <c r="K123" s="377"/>
      <c r="L123" s="377"/>
      <c r="M123" s="377"/>
      <c r="N123" s="377"/>
      <c r="O123" s="377"/>
      <c r="P123" s="377"/>
      <c r="Q123" s="377"/>
      <c r="R123" s="377"/>
      <c r="S123" s="377"/>
      <c r="T123" s="377"/>
      <c r="U123" s="377"/>
      <c r="V123" s="1241"/>
      <c r="W123" s="377"/>
      <c r="X123" s="377"/>
      <c r="Y123" s="377"/>
      <c r="Z123" s="377"/>
      <c r="AA123" s="377"/>
      <c r="AB123" s="377"/>
      <c r="AC123" s="377"/>
      <c r="AD123" s="377"/>
      <c r="AE123" s="377"/>
      <c r="AF123" s="377"/>
      <c r="AG123" s="377"/>
      <c r="AH123" s="377"/>
      <c r="AI123" s="377"/>
      <c r="AJ123" s="377"/>
      <c r="AK123" s="377"/>
      <c r="AL123" s="1245"/>
      <c r="AM123" s="1245"/>
      <c r="AN123" s="1246"/>
      <c r="AO123" s="1217"/>
      <c r="AP123" s="1217"/>
      <c r="AQ123" s="1217"/>
      <c r="AR123" s="1217"/>
      <c r="AS123" s="1217"/>
      <c r="AT123" s="1217"/>
      <c r="AU123" s="1217"/>
      <c r="AV123" s="377"/>
      <c r="AW123" s="377"/>
      <c r="AX123" s="377"/>
      <c r="AY123" s="1243"/>
      <c r="AZ123" s="1243"/>
      <c r="BA123" s="377"/>
      <c r="BB123" s="377"/>
      <c r="BC123" s="377"/>
      <c r="BD123" s="289"/>
      <c r="BE123" s="289"/>
      <c r="BF123" s="289"/>
      <c r="BG123" s="289"/>
      <c r="BH123" s="289"/>
      <c r="BI123" s="289"/>
      <c r="BJ123" s="289"/>
      <c r="BK123" s="289"/>
      <c r="BL123" s="289"/>
      <c r="BM123" s="289"/>
      <c r="BN123" s="289"/>
      <c r="BO123" s="289"/>
      <c r="BP123" s="289"/>
      <c r="BQ123" s="289"/>
      <c r="BR123" s="289"/>
      <c r="BS123" s="289"/>
      <c r="BT123" s="289"/>
      <c r="BU123" s="289"/>
      <c r="BV123" s="289"/>
      <c r="BW123" s="289"/>
      <c r="BX123" s="289"/>
      <c r="BY123" s="289"/>
      <c r="BZ123" s="289"/>
      <c r="CA123" s="289"/>
      <c r="CB123" s="289"/>
      <c r="CC123" s="289"/>
      <c r="CD123" s="289"/>
      <c r="CE123" s="289"/>
      <c r="CF123" s="289"/>
      <c r="CG123" s="289"/>
      <c r="CH123" s="289"/>
      <c r="CI123" s="289"/>
      <c r="CJ123" s="289"/>
      <c r="CK123" s="289"/>
      <c r="CL123" s="289"/>
      <c r="CM123" s="289"/>
      <c r="CN123" s="289"/>
      <c r="CO123" s="289"/>
      <c r="CP123" s="289"/>
      <c r="CQ123" s="289"/>
      <c r="CR123" s="289"/>
      <c r="CS123" s="289"/>
      <c r="CT123" s="289"/>
      <c r="CU123" s="289"/>
      <c r="CV123" s="289"/>
      <c r="CW123" s="289"/>
      <c r="CX123" s="289"/>
      <c r="CY123" s="289"/>
      <c r="CZ123" s="289"/>
      <c r="DA123" s="289"/>
      <c r="DB123" s="289"/>
      <c r="DC123" s="289"/>
      <c r="DD123" s="289"/>
      <c r="DE123" s="289"/>
      <c r="DF123" s="289"/>
      <c r="DG123" s="289"/>
      <c r="DH123" s="289"/>
      <c r="DI123" s="289"/>
      <c r="DJ123" s="289"/>
      <c r="DK123" s="289"/>
      <c r="DL123" s="289"/>
      <c r="DM123" s="289"/>
      <c r="DN123" s="289"/>
      <c r="DO123" s="289"/>
      <c r="DP123" s="289"/>
      <c r="DQ123" s="289"/>
      <c r="DR123" s="289"/>
      <c r="DS123" s="289"/>
      <c r="DT123" s="289"/>
      <c r="DU123" s="289"/>
      <c r="DV123" s="289"/>
      <c r="DW123" s="289"/>
      <c r="DX123" s="289"/>
      <c r="DY123" s="289"/>
      <c r="DZ123" s="289"/>
      <c r="EA123" s="289"/>
      <c r="EB123" s="289"/>
      <c r="EC123" s="289"/>
      <c r="ED123" s="289"/>
      <c r="EE123" s="289"/>
      <c r="EF123" s="289"/>
      <c r="EG123" s="289"/>
      <c r="EH123" s="289"/>
      <c r="EI123" s="289"/>
      <c r="EJ123" s="289"/>
      <c r="EK123" s="289"/>
      <c r="EL123" s="289"/>
      <c r="EM123" s="289"/>
      <c r="EN123" s="289"/>
      <c r="EO123" s="289"/>
      <c r="EP123" s="289"/>
      <c r="EQ123" s="289"/>
      <c r="ER123" s="289"/>
      <c r="ES123" s="289"/>
      <c r="ET123" s="289"/>
      <c r="EU123" s="289"/>
      <c r="EV123" s="289"/>
      <c r="EW123" s="289"/>
      <c r="EX123" s="289"/>
      <c r="EY123" s="289"/>
      <c r="EZ123" s="289"/>
      <c r="FA123" s="289"/>
      <c r="FB123" s="289"/>
      <c r="FC123" s="289"/>
      <c r="FD123" s="289"/>
      <c r="FE123" s="289"/>
      <c r="FF123" s="289"/>
      <c r="FG123" s="289"/>
      <c r="FH123" s="289"/>
      <c r="FI123" s="289"/>
      <c r="FJ123" s="289"/>
      <c r="FK123" s="289"/>
      <c r="FL123" s="289"/>
      <c r="FM123" s="289"/>
      <c r="FN123" s="289"/>
      <c r="FO123" s="289"/>
      <c r="FP123" s="289"/>
      <c r="FQ123" s="289"/>
      <c r="FR123" s="289"/>
      <c r="FS123" s="289"/>
      <c r="FT123" s="289"/>
      <c r="FU123" s="289"/>
      <c r="FV123" s="289"/>
      <c r="FW123" s="289"/>
      <c r="FX123" s="289"/>
      <c r="FY123" s="289"/>
      <c r="FZ123" s="289"/>
      <c r="GA123" s="289"/>
      <c r="GB123" s="289"/>
      <c r="GC123" s="289"/>
      <c r="GD123" s="289"/>
      <c r="GE123" s="289"/>
      <c r="GF123" s="289"/>
      <c r="GG123" s="289"/>
      <c r="GH123" s="289"/>
      <c r="GI123" s="289"/>
      <c r="GJ123" s="289"/>
      <c r="GK123" s="289"/>
      <c r="GL123" s="289"/>
      <c r="GM123" s="289"/>
      <c r="GN123" s="289"/>
      <c r="GO123" s="289"/>
      <c r="GP123" s="289"/>
      <c r="GQ123" s="289"/>
      <c r="GR123" s="289"/>
      <c r="GS123" s="289"/>
      <c r="GT123" s="289"/>
      <c r="GU123" s="289"/>
      <c r="GV123" s="289"/>
      <c r="GW123" s="289"/>
      <c r="GX123" s="289"/>
      <c r="GY123" s="289"/>
      <c r="GZ123" s="289"/>
      <c r="HA123" s="289"/>
      <c r="HB123" s="289"/>
      <c r="HC123" s="289"/>
      <c r="HD123" s="289"/>
      <c r="HE123" s="289"/>
      <c r="HF123" s="289"/>
      <c r="HG123" s="289"/>
      <c r="HH123" s="289"/>
      <c r="HI123" s="289"/>
      <c r="HJ123" s="289"/>
      <c r="HK123" s="289"/>
      <c r="HL123" s="289"/>
      <c r="HM123" s="289"/>
      <c r="HN123" s="289"/>
      <c r="HO123" s="289"/>
      <c r="HP123" s="289"/>
      <c r="HQ123" s="289"/>
      <c r="HR123" s="289"/>
      <c r="HS123" s="289"/>
      <c r="HT123" s="289"/>
      <c r="HU123" s="289"/>
      <c r="HV123" s="289"/>
      <c r="HW123" s="289"/>
      <c r="HX123" s="289"/>
      <c r="HY123" s="289"/>
      <c r="HZ123" s="289"/>
      <c r="IA123" s="289"/>
      <c r="IB123" s="289"/>
      <c r="IC123" s="289"/>
      <c r="ID123" s="289"/>
      <c r="IE123" s="289"/>
      <c r="IF123" s="289"/>
      <c r="IG123" s="289"/>
      <c r="IH123" s="289"/>
      <c r="II123" s="289"/>
      <c r="IJ123" s="289"/>
      <c r="IK123" s="289"/>
      <c r="IL123" s="289"/>
      <c r="IM123" s="289"/>
      <c r="IN123" s="289"/>
      <c r="IO123" s="289"/>
      <c r="IP123" s="289"/>
      <c r="IQ123" s="289"/>
      <c r="IR123" s="289"/>
      <c r="IS123" s="289"/>
      <c r="IT123" s="289"/>
      <c r="IU123" s="289"/>
      <c r="IV123" s="289"/>
      <c r="IW123" s="289"/>
      <c r="IX123" s="289"/>
    </row>
    <row r="124" spans="1:258" s="21" customFormat="1" ht="17.100000000000001" customHeight="1">
      <c r="A124" s="377"/>
      <c r="B124" s="377"/>
      <c r="C124" s="377"/>
      <c r="D124" s="377"/>
      <c r="E124" s="377"/>
      <c r="F124" s="377"/>
      <c r="G124" s="377"/>
      <c r="H124" s="377"/>
      <c r="I124" s="377"/>
      <c r="J124" s="377"/>
      <c r="K124" s="377"/>
      <c r="L124" s="377"/>
      <c r="M124" s="377"/>
      <c r="N124" s="377"/>
      <c r="O124" s="377"/>
      <c r="P124" s="377"/>
      <c r="Q124" s="377"/>
      <c r="R124" s="377"/>
      <c r="S124" s="377"/>
      <c r="T124" s="377"/>
      <c r="U124" s="377"/>
      <c r="V124" s="1241"/>
      <c r="W124" s="377"/>
      <c r="X124" s="377"/>
      <c r="Y124" s="377"/>
      <c r="Z124" s="377"/>
      <c r="AA124" s="377"/>
      <c r="AB124" s="377"/>
      <c r="AC124" s="377"/>
      <c r="AD124" s="377"/>
      <c r="AE124" s="377"/>
      <c r="AF124" s="377"/>
      <c r="AG124" s="377"/>
      <c r="AH124" s="377"/>
      <c r="AI124" s="377"/>
      <c r="AJ124" s="377"/>
      <c r="AK124" s="377"/>
      <c r="AL124" s="377"/>
      <c r="AM124" s="377"/>
      <c r="AN124" s="377"/>
      <c r="AO124" s="377"/>
      <c r="AP124" s="377"/>
      <c r="AQ124" s="377"/>
      <c r="AR124" s="377"/>
      <c r="AS124" s="377"/>
      <c r="AT124" s="377"/>
      <c r="AU124" s="377"/>
      <c r="AV124" s="377"/>
      <c r="AW124" s="377"/>
      <c r="AX124" s="377"/>
      <c r="AY124" s="377"/>
      <c r="AZ124" s="377"/>
      <c r="BA124" s="377"/>
      <c r="BB124" s="377"/>
      <c r="BC124" s="377"/>
      <c r="BD124" s="289"/>
      <c r="BE124" s="289"/>
      <c r="BF124" s="289"/>
      <c r="BG124" s="289"/>
      <c r="BH124" s="289"/>
      <c r="BI124" s="289"/>
      <c r="BJ124" s="289"/>
      <c r="BK124" s="289"/>
      <c r="BL124" s="289"/>
      <c r="BM124" s="289"/>
      <c r="BN124" s="289"/>
      <c r="BO124" s="289"/>
      <c r="BP124" s="289"/>
      <c r="BQ124" s="289"/>
      <c r="BR124" s="289"/>
      <c r="BS124" s="289"/>
      <c r="BT124" s="289"/>
      <c r="BU124" s="289"/>
      <c r="BV124" s="289"/>
      <c r="BW124" s="289"/>
      <c r="BX124" s="289"/>
      <c r="BY124" s="289"/>
      <c r="BZ124" s="289"/>
      <c r="CA124" s="289"/>
      <c r="CB124" s="289"/>
      <c r="CC124" s="289"/>
      <c r="CD124" s="289"/>
      <c r="CE124" s="289"/>
      <c r="CF124" s="289"/>
      <c r="CG124" s="289"/>
      <c r="CH124" s="289"/>
      <c r="CI124" s="289"/>
      <c r="CJ124" s="289"/>
      <c r="CK124" s="289"/>
      <c r="CL124" s="289"/>
      <c r="CM124" s="289"/>
      <c r="CN124" s="289"/>
      <c r="CO124" s="289"/>
      <c r="CP124" s="289"/>
      <c r="CQ124" s="289"/>
      <c r="CR124" s="289"/>
      <c r="CS124" s="289"/>
      <c r="CT124" s="289"/>
      <c r="CU124" s="289"/>
      <c r="CV124" s="289"/>
      <c r="CW124" s="289"/>
      <c r="CX124" s="289"/>
      <c r="CY124" s="289"/>
      <c r="CZ124" s="289"/>
      <c r="DA124" s="289"/>
      <c r="DB124" s="289"/>
      <c r="DC124" s="289"/>
      <c r="DD124" s="289"/>
      <c r="DE124" s="289"/>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89"/>
      <c r="EB124" s="289"/>
      <c r="EC124" s="289"/>
      <c r="ED124" s="289"/>
      <c r="EE124" s="289"/>
      <c r="EF124" s="289"/>
      <c r="EG124" s="289"/>
      <c r="EH124" s="289"/>
      <c r="EI124" s="289"/>
      <c r="EJ124" s="289"/>
      <c r="EK124" s="289"/>
      <c r="EL124" s="289"/>
      <c r="EM124" s="289"/>
      <c r="EN124" s="289"/>
      <c r="EO124" s="289"/>
      <c r="EP124" s="289"/>
      <c r="EQ124" s="289"/>
      <c r="ER124" s="289"/>
      <c r="ES124" s="289"/>
      <c r="ET124" s="289"/>
      <c r="EU124" s="289"/>
      <c r="EV124" s="289"/>
      <c r="EW124" s="289"/>
      <c r="EX124" s="289"/>
      <c r="EY124" s="289"/>
      <c r="EZ124" s="289"/>
      <c r="FA124" s="289"/>
      <c r="FB124" s="289"/>
      <c r="FC124" s="289"/>
      <c r="FD124" s="289"/>
      <c r="FE124" s="289"/>
      <c r="FF124" s="289"/>
      <c r="FG124" s="289"/>
      <c r="FH124" s="289"/>
      <c r="FI124" s="289"/>
      <c r="FJ124" s="289"/>
      <c r="FK124" s="289"/>
      <c r="FL124" s="289"/>
      <c r="FM124" s="289"/>
      <c r="FN124" s="289"/>
      <c r="FO124" s="289"/>
      <c r="FP124" s="289"/>
      <c r="FQ124" s="289"/>
      <c r="FR124" s="289"/>
      <c r="FS124" s="289"/>
      <c r="FT124" s="289"/>
      <c r="FU124" s="289"/>
      <c r="FV124" s="289"/>
      <c r="FW124" s="289"/>
      <c r="FX124" s="289"/>
      <c r="FY124" s="289"/>
      <c r="FZ124" s="289"/>
      <c r="GA124" s="289"/>
      <c r="GB124" s="289"/>
      <c r="GC124" s="289"/>
      <c r="GD124" s="289"/>
      <c r="GE124" s="289"/>
      <c r="GF124" s="289"/>
      <c r="GG124" s="289"/>
      <c r="GH124" s="289"/>
      <c r="GI124" s="289"/>
      <c r="GJ124" s="289"/>
      <c r="GK124" s="289"/>
      <c r="GL124" s="289"/>
      <c r="GM124" s="289"/>
      <c r="GN124" s="289"/>
      <c r="GO124" s="289"/>
      <c r="GP124" s="289"/>
      <c r="GQ124" s="289"/>
      <c r="GR124" s="289"/>
      <c r="GS124" s="289"/>
      <c r="GT124" s="289"/>
      <c r="GU124" s="289"/>
      <c r="GV124" s="289"/>
      <c r="GW124" s="289"/>
      <c r="GX124" s="289"/>
      <c r="GY124" s="289"/>
      <c r="GZ124" s="289"/>
      <c r="HA124" s="289"/>
      <c r="HB124" s="289"/>
      <c r="HC124" s="289"/>
      <c r="HD124" s="289"/>
      <c r="HE124" s="289"/>
      <c r="HF124" s="289"/>
      <c r="HG124" s="289"/>
      <c r="HH124" s="289"/>
      <c r="HI124" s="289"/>
      <c r="HJ124" s="289"/>
      <c r="HK124" s="289"/>
      <c r="HL124" s="289"/>
      <c r="HM124" s="289"/>
      <c r="HN124" s="289"/>
      <c r="HO124" s="289"/>
      <c r="HP124" s="289"/>
      <c r="HQ124" s="289"/>
      <c r="HR124" s="289"/>
      <c r="HS124" s="289"/>
      <c r="HT124" s="289"/>
      <c r="HU124" s="289"/>
      <c r="HV124" s="289"/>
      <c r="HW124" s="289"/>
      <c r="HX124" s="289"/>
      <c r="HY124" s="289"/>
      <c r="HZ124" s="289"/>
      <c r="IA124" s="289"/>
      <c r="IB124" s="289"/>
      <c r="IC124" s="289"/>
      <c r="ID124" s="289"/>
      <c r="IE124" s="289"/>
      <c r="IF124" s="289"/>
      <c r="IG124" s="289"/>
      <c r="IH124" s="289"/>
      <c r="II124" s="289"/>
      <c r="IJ124" s="289"/>
      <c r="IK124" s="289"/>
      <c r="IL124" s="289"/>
      <c r="IM124" s="289"/>
      <c r="IN124" s="289"/>
      <c r="IO124" s="289"/>
      <c r="IP124" s="289"/>
      <c r="IQ124" s="289"/>
      <c r="IR124" s="289"/>
      <c r="IS124" s="289"/>
      <c r="IT124" s="289"/>
      <c r="IU124" s="289"/>
      <c r="IV124" s="289"/>
      <c r="IW124" s="289"/>
      <c r="IX124" s="289"/>
    </row>
    <row r="125" spans="1:258" s="21" customFormat="1" ht="17.100000000000001" customHeight="1">
      <c r="A125" s="377"/>
      <c r="B125" s="377"/>
      <c r="C125" s="377"/>
      <c r="D125" s="377"/>
      <c r="E125" s="377"/>
      <c r="F125" s="377"/>
      <c r="G125" s="377"/>
      <c r="H125" s="377"/>
      <c r="I125" s="377"/>
      <c r="J125" s="377"/>
      <c r="K125" s="377"/>
      <c r="L125" s="377"/>
      <c r="M125" s="377"/>
      <c r="N125" s="377"/>
      <c r="O125" s="377"/>
      <c r="P125" s="377"/>
      <c r="Q125" s="377"/>
      <c r="R125" s="377"/>
      <c r="S125" s="377"/>
      <c r="T125" s="377"/>
      <c r="U125" s="377"/>
      <c r="V125" s="1241"/>
      <c r="W125" s="377"/>
      <c r="X125" s="377"/>
      <c r="Y125" s="377"/>
      <c r="Z125" s="377"/>
      <c r="AA125" s="377"/>
      <c r="AB125" s="377"/>
      <c r="AC125" s="377"/>
      <c r="AD125" s="377"/>
      <c r="AE125" s="377"/>
      <c r="AF125" s="377"/>
      <c r="AG125" s="377"/>
      <c r="AH125" s="377"/>
      <c r="AI125" s="377"/>
      <c r="AJ125" s="377"/>
      <c r="AK125" s="377"/>
      <c r="AL125" s="377"/>
      <c r="AM125" s="377"/>
      <c r="AN125" s="377"/>
      <c r="AO125" s="377"/>
      <c r="AP125" s="377"/>
      <c r="AQ125" s="377"/>
      <c r="AR125" s="377"/>
      <c r="AS125" s="377"/>
      <c r="AT125" s="377"/>
      <c r="AU125" s="377"/>
      <c r="AV125" s="377"/>
      <c r="AW125" s="1215"/>
      <c r="AX125" s="1215"/>
      <c r="AY125" s="377"/>
      <c r="AZ125" s="377"/>
      <c r="BA125" s="377"/>
      <c r="BB125" s="377"/>
      <c r="BC125" s="377"/>
      <c r="BD125" s="289"/>
      <c r="BE125" s="289"/>
      <c r="BF125" s="289"/>
      <c r="BG125" s="289"/>
      <c r="BH125" s="289"/>
      <c r="BI125" s="289"/>
      <c r="BJ125" s="289"/>
      <c r="BK125" s="289"/>
      <c r="BL125" s="289"/>
      <c r="BM125" s="289"/>
      <c r="BN125" s="289"/>
      <c r="BO125" s="289"/>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289"/>
      <c r="CT125" s="289"/>
      <c r="CU125" s="289"/>
      <c r="CV125" s="289"/>
      <c r="CW125" s="289"/>
      <c r="CX125" s="289"/>
      <c r="CY125" s="289"/>
      <c r="CZ125" s="289"/>
      <c r="DA125" s="289"/>
      <c r="DB125" s="289"/>
      <c r="DC125" s="289"/>
      <c r="DD125" s="289"/>
      <c r="DE125" s="289"/>
      <c r="DF125" s="289"/>
      <c r="DG125" s="289"/>
      <c r="DH125" s="289"/>
      <c r="DI125" s="289"/>
      <c r="DJ125" s="289"/>
      <c r="DK125" s="289"/>
      <c r="DL125" s="289"/>
      <c r="DM125" s="289"/>
      <c r="DN125" s="289"/>
      <c r="DO125" s="289"/>
      <c r="DP125" s="289"/>
      <c r="DQ125" s="289"/>
      <c r="DR125" s="289"/>
      <c r="DS125" s="289"/>
      <c r="DT125" s="289"/>
      <c r="DU125" s="289"/>
      <c r="DV125" s="289"/>
      <c r="DW125" s="289"/>
      <c r="DX125" s="289"/>
      <c r="DY125" s="289"/>
      <c r="DZ125" s="289"/>
      <c r="EA125" s="289"/>
      <c r="EB125" s="289"/>
      <c r="EC125" s="289"/>
      <c r="ED125" s="289"/>
      <c r="EE125" s="289"/>
      <c r="EF125" s="289"/>
      <c r="EG125" s="289"/>
      <c r="EH125" s="289"/>
      <c r="EI125" s="289"/>
      <c r="EJ125" s="289"/>
      <c r="EK125" s="289"/>
      <c r="EL125" s="289"/>
      <c r="EM125" s="289"/>
      <c r="EN125" s="289"/>
      <c r="EO125" s="289"/>
      <c r="EP125" s="289"/>
      <c r="EQ125" s="289"/>
      <c r="ER125" s="289"/>
      <c r="ES125" s="289"/>
      <c r="ET125" s="289"/>
      <c r="EU125" s="289"/>
      <c r="EV125" s="289"/>
      <c r="EW125" s="289"/>
      <c r="EX125" s="289"/>
      <c r="EY125" s="289"/>
      <c r="EZ125" s="289"/>
      <c r="FA125" s="289"/>
      <c r="FB125" s="289"/>
      <c r="FC125" s="289"/>
      <c r="FD125" s="289"/>
      <c r="FE125" s="289"/>
      <c r="FF125" s="289"/>
      <c r="FG125" s="289"/>
      <c r="FH125" s="289"/>
      <c r="FI125" s="289"/>
      <c r="FJ125" s="289"/>
      <c r="FK125" s="289"/>
      <c r="FL125" s="289"/>
      <c r="FM125" s="289"/>
      <c r="FN125" s="289"/>
      <c r="FO125" s="289"/>
      <c r="FP125" s="289"/>
      <c r="FQ125" s="289"/>
      <c r="FR125" s="289"/>
      <c r="FS125" s="289"/>
      <c r="FT125" s="289"/>
      <c r="FU125" s="289"/>
      <c r="FV125" s="289"/>
      <c r="FW125" s="289"/>
      <c r="FX125" s="289"/>
      <c r="FY125" s="289"/>
      <c r="FZ125" s="289"/>
      <c r="GA125" s="289"/>
      <c r="GB125" s="289"/>
      <c r="GC125" s="289"/>
      <c r="GD125" s="289"/>
      <c r="GE125" s="289"/>
      <c r="GF125" s="289"/>
      <c r="GG125" s="289"/>
      <c r="GH125" s="289"/>
      <c r="GI125" s="289"/>
      <c r="GJ125" s="289"/>
      <c r="GK125" s="289"/>
      <c r="GL125" s="289"/>
      <c r="GM125" s="289"/>
      <c r="GN125" s="289"/>
      <c r="GO125" s="289"/>
      <c r="GP125" s="289"/>
      <c r="GQ125" s="289"/>
      <c r="GR125" s="289"/>
      <c r="GS125" s="289"/>
      <c r="GT125" s="289"/>
      <c r="GU125" s="289"/>
      <c r="GV125" s="289"/>
      <c r="GW125" s="289"/>
      <c r="GX125" s="289"/>
      <c r="GY125" s="289"/>
      <c r="GZ125" s="289"/>
      <c r="HA125" s="289"/>
      <c r="HB125" s="289"/>
      <c r="HC125" s="289"/>
      <c r="HD125" s="289"/>
      <c r="HE125" s="289"/>
      <c r="HF125" s="289"/>
      <c r="HG125" s="289"/>
      <c r="HH125" s="289"/>
      <c r="HI125" s="289"/>
      <c r="HJ125" s="289"/>
      <c r="HK125" s="289"/>
      <c r="HL125" s="289"/>
      <c r="HM125" s="289"/>
      <c r="HN125" s="289"/>
      <c r="HO125" s="289"/>
      <c r="HP125" s="289"/>
      <c r="HQ125" s="289"/>
      <c r="HR125" s="289"/>
      <c r="HS125" s="289"/>
      <c r="HT125" s="289"/>
      <c r="HU125" s="289"/>
      <c r="HV125" s="289"/>
      <c r="HW125" s="289"/>
      <c r="HX125" s="289"/>
      <c r="HY125" s="289"/>
      <c r="HZ125" s="289"/>
      <c r="IA125" s="289"/>
      <c r="IB125" s="289"/>
      <c r="IC125" s="289"/>
      <c r="ID125" s="289"/>
      <c r="IE125" s="289"/>
      <c r="IF125" s="289"/>
      <c r="IG125" s="289"/>
      <c r="IH125" s="289"/>
      <c r="II125" s="289"/>
      <c r="IJ125" s="289"/>
      <c r="IK125" s="289"/>
      <c r="IL125" s="289"/>
      <c r="IM125" s="289"/>
      <c r="IN125" s="289"/>
      <c r="IO125" s="289"/>
      <c r="IP125" s="289"/>
      <c r="IQ125" s="289"/>
      <c r="IR125" s="289"/>
      <c r="IS125" s="289"/>
      <c r="IT125" s="289"/>
      <c r="IU125" s="289"/>
      <c r="IV125" s="289"/>
      <c r="IW125" s="289"/>
      <c r="IX125" s="289"/>
    </row>
    <row r="126" spans="1:258" s="21" customFormat="1" ht="17.100000000000001" customHeight="1">
      <c r="A126" s="377"/>
      <c r="B126" s="377"/>
      <c r="C126" s="377"/>
      <c r="D126" s="377"/>
      <c r="E126" s="377"/>
      <c r="F126" s="377"/>
      <c r="G126" s="377"/>
      <c r="H126" s="377"/>
      <c r="I126" s="377"/>
      <c r="J126" s="377"/>
      <c r="K126" s="377"/>
      <c r="L126" s="377"/>
      <c r="M126" s="377"/>
      <c r="N126" s="377"/>
      <c r="O126" s="377"/>
      <c r="P126" s="377"/>
      <c r="Q126" s="377"/>
      <c r="R126" s="377"/>
      <c r="S126" s="377"/>
      <c r="T126" s="377"/>
      <c r="U126" s="377"/>
      <c r="V126" s="1241"/>
      <c r="W126" s="377"/>
      <c r="X126" s="377"/>
      <c r="Y126" s="377"/>
      <c r="Z126" s="377"/>
      <c r="AA126" s="377"/>
      <c r="AB126" s="377"/>
      <c r="AC126" s="377"/>
      <c r="AD126" s="377"/>
      <c r="AE126" s="377"/>
      <c r="AF126" s="377"/>
      <c r="AG126" s="377"/>
      <c r="AH126" s="377"/>
      <c r="AI126" s="377"/>
      <c r="AJ126" s="377"/>
      <c r="AK126" s="377"/>
      <c r="AL126" s="377"/>
      <c r="AM126" s="377"/>
      <c r="AN126" s="377"/>
      <c r="AO126" s="377"/>
      <c r="AP126" s="377"/>
      <c r="AQ126" s="377"/>
      <c r="AR126" s="377"/>
      <c r="AS126" s="377"/>
      <c r="AT126" s="377"/>
      <c r="AU126" s="377"/>
      <c r="AV126" s="377"/>
      <c r="AW126" s="1215"/>
      <c r="AX126" s="1215"/>
      <c r="AY126" s="377"/>
      <c r="AZ126" s="377"/>
      <c r="BA126" s="377"/>
      <c r="BB126" s="377"/>
      <c r="BC126" s="377"/>
      <c r="BD126" s="289"/>
      <c r="BE126" s="289"/>
      <c r="BF126" s="289"/>
      <c r="BG126" s="289"/>
      <c r="BH126" s="289"/>
      <c r="BI126" s="289"/>
      <c r="BJ126" s="289"/>
      <c r="BK126" s="289"/>
      <c r="BL126" s="289"/>
      <c r="BM126" s="289"/>
      <c r="BN126" s="289"/>
      <c r="BO126" s="289"/>
      <c r="BP126" s="289"/>
      <c r="BQ126" s="289"/>
      <c r="BR126" s="289"/>
      <c r="BS126" s="289"/>
      <c r="BT126" s="289"/>
      <c r="BU126" s="289"/>
      <c r="BV126" s="289"/>
      <c r="BW126" s="289"/>
      <c r="BX126" s="289"/>
      <c r="BY126" s="289"/>
      <c r="BZ126" s="289"/>
      <c r="CA126" s="289"/>
      <c r="CB126" s="289"/>
      <c r="CC126" s="289"/>
      <c r="CD126" s="289"/>
      <c r="CE126" s="289"/>
      <c r="CF126" s="289"/>
      <c r="CG126" s="289"/>
      <c r="CH126" s="289"/>
      <c r="CI126" s="289"/>
      <c r="CJ126" s="289"/>
      <c r="CK126" s="289"/>
      <c r="CL126" s="289"/>
      <c r="CM126" s="289"/>
      <c r="CN126" s="289"/>
      <c r="CO126" s="289"/>
      <c r="CP126" s="289"/>
      <c r="CQ126" s="289"/>
      <c r="CR126" s="289"/>
      <c r="CS126" s="289"/>
      <c r="CT126" s="289"/>
      <c r="CU126" s="289"/>
      <c r="CV126" s="289"/>
      <c r="CW126" s="289"/>
      <c r="CX126" s="289"/>
      <c r="CY126" s="289"/>
      <c r="CZ126" s="289"/>
      <c r="DA126" s="289"/>
      <c r="DB126" s="289"/>
      <c r="DC126" s="289"/>
      <c r="DD126" s="289"/>
      <c r="DE126" s="289"/>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89"/>
      <c r="EB126" s="289"/>
      <c r="EC126" s="289"/>
      <c r="ED126" s="289"/>
      <c r="EE126" s="289"/>
      <c r="EF126" s="289"/>
      <c r="EG126" s="289"/>
      <c r="EH126" s="289"/>
      <c r="EI126" s="289"/>
      <c r="EJ126" s="289"/>
      <c r="EK126" s="289"/>
      <c r="EL126" s="289"/>
      <c r="EM126" s="289"/>
      <c r="EN126" s="289"/>
      <c r="EO126" s="289"/>
      <c r="EP126" s="289"/>
      <c r="EQ126" s="289"/>
      <c r="ER126" s="289"/>
      <c r="ES126" s="289"/>
      <c r="ET126" s="289"/>
      <c r="EU126" s="289"/>
      <c r="EV126" s="289"/>
      <c r="EW126" s="289"/>
      <c r="EX126" s="289"/>
      <c r="EY126" s="289"/>
      <c r="EZ126" s="289"/>
      <c r="FA126" s="289"/>
      <c r="FB126" s="289"/>
      <c r="FC126" s="289"/>
      <c r="FD126" s="289"/>
      <c r="FE126" s="289"/>
      <c r="FF126" s="289"/>
      <c r="FG126" s="289"/>
      <c r="FH126" s="289"/>
      <c r="FI126" s="289"/>
      <c r="FJ126" s="289"/>
      <c r="FK126" s="289"/>
      <c r="FL126" s="289"/>
      <c r="FM126" s="289"/>
      <c r="FN126" s="289"/>
      <c r="FO126" s="289"/>
      <c r="FP126" s="289"/>
      <c r="FQ126" s="289"/>
      <c r="FR126" s="289"/>
      <c r="FS126" s="289"/>
      <c r="FT126" s="289"/>
      <c r="FU126" s="289"/>
      <c r="FV126" s="289"/>
      <c r="FW126" s="289"/>
      <c r="FX126" s="289"/>
      <c r="FY126" s="289"/>
      <c r="FZ126" s="289"/>
      <c r="GA126" s="289"/>
      <c r="GB126" s="289"/>
      <c r="GC126" s="289"/>
      <c r="GD126" s="289"/>
      <c r="GE126" s="289"/>
      <c r="GF126" s="289"/>
      <c r="GG126" s="289"/>
      <c r="GH126" s="289"/>
      <c r="GI126" s="289"/>
      <c r="GJ126" s="289"/>
      <c r="GK126" s="289"/>
      <c r="GL126" s="289"/>
      <c r="GM126" s="289"/>
      <c r="GN126" s="289"/>
      <c r="GO126" s="289"/>
      <c r="GP126" s="289"/>
      <c r="GQ126" s="289"/>
      <c r="GR126" s="289"/>
      <c r="GS126" s="289"/>
      <c r="GT126" s="289"/>
      <c r="GU126" s="289"/>
      <c r="GV126" s="289"/>
      <c r="GW126" s="289"/>
      <c r="GX126" s="289"/>
      <c r="GY126" s="289"/>
      <c r="GZ126" s="289"/>
      <c r="HA126" s="289"/>
      <c r="HB126" s="289"/>
      <c r="HC126" s="289"/>
      <c r="HD126" s="289"/>
      <c r="HE126" s="289"/>
      <c r="HF126" s="289"/>
      <c r="HG126" s="289"/>
      <c r="HH126" s="289"/>
      <c r="HI126" s="289"/>
      <c r="HJ126" s="289"/>
      <c r="HK126" s="289"/>
      <c r="HL126" s="289"/>
      <c r="HM126" s="289"/>
      <c r="HN126" s="289"/>
      <c r="HO126" s="289"/>
      <c r="HP126" s="289"/>
      <c r="HQ126" s="289"/>
      <c r="HR126" s="289"/>
      <c r="HS126" s="289"/>
      <c r="HT126" s="289"/>
      <c r="HU126" s="289"/>
      <c r="HV126" s="289"/>
      <c r="HW126" s="289"/>
      <c r="HX126" s="289"/>
      <c r="HY126" s="289"/>
      <c r="HZ126" s="289"/>
      <c r="IA126" s="289"/>
      <c r="IB126" s="289"/>
      <c r="IC126" s="289"/>
      <c r="ID126" s="289"/>
      <c r="IE126" s="289"/>
      <c r="IF126" s="289"/>
      <c r="IG126" s="289"/>
      <c r="IH126" s="289"/>
      <c r="II126" s="289"/>
      <c r="IJ126" s="289"/>
      <c r="IK126" s="289"/>
      <c r="IL126" s="289"/>
      <c r="IM126" s="289"/>
      <c r="IN126" s="289"/>
      <c r="IO126" s="289"/>
      <c r="IP126" s="289"/>
      <c r="IQ126" s="289"/>
      <c r="IR126" s="289"/>
      <c r="IS126" s="289"/>
      <c r="IT126" s="289"/>
      <c r="IU126" s="289"/>
      <c r="IV126" s="289"/>
      <c r="IW126" s="289"/>
      <c r="IX126" s="289"/>
    </row>
    <row r="127" spans="1:258" s="21" customFormat="1" ht="17.100000000000001" customHeight="1">
      <c r="A127" s="377"/>
      <c r="B127" s="377"/>
      <c r="C127" s="377"/>
      <c r="D127" s="377"/>
      <c r="E127" s="377"/>
      <c r="F127" s="377"/>
      <c r="G127" s="377"/>
      <c r="H127" s="377"/>
      <c r="I127" s="377"/>
      <c r="J127" s="377"/>
      <c r="K127" s="377"/>
      <c r="L127" s="377"/>
      <c r="M127" s="377"/>
      <c r="N127" s="377"/>
      <c r="O127" s="377"/>
      <c r="P127" s="377"/>
      <c r="Q127" s="377"/>
      <c r="R127" s="377"/>
      <c r="S127" s="377"/>
      <c r="T127" s="377"/>
      <c r="U127" s="377"/>
      <c r="V127" s="1241"/>
      <c r="W127" s="377"/>
      <c r="X127" s="377"/>
      <c r="Y127" s="377"/>
      <c r="Z127" s="377"/>
      <c r="AA127" s="377"/>
      <c r="AB127" s="377"/>
      <c r="AC127" s="377"/>
      <c r="AD127" s="377"/>
      <c r="AE127" s="377"/>
      <c r="AF127" s="377"/>
      <c r="AG127" s="377"/>
      <c r="AH127" s="377"/>
      <c r="AI127" s="377"/>
      <c r="AJ127" s="377"/>
      <c r="AK127" s="377"/>
      <c r="AL127" s="377"/>
      <c r="AM127" s="377"/>
      <c r="AN127" s="377"/>
      <c r="AO127" s="377"/>
      <c r="AP127" s="377"/>
      <c r="AQ127" s="377"/>
      <c r="AR127" s="377"/>
      <c r="AS127" s="377"/>
      <c r="AT127" s="377"/>
      <c r="AU127" s="377"/>
      <c r="AV127" s="377"/>
      <c r="AW127" s="1215"/>
      <c r="AX127" s="1215"/>
      <c r="AY127" s="377"/>
      <c r="AZ127" s="377"/>
      <c r="BA127" s="377"/>
      <c r="BB127" s="377"/>
      <c r="BC127" s="377"/>
      <c r="BD127" s="289"/>
      <c r="BE127" s="289"/>
      <c r="BF127" s="289"/>
      <c r="BG127" s="289"/>
      <c r="BH127" s="289"/>
      <c r="BI127" s="289"/>
      <c r="BJ127" s="289"/>
      <c r="BK127" s="289"/>
      <c r="BL127" s="289"/>
      <c r="BM127" s="289"/>
      <c r="BN127" s="289"/>
      <c r="BO127" s="289"/>
      <c r="BP127" s="289"/>
      <c r="BQ127" s="289"/>
      <c r="BR127" s="289"/>
      <c r="BS127" s="289"/>
      <c r="BT127" s="289"/>
      <c r="BU127" s="289"/>
      <c r="BV127" s="289"/>
      <c r="BW127" s="289"/>
      <c r="BX127" s="289"/>
      <c r="BY127" s="289"/>
      <c r="BZ127" s="289"/>
      <c r="CA127" s="289"/>
      <c r="CB127" s="289"/>
      <c r="CC127" s="289"/>
      <c r="CD127" s="289"/>
      <c r="CE127" s="289"/>
      <c r="CF127" s="289"/>
      <c r="CG127" s="289"/>
      <c r="CH127" s="289"/>
      <c r="CI127" s="289"/>
      <c r="CJ127" s="289"/>
      <c r="CK127" s="289"/>
      <c r="CL127" s="289"/>
      <c r="CM127" s="289"/>
      <c r="CN127" s="289"/>
      <c r="CO127" s="289"/>
      <c r="CP127" s="289"/>
      <c r="CQ127" s="289"/>
      <c r="CR127" s="289"/>
      <c r="CS127" s="289"/>
      <c r="CT127" s="289"/>
      <c r="CU127" s="289"/>
      <c r="CV127" s="289"/>
      <c r="CW127" s="289"/>
      <c r="CX127" s="289"/>
      <c r="CY127" s="289"/>
      <c r="CZ127" s="289"/>
      <c r="DA127" s="289"/>
      <c r="DB127" s="289"/>
      <c r="DC127" s="289"/>
      <c r="DD127" s="289"/>
      <c r="DE127" s="289"/>
      <c r="DF127" s="289"/>
      <c r="DG127" s="289"/>
      <c r="DH127" s="289"/>
      <c r="DI127" s="289"/>
      <c r="DJ127" s="289"/>
      <c r="DK127" s="289"/>
      <c r="DL127" s="289"/>
      <c r="DM127" s="289"/>
      <c r="DN127" s="289"/>
      <c r="DO127" s="289"/>
      <c r="DP127" s="289"/>
      <c r="DQ127" s="289"/>
      <c r="DR127" s="289"/>
      <c r="DS127" s="289"/>
      <c r="DT127" s="289"/>
      <c r="DU127" s="289"/>
      <c r="DV127" s="289"/>
      <c r="DW127" s="289"/>
      <c r="DX127" s="289"/>
      <c r="DY127" s="289"/>
      <c r="DZ127" s="289"/>
      <c r="EA127" s="289"/>
      <c r="EB127" s="289"/>
      <c r="EC127" s="289"/>
      <c r="ED127" s="289"/>
      <c r="EE127" s="289"/>
      <c r="EF127" s="289"/>
      <c r="EG127" s="289"/>
      <c r="EH127" s="289"/>
      <c r="EI127" s="289"/>
      <c r="EJ127" s="289"/>
      <c r="EK127" s="289"/>
      <c r="EL127" s="289"/>
      <c r="EM127" s="289"/>
      <c r="EN127" s="289"/>
      <c r="EO127" s="289"/>
      <c r="EP127" s="289"/>
      <c r="EQ127" s="289"/>
      <c r="ER127" s="289"/>
      <c r="ES127" s="289"/>
      <c r="ET127" s="289"/>
      <c r="EU127" s="289"/>
      <c r="EV127" s="289"/>
      <c r="EW127" s="289"/>
      <c r="EX127" s="289"/>
      <c r="EY127" s="289"/>
      <c r="EZ127" s="289"/>
      <c r="FA127" s="289"/>
      <c r="FB127" s="289"/>
      <c r="FC127" s="289"/>
      <c r="FD127" s="289"/>
      <c r="FE127" s="289"/>
      <c r="FF127" s="289"/>
      <c r="FG127" s="289"/>
      <c r="FH127" s="289"/>
      <c r="FI127" s="289"/>
      <c r="FJ127" s="289"/>
      <c r="FK127" s="289"/>
      <c r="FL127" s="289"/>
      <c r="FM127" s="289"/>
      <c r="FN127" s="289"/>
      <c r="FO127" s="289"/>
      <c r="FP127" s="289"/>
      <c r="FQ127" s="289"/>
      <c r="FR127" s="289"/>
      <c r="FS127" s="289"/>
      <c r="FT127" s="289"/>
      <c r="FU127" s="289"/>
      <c r="FV127" s="289"/>
      <c r="FW127" s="289"/>
      <c r="FX127" s="289"/>
      <c r="FY127" s="289"/>
      <c r="FZ127" s="289"/>
      <c r="GA127" s="289"/>
      <c r="GB127" s="289"/>
      <c r="GC127" s="289"/>
      <c r="GD127" s="289"/>
      <c r="GE127" s="289"/>
      <c r="GF127" s="289"/>
      <c r="GG127" s="289"/>
      <c r="GH127" s="289"/>
      <c r="GI127" s="289"/>
      <c r="GJ127" s="289"/>
      <c r="GK127" s="289"/>
      <c r="GL127" s="289"/>
      <c r="GM127" s="289"/>
      <c r="GN127" s="289"/>
      <c r="GO127" s="289"/>
      <c r="GP127" s="289"/>
      <c r="GQ127" s="289"/>
      <c r="GR127" s="289"/>
      <c r="GS127" s="289"/>
      <c r="GT127" s="289"/>
      <c r="GU127" s="289"/>
      <c r="GV127" s="289"/>
      <c r="GW127" s="289"/>
      <c r="GX127" s="289"/>
      <c r="GY127" s="289"/>
      <c r="GZ127" s="289"/>
      <c r="HA127" s="289"/>
      <c r="HB127" s="289"/>
      <c r="HC127" s="289"/>
      <c r="HD127" s="289"/>
      <c r="HE127" s="289"/>
      <c r="HF127" s="289"/>
      <c r="HG127" s="289"/>
      <c r="HH127" s="289"/>
      <c r="HI127" s="289"/>
      <c r="HJ127" s="289"/>
      <c r="HK127" s="289"/>
      <c r="HL127" s="289"/>
      <c r="HM127" s="289"/>
      <c r="HN127" s="289"/>
      <c r="HO127" s="289"/>
      <c r="HP127" s="289"/>
      <c r="HQ127" s="289"/>
      <c r="HR127" s="289"/>
      <c r="HS127" s="289"/>
      <c r="HT127" s="289"/>
      <c r="HU127" s="289"/>
      <c r="HV127" s="289"/>
      <c r="HW127" s="289"/>
      <c r="HX127" s="289"/>
      <c r="HY127" s="289"/>
      <c r="HZ127" s="289"/>
      <c r="IA127" s="289"/>
      <c r="IB127" s="289"/>
      <c r="IC127" s="289"/>
      <c r="ID127" s="289"/>
      <c r="IE127" s="289"/>
      <c r="IF127" s="289"/>
      <c r="IG127" s="289"/>
      <c r="IH127" s="289"/>
      <c r="II127" s="289"/>
      <c r="IJ127" s="289"/>
      <c r="IK127" s="289"/>
      <c r="IL127" s="289"/>
      <c r="IM127" s="289"/>
      <c r="IN127" s="289"/>
      <c r="IO127" s="289"/>
      <c r="IP127" s="289"/>
      <c r="IQ127" s="289"/>
      <c r="IR127" s="289"/>
      <c r="IS127" s="289"/>
      <c r="IT127" s="289"/>
      <c r="IU127" s="289"/>
      <c r="IV127" s="289"/>
      <c r="IW127" s="289"/>
      <c r="IX127" s="289"/>
    </row>
    <row r="128" spans="1:258" s="21" customFormat="1" ht="17.100000000000001" customHeight="1">
      <c r="A128" s="377"/>
      <c r="B128" s="377"/>
      <c r="C128" s="377"/>
      <c r="D128" s="377"/>
      <c r="E128" s="377"/>
      <c r="F128" s="377"/>
      <c r="G128" s="377"/>
      <c r="H128" s="377"/>
      <c r="I128" s="377"/>
      <c r="J128" s="377"/>
      <c r="K128" s="377"/>
      <c r="L128" s="377"/>
      <c r="M128" s="377"/>
      <c r="N128" s="377"/>
      <c r="O128" s="377"/>
      <c r="P128" s="377"/>
      <c r="Q128" s="377"/>
      <c r="R128" s="377"/>
      <c r="S128" s="377"/>
      <c r="T128" s="377"/>
      <c r="U128" s="377"/>
      <c r="V128" s="1241"/>
      <c r="W128" s="377"/>
      <c r="X128" s="377"/>
      <c r="Y128" s="377"/>
      <c r="Z128" s="377"/>
      <c r="AA128" s="377"/>
      <c r="AB128" s="377"/>
      <c r="AC128" s="377"/>
      <c r="AD128" s="377"/>
      <c r="AE128" s="377"/>
      <c r="AF128" s="377"/>
      <c r="AG128" s="377"/>
      <c r="AH128" s="377"/>
      <c r="AI128" s="377"/>
      <c r="AJ128" s="377"/>
      <c r="AK128" s="377"/>
      <c r="AL128" s="377"/>
      <c r="AM128" s="377"/>
      <c r="AN128" s="377"/>
      <c r="AO128" s="377"/>
      <c r="AP128" s="377"/>
      <c r="AQ128" s="377"/>
      <c r="AR128" s="377"/>
      <c r="AS128" s="377"/>
      <c r="AT128" s="377"/>
      <c r="AU128" s="377"/>
      <c r="AV128" s="377"/>
      <c r="AW128" s="1215"/>
      <c r="AX128" s="1215"/>
      <c r="AY128" s="377"/>
      <c r="AZ128" s="377"/>
      <c r="BA128" s="377"/>
      <c r="BB128" s="377"/>
      <c r="BC128" s="377"/>
      <c r="BD128" s="289"/>
      <c r="BE128" s="289"/>
      <c r="BF128" s="289"/>
      <c r="BG128" s="289"/>
      <c r="BH128" s="289"/>
      <c r="BI128" s="289"/>
      <c r="BJ128" s="289"/>
      <c r="BK128" s="289"/>
      <c r="BL128" s="289"/>
      <c r="BM128" s="289"/>
      <c r="BN128" s="289"/>
      <c r="BO128" s="289"/>
      <c r="BP128" s="289"/>
      <c r="BQ128" s="289"/>
      <c r="BR128" s="289"/>
      <c r="BS128" s="289"/>
      <c r="BT128" s="289"/>
      <c r="BU128" s="289"/>
      <c r="BV128" s="289"/>
      <c r="BW128" s="289"/>
      <c r="BX128" s="289"/>
      <c r="BY128" s="289"/>
      <c r="BZ128" s="289"/>
      <c r="CA128" s="289"/>
      <c r="CB128" s="289"/>
      <c r="CC128" s="289"/>
      <c r="CD128" s="289"/>
      <c r="CE128" s="289"/>
      <c r="CF128" s="289"/>
      <c r="CG128" s="289"/>
      <c r="CH128" s="289"/>
      <c r="CI128" s="289"/>
      <c r="CJ128" s="289"/>
      <c r="CK128" s="289"/>
      <c r="CL128" s="289"/>
      <c r="CM128" s="289"/>
      <c r="CN128" s="289"/>
      <c r="CO128" s="289"/>
      <c r="CP128" s="289"/>
      <c r="CQ128" s="289"/>
      <c r="CR128" s="289"/>
      <c r="CS128" s="289"/>
      <c r="CT128" s="289"/>
      <c r="CU128" s="289"/>
      <c r="CV128" s="289"/>
      <c r="CW128" s="289"/>
      <c r="CX128" s="289"/>
      <c r="CY128" s="289"/>
      <c r="CZ128" s="289"/>
      <c r="DA128" s="289"/>
      <c r="DB128" s="289"/>
      <c r="DC128" s="289"/>
      <c r="DD128" s="289"/>
      <c r="DE128" s="289"/>
      <c r="DF128" s="289"/>
      <c r="DG128" s="289"/>
      <c r="DH128" s="289"/>
      <c r="DI128" s="289"/>
      <c r="DJ128" s="289"/>
      <c r="DK128" s="289"/>
      <c r="DL128" s="289"/>
      <c r="DM128" s="289"/>
      <c r="DN128" s="289"/>
      <c r="DO128" s="289"/>
      <c r="DP128" s="289"/>
      <c r="DQ128" s="289"/>
      <c r="DR128" s="289"/>
      <c r="DS128" s="289"/>
      <c r="DT128" s="289"/>
      <c r="DU128" s="289"/>
      <c r="DV128" s="289"/>
      <c r="DW128" s="289"/>
      <c r="DX128" s="289"/>
      <c r="DY128" s="289"/>
      <c r="DZ128" s="289"/>
      <c r="EA128" s="289"/>
      <c r="EB128" s="289"/>
      <c r="EC128" s="289"/>
      <c r="ED128" s="289"/>
      <c r="EE128" s="289"/>
      <c r="EF128" s="289"/>
      <c r="EG128" s="289"/>
      <c r="EH128" s="289"/>
      <c r="EI128" s="289"/>
      <c r="EJ128" s="289"/>
      <c r="EK128" s="289"/>
      <c r="EL128" s="289"/>
      <c r="EM128" s="289"/>
      <c r="EN128" s="289"/>
      <c r="EO128" s="289"/>
      <c r="EP128" s="289"/>
      <c r="EQ128" s="289"/>
      <c r="ER128" s="289"/>
      <c r="ES128" s="289"/>
      <c r="ET128" s="289"/>
      <c r="EU128" s="289"/>
      <c r="EV128" s="289"/>
      <c r="EW128" s="289"/>
      <c r="EX128" s="289"/>
      <c r="EY128" s="289"/>
      <c r="EZ128" s="289"/>
      <c r="FA128" s="289"/>
      <c r="FB128" s="289"/>
      <c r="FC128" s="289"/>
      <c r="FD128" s="289"/>
      <c r="FE128" s="289"/>
      <c r="FF128" s="289"/>
      <c r="FG128" s="289"/>
      <c r="FH128" s="289"/>
      <c r="FI128" s="289"/>
      <c r="FJ128" s="289"/>
      <c r="FK128" s="289"/>
      <c r="FL128" s="289"/>
      <c r="FM128" s="289"/>
      <c r="FN128" s="289"/>
      <c r="FO128" s="289"/>
      <c r="FP128" s="289"/>
      <c r="FQ128" s="289"/>
      <c r="FR128" s="289"/>
      <c r="FS128" s="289"/>
      <c r="FT128" s="289"/>
      <c r="FU128" s="289"/>
      <c r="FV128" s="289"/>
      <c r="FW128" s="289"/>
      <c r="FX128" s="289"/>
      <c r="FY128" s="289"/>
      <c r="FZ128" s="289"/>
      <c r="GA128" s="289"/>
      <c r="GB128" s="289"/>
      <c r="GC128" s="289"/>
      <c r="GD128" s="289"/>
      <c r="GE128" s="289"/>
      <c r="GF128" s="289"/>
      <c r="GG128" s="289"/>
      <c r="GH128" s="289"/>
      <c r="GI128" s="289"/>
      <c r="GJ128" s="289"/>
      <c r="GK128" s="289"/>
      <c r="GL128" s="289"/>
      <c r="GM128" s="289"/>
      <c r="GN128" s="289"/>
      <c r="GO128" s="289"/>
      <c r="GP128" s="289"/>
      <c r="GQ128" s="289"/>
      <c r="GR128" s="289"/>
      <c r="GS128" s="289"/>
      <c r="GT128" s="289"/>
      <c r="GU128" s="289"/>
      <c r="GV128" s="289"/>
      <c r="GW128" s="289"/>
      <c r="GX128" s="289"/>
      <c r="GY128" s="289"/>
      <c r="GZ128" s="289"/>
      <c r="HA128" s="289"/>
      <c r="HB128" s="289"/>
      <c r="HC128" s="289"/>
      <c r="HD128" s="289"/>
      <c r="HE128" s="289"/>
      <c r="HF128" s="289"/>
      <c r="HG128" s="289"/>
      <c r="HH128" s="289"/>
      <c r="HI128" s="289"/>
      <c r="HJ128" s="289"/>
      <c r="HK128" s="289"/>
      <c r="HL128" s="289"/>
      <c r="HM128" s="289"/>
      <c r="HN128" s="289"/>
      <c r="HO128" s="289"/>
      <c r="HP128" s="289"/>
      <c r="HQ128" s="289"/>
      <c r="HR128" s="289"/>
      <c r="HS128" s="289"/>
      <c r="HT128" s="289"/>
      <c r="HU128" s="289"/>
      <c r="HV128" s="289"/>
      <c r="HW128" s="289"/>
      <c r="HX128" s="289"/>
      <c r="HY128" s="289"/>
      <c r="HZ128" s="289"/>
      <c r="IA128" s="289"/>
      <c r="IB128" s="289"/>
      <c r="IC128" s="289"/>
      <c r="ID128" s="289"/>
      <c r="IE128" s="289"/>
      <c r="IF128" s="289"/>
      <c r="IG128" s="289"/>
      <c r="IH128" s="289"/>
      <c r="II128" s="289"/>
      <c r="IJ128" s="289"/>
      <c r="IK128" s="289"/>
      <c r="IL128" s="289"/>
      <c r="IM128" s="289"/>
      <c r="IN128" s="289"/>
      <c r="IO128" s="289"/>
      <c r="IP128" s="289"/>
      <c r="IQ128" s="289"/>
      <c r="IR128" s="289"/>
      <c r="IS128" s="289"/>
      <c r="IT128" s="289"/>
      <c r="IU128" s="289"/>
      <c r="IV128" s="289"/>
      <c r="IW128" s="289"/>
      <c r="IX128" s="289"/>
    </row>
    <row r="129" spans="1:258" s="21" customFormat="1" ht="17.100000000000001" customHeight="1">
      <c r="A129" s="377"/>
      <c r="B129" s="377"/>
      <c r="C129" s="377"/>
      <c r="D129" s="377"/>
      <c r="E129" s="377"/>
      <c r="F129" s="377"/>
      <c r="G129" s="377"/>
      <c r="H129" s="377"/>
      <c r="I129" s="377"/>
      <c r="J129" s="377"/>
      <c r="K129" s="377"/>
      <c r="L129" s="377"/>
      <c r="M129" s="377"/>
      <c r="N129" s="377"/>
      <c r="O129" s="377"/>
      <c r="P129" s="377"/>
      <c r="Q129" s="377"/>
      <c r="R129" s="377"/>
      <c r="S129" s="377"/>
      <c r="T129" s="377"/>
      <c r="U129" s="377"/>
      <c r="V129" s="1241"/>
      <c r="W129" s="377"/>
      <c r="X129" s="377"/>
      <c r="Y129" s="377"/>
      <c r="Z129" s="377"/>
      <c r="AA129" s="377"/>
      <c r="AB129" s="377"/>
      <c r="AC129" s="377"/>
      <c r="AD129" s="377"/>
      <c r="AE129" s="377"/>
      <c r="AF129" s="377"/>
      <c r="AG129" s="377"/>
      <c r="AH129" s="377"/>
      <c r="AI129" s="377"/>
      <c r="AJ129" s="377"/>
      <c r="AK129" s="377"/>
      <c r="AL129" s="377"/>
      <c r="AM129" s="377"/>
      <c r="AN129" s="377"/>
      <c r="AO129" s="377"/>
      <c r="AP129" s="377"/>
      <c r="AQ129" s="377"/>
      <c r="AR129" s="377"/>
      <c r="AS129" s="377"/>
      <c r="AT129" s="377"/>
      <c r="AU129" s="377"/>
      <c r="AV129" s="377"/>
      <c r="AW129" s="1215"/>
      <c r="AX129" s="1215"/>
      <c r="AY129" s="377"/>
      <c r="AZ129" s="377"/>
      <c r="BA129" s="377"/>
      <c r="BB129" s="377"/>
      <c r="BC129" s="377"/>
      <c r="BD129" s="289"/>
      <c r="BE129" s="289"/>
      <c r="BF129" s="289"/>
      <c r="BG129" s="289"/>
      <c r="BH129" s="289"/>
      <c r="BI129" s="289"/>
      <c r="BJ129" s="289"/>
      <c r="BK129" s="289"/>
      <c r="BL129" s="289"/>
      <c r="BM129" s="289"/>
      <c r="BN129" s="289"/>
      <c r="BO129" s="289"/>
      <c r="BP129" s="289"/>
      <c r="BQ129" s="289"/>
      <c r="BR129" s="289"/>
      <c r="BS129" s="289"/>
      <c r="BT129" s="289"/>
      <c r="BU129" s="289"/>
      <c r="BV129" s="289"/>
      <c r="BW129" s="289"/>
      <c r="BX129" s="289"/>
      <c r="BY129" s="289"/>
      <c r="BZ129" s="289"/>
      <c r="CA129" s="289"/>
      <c r="CB129" s="289"/>
      <c r="CC129" s="289"/>
      <c r="CD129" s="289"/>
      <c r="CE129" s="289"/>
      <c r="CF129" s="289"/>
      <c r="CG129" s="289"/>
      <c r="CH129" s="289"/>
      <c r="CI129" s="289"/>
      <c r="CJ129" s="289"/>
      <c r="CK129" s="289"/>
      <c r="CL129" s="289"/>
      <c r="CM129" s="289"/>
      <c r="CN129" s="289"/>
      <c r="CO129" s="289"/>
      <c r="CP129" s="289"/>
      <c r="CQ129" s="289"/>
      <c r="CR129" s="289"/>
      <c r="CS129" s="289"/>
      <c r="CT129" s="289"/>
      <c r="CU129" s="289"/>
      <c r="CV129" s="289"/>
      <c r="CW129" s="289"/>
      <c r="CX129" s="289"/>
      <c r="CY129" s="289"/>
      <c r="CZ129" s="289"/>
      <c r="DA129" s="289"/>
      <c r="DB129" s="289"/>
      <c r="DC129" s="289"/>
      <c r="DD129" s="289"/>
      <c r="DE129" s="289"/>
      <c r="DF129" s="289"/>
      <c r="DG129" s="289"/>
      <c r="DH129" s="289"/>
      <c r="DI129" s="289"/>
      <c r="DJ129" s="289"/>
      <c r="DK129" s="289"/>
      <c r="DL129" s="289"/>
      <c r="DM129" s="289"/>
      <c r="DN129" s="289"/>
      <c r="DO129" s="289"/>
      <c r="DP129" s="289"/>
      <c r="DQ129" s="289"/>
      <c r="DR129" s="289"/>
      <c r="DS129" s="289"/>
      <c r="DT129" s="289"/>
      <c r="DU129" s="289"/>
      <c r="DV129" s="289"/>
      <c r="DW129" s="289"/>
      <c r="DX129" s="289"/>
      <c r="DY129" s="289"/>
      <c r="DZ129" s="289"/>
      <c r="EA129" s="289"/>
      <c r="EB129" s="289"/>
      <c r="EC129" s="289"/>
      <c r="ED129" s="289"/>
      <c r="EE129" s="289"/>
      <c r="EF129" s="289"/>
      <c r="EG129" s="289"/>
      <c r="EH129" s="289"/>
      <c r="EI129" s="289"/>
      <c r="EJ129" s="289"/>
      <c r="EK129" s="289"/>
      <c r="EL129" s="289"/>
      <c r="EM129" s="289"/>
      <c r="EN129" s="289"/>
      <c r="EO129" s="289"/>
      <c r="EP129" s="289"/>
      <c r="EQ129" s="289"/>
      <c r="ER129" s="289"/>
      <c r="ES129" s="289"/>
      <c r="ET129" s="289"/>
      <c r="EU129" s="289"/>
      <c r="EV129" s="289"/>
      <c r="EW129" s="289"/>
      <c r="EX129" s="289"/>
      <c r="EY129" s="289"/>
      <c r="EZ129" s="289"/>
      <c r="FA129" s="289"/>
      <c r="FB129" s="289"/>
      <c r="FC129" s="289"/>
      <c r="FD129" s="289"/>
      <c r="FE129" s="289"/>
      <c r="FF129" s="289"/>
      <c r="FG129" s="289"/>
      <c r="FH129" s="289"/>
      <c r="FI129" s="289"/>
      <c r="FJ129" s="289"/>
      <c r="FK129" s="289"/>
      <c r="FL129" s="289"/>
      <c r="FM129" s="289"/>
      <c r="FN129" s="289"/>
      <c r="FO129" s="289"/>
      <c r="FP129" s="289"/>
      <c r="FQ129" s="289"/>
      <c r="FR129" s="289"/>
      <c r="FS129" s="289"/>
      <c r="FT129" s="289"/>
      <c r="FU129" s="289"/>
      <c r="FV129" s="289"/>
      <c r="FW129" s="289"/>
      <c r="FX129" s="289"/>
      <c r="FY129" s="289"/>
      <c r="FZ129" s="289"/>
      <c r="GA129" s="289"/>
      <c r="GB129" s="289"/>
      <c r="GC129" s="289"/>
      <c r="GD129" s="289"/>
      <c r="GE129" s="289"/>
      <c r="GF129" s="289"/>
      <c r="GG129" s="289"/>
      <c r="GH129" s="289"/>
      <c r="GI129" s="289"/>
      <c r="GJ129" s="289"/>
      <c r="GK129" s="289"/>
      <c r="GL129" s="289"/>
      <c r="GM129" s="289"/>
      <c r="GN129" s="289"/>
      <c r="GO129" s="289"/>
      <c r="GP129" s="289"/>
      <c r="GQ129" s="289"/>
      <c r="GR129" s="289"/>
      <c r="GS129" s="289"/>
      <c r="GT129" s="289"/>
      <c r="GU129" s="289"/>
      <c r="GV129" s="289"/>
      <c r="GW129" s="289"/>
      <c r="GX129" s="289"/>
      <c r="GY129" s="289"/>
      <c r="GZ129" s="289"/>
      <c r="HA129" s="289"/>
      <c r="HB129" s="289"/>
      <c r="HC129" s="289"/>
      <c r="HD129" s="289"/>
      <c r="HE129" s="289"/>
      <c r="HF129" s="289"/>
      <c r="HG129" s="289"/>
      <c r="HH129" s="289"/>
      <c r="HI129" s="289"/>
      <c r="HJ129" s="289"/>
      <c r="HK129" s="289"/>
      <c r="HL129" s="289"/>
      <c r="HM129" s="289"/>
      <c r="HN129" s="289"/>
      <c r="HO129" s="289"/>
      <c r="HP129" s="289"/>
      <c r="HQ129" s="289"/>
      <c r="HR129" s="289"/>
      <c r="HS129" s="289"/>
      <c r="HT129" s="289"/>
      <c r="HU129" s="289"/>
      <c r="HV129" s="289"/>
      <c r="HW129" s="289"/>
      <c r="HX129" s="289"/>
      <c r="HY129" s="289"/>
      <c r="HZ129" s="289"/>
      <c r="IA129" s="289"/>
      <c r="IB129" s="289"/>
      <c r="IC129" s="289"/>
      <c r="ID129" s="289"/>
      <c r="IE129" s="289"/>
      <c r="IF129" s="289"/>
      <c r="IG129" s="289"/>
      <c r="IH129" s="289"/>
      <c r="II129" s="289"/>
      <c r="IJ129" s="289"/>
      <c r="IK129" s="289"/>
      <c r="IL129" s="289"/>
      <c r="IM129" s="289"/>
      <c r="IN129" s="289"/>
      <c r="IO129" s="289"/>
      <c r="IP129" s="289"/>
      <c r="IQ129" s="289"/>
      <c r="IR129" s="289"/>
      <c r="IS129" s="289"/>
      <c r="IT129" s="289"/>
      <c r="IU129" s="289"/>
      <c r="IV129" s="289"/>
      <c r="IW129" s="289"/>
      <c r="IX129" s="289"/>
    </row>
    <row r="130" spans="1:258" s="21" customFormat="1" ht="17.100000000000001" customHeight="1">
      <c r="A130" s="377"/>
      <c r="B130" s="377"/>
      <c r="C130" s="377"/>
      <c r="D130" s="377"/>
      <c r="E130" s="377"/>
      <c r="F130" s="377"/>
      <c r="G130" s="377"/>
      <c r="H130" s="377"/>
      <c r="I130" s="377"/>
      <c r="J130" s="377"/>
      <c r="K130" s="377"/>
      <c r="L130" s="377"/>
      <c r="M130" s="377"/>
      <c r="N130" s="377"/>
      <c r="O130" s="377"/>
      <c r="P130" s="377"/>
      <c r="Q130" s="377"/>
      <c r="R130" s="377"/>
      <c r="S130" s="377"/>
      <c r="T130" s="377"/>
      <c r="U130" s="377"/>
      <c r="V130" s="1241"/>
      <c r="W130" s="377"/>
      <c r="X130" s="377"/>
      <c r="Y130" s="377"/>
      <c r="Z130" s="377"/>
      <c r="AA130" s="377"/>
      <c r="AB130" s="377"/>
      <c r="AC130" s="377"/>
      <c r="AD130" s="377"/>
      <c r="AE130" s="377"/>
      <c r="AF130" s="377"/>
      <c r="AG130" s="377"/>
      <c r="AH130" s="377"/>
      <c r="AI130" s="377"/>
      <c r="AJ130" s="377"/>
      <c r="AK130" s="377"/>
      <c r="AL130" s="377"/>
      <c r="AM130" s="377"/>
      <c r="AN130" s="377"/>
      <c r="AO130" s="377"/>
      <c r="AP130" s="377"/>
      <c r="AQ130" s="377"/>
      <c r="AR130" s="377"/>
      <c r="AS130" s="377"/>
      <c r="AT130" s="377"/>
      <c r="AU130" s="377"/>
      <c r="AV130" s="377"/>
      <c r="AW130" s="1215"/>
      <c r="AX130" s="1215"/>
      <c r="AY130" s="377"/>
      <c r="AZ130" s="377"/>
      <c r="BA130" s="377"/>
      <c r="BB130" s="377"/>
      <c r="BC130" s="377"/>
      <c r="BD130" s="289"/>
      <c r="BE130" s="289"/>
      <c r="BF130" s="289"/>
      <c r="BG130" s="289"/>
      <c r="BH130" s="289"/>
      <c r="BI130" s="289"/>
      <c r="BJ130" s="289"/>
      <c r="BK130" s="289"/>
      <c r="BL130" s="289"/>
      <c r="BM130" s="289"/>
      <c r="BN130" s="289"/>
      <c r="BO130" s="289"/>
      <c r="BP130" s="289"/>
      <c r="BQ130" s="289"/>
      <c r="BR130" s="289"/>
      <c r="BS130" s="289"/>
      <c r="BT130" s="289"/>
      <c r="BU130" s="289"/>
      <c r="BV130" s="289"/>
      <c r="BW130" s="289"/>
      <c r="BX130" s="289"/>
      <c r="BY130" s="289"/>
      <c r="BZ130" s="289"/>
      <c r="CA130" s="289"/>
      <c r="CB130" s="289"/>
      <c r="CC130" s="289"/>
      <c r="CD130" s="289"/>
      <c r="CE130" s="289"/>
      <c r="CF130" s="289"/>
      <c r="CG130" s="289"/>
      <c r="CH130" s="289"/>
      <c r="CI130" s="289"/>
      <c r="CJ130" s="289"/>
      <c r="CK130" s="289"/>
      <c r="CL130" s="289"/>
      <c r="CM130" s="289"/>
      <c r="CN130" s="289"/>
      <c r="CO130" s="289"/>
      <c r="CP130" s="289"/>
      <c r="CQ130" s="289"/>
      <c r="CR130" s="289"/>
      <c r="CS130" s="289"/>
      <c r="CT130" s="289"/>
      <c r="CU130" s="289"/>
      <c r="CV130" s="289"/>
      <c r="CW130" s="289"/>
      <c r="CX130" s="289"/>
      <c r="CY130" s="289"/>
      <c r="CZ130" s="289"/>
      <c r="DA130" s="289"/>
      <c r="DB130" s="289"/>
      <c r="DC130" s="289"/>
      <c r="DD130" s="289"/>
      <c r="DE130" s="289"/>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89"/>
      <c r="EB130" s="289"/>
      <c r="EC130" s="289"/>
      <c r="ED130" s="289"/>
      <c r="EE130" s="289"/>
      <c r="EF130" s="289"/>
      <c r="EG130" s="289"/>
      <c r="EH130" s="289"/>
      <c r="EI130" s="289"/>
      <c r="EJ130" s="289"/>
      <c r="EK130" s="289"/>
      <c r="EL130" s="289"/>
      <c r="EM130" s="289"/>
      <c r="EN130" s="289"/>
      <c r="EO130" s="289"/>
      <c r="EP130" s="289"/>
      <c r="EQ130" s="289"/>
      <c r="ER130" s="289"/>
      <c r="ES130" s="289"/>
      <c r="ET130" s="289"/>
      <c r="EU130" s="289"/>
      <c r="EV130" s="289"/>
      <c r="EW130" s="289"/>
      <c r="EX130" s="289"/>
      <c r="EY130" s="289"/>
      <c r="EZ130" s="289"/>
      <c r="FA130" s="289"/>
      <c r="FB130" s="289"/>
      <c r="FC130" s="289"/>
      <c r="FD130" s="289"/>
      <c r="FE130" s="289"/>
      <c r="FF130" s="289"/>
      <c r="FG130" s="289"/>
      <c r="FH130" s="289"/>
      <c r="FI130" s="289"/>
      <c r="FJ130" s="289"/>
      <c r="FK130" s="289"/>
      <c r="FL130" s="289"/>
      <c r="FM130" s="289"/>
      <c r="FN130" s="289"/>
      <c r="FO130" s="289"/>
      <c r="FP130" s="289"/>
      <c r="FQ130" s="289"/>
      <c r="FR130" s="289"/>
      <c r="FS130" s="289"/>
      <c r="FT130" s="289"/>
      <c r="FU130" s="289"/>
      <c r="FV130" s="289"/>
      <c r="FW130" s="289"/>
      <c r="FX130" s="289"/>
      <c r="FY130" s="289"/>
      <c r="FZ130" s="289"/>
      <c r="GA130" s="289"/>
      <c r="GB130" s="289"/>
      <c r="GC130" s="289"/>
      <c r="GD130" s="289"/>
      <c r="GE130" s="289"/>
      <c r="GF130" s="289"/>
      <c r="GG130" s="289"/>
      <c r="GH130" s="289"/>
      <c r="GI130" s="289"/>
      <c r="GJ130" s="289"/>
      <c r="GK130" s="289"/>
      <c r="GL130" s="289"/>
      <c r="GM130" s="289"/>
      <c r="GN130" s="289"/>
      <c r="GO130" s="289"/>
      <c r="GP130" s="289"/>
      <c r="GQ130" s="289"/>
      <c r="GR130" s="289"/>
      <c r="GS130" s="289"/>
      <c r="GT130" s="289"/>
      <c r="GU130" s="289"/>
      <c r="GV130" s="289"/>
      <c r="GW130" s="289"/>
      <c r="GX130" s="289"/>
      <c r="GY130" s="289"/>
      <c r="GZ130" s="289"/>
      <c r="HA130" s="289"/>
      <c r="HB130" s="289"/>
      <c r="HC130" s="289"/>
      <c r="HD130" s="289"/>
      <c r="HE130" s="289"/>
      <c r="HF130" s="289"/>
      <c r="HG130" s="289"/>
      <c r="HH130" s="289"/>
      <c r="HI130" s="289"/>
      <c r="HJ130" s="289"/>
      <c r="HK130" s="289"/>
      <c r="HL130" s="289"/>
      <c r="HM130" s="289"/>
      <c r="HN130" s="289"/>
      <c r="HO130" s="289"/>
      <c r="HP130" s="289"/>
      <c r="HQ130" s="289"/>
      <c r="HR130" s="289"/>
      <c r="HS130" s="289"/>
      <c r="HT130" s="289"/>
      <c r="HU130" s="289"/>
      <c r="HV130" s="289"/>
      <c r="HW130" s="289"/>
      <c r="HX130" s="289"/>
      <c r="HY130" s="289"/>
      <c r="HZ130" s="289"/>
      <c r="IA130" s="289"/>
      <c r="IB130" s="289"/>
      <c r="IC130" s="289"/>
      <c r="ID130" s="289"/>
      <c r="IE130" s="289"/>
      <c r="IF130" s="289"/>
      <c r="IG130" s="289"/>
      <c r="IH130" s="289"/>
      <c r="II130" s="289"/>
      <c r="IJ130" s="289"/>
      <c r="IK130" s="289"/>
      <c r="IL130" s="289"/>
      <c r="IM130" s="289"/>
      <c r="IN130" s="289"/>
      <c r="IO130" s="289"/>
      <c r="IP130" s="289"/>
      <c r="IQ130" s="289"/>
      <c r="IR130" s="289"/>
      <c r="IS130" s="289"/>
      <c r="IT130" s="289"/>
      <c r="IU130" s="289"/>
      <c r="IV130" s="289"/>
      <c r="IW130" s="289"/>
      <c r="IX130" s="289"/>
    </row>
    <row r="131" spans="1:258" s="21" customFormat="1" ht="17.100000000000001" customHeight="1">
      <c r="A131" s="377"/>
      <c r="B131" s="377"/>
      <c r="C131" s="377"/>
      <c r="D131" s="377"/>
      <c r="E131" s="377"/>
      <c r="F131" s="377"/>
      <c r="G131" s="377"/>
      <c r="H131" s="377"/>
      <c r="I131" s="377"/>
      <c r="J131" s="377"/>
      <c r="K131" s="377"/>
      <c r="L131" s="377"/>
      <c r="M131" s="377"/>
      <c r="N131" s="377"/>
      <c r="O131" s="377"/>
      <c r="P131" s="377"/>
      <c r="Q131" s="377"/>
      <c r="R131" s="377"/>
      <c r="S131" s="377"/>
      <c r="T131" s="377"/>
      <c r="U131" s="377"/>
      <c r="V131" s="1241"/>
      <c r="W131" s="377"/>
      <c r="X131" s="377"/>
      <c r="Y131" s="377"/>
      <c r="Z131" s="377"/>
      <c r="AA131" s="377"/>
      <c r="AB131" s="377"/>
      <c r="AC131" s="377"/>
      <c r="AD131" s="377"/>
      <c r="AE131" s="377"/>
      <c r="AF131" s="377"/>
      <c r="AG131" s="377"/>
      <c r="AH131" s="377"/>
      <c r="AI131" s="377"/>
      <c r="AJ131" s="377"/>
      <c r="AK131" s="377"/>
      <c r="AL131" s="377"/>
      <c r="AM131" s="377"/>
      <c r="AN131" s="377"/>
      <c r="AO131" s="377"/>
      <c r="AP131" s="377"/>
      <c r="AQ131" s="377"/>
      <c r="AR131" s="377"/>
      <c r="AS131" s="377"/>
      <c r="AT131" s="377"/>
      <c r="AU131" s="377"/>
      <c r="AV131" s="1215"/>
      <c r="AW131" s="1215"/>
      <c r="AX131" s="1215"/>
      <c r="AY131" s="377"/>
      <c r="AZ131" s="377"/>
      <c r="BA131" s="377"/>
      <c r="BB131" s="377"/>
      <c r="BC131" s="377"/>
      <c r="BD131" s="289"/>
      <c r="BE131" s="289"/>
      <c r="BF131" s="289"/>
      <c r="BG131" s="289"/>
      <c r="BH131" s="289"/>
      <c r="BI131" s="289"/>
      <c r="BJ131" s="289"/>
      <c r="BK131" s="289"/>
      <c r="BL131" s="289"/>
      <c r="BM131" s="289"/>
      <c r="BN131" s="289"/>
      <c r="BO131" s="289"/>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289"/>
      <c r="CK131" s="289"/>
      <c r="CL131" s="289"/>
      <c r="CM131" s="289"/>
      <c r="CN131" s="289"/>
      <c r="CO131" s="289"/>
      <c r="CP131" s="289"/>
      <c r="CQ131" s="289"/>
      <c r="CR131" s="289"/>
      <c r="CS131" s="289"/>
      <c r="CT131" s="289"/>
      <c r="CU131" s="289"/>
      <c r="CV131" s="289"/>
      <c r="CW131" s="289"/>
      <c r="CX131" s="289"/>
      <c r="CY131" s="289"/>
      <c r="CZ131" s="289"/>
      <c r="DA131" s="289"/>
      <c r="DB131" s="289"/>
      <c r="DC131" s="289"/>
      <c r="DD131" s="289"/>
      <c r="DE131" s="289"/>
      <c r="DF131" s="289"/>
      <c r="DG131" s="289"/>
      <c r="DH131" s="289"/>
      <c r="DI131" s="289"/>
      <c r="DJ131" s="289"/>
      <c r="DK131" s="289"/>
      <c r="DL131" s="289"/>
      <c r="DM131" s="289"/>
      <c r="DN131" s="289"/>
      <c r="DO131" s="289"/>
      <c r="DP131" s="289"/>
      <c r="DQ131" s="289"/>
      <c r="DR131" s="289"/>
      <c r="DS131" s="289"/>
      <c r="DT131" s="289"/>
      <c r="DU131" s="289"/>
      <c r="DV131" s="289"/>
      <c r="DW131" s="289"/>
      <c r="DX131" s="289"/>
      <c r="DY131" s="289"/>
      <c r="DZ131" s="289"/>
      <c r="EA131" s="289"/>
      <c r="EB131" s="289"/>
      <c r="EC131" s="289"/>
      <c r="ED131" s="289"/>
      <c r="EE131" s="289"/>
      <c r="EF131" s="289"/>
      <c r="EG131" s="289"/>
      <c r="EH131" s="289"/>
      <c r="EI131" s="289"/>
      <c r="EJ131" s="289"/>
      <c r="EK131" s="289"/>
      <c r="EL131" s="289"/>
      <c r="EM131" s="289"/>
      <c r="EN131" s="289"/>
      <c r="EO131" s="289"/>
      <c r="EP131" s="289"/>
      <c r="EQ131" s="289"/>
      <c r="ER131" s="289"/>
      <c r="ES131" s="289"/>
      <c r="ET131" s="289"/>
      <c r="EU131" s="289"/>
      <c r="EV131" s="289"/>
      <c r="EW131" s="289"/>
      <c r="EX131" s="289"/>
      <c r="EY131" s="289"/>
      <c r="EZ131" s="289"/>
      <c r="FA131" s="289"/>
      <c r="FB131" s="289"/>
      <c r="FC131" s="289"/>
      <c r="FD131" s="289"/>
      <c r="FE131" s="289"/>
      <c r="FF131" s="289"/>
      <c r="FG131" s="289"/>
      <c r="FH131" s="289"/>
      <c r="FI131" s="289"/>
      <c r="FJ131" s="289"/>
      <c r="FK131" s="289"/>
      <c r="FL131" s="289"/>
      <c r="FM131" s="289"/>
      <c r="FN131" s="289"/>
      <c r="FO131" s="289"/>
      <c r="FP131" s="289"/>
      <c r="FQ131" s="289"/>
      <c r="FR131" s="289"/>
      <c r="FS131" s="289"/>
      <c r="FT131" s="289"/>
      <c r="FU131" s="289"/>
      <c r="FV131" s="289"/>
      <c r="FW131" s="289"/>
      <c r="FX131" s="289"/>
      <c r="FY131" s="289"/>
      <c r="FZ131" s="289"/>
      <c r="GA131" s="289"/>
      <c r="GB131" s="289"/>
      <c r="GC131" s="289"/>
      <c r="GD131" s="289"/>
      <c r="GE131" s="289"/>
      <c r="GF131" s="289"/>
      <c r="GG131" s="289"/>
      <c r="GH131" s="289"/>
      <c r="GI131" s="289"/>
      <c r="GJ131" s="289"/>
      <c r="GK131" s="289"/>
      <c r="GL131" s="289"/>
      <c r="GM131" s="289"/>
      <c r="GN131" s="289"/>
      <c r="GO131" s="289"/>
      <c r="GP131" s="289"/>
      <c r="GQ131" s="289"/>
      <c r="GR131" s="289"/>
      <c r="GS131" s="289"/>
      <c r="GT131" s="289"/>
      <c r="GU131" s="289"/>
      <c r="GV131" s="289"/>
      <c r="GW131" s="289"/>
      <c r="GX131" s="289"/>
      <c r="GY131" s="289"/>
      <c r="GZ131" s="289"/>
      <c r="HA131" s="289"/>
      <c r="HB131" s="289"/>
      <c r="HC131" s="289"/>
      <c r="HD131" s="289"/>
      <c r="HE131" s="289"/>
      <c r="HF131" s="289"/>
      <c r="HG131" s="289"/>
      <c r="HH131" s="289"/>
      <c r="HI131" s="289"/>
      <c r="HJ131" s="289"/>
      <c r="HK131" s="289"/>
      <c r="HL131" s="289"/>
      <c r="HM131" s="289"/>
      <c r="HN131" s="289"/>
      <c r="HO131" s="289"/>
      <c r="HP131" s="289"/>
      <c r="HQ131" s="289"/>
      <c r="HR131" s="289"/>
      <c r="HS131" s="289"/>
      <c r="HT131" s="289"/>
      <c r="HU131" s="289"/>
      <c r="HV131" s="289"/>
      <c r="HW131" s="289"/>
      <c r="HX131" s="289"/>
      <c r="HY131" s="289"/>
      <c r="HZ131" s="289"/>
      <c r="IA131" s="289"/>
      <c r="IB131" s="289"/>
      <c r="IC131" s="289"/>
      <c r="ID131" s="289"/>
      <c r="IE131" s="289"/>
      <c r="IF131" s="289"/>
      <c r="IG131" s="289"/>
      <c r="IH131" s="289"/>
      <c r="II131" s="289"/>
      <c r="IJ131" s="289"/>
      <c r="IK131" s="289"/>
      <c r="IL131" s="289"/>
      <c r="IM131" s="289"/>
      <c r="IN131" s="289"/>
      <c r="IO131" s="289"/>
      <c r="IP131" s="289"/>
      <c r="IQ131" s="289"/>
      <c r="IR131" s="289"/>
      <c r="IS131" s="289"/>
      <c r="IT131" s="289"/>
      <c r="IU131" s="289"/>
      <c r="IV131" s="289"/>
      <c r="IW131" s="289"/>
      <c r="IX131" s="289"/>
    </row>
    <row r="132" spans="1:258" s="21" customFormat="1" ht="17.100000000000001" customHeight="1">
      <c r="A132" s="377"/>
      <c r="B132" s="377"/>
      <c r="C132" s="377"/>
      <c r="D132" s="377"/>
      <c r="E132" s="377"/>
      <c r="F132" s="377"/>
      <c r="G132" s="377"/>
      <c r="H132" s="377"/>
      <c r="I132" s="377"/>
      <c r="J132" s="377"/>
      <c r="K132" s="377"/>
      <c r="L132" s="377"/>
      <c r="M132" s="377"/>
      <c r="N132" s="377"/>
      <c r="O132" s="377"/>
      <c r="P132" s="377"/>
      <c r="Q132" s="377"/>
      <c r="R132" s="377"/>
      <c r="S132" s="377"/>
      <c r="T132" s="377"/>
      <c r="U132" s="377"/>
      <c r="V132" s="1241"/>
      <c r="W132" s="377"/>
      <c r="X132" s="377"/>
      <c r="Y132" s="377"/>
      <c r="Z132" s="377"/>
      <c r="AA132" s="377"/>
      <c r="AB132" s="377"/>
      <c r="AC132" s="377"/>
      <c r="AD132" s="377"/>
      <c r="AE132" s="377"/>
      <c r="AF132" s="377"/>
      <c r="AG132" s="377"/>
      <c r="AH132" s="377"/>
      <c r="AI132" s="377"/>
      <c r="AJ132" s="377"/>
      <c r="AK132" s="377"/>
      <c r="AL132" s="377"/>
      <c r="AM132" s="377"/>
      <c r="AN132" s="377"/>
      <c r="AO132" s="377"/>
      <c r="AP132" s="377"/>
      <c r="AQ132" s="377"/>
      <c r="AR132" s="377"/>
      <c r="AS132" s="377"/>
      <c r="AT132" s="377"/>
      <c r="AU132" s="377"/>
      <c r="AV132" s="1215"/>
      <c r="AW132" s="377"/>
      <c r="AX132" s="377"/>
      <c r="AY132" s="377"/>
      <c r="AZ132" s="377"/>
      <c r="BA132" s="377"/>
      <c r="BB132" s="377"/>
      <c r="BC132" s="377"/>
      <c r="BD132" s="289"/>
      <c r="BE132" s="289"/>
      <c r="BF132" s="289"/>
      <c r="BG132" s="289"/>
      <c r="BH132" s="289"/>
      <c r="BI132" s="289"/>
      <c r="BJ132" s="289"/>
      <c r="BK132" s="289"/>
      <c r="BL132" s="289"/>
      <c r="BM132" s="289"/>
      <c r="BN132" s="289"/>
      <c r="BO132" s="289"/>
      <c r="BP132" s="289"/>
      <c r="BQ132" s="289"/>
      <c r="BR132" s="289"/>
      <c r="BS132" s="289"/>
      <c r="BT132" s="289"/>
      <c r="BU132" s="289"/>
      <c r="BV132" s="289"/>
      <c r="BW132" s="289"/>
      <c r="BX132" s="289"/>
      <c r="BY132" s="289"/>
      <c r="BZ132" s="289"/>
      <c r="CA132" s="289"/>
      <c r="CB132" s="289"/>
      <c r="CC132" s="289"/>
      <c r="CD132" s="289"/>
      <c r="CE132" s="289"/>
      <c r="CF132" s="289"/>
      <c r="CG132" s="289"/>
      <c r="CH132" s="289"/>
      <c r="CI132" s="289"/>
      <c r="CJ132" s="289"/>
      <c r="CK132" s="289"/>
      <c r="CL132" s="289"/>
      <c r="CM132" s="289"/>
      <c r="CN132" s="289"/>
      <c r="CO132" s="289"/>
      <c r="CP132" s="289"/>
      <c r="CQ132" s="289"/>
      <c r="CR132" s="289"/>
      <c r="CS132" s="289"/>
      <c r="CT132" s="289"/>
      <c r="CU132" s="289"/>
      <c r="CV132" s="289"/>
      <c r="CW132" s="289"/>
      <c r="CX132" s="289"/>
      <c r="CY132" s="289"/>
      <c r="CZ132" s="289"/>
      <c r="DA132" s="289"/>
      <c r="DB132" s="289"/>
      <c r="DC132" s="289"/>
      <c r="DD132" s="289"/>
      <c r="DE132" s="289"/>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89"/>
      <c r="EB132" s="289"/>
      <c r="EC132" s="289"/>
      <c r="ED132" s="289"/>
      <c r="EE132" s="289"/>
      <c r="EF132" s="289"/>
      <c r="EG132" s="289"/>
      <c r="EH132" s="289"/>
      <c r="EI132" s="289"/>
      <c r="EJ132" s="289"/>
      <c r="EK132" s="289"/>
      <c r="EL132" s="289"/>
      <c r="EM132" s="289"/>
      <c r="EN132" s="289"/>
      <c r="EO132" s="289"/>
      <c r="EP132" s="289"/>
      <c r="EQ132" s="289"/>
      <c r="ER132" s="289"/>
      <c r="ES132" s="289"/>
      <c r="ET132" s="289"/>
      <c r="EU132" s="289"/>
      <c r="EV132" s="289"/>
      <c r="EW132" s="289"/>
      <c r="EX132" s="289"/>
      <c r="EY132" s="289"/>
      <c r="EZ132" s="289"/>
      <c r="FA132" s="289"/>
      <c r="FB132" s="289"/>
      <c r="FC132" s="289"/>
      <c r="FD132" s="289"/>
      <c r="FE132" s="289"/>
      <c r="FF132" s="289"/>
      <c r="FG132" s="289"/>
      <c r="FH132" s="289"/>
      <c r="FI132" s="289"/>
      <c r="FJ132" s="289"/>
      <c r="FK132" s="289"/>
      <c r="FL132" s="289"/>
      <c r="FM132" s="289"/>
      <c r="FN132" s="289"/>
      <c r="FO132" s="289"/>
      <c r="FP132" s="289"/>
      <c r="FQ132" s="289"/>
      <c r="FR132" s="289"/>
      <c r="FS132" s="289"/>
      <c r="FT132" s="289"/>
      <c r="FU132" s="289"/>
      <c r="FV132" s="289"/>
      <c r="FW132" s="289"/>
      <c r="FX132" s="289"/>
      <c r="FY132" s="289"/>
      <c r="FZ132" s="289"/>
      <c r="GA132" s="289"/>
      <c r="GB132" s="289"/>
      <c r="GC132" s="289"/>
      <c r="GD132" s="289"/>
      <c r="GE132" s="289"/>
      <c r="GF132" s="289"/>
      <c r="GG132" s="289"/>
      <c r="GH132" s="289"/>
      <c r="GI132" s="289"/>
      <c r="GJ132" s="289"/>
      <c r="GK132" s="289"/>
      <c r="GL132" s="289"/>
      <c r="GM132" s="289"/>
      <c r="GN132" s="289"/>
      <c r="GO132" s="289"/>
      <c r="GP132" s="289"/>
      <c r="GQ132" s="289"/>
      <c r="GR132" s="289"/>
      <c r="GS132" s="289"/>
      <c r="GT132" s="289"/>
      <c r="GU132" s="289"/>
      <c r="GV132" s="289"/>
      <c r="GW132" s="289"/>
      <c r="GX132" s="289"/>
      <c r="GY132" s="289"/>
      <c r="GZ132" s="289"/>
      <c r="HA132" s="289"/>
      <c r="HB132" s="289"/>
      <c r="HC132" s="289"/>
      <c r="HD132" s="289"/>
      <c r="HE132" s="289"/>
      <c r="HF132" s="289"/>
      <c r="HG132" s="289"/>
      <c r="HH132" s="289"/>
      <c r="HI132" s="289"/>
      <c r="HJ132" s="289"/>
      <c r="HK132" s="289"/>
      <c r="HL132" s="289"/>
      <c r="HM132" s="289"/>
      <c r="HN132" s="289"/>
      <c r="HO132" s="289"/>
      <c r="HP132" s="289"/>
      <c r="HQ132" s="289"/>
      <c r="HR132" s="289"/>
      <c r="HS132" s="289"/>
      <c r="HT132" s="289"/>
      <c r="HU132" s="289"/>
      <c r="HV132" s="289"/>
      <c r="HW132" s="289"/>
      <c r="HX132" s="289"/>
      <c r="HY132" s="289"/>
      <c r="HZ132" s="289"/>
      <c r="IA132" s="289"/>
      <c r="IB132" s="289"/>
      <c r="IC132" s="289"/>
      <c r="ID132" s="289"/>
      <c r="IE132" s="289"/>
      <c r="IF132" s="289"/>
      <c r="IG132" s="289"/>
      <c r="IH132" s="289"/>
      <c r="II132" s="289"/>
      <c r="IJ132" s="289"/>
      <c r="IK132" s="289"/>
      <c r="IL132" s="289"/>
      <c r="IM132" s="289"/>
      <c r="IN132" s="289"/>
      <c r="IO132" s="289"/>
      <c r="IP132" s="289"/>
      <c r="IQ132" s="289"/>
      <c r="IR132" s="289"/>
      <c r="IS132" s="289"/>
      <c r="IT132" s="289"/>
      <c r="IU132" s="289"/>
      <c r="IV132" s="289"/>
      <c r="IW132" s="289"/>
      <c r="IX132" s="289"/>
    </row>
    <row r="133" spans="1:258" s="21" customFormat="1">
      <c r="A133" s="1215"/>
      <c r="B133" s="1215"/>
      <c r="C133" s="1215"/>
      <c r="D133" s="1215"/>
      <c r="E133" s="1215"/>
      <c r="F133" s="1215"/>
      <c r="G133" s="1215"/>
      <c r="H133" s="1215"/>
      <c r="I133" s="1215"/>
      <c r="J133" s="1215"/>
      <c r="K133" s="1215"/>
      <c r="L133" s="1215"/>
      <c r="M133" s="1215"/>
      <c r="N133" s="1215"/>
      <c r="O133" s="1215"/>
      <c r="P133" s="1215"/>
      <c r="Q133" s="1215"/>
      <c r="R133" s="1215"/>
      <c r="S133" s="1215"/>
      <c r="T133" s="1215"/>
      <c r="U133" s="1215"/>
      <c r="V133" s="1249"/>
      <c r="W133" s="1215"/>
      <c r="X133" s="1215"/>
      <c r="Y133" s="1215"/>
      <c r="Z133" s="1215"/>
      <c r="AA133" s="1215"/>
      <c r="AB133" s="1215"/>
      <c r="AC133" s="1215"/>
      <c r="AD133" s="1215"/>
      <c r="AE133" s="1215"/>
      <c r="AF133" s="1215"/>
      <c r="AG133" s="1215"/>
      <c r="AH133" s="1215"/>
      <c r="AI133" s="1215"/>
      <c r="AJ133" s="1215"/>
      <c r="AK133" s="1215"/>
      <c r="AL133" s="1215"/>
      <c r="AM133" s="1215"/>
      <c r="AN133" s="1215"/>
      <c r="AO133" s="1215"/>
      <c r="AP133" s="1215"/>
      <c r="AQ133" s="1215"/>
      <c r="AR133" s="1215"/>
      <c r="AS133" s="1215"/>
      <c r="AT133" s="1215"/>
      <c r="AU133" s="1215"/>
      <c r="AV133" s="1215"/>
      <c r="AW133" s="377"/>
      <c r="AX133" s="377"/>
      <c r="AY133" s="1215"/>
      <c r="AZ133" s="1215"/>
      <c r="BA133" s="1215"/>
      <c r="BB133" s="1215"/>
      <c r="BC133" s="1215"/>
      <c r="DB133" s="289"/>
      <c r="DC133" s="289"/>
      <c r="DD133" s="289"/>
      <c r="DE133" s="289"/>
      <c r="DF133" s="289"/>
      <c r="DG133" s="289"/>
      <c r="DH133" s="289"/>
      <c r="DI133" s="289"/>
      <c r="DJ133" s="289"/>
      <c r="DK133" s="289"/>
      <c r="DL133" s="289"/>
      <c r="DM133" s="289"/>
      <c r="DN133" s="289"/>
      <c r="DO133" s="289"/>
      <c r="DP133" s="289"/>
      <c r="DQ133" s="289"/>
      <c r="DR133" s="289"/>
      <c r="DS133" s="289"/>
      <c r="DT133" s="289"/>
      <c r="DU133" s="289"/>
      <c r="DV133" s="289"/>
      <c r="DW133" s="289"/>
      <c r="DX133" s="289"/>
      <c r="DY133" s="289"/>
      <c r="DZ133" s="289"/>
      <c r="EA133" s="289"/>
      <c r="EB133" s="289"/>
      <c r="EC133" s="289"/>
      <c r="ED133" s="289"/>
      <c r="EE133" s="289"/>
      <c r="EF133" s="289"/>
      <c r="EG133" s="289"/>
      <c r="EH133" s="289"/>
      <c r="EI133" s="289"/>
      <c r="EJ133" s="289"/>
      <c r="EK133" s="289"/>
      <c r="EL133" s="289"/>
      <c r="EM133" s="289"/>
      <c r="EN133" s="289"/>
      <c r="EO133" s="289"/>
      <c r="EP133" s="289"/>
      <c r="EQ133" s="289"/>
      <c r="ER133" s="289"/>
      <c r="ES133" s="289"/>
      <c r="ET133" s="289"/>
      <c r="EU133" s="289"/>
      <c r="EV133" s="289"/>
      <c r="EW133" s="289"/>
      <c r="EX133" s="289"/>
      <c r="EY133" s="289"/>
      <c r="EZ133" s="289"/>
      <c r="FA133" s="289"/>
      <c r="FB133" s="289"/>
      <c r="FC133" s="289"/>
      <c r="FD133" s="289"/>
      <c r="FE133" s="289"/>
      <c r="FF133" s="289"/>
      <c r="FG133" s="289"/>
      <c r="FH133" s="289"/>
      <c r="FI133" s="289"/>
      <c r="FJ133" s="289"/>
      <c r="FK133" s="289"/>
      <c r="FL133" s="289"/>
      <c r="FM133" s="289"/>
      <c r="FN133" s="289"/>
      <c r="FO133" s="289"/>
      <c r="FP133" s="289"/>
      <c r="FQ133" s="289"/>
      <c r="FR133" s="289"/>
      <c r="FS133" s="289"/>
      <c r="FT133" s="289"/>
      <c r="FU133" s="289"/>
      <c r="FV133" s="289"/>
      <c r="FW133" s="289"/>
      <c r="FX133" s="289"/>
      <c r="FY133" s="289"/>
      <c r="FZ133" s="289"/>
      <c r="GA133" s="289"/>
      <c r="GB133" s="289"/>
      <c r="GC133" s="289"/>
      <c r="GD133" s="289"/>
      <c r="GE133" s="289"/>
      <c r="GF133" s="289"/>
      <c r="GG133" s="289"/>
      <c r="GH133" s="289"/>
      <c r="GI133" s="289"/>
      <c r="GJ133" s="289"/>
      <c r="GK133" s="289"/>
      <c r="GL133" s="289"/>
      <c r="GM133" s="289"/>
      <c r="GN133" s="289"/>
      <c r="GO133" s="289"/>
      <c r="GP133" s="289"/>
      <c r="GQ133" s="289"/>
      <c r="GR133" s="289"/>
      <c r="GS133" s="289"/>
      <c r="GT133" s="289"/>
      <c r="GU133" s="289"/>
      <c r="GV133" s="289"/>
      <c r="GW133" s="289"/>
      <c r="GX133" s="289"/>
      <c r="GY133" s="289"/>
      <c r="GZ133" s="289"/>
      <c r="HA133" s="289"/>
      <c r="HB133" s="289"/>
      <c r="HC133" s="289"/>
      <c r="HD133" s="289"/>
      <c r="HE133" s="289"/>
      <c r="HF133" s="289"/>
      <c r="HG133" s="289"/>
      <c r="HH133" s="289"/>
      <c r="HI133" s="289"/>
      <c r="HJ133" s="289"/>
      <c r="HK133" s="289"/>
      <c r="HL133" s="289"/>
      <c r="HM133" s="289"/>
      <c r="HN133" s="289"/>
      <c r="HO133" s="289"/>
      <c r="HP133" s="289"/>
      <c r="HQ133" s="289"/>
      <c r="HR133" s="289"/>
      <c r="HS133" s="289"/>
      <c r="HT133" s="289"/>
      <c r="HU133" s="289"/>
      <c r="HV133" s="289"/>
      <c r="HW133" s="289"/>
      <c r="HX133" s="289"/>
      <c r="HY133" s="289"/>
      <c r="HZ133" s="289"/>
      <c r="IA133" s="289"/>
      <c r="IB133" s="289"/>
      <c r="IC133" s="289"/>
      <c r="ID133" s="289"/>
      <c r="IE133" s="289"/>
      <c r="IF133" s="289"/>
      <c r="IG133" s="289"/>
      <c r="IH133" s="289"/>
      <c r="II133" s="289"/>
      <c r="IJ133" s="289"/>
      <c r="IK133" s="289"/>
      <c r="IL133" s="289"/>
      <c r="IM133" s="289"/>
      <c r="IN133" s="289"/>
      <c r="IO133" s="289"/>
      <c r="IP133" s="289"/>
      <c r="IQ133" s="289"/>
      <c r="IR133" s="289"/>
      <c r="IS133" s="289"/>
      <c r="IT133" s="289"/>
      <c r="IU133" s="289"/>
      <c r="IV133" s="289"/>
      <c r="IW133" s="289"/>
      <c r="IX133" s="289"/>
    </row>
    <row r="134" spans="1:258" s="21" customFormat="1">
      <c r="A134" s="1215"/>
      <c r="B134" s="1215"/>
      <c r="C134" s="1215"/>
      <c r="D134" s="1215"/>
      <c r="E134" s="1215"/>
      <c r="F134" s="1215"/>
      <c r="G134" s="1215"/>
      <c r="H134" s="1215"/>
      <c r="I134" s="1215"/>
      <c r="J134" s="1215"/>
      <c r="K134" s="1215"/>
      <c r="L134" s="1215"/>
      <c r="M134" s="1215"/>
      <c r="N134" s="1215"/>
      <c r="O134" s="1215"/>
      <c r="P134" s="1215"/>
      <c r="Q134" s="1215"/>
      <c r="R134" s="1215"/>
      <c r="S134" s="1215"/>
      <c r="T134" s="1215"/>
      <c r="U134" s="1215"/>
      <c r="V134" s="1249"/>
      <c r="W134" s="1215"/>
      <c r="X134" s="1215"/>
      <c r="Y134" s="1215"/>
      <c r="Z134" s="1215"/>
      <c r="AA134" s="1215"/>
      <c r="AB134" s="1215"/>
      <c r="AC134" s="1215"/>
      <c r="AD134" s="1215"/>
      <c r="AE134" s="1215"/>
      <c r="AF134" s="1215"/>
      <c r="AG134" s="1215"/>
      <c r="AH134" s="1215"/>
      <c r="AI134" s="1215"/>
      <c r="AJ134" s="1215"/>
      <c r="AK134" s="1215"/>
      <c r="AL134" s="1215"/>
      <c r="AM134" s="1215"/>
      <c r="AN134" s="1215"/>
      <c r="AO134" s="1215"/>
      <c r="AP134" s="1215"/>
      <c r="AQ134" s="1215"/>
      <c r="AR134" s="1215"/>
      <c r="AS134" s="1215"/>
      <c r="AT134" s="1215"/>
      <c r="AU134" s="1215"/>
      <c r="AV134" s="1215"/>
      <c r="AW134" s="377"/>
      <c r="AX134" s="377"/>
      <c r="AY134" s="1215"/>
      <c r="AZ134" s="1215"/>
      <c r="BA134" s="1215"/>
      <c r="BB134" s="1215"/>
      <c r="BC134" s="1215"/>
      <c r="DB134" s="289"/>
      <c r="DC134" s="289"/>
      <c r="DD134" s="289"/>
      <c r="DE134" s="289"/>
      <c r="DF134" s="289"/>
      <c r="DG134" s="289"/>
      <c r="DH134" s="289"/>
      <c r="DI134" s="289"/>
      <c r="DJ134" s="289"/>
      <c r="DK134" s="289"/>
      <c r="DL134" s="289"/>
      <c r="DM134" s="289"/>
      <c r="DN134" s="289"/>
      <c r="DO134" s="289"/>
      <c r="DP134" s="289"/>
      <c r="DQ134" s="289"/>
      <c r="DR134" s="289"/>
      <c r="DS134" s="289"/>
      <c r="DT134" s="289"/>
      <c r="DU134" s="289"/>
      <c r="DV134" s="289"/>
      <c r="DW134" s="289"/>
      <c r="DX134" s="289"/>
      <c r="DY134" s="289"/>
      <c r="DZ134" s="289"/>
      <c r="EA134" s="289"/>
      <c r="EB134" s="289"/>
      <c r="EC134" s="289"/>
      <c r="ED134" s="289"/>
      <c r="EE134" s="289"/>
      <c r="EF134" s="289"/>
      <c r="EG134" s="289"/>
      <c r="EH134" s="289"/>
      <c r="EI134" s="289"/>
      <c r="EJ134" s="289"/>
      <c r="EK134" s="289"/>
      <c r="EL134" s="289"/>
      <c r="EM134" s="289"/>
      <c r="EN134" s="289"/>
      <c r="EO134" s="289"/>
      <c r="EP134" s="289"/>
      <c r="EQ134" s="289"/>
      <c r="ER134" s="289"/>
      <c r="ES134" s="289"/>
      <c r="ET134" s="289"/>
      <c r="EU134" s="289"/>
      <c r="EV134" s="289"/>
      <c r="EW134" s="289"/>
      <c r="EX134" s="289"/>
      <c r="EY134" s="289"/>
      <c r="EZ134" s="289"/>
      <c r="FA134" s="289"/>
      <c r="FB134" s="289"/>
      <c r="FC134" s="289"/>
      <c r="FD134" s="289"/>
      <c r="FE134" s="289"/>
      <c r="FF134" s="289"/>
      <c r="FG134" s="289"/>
      <c r="FH134" s="289"/>
      <c r="FI134" s="289"/>
      <c r="FJ134" s="289"/>
      <c r="FK134" s="289"/>
      <c r="FL134" s="289"/>
      <c r="FM134" s="289"/>
      <c r="FN134" s="289"/>
      <c r="FO134" s="289"/>
      <c r="FP134" s="289"/>
      <c r="FQ134" s="289"/>
      <c r="FR134" s="289"/>
      <c r="FS134" s="289"/>
      <c r="FT134" s="289"/>
      <c r="FU134" s="289"/>
      <c r="FV134" s="289"/>
      <c r="FW134" s="289"/>
      <c r="FX134" s="289"/>
      <c r="FY134" s="289"/>
      <c r="FZ134" s="289"/>
      <c r="GA134" s="289"/>
      <c r="GB134" s="289"/>
      <c r="GC134" s="289"/>
      <c r="GD134" s="289"/>
      <c r="GE134" s="289"/>
      <c r="GF134" s="289"/>
      <c r="GG134" s="289"/>
      <c r="GH134" s="289"/>
      <c r="GI134" s="289"/>
      <c r="GJ134" s="289"/>
      <c r="GK134" s="289"/>
      <c r="GL134" s="289"/>
      <c r="GM134" s="289"/>
      <c r="GN134" s="289"/>
      <c r="GO134" s="289"/>
      <c r="GP134" s="289"/>
      <c r="GQ134" s="289"/>
      <c r="GR134" s="289"/>
      <c r="GS134" s="289"/>
      <c r="GT134" s="289"/>
      <c r="GU134" s="289"/>
      <c r="GV134" s="289"/>
      <c r="GW134" s="289"/>
      <c r="GX134" s="289"/>
      <c r="GY134" s="289"/>
      <c r="GZ134" s="289"/>
      <c r="HA134" s="289"/>
      <c r="HB134" s="289"/>
      <c r="HC134" s="289"/>
      <c r="HD134" s="289"/>
      <c r="HE134" s="289"/>
      <c r="HF134" s="289"/>
      <c r="HG134" s="289"/>
      <c r="HH134" s="289"/>
      <c r="HI134" s="289"/>
      <c r="HJ134" s="289"/>
      <c r="HK134" s="289"/>
      <c r="HL134" s="289"/>
      <c r="HM134" s="289"/>
      <c r="HN134" s="289"/>
      <c r="HO134" s="289"/>
      <c r="HP134" s="289"/>
      <c r="HQ134" s="289"/>
      <c r="HR134" s="289"/>
      <c r="HS134" s="289"/>
      <c r="HT134" s="289"/>
      <c r="HU134" s="289"/>
      <c r="HV134" s="289"/>
      <c r="HW134" s="289"/>
      <c r="HX134" s="289"/>
      <c r="HY134" s="289"/>
      <c r="HZ134" s="289"/>
      <c r="IA134" s="289"/>
      <c r="IB134" s="289"/>
      <c r="IC134" s="289"/>
      <c r="ID134" s="289"/>
      <c r="IE134" s="289"/>
      <c r="IF134" s="289"/>
      <c r="IG134" s="289"/>
      <c r="IH134" s="289"/>
      <c r="II134" s="289"/>
      <c r="IJ134" s="289"/>
      <c r="IK134" s="289"/>
      <c r="IL134" s="289"/>
      <c r="IM134" s="289"/>
      <c r="IN134" s="289"/>
      <c r="IO134" s="289"/>
      <c r="IP134" s="289"/>
      <c r="IQ134" s="289"/>
      <c r="IR134" s="289"/>
      <c r="IS134" s="289"/>
      <c r="IT134" s="289"/>
      <c r="IU134" s="289"/>
      <c r="IV134" s="289"/>
      <c r="IW134" s="289"/>
      <c r="IX134" s="289"/>
    </row>
    <row r="135" spans="1:258" s="21" customFormat="1">
      <c r="A135" s="1215"/>
      <c r="B135" s="1215"/>
      <c r="C135" s="1215"/>
      <c r="D135" s="1215"/>
      <c r="E135" s="1215"/>
      <c r="F135" s="1215"/>
      <c r="G135" s="1215"/>
      <c r="H135" s="1215"/>
      <c r="I135" s="1215"/>
      <c r="J135" s="1215"/>
      <c r="K135" s="1215"/>
      <c r="L135" s="1215"/>
      <c r="M135" s="1215"/>
      <c r="N135" s="1215"/>
      <c r="O135" s="1215"/>
      <c r="P135" s="1215"/>
      <c r="Q135" s="1215"/>
      <c r="R135" s="1215"/>
      <c r="S135" s="1215"/>
      <c r="T135" s="1215"/>
      <c r="U135" s="1215"/>
      <c r="V135" s="1249"/>
      <c r="W135" s="1215"/>
      <c r="X135" s="1215"/>
      <c r="Y135" s="1215"/>
      <c r="Z135" s="1215"/>
      <c r="AA135" s="1215"/>
      <c r="AB135" s="1215"/>
      <c r="AC135" s="1215"/>
      <c r="AD135" s="1215"/>
      <c r="AE135" s="1215"/>
      <c r="AF135" s="1215"/>
      <c r="AG135" s="1215"/>
      <c r="AH135" s="1215"/>
      <c r="AI135" s="1215"/>
      <c r="AJ135" s="1215"/>
      <c r="AK135" s="1215"/>
      <c r="AL135" s="1215"/>
      <c r="AM135" s="1215"/>
      <c r="AN135" s="1215"/>
      <c r="AO135" s="1215"/>
      <c r="AP135" s="1215"/>
      <c r="AQ135" s="1215"/>
      <c r="AR135" s="1215"/>
      <c r="AS135" s="1215"/>
      <c r="AT135" s="1215"/>
      <c r="AU135" s="1215"/>
      <c r="AV135" s="1215"/>
      <c r="AW135" s="377"/>
      <c r="AX135" s="377"/>
      <c r="AY135" s="1215"/>
      <c r="AZ135" s="1215"/>
      <c r="BA135" s="1215"/>
      <c r="BB135" s="1215"/>
      <c r="BC135" s="1215"/>
      <c r="DB135" s="289"/>
      <c r="DC135" s="289"/>
      <c r="DD135" s="289"/>
      <c r="DE135" s="289"/>
      <c r="DF135" s="289"/>
      <c r="DG135" s="289"/>
      <c r="DH135" s="289"/>
      <c r="DI135" s="289"/>
      <c r="DJ135" s="289"/>
      <c r="DK135" s="289"/>
      <c r="DL135" s="289"/>
      <c r="DM135" s="289"/>
      <c r="DN135" s="289"/>
      <c r="DO135" s="289"/>
      <c r="DP135" s="289"/>
      <c r="DQ135" s="289"/>
      <c r="DR135" s="289"/>
      <c r="DS135" s="289"/>
      <c r="DT135" s="289"/>
      <c r="DU135" s="289"/>
      <c r="DV135" s="289"/>
      <c r="DW135" s="289"/>
      <c r="DX135" s="289"/>
      <c r="DY135" s="289"/>
      <c r="DZ135" s="289"/>
      <c r="EA135" s="289"/>
      <c r="EB135" s="289"/>
      <c r="EC135" s="289"/>
      <c r="ED135" s="289"/>
      <c r="EE135" s="289"/>
      <c r="EF135" s="289"/>
      <c r="EG135" s="289"/>
      <c r="EH135" s="289"/>
      <c r="EI135" s="289"/>
      <c r="EJ135" s="289"/>
      <c r="EK135" s="289"/>
      <c r="EL135" s="289"/>
      <c r="EM135" s="289"/>
      <c r="EN135" s="289"/>
      <c r="EO135" s="289"/>
      <c r="EP135" s="289"/>
      <c r="EQ135" s="289"/>
      <c r="ER135" s="289"/>
      <c r="ES135" s="289"/>
      <c r="ET135" s="289"/>
      <c r="EU135" s="289"/>
      <c r="EV135" s="289"/>
      <c r="EW135" s="289"/>
      <c r="EX135" s="289"/>
      <c r="EY135" s="289"/>
      <c r="EZ135" s="289"/>
      <c r="FA135" s="289"/>
      <c r="FB135" s="289"/>
      <c r="FC135" s="289"/>
      <c r="FD135" s="289"/>
      <c r="FE135" s="289"/>
      <c r="FF135" s="289"/>
      <c r="FG135" s="289"/>
      <c r="FH135" s="289"/>
      <c r="FI135" s="289"/>
      <c r="FJ135" s="289"/>
      <c r="FK135" s="289"/>
      <c r="FL135" s="289"/>
      <c r="FM135" s="289"/>
      <c r="FN135" s="289"/>
      <c r="FO135" s="289"/>
      <c r="FP135" s="289"/>
      <c r="FQ135" s="289"/>
      <c r="FR135" s="289"/>
      <c r="FS135" s="289"/>
      <c r="FT135" s="289"/>
      <c r="FU135" s="289"/>
      <c r="FV135" s="289"/>
      <c r="FW135" s="289"/>
      <c r="FX135" s="289"/>
      <c r="FY135" s="289"/>
      <c r="FZ135" s="289"/>
      <c r="GA135" s="289"/>
      <c r="GB135" s="289"/>
      <c r="GC135" s="289"/>
      <c r="GD135" s="289"/>
      <c r="GE135" s="289"/>
      <c r="GF135" s="289"/>
      <c r="GG135" s="289"/>
      <c r="GH135" s="289"/>
      <c r="GI135" s="289"/>
      <c r="GJ135" s="289"/>
      <c r="GK135" s="289"/>
      <c r="GL135" s="289"/>
      <c r="GM135" s="289"/>
      <c r="GN135" s="289"/>
      <c r="GO135" s="289"/>
      <c r="GP135" s="289"/>
      <c r="GQ135" s="289"/>
      <c r="GR135" s="289"/>
      <c r="GS135" s="289"/>
      <c r="GT135" s="289"/>
      <c r="GU135" s="289"/>
      <c r="GV135" s="289"/>
      <c r="GW135" s="289"/>
      <c r="GX135" s="289"/>
      <c r="GY135" s="289"/>
      <c r="GZ135" s="289"/>
      <c r="HA135" s="289"/>
      <c r="HB135" s="289"/>
      <c r="HC135" s="289"/>
      <c r="HD135" s="289"/>
      <c r="HE135" s="289"/>
      <c r="HF135" s="289"/>
      <c r="HG135" s="289"/>
      <c r="HH135" s="289"/>
      <c r="HI135" s="289"/>
      <c r="HJ135" s="289"/>
      <c r="HK135" s="289"/>
      <c r="HL135" s="289"/>
      <c r="HM135" s="289"/>
      <c r="HN135" s="289"/>
      <c r="HO135" s="289"/>
      <c r="HP135" s="289"/>
      <c r="HQ135" s="289"/>
      <c r="HR135" s="289"/>
      <c r="HS135" s="289"/>
      <c r="HT135" s="289"/>
      <c r="HU135" s="289"/>
      <c r="HV135" s="289"/>
      <c r="HW135" s="289"/>
      <c r="HX135" s="289"/>
      <c r="HY135" s="289"/>
      <c r="HZ135" s="289"/>
      <c r="IA135" s="289"/>
      <c r="IB135" s="289"/>
      <c r="IC135" s="289"/>
      <c r="ID135" s="289"/>
      <c r="IE135" s="289"/>
      <c r="IF135" s="289"/>
      <c r="IG135" s="289"/>
      <c r="IH135" s="289"/>
      <c r="II135" s="289"/>
      <c r="IJ135" s="289"/>
      <c r="IK135" s="289"/>
      <c r="IL135" s="289"/>
      <c r="IM135" s="289"/>
      <c r="IN135" s="289"/>
      <c r="IO135" s="289"/>
      <c r="IP135" s="289"/>
      <c r="IQ135" s="289"/>
      <c r="IR135" s="289"/>
      <c r="IS135" s="289"/>
      <c r="IT135" s="289"/>
      <c r="IU135" s="289"/>
      <c r="IV135" s="289"/>
      <c r="IW135" s="289"/>
      <c r="IX135" s="289"/>
    </row>
    <row r="136" spans="1:258" s="21" customFormat="1">
      <c r="A136" s="1215"/>
      <c r="B136" s="1215"/>
      <c r="C136" s="1250"/>
      <c r="D136" s="304"/>
      <c r="E136" s="1215"/>
      <c r="F136" s="1215"/>
      <c r="G136" s="1215"/>
      <c r="H136" s="1215"/>
      <c r="I136" s="1215"/>
      <c r="J136" s="1215"/>
      <c r="K136" s="1215"/>
      <c r="L136" s="1215"/>
      <c r="M136" s="1215"/>
      <c r="N136" s="1215"/>
      <c r="O136" s="1215"/>
      <c r="P136" s="1215"/>
      <c r="Q136" s="1215"/>
      <c r="R136" s="1215"/>
      <c r="S136" s="1215"/>
      <c r="T136" s="1215"/>
      <c r="U136" s="1215"/>
      <c r="V136" s="1249"/>
      <c r="W136" s="1215"/>
      <c r="X136" s="1215"/>
      <c r="Y136" s="1215"/>
      <c r="Z136" s="1215"/>
      <c r="AA136" s="1215"/>
      <c r="AB136" s="1215"/>
      <c r="AC136" s="1215"/>
      <c r="AD136" s="1215"/>
      <c r="AE136" s="1215"/>
      <c r="AF136" s="1215"/>
      <c r="AG136" s="1215"/>
      <c r="AH136" s="1215"/>
      <c r="AI136" s="1215"/>
      <c r="AJ136" s="1215"/>
      <c r="AK136" s="1215"/>
      <c r="AL136" s="1215"/>
      <c r="AM136" s="1215"/>
      <c r="AN136" s="1215"/>
      <c r="AO136" s="1215"/>
      <c r="AP136" s="1215"/>
      <c r="AQ136" s="1215"/>
      <c r="AR136" s="1215"/>
      <c r="AS136" s="1215"/>
      <c r="AT136" s="1215"/>
      <c r="AU136" s="1215"/>
      <c r="AV136" s="1215"/>
      <c r="AW136" s="289"/>
      <c r="AX136" s="289"/>
      <c r="AY136" s="1215"/>
      <c r="AZ136" s="1215"/>
      <c r="BA136" s="1215"/>
      <c r="BB136" s="1215"/>
      <c r="BC136" s="1215"/>
      <c r="DB136" s="289"/>
      <c r="DC136" s="289"/>
      <c r="DD136" s="289"/>
      <c r="DE136" s="289"/>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89"/>
      <c r="EB136" s="289"/>
      <c r="EC136" s="289"/>
      <c r="ED136" s="289"/>
      <c r="EE136" s="289"/>
      <c r="EF136" s="289"/>
      <c r="EG136" s="289"/>
      <c r="EH136" s="289"/>
      <c r="EI136" s="289"/>
      <c r="EJ136" s="289"/>
      <c r="EK136" s="289"/>
      <c r="EL136" s="289"/>
      <c r="EM136" s="289"/>
      <c r="EN136" s="289"/>
      <c r="EO136" s="289"/>
      <c r="EP136" s="289"/>
      <c r="EQ136" s="289"/>
      <c r="ER136" s="289"/>
      <c r="ES136" s="289"/>
      <c r="ET136" s="289"/>
      <c r="EU136" s="289"/>
      <c r="EV136" s="289"/>
      <c r="EW136" s="289"/>
      <c r="EX136" s="289"/>
      <c r="EY136" s="289"/>
      <c r="EZ136" s="289"/>
      <c r="FA136" s="289"/>
      <c r="FB136" s="289"/>
      <c r="FC136" s="289"/>
      <c r="FD136" s="289"/>
      <c r="FE136" s="289"/>
      <c r="FF136" s="289"/>
      <c r="FG136" s="289"/>
      <c r="FH136" s="289"/>
      <c r="FI136" s="289"/>
      <c r="FJ136" s="289"/>
      <c r="FK136" s="289"/>
      <c r="FL136" s="289"/>
      <c r="FM136" s="289"/>
      <c r="FN136" s="289"/>
      <c r="FO136" s="289"/>
      <c r="FP136" s="289"/>
      <c r="FQ136" s="289"/>
      <c r="FR136" s="289"/>
      <c r="FS136" s="289"/>
      <c r="FT136" s="289"/>
      <c r="FU136" s="289"/>
      <c r="FV136" s="289"/>
      <c r="FW136" s="289"/>
      <c r="FX136" s="289"/>
      <c r="FY136" s="289"/>
      <c r="FZ136" s="289"/>
      <c r="GA136" s="289"/>
      <c r="GB136" s="289"/>
      <c r="GC136" s="289"/>
      <c r="GD136" s="289"/>
      <c r="GE136" s="289"/>
      <c r="GF136" s="289"/>
      <c r="GG136" s="289"/>
      <c r="GH136" s="289"/>
      <c r="GI136" s="289"/>
      <c r="GJ136" s="289"/>
      <c r="GK136" s="289"/>
      <c r="GL136" s="289"/>
      <c r="GM136" s="289"/>
      <c r="GN136" s="289"/>
      <c r="GO136" s="289"/>
      <c r="GP136" s="289"/>
      <c r="GQ136" s="289"/>
      <c r="GR136" s="289"/>
      <c r="GS136" s="289"/>
      <c r="GT136" s="289"/>
      <c r="GU136" s="289"/>
      <c r="GV136" s="289"/>
      <c r="GW136" s="289"/>
      <c r="GX136" s="289"/>
      <c r="GY136" s="289"/>
      <c r="GZ136" s="289"/>
      <c r="HA136" s="289"/>
      <c r="HB136" s="289"/>
      <c r="HC136" s="289"/>
      <c r="HD136" s="289"/>
      <c r="HE136" s="289"/>
      <c r="HF136" s="289"/>
      <c r="HG136" s="289"/>
      <c r="HH136" s="289"/>
      <c r="HI136" s="289"/>
      <c r="HJ136" s="289"/>
      <c r="HK136" s="289"/>
      <c r="HL136" s="289"/>
      <c r="HM136" s="289"/>
      <c r="HN136" s="289"/>
      <c r="HO136" s="289"/>
      <c r="HP136" s="289"/>
      <c r="HQ136" s="289"/>
      <c r="HR136" s="289"/>
      <c r="HS136" s="289"/>
      <c r="HT136" s="289"/>
      <c r="HU136" s="289"/>
      <c r="HV136" s="289"/>
      <c r="HW136" s="289"/>
      <c r="HX136" s="289"/>
      <c r="HY136" s="289"/>
      <c r="HZ136" s="289"/>
      <c r="IA136" s="289"/>
      <c r="IB136" s="289"/>
      <c r="IC136" s="289"/>
      <c r="ID136" s="289"/>
      <c r="IE136" s="289"/>
      <c r="IF136" s="289"/>
      <c r="IG136" s="289"/>
      <c r="IH136" s="289"/>
      <c r="II136" s="289"/>
      <c r="IJ136" s="289"/>
      <c r="IK136" s="289"/>
      <c r="IL136" s="289"/>
      <c r="IM136" s="289"/>
      <c r="IN136" s="289"/>
      <c r="IO136" s="289"/>
      <c r="IP136" s="289"/>
      <c r="IQ136" s="289"/>
      <c r="IR136" s="289"/>
      <c r="IS136" s="289"/>
      <c r="IT136" s="289"/>
      <c r="IU136" s="289"/>
      <c r="IV136" s="289"/>
      <c r="IW136" s="289"/>
      <c r="IX136" s="289"/>
    </row>
    <row r="137" spans="1:258" s="21" customFormat="1">
      <c r="A137" s="1215"/>
      <c r="B137" s="1215"/>
      <c r="C137" s="1250"/>
      <c r="D137" s="304"/>
      <c r="E137" s="1215"/>
      <c r="F137" s="1215"/>
      <c r="G137" s="1215"/>
      <c r="H137" s="1215"/>
      <c r="I137" s="1215"/>
      <c r="J137" s="1215"/>
      <c r="K137" s="1215"/>
      <c r="L137" s="1215"/>
      <c r="M137" s="1215"/>
      <c r="N137" s="1215"/>
      <c r="O137" s="1215"/>
      <c r="P137" s="1215"/>
      <c r="Q137" s="1215"/>
      <c r="R137" s="1215"/>
      <c r="S137" s="1215"/>
      <c r="T137" s="1215"/>
      <c r="U137" s="1215"/>
      <c r="V137" s="1249"/>
      <c r="W137" s="1215"/>
      <c r="X137" s="1215"/>
      <c r="Y137" s="1215"/>
      <c r="Z137" s="1215"/>
      <c r="AA137" s="1215"/>
      <c r="AB137" s="1215"/>
      <c r="AC137" s="1215"/>
      <c r="AD137" s="1215"/>
      <c r="AE137" s="1215"/>
      <c r="AF137" s="1215"/>
      <c r="AG137" s="1215"/>
      <c r="AH137" s="1215"/>
      <c r="AI137" s="1215"/>
      <c r="AJ137" s="1215"/>
      <c r="AK137" s="1215"/>
      <c r="AL137" s="1215"/>
      <c r="AM137" s="1215"/>
      <c r="AN137" s="1215"/>
      <c r="AO137" s="1215"/>
      <c r="AP137" s="1215"/>
      <c r="AQ137" s="1215"/>
      <c r="AR137" s="1215"/>
      <c r="AS137" s="1215"/>
      <c r="AT137" s="1215"/>
      <c r="AU137" s="1215"/>
      <c r="AV137" s="1215"/>
      <c r="AW137" s="289"/>
      <c r="AX137" s="289"/>
      <c r="AY137" s="1215"/>
      <c r="AZ137" s="1215"/>
      <c r="BA137" s="1215"/>
      <c r="BB137" s="1215"/>
      <c r="BC137" s="1215"/>
      <c r="DB137" s="289"/>
      <c r="DC137" s="289"/>
      <c r="DD137" s="289"/>
      <c r="DE137" s="289"/>
      <c r="DF137" s="289"/>
      <c r="DG137" s="289"/>
      <c r="DH137" s="289"/>
      <c r="DI137" s="289"/>
      <c r="DJ137" s="289"/>
      <c r="DK137" s="289"/>
      <c r="DL137" s="289"/>
      <c r="DM137" s="289"/>
      <c r="DN137" s="289"/>
      <c r="DO137" s="289"/>
      <c r="DP137" s="289"/>
      <c r="DQ137" s="289"/>
      <c r="DR137" s="289"/>
      <c r="DS137" s="289"/>
      <c r="DT137" s="289"/>
      <c r="DU137" s="289"/>
      <c r="DV137" s="289"/>
      <c r="DW137" s="289"/>
      <c r="DX137" s="289"/>
      <c r="DY137" s="289"/>
      <c r="DZ137" s="289"/>
      <c r="EA137" s="289"/>
      <c r="EB137" s="289"/>
      <c r="EC137" s="289"/>
      <c r="ED137" s="289"/>
      <c r="EE137" s="289"/>
      <c r="EF137" s="289"/>
      <c r="EG137" s="289"/>
      <c r="EH137" s="289"/>
      <c r="EI137" s="289"/>
      <c r="EJ137" s="289"/>
      <c r="EK137" s="289"/>
      <c r="EL137" s="289"/>
      <c r="EM137" s="289"/>
      <c r="EN137" s="289"/>
      <c r="EO137" s="289"/>
      <c r="EP137" s="289"/>
      <c r="EQ137" s="289"/>
      <c r="ER137" s="289"/>
      <c r="ES137" s="289"/>
      <c r="ET137" s="289"/>
      <c r="EU137" s="289"/>
      <c r="EV137" s="289"/>
      <c r="EW137" s="289"/>
      <c r="EX137" s="289"/>
      <c r="EY137" s="289"/>
      <c r="EZ137" s="289"/>
      <c r="FA137" s="289"/>
      <c r="FB137" s="289"/>
      <c r="FC137" s="289"/>
      <c r="FD137" s="289"/>
      <c r="FE137" s="289"/>
      <c r="FF137" s="289"/>
      <c r="FG137" s="289"/>
      <c r="FH137" s="289"/>
      <c r="FI137" s="289"/>
      <c r="FJ137" s="289"/>
      <c r="FK137" s="289"/>
      <c r="FL137" s="289"/>
      <c r="FM137" s="289"/>
      <c r="FN137" s="289"/>
      <c r="FO137" s="289"/>
      <c r="FP137" s="289"/>
      <c r="FQ137" s="289"/>
      <c r="FR137" s="289"/>
      <c r="FS137" s="289"/>
      <c r="FT137" s="289"/>
      <c r="FU137" s="289"/>
      <c r="FV137" s="289"/>
      <c r="FW137" s="289"/>
      <c r="FX137" s="289"/>
      <c r="FY137" s="289"/>
      <c r="FZ137" s="289"/>
      <c r="GA137" s="289"/>
      <c r="GB137" s="289"/>
      <c r="GC137" s="289"/>
      <c r="GD137" s="289"/>
      <c r="GE137" s="289"/>
      <c r="GF137" s="289"/>
      <c r="GG137" s="289"/>
      <c r="GH137" s="289"/>
      <c r="GI137" s="289"/>
      <c r="GJ137" s="289"/>
      <c r="GK137" s="289"/>
      <c r="GL137" s="289"/>
      <c r="GM137" s="289"/>
      <c r="GN137" s="289"/>
      <c r="GO137" s="289"/>
      <c r="GP137" s="289"/>
      <c r="GQ137" s="289"/>
      <c r="GR137" s="289"/>
      <c r="GS137" s="289"/>
      <c r="GT137" s="289"/>
      <c r="GU137" s="289"/>
      <c r="GV137" s="289"/>
      <c r="GW137" s="289"/>
      <c r="GX137" s="289"/>
      <c r="GY137" s="289"/>
      <c r="GZ137" s="289"/>
      <c r="HA137" s="289"/>
      <c r="HB137" s="289"/>
      <c r="HC137" s="289"/>
      <c r="HD137" s="289"/>
      <c r="HE137" s="289"/>
      <c r="HF137" s="289"/>
      <c r="HG137" s="289"/>
      <c r="HH137" s="289"/>
      <c r="HI137" s="289"/>
      <c r="HJ137" s="289"/>
      <c r="HK137" s="289"/>
      <c r="HL137" s="289"/>
      <c r="HM137" s="289"/>
      <c r="HN137" s="289"/>
      <c r="HO137" s="289"/>
      <c r="HP137" s="289"/>
      <c r="HQ137" s="289"/>
      <c r="HR137" s="289"/>
      <c r="HS137" s="289"/>
      <c r="HT137" s="289"/>
      <c r="HU137" s="289"/>
      <c r="HV137" s="289"/>
      <c r="HW137" s="289"/>
      <c r="HX137" s="289"/>
      <c r="HY137" s="289"/>
      <c r="HZ137" s="289"/>
      <c r="IA137" s="289"/>
      <c r="IB137" s="289"/>
      <c r="IC137" s="289"/>
      <c r="ID137" s="289"/>
      <c r="IE137" s="289"/>
      <c r="IF137" s="289"/>
      <c r="IG137" s="289"/>
      <c r="IH137" s="289"/>
      <c r="II137" s="289"/>
      <c r="IJ137" s="289"/>
      <c r="IK137" s="289"/>
      <c r="IL137" s="289"/>
      <c r="IM137" s="289"/>
      <c r="IN137" s="289"/>
      <c r="IO137" s="289"/>
      <c r="IP137" s="289"/>
      <c r="IQ137" s="289"/>
      <c r="IR137" s="289"/>
      <c r="IS137" s="289"/>
      <c r="IT137" s="289"/>
      <c r="IU137" s="289"/>
      <c r="IV137" s="289"/>
      <c r="IW137" s="289"/>
      <c r="IX137" s="289"/>
    </row>
    <row r="138" spans="1:258" s="21" customFormat="1">
      <c r="A138" s="1215"/>
      <c r="B138" s="1215"/>
      <c r="C138" s="1250"/>
      <c r="D138" s="304"/>
      <c r="E138" s="1215"/>
      <c r="F138" s="1215"/>
      <c r="G138" s="1215"/>
      <c r="H138" s="1215"/>
      <c r="I138" s="1215"/>
      <c r="J138" s="1215"/>
      <c r="K138" s="1215"/>
      <c r="L138" s="1215"/>
      <c r="M138" s="1215"/>
      <c r="N138" s="1215"/>
      <c r="O138" s="1215"/>
      <c r="P138" s="1215"/>
      <c r="Q138" s="1215"/>
      <c r="R138" s="1215"/>
      <c r="S138" s="1215"/>
      <c r="T138" s="1215"/>
      <c r="U138" s="1215"/>
      <c r="V138" s="1249"/>
      <c r="W138" s="1215"/>
      <c r="X138" s="1215"/>
      <c r="Y138" s="1215"/>
      <c r="Z138" s="1215"/>
      <c r="AA138" s="1215"/>
      <c r="AB138" s="1215"/>
      <c r="AC138" s="1215"/>
      <c r="AD138" s="1215"/>
      <c r="AE138" s="1215"/>
      <c r="AF138" s="1215"/>
      <c r="AG138" s="1215"/>
      <c r="AH138" s="1215"/>
      <c r="AI138" s="1215"/>
      <c r="AJ138" s="1215"/>
      <c r="AK138" s="1215"/>
      <c r="AL138" s="1215"/>
      <c r="AM138" s="1215"/>
      <c r="AN138" s="1215"/>
      <c r="AO138" s="1215"/>
      <c r="AP138" s="1215"/>
      <c r="AQ138" s="1215"/>
      <c r="AR138" s="1215"/>
      <c r="AS138" s="1215"/>
      <c r="AT138" s="1215"/>
      <c r="AU138" s="1215"/>
      <c r="AV138" s="377"/>
      <c r="AW138" s="289"/>
      <c r="AX138" s="289"/>
      <c r="AY138" s="1215"/>
      <c r="AZ138" s="1215"/>
      <c r="BA138" s="1215"/>
      <c r="BB138" s="1215"/>
      <c r="BC138" s="1215"/>
      <c r="DB138" s="289"/>
      <c r="DC138" s="289"/>
      <c r="DD138" s="289"/>
      <c r="DE138" s="289"/>
      <c r="DF138" s="289"/>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89"/>
      <c r="EB138" s="289"/>
      <c r="EC138" s="289"/>
      <c r="ED138" s="289"/>
      <c r="EE138" s="289"/>
      <c r="EF138" s="289"/>
      <c r="EG138" s="289"/>
      <c r="EH138" s="289"/>
      <c r="EI138" s="289"/>
      <c r="EJ138" s="289"/>
      <c r="EK138" s="289"/>
      <c r="EL138" s="289"/>
      <c r="EM138" s="289"/>
      <c r="EN138" s="289"/>
      <c r="EO138" s="289"/>
      <c r="EP138" s="289"/>
      <c r="EQ138" s="289"/>
      <c r="ER138" s="289"/>
      <c r="ES138" s="289"/>
      <c r="ET138" s="289"/>
      <c r="EU138" s="289"/>
      <c r="EV138" s="289"/>
      <c r="EW138" s="289"/>
      <c r="EX138" s="289"/>
      <c r="EY138" s="289"/>
      <c r="EZ138" s="289"/>
      <c r="FA138" s="289"/>
      <c r="FB138" s="289"/>
      <c r="FC138" s="289"/>
      <c r="FD138" s="289"/>
      <c r="FE138" s="289"/>
      <c r="FF138" s="289"/>
      <c r="FG138" s="289"/>
      <c r="FH138" s="289"/>
      <c r="FI138" s="289"/>
      <c r="FJ138" s="289"/>
      <c r="FK138" s="289"/>
      <c r="FL138" s="289"/>
      <c r="FM138" s="289"/>
      <c r="FN138" s="289"/>
      <c r="FO138" s="289"/>
      <c r="FP138" s="289"/>
      <c r="FQ138" s="289"/>
      <c r="FR138" s="289"/>
      <c r="FS138" s="289"/>
      <c r="FT138" s="289"/>
      <c r="FU138" s="289"/>
      <c r="FV138" s="289"/>
      <c r="FW138" s="289"/>
      <c r="FX138" s="289"/>
      <c r="FY138" s="289"/>
      <c r="FZ138" s="289"/>
      <c r="GA138" s="289"/>
      <c r="GB138" s="289"/>
      <c r="GC138" s="289"/>
      <c r="GD138" s="289"/>
      <c r="GE138" s="289"/>
      <c r="GF138" s="289"/>
      <c r="GG138" s="289"/>
      <c r="GH138" s="289"/>
      <c r="GI138" s="289"/>
      <c r="GJ138" s="289"/>
      <c r="GK138" s="289"/>
      <c r="GL138" s="289"/>
      <c r="GM138" s="289"/>
      <c r="GN138" s="289"/>
      <c r="GO138" s="289"/>
      <c r="GP138" s="289"/>
      <c r="GQ138" s="289"/>
      <c r="GR138" s="289"/>
      <c r="GS138" s="289"/>
      <c r="GT138" s="289"/>
      <c r="GU138" s="289"/>
      <c r="GV138" s="289"/>
      <c r="GW138" s="289"/>
      <c r="GX138" s="289"/>
      <c r="GY138" s="289"/>
      <c r="GZ138" s="289"/>
      <c r="HA138" s="289"/>
      <c r="HB138" s="289"/>
      <c r="HC138" s="289"/>
      <c r="HD138" s="289"/>
      <c r="HE138" s="289"/>
      <c r="HF138" s="289"/>
      <c r="HG138" s="289"/>
      <c r="HH138" s="289"/>
      <c r="HI138" s="289"/>
      <c r="HJ138" s="289"/>
      <c r="HK138" s="289"/>
      <c r="HL138" s="289"/>
      <c r="HM138" s="289"/>
      <c r="HN138" s="289"/>
      <c r="HO138" s="289"/>
      <c r="HP138" s="289"/>
      <c r="HQ138" s="289"/>
      <c r="HR138" s="289"/>
      <c r="HS138" s="289"/>
      <c r="HT138" s="289"/>
      <c r="HU138" s="289"/>
      <c r="HV138" s="289"/>
      <c r="HW138" s="289"/>
      <c r="HX138" s="289"/>
      <c r="HY138" s="289"/>
      <c r="HZ138" s="289"/>
      <c r="IA138" s="289"/>
      <c r="IB138" s="289"/>
      <c r="IC138" s="289"/>
      <c r="ID138" s="289"/>
      <c r="IE138" s="289"/>
      <c r="IF138" s="289"/>
      <c r="IG138" s="289"/>
      <c r="IH138" s="289"/>
      <c r="II138" s="289"/>
      <c r="IJ138" s="289"/>
      <c r="IK138" s="289"/>
      <c r="IL138" s="289"/>
      <c r="IM138" s="289"/>
      <c r="IN138" s="289"/>
      <c r="IO138" s="289"/>
      <c r="IP138" s="289"/>
      <c r="IQ138" s="289"/>
      <c r="IR138" s="289"/>
      <c r="IS138" s="289"/>
      <c r="IT138" s="289"/>
      <c r="IU138" s="289"/>
      <c r="IV138" s="289"/>
      <c r="IW138" s="289"/>
      <c r="IX138" s="289"/>
    </row>
    <row r="139" spans="1:258" s="21" customFormat="1">
      <c r="A139" s="1215"/>
      <c r="B139" s="1215"/>
      <c r="C139" s="1250"/>
      <c r="D139" s="304"/>
      <c r="E139" s="1215"/>
      <c r="F139" s="1215"/>
      <c r="G139" s="1215"/>
      <c r="H139" s="1215"/>
      <c r="I139" s="1215"/>
      <c r="J139" s="1215"/>
      <c r="K139" s="1215"/>
      <c r="L139" s="1215"/>
      <c r="M139" s="1215"/>
      <c r="N139" s="1215"/>
      <c r="O139" s="1215"/>
      <c r="P139" s="1215"/>
      <c r="Q139" s="1215"/>
      <c r="R139" s="1215"/>
      <c r="S139" s="1215"/>
      <c r="T139" s="1215"/>
      <c r="U139" s="1215"/>
      <c r="V139" s="1249"/>
      <c r="W139" s="1215"/>
      <c r="X139" s="1215"/>
      <c r="Y139" s="1215"/>
      <c r="Z139" s="1215"/>
      <c r="AA139" s="1215"/>
      <c r="AB139" s="1215"/>
      <c r="AC139" s="1215"/>
      <c r="AD139" s="1215"/>
      <c r="AE139" s="1215"/>
      <c r="AF139" s="1215"/>
      <c r="AG139" s="1215"/>
      <c r="AH139" s="1215"/>
      <c r="AI139" s="1215"/>
      <c r="AJ139" s="1215"/>
      <c r="AK139" s="1215"/>
      <c r="AL139" s="1215"/>
      <c r="AM139" s="1215"/>
      <c r="AN139" s="1215"/>
      <c r="AO139" s="1215"/>
      <c r="AP139" s="1215"/>
      <c r="AQ139" s="1215"/>
      <c r="AR139" s="1215"/>
      <c r="AS139" s="1215"/>
      <c r="AT139" s="1215"/>
      <c r="AU139" s="1215"/>
      <c r="AV139" s="377"/>
      <c r="AW139" s="289"/>
      <c r="AX139" s="289"/>
      <c r="AY139" s="1215"/>
      <c r="AZ139" s="1215"/>
      <c r="BA139" s="1215"/>
      <c r="BB139" s="1215"/>
      <c r="BC139" s="1215"/>
      <c r="DB139" s="289"/>
      <c r="DC139" s="289"/>
      <c r="DD139" s="289"/>
      <c r="DE139" s="289"/>
      <c r="DF139" s="289"/>
      <c r="DG139" s="289"/>
      <c r="DH139" s="289"/>
      <c r="DI139" s="289"/>
      <c r="DJ139" s="289"/>
      <c r="DK139" s="289"/>
      <c r="DL139" s="289"/>
      <c r="DM139" s="289"/>
      <c r="DN139" s="289"/>
      <c r="DO139" s="289"/>
      <c r="DP139" s="289"/>
      <c r="DQ139" s="289"/>
      <c r="DR139" s="289"/>
      <c r="DS139" s="289"/>
      <c r="DT139" s="289"/>
      <c r="DU139" s="289"/>
      <c r="DV139" s="289"/>
      <c r="DW139" s="289"/>
      <c r="DX139" s="289"/>
      <c r="DY139" s="289"/>
      <c r="DZ139" s="289"/>
      <c r="EA139" s="289"/>
      <c r="EB139" s="289"/>
      <c r="EC139" s="289"/>
      <c r="ED139" s="289"/>
      <c r="EE139" s="289"/>
      <c r="EF139" s="289"/>
      <c r="EG139" s="289"/>
      <c r="EH139" s="289"/>
      <c r="EI139" s="289"/>
      <c r="EJ139" s="289"/>
      <c r="EK139" s="289"/>
      <c r="EL139" s="289"/>
      <c r="EM139" s="289"/>
      <c r="EN139" s="289"/>
      <c r="EO139" s="289"/>
      <c r="EP139" s="289"/>
      <c r="EQ139" s="289"/>
      <c r="ER139" s="289"/>
      <c r="ES139" s="289"/>
      <c r="ET139" s="289"/>
      <c r="EU139" s="289"/>
      <c r="EV139" s="289"/>
      <c r="EW139" s="289"/>
      <c r="EX139" s="289"/>
      <c r="EY139" s="289"/>
      <c r="EZ139" s="289"/>
      <c r="FA139" s="289"/>
      <c r="FB139" s="289"/>
      <c r="FC139" s="289"/>
      <c r="FD139" s="289"/>
      <c r="FE139" s="289"/>
      <c r="FF139" s="289"/>
      <c r="FG139" s="289"/>
      <c r="FH139" s="289"/>
      <c r="FI139" s="289"/>
      <c r="FJ139" s="289"/>
      <c r="FK139" s="289"/>
      <c r="FL139" s="289"/>
      <c r="FM139" s="289"/>
      <c r="FN139" s="289"/>
      <c r="FO139" s="289"/>
      <c r="FP139" s="289"/>
      <c r="FQ139" s="289"/>
      <c r="FR139" s="289"/>
      <c r="FS139" s="289"/>
      <c r="FT139" s="289"/>
      <c r="FU139" s="289"/>
      <c r="FV139" s="289"/>
      <c r="FW139" s="289"/>
      <c r="FX139" s="289"/>
      <c r="FY139" s="289"/>
      <c r="FZ139" s="289"/>
      <c r="GA139" s="289"/>
      <c r="GB139" s="289"/>
      <c r="GC139" s="289"/>
      <c r="GD139" s="289"/>
      <c r="GE139" s="289"/>
      <c r="GF139" s="289"/>
      <c r="GG139" s="289"/>
      <c r="GH139" s="289"/>
      <c r="GI139" s="289"/>
      <c r="GJ139" s="289"/>
      <c r="GK139" s="289"/>
      <c r="GL139" s="289"/>
      <c r="GM139" s="289"/>
      <c r="GN139" s="289"/>
      <c r="GO139" s="289"/>
      <c r="GP139" s="289"/>
      <c r="GQ139" s="289"/>
      <c r="GR139" s="289"/>
      <c r="GS139" s="289"/>
      <c r="GT139" s="289"/>
      <c r="GU139" s="289"/>
      <c r="GV139" s="289"/>
      <c r="GW139" s="289"/>
      <c r="GX139" s="289"/>
      <c r="GY139" s="289"/>
      <c r="GZ139" s="289"/>
      <c r="HA139" s="289"/>
      <c r="HB139" s="289"/>
      <c r="HC139" s="289"/>
      <c r="HD139" s="289"/>
      <c r="HE139" s="289"/>
      <c r="HF139" s="289"/>
      <c r="HG139" s="289"/>
      <c r="HH139" s="289"/>
      <c r="HI139" s="289"/>
      <c r="HJ139" s="289"/>
      <c r="HK139" s="289"/>
      <c r="HL139" s="289"/>
      <c r="HM139" s="289"/>
      <c r="HN139" s="289"/>
      <c r="HO139" s="289"/>
      <c r="HP139" s="289"/>
      <c r="HQ139" s="289"/>
      <c r="HR139" s="289"/>
      <c r="HS139" s="289"/>
      <c r="HT139" s="289"/>
      <c r="HU139" s="289"/>
      <c r="HV139" s="289"/>
      <c r="HW139" s="289"/>
      <c r="HX139" s="289"/>
      <c r="HY139" s="289"/>
      <c r="HZ139" s="289"/>
      <c r="IA139" s="289"/>
      <c r="IB139" s="289"/>
      <c r="IC139" s="289"/>
      <c r="ID139" s="289"/>
      <c r="IE139" s="289"/>
      <c r="IF139" s="289"/>
      <c r="IG139" s="289"/>
      <c r="IH139" s="289"/>
      <c r="II139" s="289"/>
      <c r="IJ139" s="289"/>
      <c r="IK139" s="289"/>
      <c r="IL139" s="289"/>
      <c r="IM139" s="289"/>
      <c r="IN139" s="289"/>
      <c r="IO139" s="289"/>
      <c r="IP139" s="289"/>
      <c r="IQ139" s="289"/>
      <c r="IR139" s="289"/>
      <c r="IS139" s="289"/>
      <c r="IT139" s="289"/>
      <c r="IU139" s="289"/>
      <c r="IV139" s="289"/>
      <c r="IW139" s="289"/>
      <c r="IX139" s="289"/>
    </row>
    <row r="140" spans="1:258" s="21" customFormat="1">
      <c r="A140" s="377"/>
      <c r="B140" s="377"/>
      <c r="C140" s="1250"/>
      <c r="D140" s="304"/>
      <c r="E140" s="377"/>
      <c r="F140" s="377"/>
      <c r="G140" s="377"/>
      <c r="H140" s="377"/>
      <c r="I140" s="377"/>
      <c r="J140" s="377"/>
      <c r="K140" s="377"/>
      <c r="L140" s="377"/>
      <c r="M140" s="377"/>
      <c r="N140" s="377"/>
      <c r="O140" s="377"/>
      <c r="P140" s="377"/>
      <c r="Q140" s="377"/>
      <c r="R140" s="377"/>
      <c r="S140" s="377"/>
      <c r="T140" s="377"/>
      <c r="U140" s="377"/>
      <c r="V140" s="1241"/>
      <c r="W140" s="377"/>
      <c r="X140" s="377"/>
      <c r="Y140" s="377"/>
      <c r="Z140" s="377"/>
      <c r="AA140" s="377"/>
      <c r="AB140" s="377"/>
      <c r="AC140" s="377"/>
      <c r="AD140" s="377"/>
      <c r="AE140" s="377"/>
      <c r="AF140" s="377"/>
      <c r="AG140" s="377"/>
      <c r="AH140" s="377"/>
      <c r="AI140" s="377"/>
      <c r="AJ140" s="377"/>
      <c r="AK140" s="377"/>
      <c r="AL140" s="377"/>
      <c r="AM140" s="377"/>
      <c r="AN140" s="377"/>
      <c r="AO140" s="377"/>
      <c r="AP140" s="377"/>
      <c r="AQ140" s="377"/>
      <c r="AR140" s="377"/>
      <c r="AS140" s="377"/>
      <c r="AT140" s="377"/>
      <c r="AU140" s="377"/>
      <c r="AV140" s="377"/>
      <c r="AW140" s="289"/>
      <c r="AX140" s="289"/>
      <c r="AY140" s="377"/>
      <c r="AZ140" s="377"/>
      <c r="BA140" s="377"/>
      <c r="BB140" s="377"/>
      <c r="BC140" s="377"/>
      <c r="BD140" s="289"/>
      <c r="BE140" s="289"/>
      <c r="BF140" s="289"/>
      <c r="BG140" s="289"/>
      <c r="BH140" s="289"/>
      <c r="BI140" s="289"/>
      <c r="BJ140" s="289"/>
      <c r="BK140" s="289"/>
      <c r="BL140" s="289"/>
      <c r="BM140" s="289"/>
      <c r="BN140" s="289"/>
      <c r="BO140" s="289"/>
      <c r="BP140" s="289"/>
      <c r="BQ140" s="289"/>
      <c r="BR140" s="289"/>
      <c r="BS140" s="289"/>
      <c r="BT140" s="289"/>
      <c r="BU140" s="289"/>
      <c r="BV140" s="289"/>
      <c r="BW140" s="289"/>
      <c r="BX140" s="289"/>
      <c r="BY140" s="289"/>
      <c r="BZ140" s="289"/>
      <c r="CA140" s="289"/>
      <c r="CB140" s="289"/>
      <c r="CC140" s="289"/>
      <c r="CD140" s="289"/>
      <c r="CE140" s="289"/>
      <c r="CF140" s="289"/>
      <c r="CG140" s="289"/>
      <c r="CH140" s="289"/>
      <c r="CI140" s="289"/>
      <c r="CJ140" s="289"/>
      <c r="CK140" s="289"/>
      <c r="CL140" s="289"/>
      <c r="CM140" s="289"/>
      <c r="CN140" s="289"/>
      <c r="CO140" s="289"/>
      <c r="CP140" s="289"/>
      <c r="CQ140" s="289"/>
      <c r="CR140" s="289"/>
      <c r="CS140" s="289"/>
      <c r="CT140" s="289"/>
      <c r="CU140" s="289"/>
      <c r="CV140" s="289"/>
      <c r="CW140" s="289"/>
      <c r="CX140" s="289"/>
      <c r="CY140" s="289"/>
      <c r="CZ140" s="289"/>
      <c r="DA140" s="289"/>
      <c r="DB140" s="289"/>
      <c r="DC140" s="289"/>
      <c r="DD140" s="289"/>
      <c r="DE140" s="289"/>
      <c r="DF140" s="289"/>
      <c r="DG140" s="289"/>
      <c r="DH140" s="289"/>
      <c r="DI140" s="289"/>
      <c r="DJ140" s="289"/>
      <c r="DK140" s="289"/>
      <c r="DL140" s="289"/>
      <c r="DM140" s="289"/>
      <c r="DN140" s="289"/>
      <c r="DO140" s="289"/>
      <c r="DP140" s="289"/>
      <c r="DQ140" s="289"/>
      <c r="DR140" s="289"/>
      <c r="DS140" s="289"/>
      <c r="DT140" s="289"/>
      <c r="DU140" s="289"/>
      <c r="DV140" s="289"/>
      <c r="DW140" s="289"/>
      <c r="DX140" s="289"/>
      <c r="DY140" s="289"/>
      <c r="DZ140" s="289"/>
      <c r="EA140" s="289"/>
      <c r="EB140" s="289"/>
      <c r="EC140" s="289"/>
      <c r="ED140" s="289"/>
      <c r="EE140" s="289"/>
      <c r="EF140" s="289"/>
      <c r="EG140" s="289"/>
      <c r="EH140" s="289"/>
      <c r="EI140" s="289"/>
      <c r="EJ140" s="289"/>
      <c r="EK140" s="289"/>
      <c r="EL140" s="289"/>
      <c r="EM140" s="289"/>
      <c r="EN140" s="289"/>
      <c r="EO140" s="289"/>
      <c r="EP140" s="289"/>
      <c r="EQ140" s="289"/>
      <c r="ER140" s="289"/>
      <c r="ES140" s="289"/>
      <c r="ET140" s="289"/>
      <c r="EU140" s="289"/>
      <c r="EV140" s="289"/>
      <c r="EW140" s="289"/>
      <c r="EX140" s="289"/>
      <c r="EY140" s="289"/>
      <c r="EZ140" s="289"/>
      <c r="FA140" s="289"/>
      <c r="FB140" s="289"/>
      <c r="FC140" s="289"/>
      <c r="FD140" s="289"/>
      <c r="FE140" s="289"/>
      <c r="FF140" s="289"/>
      <c r="FG140" s="289"/>
      <c r="FH140" s="289"/>
      <c r="FI140" s="289"/>
      <c r="FJ140" s="289"/>
      <c r="FK140" s="289"/>
      <c r="FL140" s="289"/>
      <c r="FM140" s="289"/>
      <c r="FN140" s="289"/>
      <c r="FO140" s="289"/>
      <c r="FP140" s="289"/>
      <c r="FQ140" s="289"/>
      <c r="FR140" s="289"/>
      <c r="FS140" s="289"/>
      <c r="FT140" s="289"/>
      <c r="FU140" s="289"/>
      <c r="FV140" s="289"/>
      <c r="FW140" s="289"/>
      <c r="FX140" s="289"/>
      <c r="FY140" s="289"/>
      <c r="FZ140" s="289"/>
      <c r="GA140" s="289"/>
      <c r="GB140" s="289"/>
      <c r="GC140" s="289"/>
      <c r="GD140" s="289"/>
      <c r="GE140" s="289"/>
      <c r="GF140" s="289"/>
      <c r="GG140" s="289"/>
      <c r="GH140" s="289"/>
      <c r="GI140" s="289"/>
      <c r="GJ140" s="289"/>
      <c r="GK140" s="289"/>
      <c r="GL140" s="289"/>
      <c r="GM140" s="289"/>
      <c r="GN140" s="289"/>
      <c r="GO140" s="289"/>
      <c r="GP140" s="289"/>
      <c r="GQ140" s="289"/>
      <c r="GR140" s="289"/>
      <c r="GS140" s="289"/>
      <c r="GT140" s="289"/>
      <c r="GU140" s="289"/>
      <c r="GV140" s="289"/>
      <c r="GW140" s="289"/>
      <c r="GX140" s="289"/>
      <c r="GY140" s="289"/>
      <c r="GZ140" s="289"/>
      <c r="HA140" s="289"/>
      <c r="HB140" s="289"/>
      <c r="HC140" s="289"/>
      <c r="HD140" s="289"/>
      <c r="HE140" s="289"/>
      <c r="HF140" s="289"/>
      <c r="HG140" s="289"/>
      <c r="HH140" s="289"/>
      <c r="HI140" s="289"/>
      <c r="HJ140" s="289"/>
      <c r="HK140" s="289"/>
      <c r="HL140" s="289"/>
      <c r="HM140" s="289"/>
      <c r="HN140" s="289"/>
      <c r="HO140" s="289"/>
      <c r="HP140" s="289"/>
      <c r="HQ140" s="289"/>
      <c r="HR140" s="289"/>
      <c r="HS140" s="289"/>
      <c r="HT140" s="289"/>
      <c r="HU140" s="289"/>
      <c r="HV140" s="289"/>
      <c r="HW140" s="289"/>
      <c r="HX140" s="289"/>
      <c r="HY140" s="289"/>
      <c r="HZ140" s="289"/>
      <c r="IA140" s="289"/>
      <c r="IB140" s="289"/>
      <c r="IC140" s="289"/>
      <c r="ID140" s="289"/>
      <c r="IE140" s="289"/>
      <c r="IF140" s="289"/>
      <c r="IG140" s="289"/>
      <c r="IH140" s="289"/>
      <c r="II140" s="289"/>
      <c r="IJ140" s="289"/>
      <c r="IK140" s="289"/>
      <c r="IL140" s="289"/>
      <c r="IM140" s="289"/>
      <c r="IN140" s="289"/>
      <c r="IO140" s="289"/>
      <c r="IP140" s="289"/>
      <c r="IQ140" s="289"/>
      <c r="IR140" s="289"/>
      <c r="IS140" s="289"/>
      <c r="IT140" s="289"/>
      <c r="IU140" s="289"/>
      <c r="IV140" s="289"/>
      <c r="IW140" s="289"/>
      <c r="IX140" s="289"/>
    </row>
    <row r="141" spans="1:258" s="21" customFormat="1">
      <c r="A141" s="377"/>
      <c r="B141" s="377"/>
      <c r="C141" s="1250"/>
      <c r="D141" s="304"/>
      <c r="E141" s="377"/>
      <c r="F141" s="377"/>
      <c r="G141" s="377"/>
      <c r="H141" s="377"/>
      <c r="I141" s="377"/>
      <c r="J141" s="377"/>
      <c r="K141" s="377"/>
      <c r="L141" s="377"/>
      <c r="M141" s="377"/>
      <c r="N141" s="377"/>
      <c r="O141" s="377"/>
      <c r="P141" s="377"/>
      <c r="Q141" s="377"/>
      <c r="R141" s="377"/>
      <c r="S141" s="377"/>
      <c r="T141" s="377"/>
      <c r="U141" s="377"/>
      <c r="V141" s="1241"/>
      <c r="W141" s="377"/>
      <c r="X141" s="377"/>
      <c r="Y141" s="377"/>
      <c r="Z141" s="377"/>
      <c r="AA141" s="377"/>
      <c r="AB141" s="377"/>
      <c r="AC141" s="377"/>
      <c r="AD141" s="377"/>
      <c r="AE141" s="377"/>
      <c r="AF141" s="377"/>
      <c r="AG141" s="377"/>
      <c r="AH141" s="377"/>
      <c r="AI141" s="377"/>
      <c r="AJ141" s="377"/>
      <c r="AK141" s="377"/>
      <c r="AL141" s="377"/>
      <c r="AM141" s="377"/>
      <c r="AN141" s="377"/>
      <c r="AO141" s="377"/>
      <c r="AP141" s="377"/>
      <c r="AQ141" s="377"/>
      <c r="AR141" s="377"/>
      <c r="AS141" s="377"/>
      <c r="AT141" s="377"/>
      <c r="AU141" s="377"/>
      <c r="AV141" s="377"/>
      <c r="AW141" s="289"/>
      <c r="AX141" s="289"/>
      <c r="AY141" s="377"/>
      <c r="AZ141" s="377"/>
      <c r="BA141" s="377"/>
      <c r="BB141" s="377"/>
      <c r="BC141" s="377"/>
      <c r="BD141" s="289"/>
      <c r="BE141" s="289"/>
      <c r="BF141" s="289"/>
      <c r="BG141" s="289"/>
      <c r="BH141" s="289"/>
      <c r="BI141" s="289"/>
      <c r="BJ141" s="289"/>
      <c r="BK141" s="289"/>
      <c r="BL141" s="289"/>
      <c r="BM141" s="289"/>
      <c r="BN141" s="289"/>
      <c r="BO141" s="289"/>
      <c r="BP141" s="289"/>
      <c r="BQ141" s="289"/>
      <c r="BR141" s="289"/>
      <c r="BS141" s="289"/>
      <c r="BT141" s="289"/>
      <c r="BU141" s="289"/>
      <c r="BV141" s="289"/>
      <c r="BW141" s="289"/>
      <c r="BX141" s="289"/>
      <c r="BY141" s="289"/>
      <c r="BZ141" s="289"/>
      <c r="CA141" s="289"/>
      <c r="CB141" s="289"/>
      <c r="CC141" s="289"/>
      <c r="CD141" s="289"/>
      <c r="CE141" s="289"/>
      <c r="CF141" s="289"/>
      <c r="CG141" s="289"/>
      <c r="CH141" s="289"/>
      <c r="CI141" s="289"/>
      <c r="CJ141" s="289"/>
      <c r="CK141" s="289"/>
      <c r="CL141" s="289"/>
      <c r="CM141" s="289"/>
      <c r="CN141" s="289"/>
      <c r="CO141" s="289"/>
      <c r="CP141" s="289"/>
      <c r="CQ141" s="289"/>
      <c r="CR141" s="289"/>
      <c r="CS141" s="289"/>
      <c r="CT141" s="289"/>
      <c r="CU141" s="289"/>
      <c r="CV141" s="289"/>
      <c r="CW141" s="289"/>
      <c r="CX141" s="289"/>
      <c r="CY141" s="289"/>
      <c r="CZ141" s="289"/>
      <c r="DA141" s="289"/>
      <c r="DB141" s="289"/>
      <c r="DC141" s="289"/>
      <c r="DD141" s="289"/>
      <c r="DE141" s="289"/>
      <c r="DF141" s="289"/>
      <c r="DG141" s="289"/>
      <c r="DH141" s="289"/>
      <c r="DI141" s="289"/>
      <c r="DJ141" s="289"/>
      <c r="DK141" s="289"/>
      <c r="DL141" s="289"/>
      <c r="DM141" s="289"/>
      <c r="DN141" s="289"/>
      <c r="DO141" s="289"/>
      <c r="DP141" s="289"/>
      <c r="DQ141" s="289"/>
      <c r="DR141" s="289"/>
      <c r="DS141" s="289"/>
      <c r="DT141" s="289"/>
      <c r="DU141" s="289"/>
      <c r="DV141" s="289"/>
      <c r="DW141" s="289"/>
      <c r="DX141" s="289"/>
      <c r="DY141" s="289"/>
      <c r="DZ141" s="289"/>
      <c r="EA141" s="289"/>
      <c r="EB141" s="289"/>
      <c r="EC141" s="289"/>
      <c r="ED141" s="289"/>
      <c r="EE141" s="289"/>
      <c r="EF141" s="289"/>
      <c r="EG141" s="289"/>
      <c r="EH141" s="289"/>
      <c r="EI141" s="289"/>
      <c r="EJ141" s="289"/>
      <c r="EK141" s="289"/>
      <c r="EL141" s="289"/>
      <c r="EM141" s="289"/>
      <c r="EN141" s="289"/>
      <c r="EO141" s="289"/>
      <c r="EP141" s="289"/>
      <c r="EQ141" s="289"/>
      <c r="ER141" s="289"/>
      <c r="ES141" s="289"/>
      <c r="ET141" s="289"/>
      <c r="EU141" s="289"/>
      <c r="EV141" s="289"/>
      <c r="EW141" s="289"/>
      <c r="EX141" s="289"/>
      <c r="EY141" s="289"/>
      <c r="EZ141" s="289"/>
      <c r="FA141" s="289"/>
      <c r="FB141" s="289"/>
      <c r="FC141" s="289"/>
      <c r="FD141" s="289"/>
      <c r="FE141" s="289"/>
      <c r="FF141" s="289"/>
      <c r="FG141" s="289"/>
      <c r="FH141" s="289"/>
      <c r="FI141" s="289"/>
      <c r="FJ141" s="289"/>
      <c r="FK141" s="289"/>
      <c r="FL141" s="289"/>
      <c r="FM141" s="289"/>
      <c r="FN141" s="289"/>
      <c r="FO141" s="289"/>
      <c r="FP141" s="289"/>
      <c r="FQ141" s="289"/>
      <c r="FR141" s="289"/>
      <c r="FS141" s="289"/>
      <c r="FT141" s="289"/>
      <c r="FU141" s="289"/>
      <c r="FV141" s="289"/>
      <c r="FW141" s="289"/>
      <c r="FX141" s="289"/>
      <c r="FY141" s="289"/>
      <c r="FZ141" s="289"/>
      <c r="GA141" s="289"/>
      <c r="GB141" s="289"/>
      <c r="GC141" s="289"/>
      <c r="GD141" s="289"/>
      <c r="GE141" s="289"/>
      <c r="GF141" s="289"/>
      <c r="GG141" s="289"/>
      <c r="GH141" s="289"/>
      <c r="GI141" s="289"/>
      <c r="GJ141" s="289"/>
      <c r="GK141" s="289"/>
      <c r="GL141" s="289"/>
      <c r="GM141" s="289"/>
      <c r="GN141" s="289"/>
      <c r="GO141" s="289"/>
      <c r="GP141" s="289"/>
      <c r="GQ141" s="289"/>
      <c r="GR141" s="289"/>
      <c r="GS141" s="289"/>
      <c r="GT141" s="289"/>
      <c r="GU141" s="289"/>
      <c r="GV141" s="289"/>
      <c r="GW141" s="289"/>
      <c r="GX141" s="289"/>
      <c r="GY141" s="289"/>
      <c r="GZ141" s="289"/>
      <c r="HA141" s="289"/>
      <c r="HB141" s="289"/>
      <c r="HC141" s="289"/>
      <c r="HD141" s="289"/>
      <c r="HE141" s="289"/>
      <c r="HF141" s="289"/>
      <c r="HG141" s="289"/>
      <c r="HH141" s="289"/>
      <c r="HI141" s="289"/>
      <c r="HJ141" s="289"/>
      <c r="HK141" s="289"/>
      <c r="HL141" s="289"/>
      <c r="HM141" s="289"/>
      <c r="HN141" s="289"/>
      <c r="HO141" s="289"/>
      <c r="HP141" s="289"/>
      <c r="HQ141" s="289"/>
      <c r="HR141" s="289"/>
      <c r="HS141" s="289"/>
      <c r="HT141" s="289"/>
      <c r="HU141" s="289"/>
      <c r="HV141" s="289"/>
      <c r="HW141" s="289"/>
      <c r="HX141" s="289"/>
      <c r="HY141" s="289"/>
      <c r="HZ141" s="289"/>
      <c r="IA141" s="289"/>
      <c r="IB141" s="289"/>
      <c r="IC141" s="289"/>
      <c r="ID141" s="289"/>
      <c r="IE141" s="289"/>
      <c r="IF141" s="289"/>
      <c r="IG141" s="289"/>
      <c r="IH141" s="289"/>
      <c r="II141" s="289"/>
      <c r="IJ141" s="289"/>
      <c r="IK141" s="289"/>
      <c r="IL141" s="289"/>
      <c r="IM141" s="289"/>
      <c r="IN141" s="289"/>
      <c r="IO141" s="289"/>
      <c r="IP141" s="289"/>
      <c r="IQ141" s="289"/>
      <c r="IR141" s="289"/>
      <c r="IS141" s="289"/>
      <c r="IT141" s="289"/>
      <c r="IU141" s="289"/>
      <c r="IV141" s="289"/>
      <c r="IW141" s="289"/>
      <c r="IX141" s="289"/>
    </row>
    <row r="142" spans="1:258" s="21" customFormat="1">
      <c r="A142" s="377"/>
      <c r="B142" s="377"/>
      <c r="C142" s="1250"/>
      <c r="D142" s="304"/>
      <c r="E142" s="377"/>
      <c r="F142" s="377"/>
      <c r="G142" s="377"/>
      <c r="H142" s="377"/>
      <c r="I142" s="377"/>
      <c r="J142" s="377"/>
      <c r="K142" s="377"/>
      <c r="L142" s="377"/>
      <c r="M142" s="377"/>
      <c r="N142" s="377"/>
      <c r="O142" s="377"/>
      <c r="P142" s="377"/>
      <c r="Q142" s="377"/>
      <c r="R142" s="377"/>
      <c r="S142" s="377"/>
      <c r="T142" s="377"/>
      <c r="U142" s="377"/>
      <c r="V142" s="1241"/>
      <c r="W142" s="377"/>
      <c r="X142" s="377"/>
      <c r="Y142" s="377"/>
      <c r="Z142" s="377"/>
      <c r="AA142" s="377"/>
      <c r="AB142" s="377"/>
      <c r="AC142" s="377"/>
      <c r="AD142" s="377"/>
      <c r="AE142" s="377"/>
      <c r="AF142" s="377"/>
      <c r="AG142" s="377"/>
      <c r="AH142" s="377"/>
      <c r="AI142" s="377"/>
      <c r="AJ142" s="377"/>
      <c r="AK142" s="377"/>
      <c r="AL142" s="377"/>
      <c r="AM142" s="377"/>
      <c r="AN142" s="377"/>
      <c r="AO142" s="377"/>
      <c r="AP142" s="377"/>
      <c r="AQ142" s="377"/>
      <c r="AR142" s="377"/>
      <c r="AS142" s="377"/>
      <c r="AT142" s="377"/>
      <c r="AU142" s="377"/>
      <c r="AV142" s="289"/>
      <c r="AW142" s="289"/>
      <c r="AX142" s="289"/>
      <c r="AY142" s="377"/>
      <c r="AZ142" s="377"/>
      <c r="BA142" s="377"/>
      <c r="BB142" s="377"/>
      <c r="BC142" s="377"/>
      <c r="BD142" s="289"/>
      <c r="BE142" s="289"/>
      <c r="BF142" s="289"/>
      <c r="BG142" s="289"/>
      <c r="BH142" s="289"/>
      <c r="BI142" s="289"/>
      <c r="BJ142" s="289"/>
      <c r="BK142" s="289"/>
      <c r="BL142" s="289"/>
      <c r="BM142" s="289"/>
      <c r="BN142" s="289"/>
      <c r="BO142" s="289"/>
      <c r="BP142" s="289"/>
      <c r="BQ142" s="289"/>
      <c r="BR142" s="289"/>
      <c r="BS142" s="289"/>
      <c r="BT142" s="289"/>
      <c r="BU142" s="289"/>
      <c r="BV142" s="289"/>
      <c r="BW142" s="289"/>
      <c r="BX142" s="289"/>
      <c r="BY142" s="289"/>
      <c r="BZ142" s="289"/>
      <c r="CA142" s="289"/>
      <c r="CB142" s="289"/>
      <c r="CC142" s="289"/>
      <c r="CD142" s="289"/>
      <c r="CE142" s="289"/>
      <c r="CF142" s="289"/>
      <c r="CG142" s="289"/>
      <c r="CH142" s="289"/>
      <c r="CI142" s="289"/>
      <c r="CJ142" s="289"/>
      <c r="CK142" s="289"/>
      <c r="CL142" s="289"/>
      <c r="CM142" s="289"/>
      <c r="CN142" s="289"/>
      <c r="CO142" s="289"/>
      <c r="CP142" s="289"/>
      <c r="CQ142" s="289"/>
      <c r="CR142" s="289"/>
      <c r="CS142" s="289"/>
      <c r="CT142" s="289"/>
      <c r="CU142" s="289"/>
      <c r="CV142" s="289"/>
      <c r="CW142" s="289"/>
      <c r="CX142" s="289"/>
      <c r="CY142" s="289"/>
      <c r="CZ142" s="289"/>
      <c r="DA142" s="289"/>
      <c r="DB142" s="289"/>
      <c r="DC142" s="289"/>
      <c r="DD142" s="289"/>
      <c r="DE142" s="289"/>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89"/>
      <c r="EB142" s="289"/>
      <c r="EC142" s="289"/>
      <c r="ED142" s="289"/>
      <c r="EE142" s="289"/>
      <c r="EF142" s="289"/>
      <c r="EG142" s="289"/>
      <c r="EH142" s="289"/>
      <c r="EI142" s="289"/>
      <c r="EJ142" s="289"/>
      <c r="EK142" s="289"/>
      <c r="EL142" s="289"/>
      <c r="EM142" s="289"/>
      <c r="EN142" s="289"/>
      <c r="EO142" s="289"/>
      <c r="EP142" s="289"/>
      <c r="EQ142" s="289"/>
      <c r="ER142" s="289"/>
      <c r="ES142" s="289"/>
      <c r="ET142" s="289"/>
      <c r="EU142" s="289"/>
      <c r="EV142" s="289"/>
      <c r="EW142" s="289"/>
      <c r="EX142" s="289"/>
      <c r="EY142" s="289"/>
      <c r="EZ142" s="289"/>
      <c r="FA142" s="289"/>
      <c r="FB142" s="289"/>
      <c r="FC142" s="289"/>
      <c r="FD142" s="289"/>
      <c r="FE142" s="289"/>
      <c r="FF142" s="289"/>
      <c r="FG142" s="289"/>
      <c r="FH142" s="289"/>
      <c r="FI142" s="289"/>
      <c r="FJ142" s="289"/>
      <c r="FK142" s="289"/>
      <c r="FL142" s="289"/>
      <c r="FM142" s="289"/>
      <c r="FN142" s="289"/>
      <c r="FO142" s="289"/>
      <c r="FP142" s="289"/>
      <c r="FQ142" s="289"/>
      <c r="FR142" s="289"/>
      <c r="FS142" s="289"/>
      <c r="FT142" s="289"/>
      <c r="FU142" s="289"/>
      <c r="FV142" s="289"/>
      <c r="FW142" s="289"/>
      <c r="FX142" s="289"/>
      <c r="FY142" s="289"/>
      <c r="FZ142" s="289"/>
      <c r="GA142" s="289"/>
      <c r="GB142" s="289"/>
      <c r="GC142" s="289"/>
      <c r="GD142" s="289"/>
      <c r="GE142" s="289"/>
      <c r="GF142" s="289"/>
      <c r="GG142" s="289"/>
      <c r="GH142" s="289"/>
      <c r="GI142" s="289"/>
      <c r="GJ142" s="289"/>
      <c r="GK142" s="289"/>
      <c r="GL142" s="289"/>
      <c r="GM142" s="289"/>
      <c r="GN142" s="289"/>
      <c r="GO142" s="289"/>
      <c r="GP142" s="289"/>
      <c r="GQ142" s="289"/>
      <c r="GR142" s="289"/>
      <c r="GS142" s="289"/>
      <c r="GT142" s="289"/>
      <c r="GU142" s="289"/>
      <c r="GV142" s="289"/>
      <c r="GW142" s="289"/>
      <c r="GX142" s="289"/>
      <c r="GY142" s="289"/>
      <c r="GZ142" s="289"/>
      <c r="HA142" s="289"/>
      <c r="HB142" s="289"/>
      <c r="HC142" s="289"/>
      <c r="HD142" s="289"/>
      <c r="HE142" s="289"/>
      <c r="HF142" s="289"/>
      <c r="HG142" s="289"/>
      <c r="HH142" s="289"/>
      <c r="HI142" s="289"/>
      <c r="HJ142" s="289"/>
      <c r="HK142" s="289"/>
      <c r="HL142" s="289"/>
      <c r="HM142" s="289"/>
      <c r="HN142" s="289"/>
      <c r="HO142" s="289"/>
      <c r="HP142" s="289"/>
      <c r="HQ142" s="289"/>
      <c r="HR142" s="289"/>
      <c r="HS142" s="289"/>
      <c r="HT142" s="289"/>
      <c r="HU142" s="289"/>
      <c r="HV142" s="289"/>
      <c r="HW142" s="289"/>
      <c r="HX142" s="289"/>
      <c r="HY142" s="289"/>
      <c r="HZ142" s="289"/>
      <c r="IA142" s="289"/>
      <c r="IB142" s="289"/>
      <c r="IC142" s="289"/>
      <c r="ID142" s="289"/>
      <c r="IE142" s="289"/>
      <c r="IF142" s="289"/>
      <c r="IG142" s="289"/>
      <c r="IH142" s="289"/>
      <c r="II142" s="289"/>
      <c r="IJ142" s="289"/>
      <c r="IK142" s="289"/>
      <c r="IL142" s="289"/>
      <c r="IM142" s="289"/>
      <c r="IN142" s="289"/>
      <c r="IO142" s="289"/>
      <c r="IP142" s="289"/>
      <c r="IQ142" s="289"/>
      <c r="IR142" s="289"/>
      <c r="IS142" s="289"/>
      <c r="IT142" s="289"/>
      <c r="IU142" s="289"/>
      <c r="IV142" s="289"/>
      <c r="IW142" s="289"/>
      <c r="IX142" s="289"/>
    </row>
    <row r="143" spans="1:258" s="21" customFormat="1">
      <c r="A143" s="377"/>
      <c r="B143" s="377"/>
      <c r="C143" s="377"/>
      <c r="D143" s="377"/>
      <c r="E143" s="377"/>
      <c r="F143" s="377"/>
      <c r="G143" s="377"/>
      <c r="H143" s="377"/>
      <c r="I143" s="377"/>
      <c r="J143" s="377"/>
      <c r="K143" s="377"/>
      <c r="L143" s="377"/>
      <c r="M143" s="377"/>
      <c r="N143" s="377"/>
      <c r="O143" s="377"/>
      <c r="P143" s="377"/>
      <c r="Q143" s="377"/>
      <c r="R143" s="377"/>
      <c r="S143" s="377"/>
      <c r="T143" s="377"/>
      <c r="U143" s="377"/>
      <c r="V143" s="1241"/>
      <c r="W143" s="377"/>
      <c r="X143" s="377"/>
      <c r="Y143" s="377"/>
      <c r="Z143" s="377"/>
      <c r="AA143" s="377"/>
      <c r="AB143" s="377"/>
      <c r="AC143" s="377"/>
      <c r="AD143" s="377"/>
      <c r="AE143" s="377"/>
      <c r="AF143" s="377"/>
      <c r="AG143" s="377"/>
      <c r="AH143" s="377"/>
      <c r="AI143" s="377"/>
      <c r="AJ143" s="377"/>
      <c r="AK143" s="377"/>
      <c r="AL143" s="377"/>
      <c r="AM143" s="377"/>
      <c r="AN143" s="377"/>
      <c r="AO143" s="377"/>
      <c r="AP143" s="377"/>
      <c r="AQ143" s="377"/>
      <c r="AR143" s="377"/>
      <c r="AS143" s="377"/>
      <c r="AT143" s="377"/>
      <c r="AU143" s="377"/>
      <c r="AV143" s="289"/>
      <c r="AW143" s="289"/>
      <c r="AX143" s="289"/>
      <c r="AY143" s="377"/>
      <c r="AZ143" s="377"/>
      <c r="BA143" s="377"/>
      <c r="BB143" s="377"/>
      <c r="BC143" s="377"/>
      <c r="BD143" s="289"/>
      <c r="BE143" s="289"/>
      <c r="BF143" s="289"/>
      <c r="BG143" s="289"/>
      <c r="BH143" s="289"/>
      <c r="BI143" s="289"/>
      <c r="BJ143" s="289"/>
      <c r="BK143" s="289"/>
      <c r="BL143" s="289"/>
      <c r="BM143" s="289"/>
      <c r="BN143" s="289"/>
      <c r="BO143" s="289"/>
      <c r="BP143" s="289"/>
      <c r="BQ143" s="289"/>
      <c r="BR143" s="289"/>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289"/>
      <c r="CT143" s="289"/>
      <c r="CU143" s="289"/>
      <c r="CV143" s="289"/>
      <c r="CW143" s="289"/>
      <c r="CX143" s="289"/>
      <c r="CY143" s="289"/>
      <c r="CZ143" s="289"/>
      <c r="DA143" s="289"/>
      <c r="DB143" s="289"/>
      <c r="DC143" s="289"/>
      <c r="DD143" s="289"/>
      <c r="DE143" s="289"/>
      <c r="DF143" s="289"/>
      <c r="DG143" s="289"/>
      <c r="DH143" s="289"/>
      <c r="DI143" s="289"/>
      <c r="DJ143" s="289"/>
      <c r="DK143" s="289"/>
      <c r="DL143" s="289"/>
      <c r="DM143" s="289"/>
      <c r="DN143" s="289"/>
      <c r="DO143" s="289"/>
      <c r="DP143" s="289"/>
      <c r="DQ143" s="289"/>
      <c r="DR143" s="289"/>
      <c r="DS143" s="289"/>
      <c r="DT143" s="289"/>
      <c r="DU143" s="289"/>
      <c r="DV143" s="289"/>
      <c r="DW143" s="289"/>
      <c r="DX143" s="289"/>
      <c r="DY143" s="289"/>
      <c r="DZ143" s="289"/>
      <c r="EA143" s="289"/>
      <c r="EB143" s="289"/>
      <c r="EC143" s="289"/>
      <c r="ED143" s="289"/>
      <c r="EE143" s="289"/>
      <c r="EF143" s="289"/>
      <c r="EG143" s="289"/>
      <c r="EH143" s="289"/>
      <c r="EI143" s="289"/>
      <c r="EJ143" s="289"/>
      <c r="EK143" s="289"/>
      <c r="EL143" s="289"/>
      <c r="EM143" s="289"/>
      <c r="EN143" s="289"/>
      <c r="EO143" s="289"/>
      <c r="EP143" s="289"/>
      <c r="EQ143" s="289"/>
      <c r="ER143" s="289"/>
      <c r="ES143" s="289"/>
      <c r="ET143" s="289"/>
      <c r="EU143" s="289"/>
      <c r="EV143" s="289"/>
      <c r="EW143" s="289"/>
      <c r="EX143" s="289"/>
      <c r="EY143" s="289"/>
      <c r="EZ143" s="289"/>
      <c r="FA143" s="289"/>
      <c r="FB143" s="289"/>
      <c r="FC143" s="289"/>
      <c r="FD143" s="289"/>
      <c r="FE143" s="289"/>
      <c r="FF143" s="289"/>
      <c r="FG143" s="289"/>
      <c r="FH143" s="289"/>
      <c r="FI143" s="289"/>
      <c r="FJ143" s="289"/>
      <c r="FK143" s="289"/>
      <c r="FL143" s="289"/>
      <c r="FM143" s="289"/>
      <c r="FN143" s="289"/>
      <c r="FO143" s="289"/>
      <c r="FP143" s="289"/>
      <c r="FQ143" s="289"/>
      <c r="FR143" s="289"/>
      <c r="FS143" s="289"/>
      <c r="FT143" s="289"/>
      <c r="FU143" s="289"/>
      <c r="FV143" s="289"/>
      <c r="FW143" s="289"/>
      <c r="FX143" s="289"/>
      <c r="FY143" s="289"/>
      <c r="FZ143" s="289"/>
      <c r="GA143" s="289"/>
      <c r="GB143" s="289"/>
      <c r="GC143" s="289"/>
      <c r="GD143" s="289"/>
      <c r="GE143" s="289"/>
      <c r="GF143" s="289"/>
      <c r="GG143" s="289"/>
      <c r="GH143" s="289"/>
      <c r="GI143" s="289"/>
      <c r="GJ143" s="289"/>
      <c r="GK143" s="289"/>
      <c r="GL143" s="289"/>
      <c r="GM143" s="289"/>
      <c r="GN143" s="289"/>
      <c r="GO143" s="289"/>
      <c r="GP143" s="289"/>
      <c r="GQ143" s="289"/>
      <c r="GR143" s="289"/>
      <c r="GS143" s="289"/>
      <c r="GT143" s="289"/>
      <c r="GU143" s="289"/>
      <c r="GV143" s="289"/>
      <c r="GW143" s="289"/>
      <c r="GX143" s="289"/>
      <c r="GY143" s="289"/>
      <c r="GZ143" s="289"/>
      <c r="HA143" s="289"/>
      <c r="HB143" s="289"/>
      <c r="HC143" s="289"/>
      <c r="HD143" s="289"/>
      <c r="HE143" s="289"/>
      <c r="HF143" s="289"/>
      <c r="HG143" s="289"/>
      <c r="HH143" s="289"/>
      <c r="HI143" s="289"/>
      <c r="HJ143" s="289"/>
      <c r="HK143" s="289"/>
      <c r="HL143" s="289"/>
      <c r="HM143" s="289"/>
      <c r="HN143" s="289"/>
      <c r="HO143" s="289"/>
      <c r="HP143" s="289"/>
      <c r="HQ143" s="289"/>
      <c r="HR143" s="289"/>
      <c r="HS143" s="289"/>
      <c r="HT143" s="289"/>
      <c r="HU143" s="289"/>
      <c r="HV143" s="289"/>
      <c r="HW143" s="289"/>
      <c r="HX143" s="289"/>
      <c r="HY143" s="289"/>
      <c r="HZ143" s="289"/>
      <c r="IA143" s="289"/>
      <c r="IB143" s="289"/>
      <c r="IC143" s="289"/>
      <c r="ID143" s="289"/>
      <c r="IE143" s="289"/>
      <c r="IF143" s="289"/>
      <c r="IG143" s="289"/>
      <c r="IH143" s="289"/>
      <c r="II143" s="289"/>
      <c r="IJ143" s="289"/>
      <c r="IK143" s="289"/>
      <c r="IL143" s="289"/>
      <c r="IM143" s="289"/>
      <c r="IN143" s="289"/>
      <c r="IO143" s="289"/>
      <c r="IP143" s="289"/>
      <c r="IQ143" s="289"/>
      <c r="IR143" s="289"/>
      <c r="IS143" s="289"/>
      <c r="IT143" s="289"/>
      <c r="IU143" s="289"/>
      <c r="IV143" s="289"/>
      <c r="IW143" s="289"/>
      <c r="IX143" s="289"/>
    </row>
    <row r="144" spans="1:258" s="21" customFormat="1">
      <c r="A144" s="289"/>
      <c r="B144" s="289"/>
      <c r="C144" s="289"/>
      <c r="D144" s="289"/>
      <c r="E144" s="289"/>
      <c r="F144" s="289"/>
      <c r="G144" s="289"/>
      <c r="H144" s="289"/>
      <c r="I144" s="289"/>
      <c r="J144" s="289"/>
      <c r="K144" s="289"/>
      <c r="L144" s="289"/>
      <c r="M144" s="289"/>
      <c r="N144" s="289"/>
      <c r="O144" s="289"/>
      <c r="P144" s="289"/>
      <c r="Q144" s="289"/>
      <c r="R144" s="289"/>
      <c r="S144" s="289"/>
      <c r="T144" s="289"/>
      <c r="U144" s="289"/>
      <c r="V144" s="575"/>
      <c r="W144" s="289"/>
      <c r="X144" s="289"/>
      <c r="Y144" s="289"/>
      <c r="Z144" s="289"/>
      <c r="AA144" s="289"/>
      <c r="AB144" s="289"/>
      <c r="AC144" s="289"/>
      <c r="AD144" s="289"/>
      <c r="AE144" s="289"/>
      <c r="AF144" s="289"/>
      <c r="AG144" s="289"/>
      <c r="AH144" s="289"/>
      <c r="AI144" s="289"/>
      <c r="AJ144" s="289"/>
      <c r="AK144" s="289"/>
      <c r="AL144" s="289"/>
      <c r="AM144" s="289"/>
      <c r="AN144" s="289"/>
      <c r="AO144" s="289"/>
      <c r="AP144" s="289"/>
      <c r="AQ144" s="289"/>
      <c r="AR144" s="289"/>
      <c r="AS144" s="289"/>
      <c r="AT144" s="289"/>
      <c r="AU144" s="289"/>
      <c r="AV144" s="289"/>
      <c r="AW144" s="289"/>
      <c r="AX144" s="289"/>
      <c r="AY144" s="289"/>
      <c r="AZ144" s="289"/>
      <c r="BA144" s="289"/>
      <c r="BB144" s="289"/>
      <c r="BC144" s="289"/>
      <c r="BD144" s="289"/>
      <c r="BE144" s="289"/>
      <c r="BF144" s="289"/>
      <c r="BG144" s="289"/>
      <c r="BH144" s="289"/>
      <c r="BI144" s="289"/>
      <c r="BJ144" s="289"/>
      <c r="BK144" s="289"/>
      <c r="BL144" s="289"/>
      <c r="BM144" s="289"/>
      <c r="BN144" s="289"/>
      <c r="BO144" s="289"/>
      <c r="BP144" s="289"/>
      <c r="BQ144" s="289"/>
      <c r="BR144" s="289"/>
      <c r="BS144" s="289"/>
      <c r="BT144" s="289"/>
      <c r="BU144" s="289"/>
      <c r="BV144" s="289"/>
      <c r="BW144" s="289"/>
      <c r="BX144" s="289"/>
      <c r="BY144" s="289"/>
      <c r="BZ144" s="289"/>
      <c r="CA144" s="289"/>
      <c r="CB144" s="289"/>
      <c r="CC144" s="289"/>
      <c r="CD144" s="289"/>
      <c r="CE144" s="289"/>
      <c r="CF144" s="289"/>
      <c r="CG144" s="289"/>
      <c r="CH144" s="289"/>
      <c r="CI144" s="289"/>
      <c r="CJ144" s="289"/>
      <c r="CK144" s="289"/>
      <c r="CL144" s="289"/>
      <c r="CM144" s="289"/>
      <c r="CN144" s="289"/>
      <c r="CO144" s="289"/>
      <c r="CP144" s="289"/>
      <c r="CQ144" s="289"/>
      <c r="CR144" s="289"/>
      <c r="CS144" s="289"/>
      <c r="CT144" s="289"/>
      <c r="CU144" s="289"/>
      <c r="CV144" s="289"/>
      <c r="CW144" s="289"/>
      <c r="CX144" s="289"/>
      <c r="CY144" s="289"/>
      <c r="CZ144" s="289"/>
      <c r="DA144" s="289"/>
      <c r="DB144" s="289"/>
      <c r="DC144" s="289"/>
      <c r="DD144" s="289"/>
      <c r="DE144" s="289"/>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89"/>
      <c r="EB144" s="289"/>
      <c r="EC144" s="289"/>
      <c r="ED144" s="289"/>
      <c r="EE144" s="289"/>
      <c r="EF144" s="289"/>
      <c r="EG144" s="289"/>
      <c r="EH144" s="289"/>
      <c r="EI144" s="289"/>
      <c r="EJ144" s="289"/>
      <c r="EK144" s="289"/>
      <c r="EL144" s="289"/>
      <c r="EM144" s="289"/>
      <c r="EN144" s="289"/>
      <c r="EO144" s="289"/>
      <c r="EP144" s="289"/>
      <c r="EQ144" s="289"/>
      <c r="ER144" s="289"/>
      <c r="ES144" s="289"/>
      <c r="ET144" s="289"/>
      <c r="EU144" s="289"/>
      <c r="EV144" s="289"/>
      <c r="EW144" s="289"/>
      <c r="EX144" s="289"/>
      <c r="EY144" s="289"/>
      <c r="EZ144" s="289"/>
      <c r="FA144" s="289"/>
      <c r="FB144" s="289"/>
      <c r="FC144" s="289"/>
      <c r="FD144" s="289"/>
      <c r="FE144" s="289"/>
      <c r="FF144" s="289"/>
      <c r="FG144" s="289"/>
      <c r="FH144" s="289"/>
      <c r="FI144" s="289"/>
      <c r="FJ144" s="289"/>
      <c r="FK144" s="289"/>
      <c r="FL144" s="289"/>
      <c r="FM144" s="289"/>
      <c r="FN144" s="289"/>
      <c r="FO144" s="289"/>
      <c r="FP144" s="289"/>
      <c r="FQ144" s="289"/>
      <c r="FR144" s="289"/>
      <c r="FS144" s="289"/>
      <c r="FT144" s="289"/>
      <c r="FU144" s="289"/>
      <c r="FV144" s="289"/>
      <c r="FW144" s="289"/>
      <c r="FX144" s="289"/>
      <c r="FY144" s="289"/>
      <c r="FZ144" s="289"/>
      <c r="GA144" s="289"/>
      <c r="GB144" s="289"/>
      <c r="GC144" s="289"/>
      <c r="GD144" s="289"/>
      <c r="GE144" s="289"/>
      <c r="GF144" s="289"/>
      <c r="GG144" s="289"/>
      <c r="GH144" s="289"/>
      <c r="GI144" s="289"/>
      <c r="GJ144" s="289"/>
      <c r="GK144" s="289"/>
      <c r="GL144" s="289"/>
      <c r="GM144" s="289"/>
      <c r="GN144" s="289"/>
      <c r="GO144" s="289"/>
      <c r="GP144" s="289"/>
      <c r="GQ144" s="289"/>
      <c r="GR144" s="289"/>
      <c r="GS144" s="289"/>
      <c r="GT144" s="289"/>
      <c r="GU144" s="289"/>
      <c r="GV144" s="289"/>
      <c r="GW144" s="289"/>
      <c r="GX144" s="289"/>
      <c r="GY144" s="289"/>
      <c r="GZ144" s="289"/>
      <c r="HA144" s="289"/>
      <c r="HB144" s="289"/>
      <c r="HC144" s="289"/>
      <c r="HD144" s="289"/>
      <c r="HE144" s="289"/>
      <c r="HF144" s="289"/>
      <c r="HG144" s="289"/>
      <c r="HH144" s="289"/>
      <c r="HI144" s="289"/>
      <c r="HJ144" s="289"/>
      <c r="HK144" s="289"/>
      <c r="HL144" s="289"/>
      <c r="HM144" s="289"/>
      <c r="HN144" s="289"/>
      <c r="HO144" s="289"/>
      <c r="HP144" s="289"/>
      <c r="HQ144" s="289"/>
      <c r="HR144" s="289"/>
      <c r="HS144" s="289"/>
      <c r="HT144" s="289"/>
      <c r="HU144" s="289"/>
      <c r="HV144" s="289"/>
      <c r="HW144" s="289"/>
      <c r="HX144" s="289"/>
      <c r="HY144" s="289"/>
      <c r="HZ144" s="289"/>
      <c r="IA144" s="289"/>
      <c r="IB144" s="289"/>
      <c r="IC144" s="289"/>
      <c r="ID144" s="289"/>
      <c r="IE144" s="289"/>
      <c r="IF144" s="289"/>
      <c r="IG144" s="289"/>
      <c r="IH144" s="289"/>
      <c r="II144" s="289"/>
      <c r="IJ144" s="289"/>
      <c r="IK144" s="289"/>
      <c r="IL144" s="289"/>
      <c r="IM144" s="289"/>
      <c r="IN144" s="289"/>
      <c r="IO144" s="289"/>
      <c r="IP144" s="289"/>
      <c r="IQ144" s="289"/>
      <c r="IR144" s="289"/>
      <c r="IS144" s="289"/>
      <c r="IT144" s="289"/>
      <c r="IU144" s="289"/>
      <c r="IV144" s="289"/>
      <c r="IW144" s="289"/>
      <c r="IX144" s="289"/>
    </row>
    <row r="145" spans="1:258" s="21" customFormat="1">
      <c r="A145" s="289"/>
      <c r="B145" s="289"/>
      <c r="C145" s="289"/>
      <c r="D145" s="289"/>
      <c r="E145" s="289"/>
      <c r="F145" s="289"/>
      <c r="G145" s="289"/>
      <c r="H145" s="289"/>
      <c r="I145" s="289"/>
      <c r="J145" s="289"/>
      <c r="K145" s="289"/>
      <c r="L145" s="289"/>
      <c r="M145" s="289"/>
      <c r="N145" s="289"/>
      <c r="O145" s="289"/>
      <c r="P145" s="289"/>
      <c r="Q145" s="289"/>
      <c r="R145" s="289"/>
      <c r="S145" s="289"/>
      <c r="T145" s="289"/>
      <c r="U145" s="289"/>
      <c r="V145" s="575"/>
      <c r="W145" s="289"/>
      <c r="X145" s="289"/>
      <c r="Y145" s="289"/>
      <c r="Z145" s="289"/>
      <c r="AA145" s="289"/>
      <c r="AB145" s="289"/>
      <c r="AC145" s="289"/>
      <c r="AD145" s="289"/>
      <c r="AE145" s="289"/>
      <c r="AF145" s="289"/>
      <c r="AG145" s="289"/>
      <c r="AH145" s="289"/>
      <c r="AI145" s="289"/>
      <c r="AJ145" s="289"/>
      <c r="AK145" s="289"/>
      <c r="AL145" s="289"/>
      <c r="AM145" s="289"/>
      <c r="AN145" s="289"/>
      <c r="AO145" s="289"/>
      <c r="AP145" s="289"/>
      <c r="AQ145" s="289"/>
      <c r="AR145" s="289"/>
      <c r="AS145" s="289"/>
      <c r="AT145" s="289"/>
      <c r="AU145" s="289"/>
      <c r="AV145" s="289"/>
      <c r="AW145" s="289"/>
      <c r="AX145" s="289"/>
      <c r="AY145" s="289"/>
      <c r="AZ145" s="289"/>
      <c r="BA145" s="289"/>
      <c r="BB145" s="289"/>
      <c r="BC145" s="289"/>
      <c r="BD145" s="289"/>
      <c r="BE145" s="289"/>
      <c r="BF145" s="289"/>
      <c r="BG145" s="289"/>
      <c r="BH145" s="289"/>
      <c r="BI145" s="289"/>
      <c r="BJ145" s="289"/>
      <c r="BK145" s="289"/>
      <c r="BL145" s="289"/>
      <c r="BM145" s="289"/>
      <c r="BN145" s="289"/>
      <c r="BO145" s="289"/>
      <c r="BP145" s="289"/>
      <c r="BQ145" s="289"/>
      <c r="BR145" s="289"/>
      <c r="BS145" s="289"/>
      <c r="BT145" s="289"/>
      <c r="BU145" s="289"/>
      <c r="BV145" s="289"/>
      <c r="BW145" s="289"/>
      <c r="BX145" s="289"/>
      <c r="BY145" s="289"/>
      <c r="BZ145" s="289"/>
      <c r="CA145" s="289"/>
      <c r="CB145" s="289"/>
      <c r="CC145" s="289"/>
      <c r="CD145" s="289"/>
      <c r="CE145" s="289"/>
      <c r="CF145" s="289"/>
      <c r="CG145" s="289"/>
      <c r="CH145" s="289"/>
      <c r="CI145" s="289"/>
      <c r="CJ145" s="289"/>
      <c r="CK145" s="289"/>
      <c r="CL145" s="289"/>
      <c r="CM145" s="289"/>
      <c r="CN145" s="289"/>
      <c r="CO145" s="289"/>
      <c r="CP145" s="289"/>
      <c r="CQ145" s="289"/>
      <c r="CR145" s="289"/>
      <c r="CS145" s="289"/>
      <c r="CT145" s="289"/>
      <c r="CU145" s="289"/>
      <c r="CV145" s="289"/>
      <c r="CW145" s="289"/>
      <c r="CX145" s="289"/>
      <c r="CY145" s="289"/>
      <c r="CZ145" s="289"/>
      <c r="DA145" s="289"/>
      <c r="DB145" s="289"/>
      <c r="DC145" s="289"/>
      <c r="DD145" s="289"/>
      <c r="DE145" s="289"/>
      <c r="DF145" s="289"/>
      <c r="DG145" s="289"/>
      <c r="DH145" s="289"/>
      <c r="DI145" s="289"/>
      <c r="DJ145" s="289"/>
      <c r="DK145" s="289"/>
      <c r="DL145" s="289"/>
      <c r="DM145" s="289"/>
      <c r="DN145" s="289"/>
      <c r="DO145" s="289"/>
      <c r="DP145" s="289"/>
      <c r="DQ145" s="289"/>
      <c r="DR145" s="289"/>
      <c r="DS145" s="289"/>
      <c r="DT145" s="289"/>
      <c r="DU145" s="289"/>
      <c r="DV145" s="289"/>
      <c r="DW145" s="289"/>
      <c r="DX145" s="289"/>
      <c r="DY145" s="289"/>
      <c r="DZ145" s="289"/>
      <c r="EA145" s="289"/>
      <c r="EB145" s="289"/>
      <c r="EC145" s="289"/>
      <c r="ED145" s="289"/>
      <c r="EE145" s="289"/>
      <c r="EF145" s="289"/>
      <c r="EG145" s="289"/>
      <c r="EH145" s="289"/>
      <c r="EI145" s="289"/>
      <c r="EJ145" s="289"/>
      <c r="EK145" s="289"/>
      <c r="EL145" s="289"/>
      <c r="EM145" s="289"/>
      <c r="EN145" s="289"/>
      <c r="EO145" s="289"/>
      <c r="EP145" s="289"/>
      <c r="EQ145" s="289"/>
      <c r="ER145" s="289"/>
      <c r="ES145" s="289"/>
      <c r="ET145" s="289"/>
      <c r="EU145" s="289"/>
      <c r="EV145" s="289"/>
      <c r="EW145" s="289"/>
      <c r="EX145" s="289"/>
      <c r="EY145" s="289"/>
      <c r="EZ145" s="289"/>
      <c r="FA145" s="289"/>
      <c r="FB145" s="289"/>
      <c r="FC145" s="289"/>
      <c r="FD145" s="289"/>
      <c r="FE145" s="289"/>
      <c r="FF145" s="289"/>
      <c r="FG145" s="289"/>
      <c r="FH145" s="289"/>
      <c r="FI145" s="289"/>
      <c r="FJ145" s="289"/>
      <c r="FK145" s="289"/>
      <c r="FL145" s="289"/>
      <c r="FM145" s="289"/>
      <c r="FN145" s="289"/>
      <c r="FO145" s="289"/>
      <c r="FP145" s="289"/>
      <c r="FQ145" s="289"/>
      <c r="FR145" s="289"/>
      <c r="FS145" s="289"/>
      <c r="FT145" s="289"/>
      <c r="FU145" s="289"/>
      <c r="FV145" s="289"/>
      <c r="FW145" s="289"/>
      <c r="FX145" s="289"/>
      <c r="FY145" s="289"/>
      <c r="FZ145" s="289"/>
      <c r="GA145" s="289"/>
      <c r="GB145" s="289"/>
      <c r="GC145" s="289"/>
      <c r="GD145" s="289"/>
      <c r="GE145" s="289"/>
      <c r="GF145" s="289"/>
      <c r="GG145" s="289"/>
      <c r="GH145" s="289"/>
      <c r="GI145" s="289"/>
      <c r="GJ145" s="289"/>
      <c r="GK145" s="289"/>
      <c r="GL145" s="289"/>
      <c r="GM145" s="289"/>
      <c r="GN145" s="289"/>
      <c r="GO145" s="289"/>
      <c r="GP145" s="289"/>
      <c r="GQ145" s="289"/>
      <c r="GR145" s="289"/>
      <c r="GS145" s="289"/>
      <c r="GT145" s="289"/>
      <c r="GU145" s="289"/>
      <c r="GV145" s="289"/>
      <c r="GW145" s="289"/>
      <c r="GX145" s="289"/>
      <c r="GY145" s="289"/>
      <c r="GZ145" s="289"/>
      <c r="HA145" s="289"/>
      <c r="HB145" s="289"/>
      <c r="HC145" s="289"/>
      <c r="HD145" s="289"/>
      <c r="HE145" s="289"/>
      <c r="HF145" s="289"/>
      <c r="HG145" s="289"/>
      <c r="HH145" s="289"/>
      <c r="HI145" s="289"/>
      <c r="HJ145" s="289"/>
      <c r="HK145" s="289"/>
      <c r="HL145" s="289"/>
      <c r="HM145" s="289"/>
      <c r="HN145" s="289"/>
      <c r="HO145" s="289"/>
      <c r="HP145" s="289"/>
      <c r="HQ145" s="289"/>
      <c r="HR145" s="289"/>
      <c r="HS145" s="289"/>
      <c r="HT145" s="289"/>
      <c r="HU145" s="289"/>
      <c r="HV145" s="289"/>
      <c r="HW145" s="289"/>
      <c r="HX145" s="289"/>
      <c r="HY145" s="289"/>
      <c r="HZ145" s="289"/>
      <c r="IA145" s="289"/>
      <c r="IB145" s="289"/>
      <c r="IC145" s="289"/>
      <c r="ID145" s="289"/>
      <c r="IE145" s="289"/>
      <c r="IF145" s="289"/>
      <c r="IG145" s="289"/>
      <c r="IH145" s="289"/>
      <c r="II145" s="289"/>
      <c r="IJ145" s="289"/>
      <c r="IK145" s="289"/>
      <c r="IL145" s="289"/>
      <c r="IM145" s="289"/>
      <c r="IN145" s="289"/>
      <c r="IO145" s="289"/>
      <c r="IP145" s="289"/>
      <c r="IQ145" s="289"/>
      <c r="IR145" s="289"/>
      <c r="IS145" s="289"/>
      <c r="IT145" s="289"/>
      <c r="IU145" s="289"/>
      <c r="IV145" s="289"/>
      <c r="IW145" s="289"/>
      <c r="IX145" s="289"/>
    </row>
    <row r="146" spans="1:258" s="21" customFormat="1">
      <c r="A146" s="289"/>
      <c r="B146" s="289"/>
      <c r="C146" s="289"/>
      <c r="D146" s="289"/>
      <c r="E146" s="289"/>
      <c r="F146" s="289"/>
      <c r="G146" s="289"/>
      <c r="H146" s="289"/>
      <c r="I146" s="289"/>
      <c r="J146" s="289"/>
      <c r="K146" s="289"/>
      <c r="L146" s="289"/>
      <c r="M146" s="289"/>
      <c r="N146" s="289"/>
      <c r="O146" s="289"/>
      <c r="P146" s="289"/>
      <c r="Q146" s="289"/>
      <c r="R146" s="289"/>
      <c r="S146" s="289"/>
      <c r="T146" s="289"/>
      <c r="U146" s="289"/>
      <c r="V146" s="575"/>
      <c r="W146" s="289"/>
      <c r="X146" s="289"/>
      <c r="Y146" s="289"/>
      <c r="Z146" s="289"/>
      <c r="AA146" s="289"/>
      <c r="AB146" s="289"/>
      <c r="AC146" s="289"/>
      <c r="AD146" s="289"/>
      <c r="AE146" s="289"/>
      <c r="AF146" s="289"/>
      <c r="AG146" s="289"/>
      <c r="AH146" s="289"/>
      <c r="AI146" s="289"/>
      <c r="AJ146" s="289"/>
      <c r="AK146" s="289"/>
      <c r="AL146" s="289"/>
      <c r="AM146" s="289"/>
      <c r="AN146" s="289"/>
      <c r="AO146" s="289"/>
      <c r="AP146" s="289"/>
      <c r="AQ146" s="289"/>
      <c r="AR146" s="289"/>
      <c r="AS146" s="289"/>
      <c r="AT146" s="289"/>
      <c r="AU146" s="289"/>
      <c r="AV146" s="289"/>
      <c r="AW146" s="289"/>
      <c r="AX146" s="289"/>
      <c r="AY146" s="289"/>
      <c r="AZ146" s="289"/>
      <c r="BA146" s="289"/>
      <c r="BB146" s="289"/>
      <c r="BC146" s="289"/>
      <c r="BD146" s="289"/>
      <c r="BE146" s="289"/>
      <c r="BF146" s="289"/>
      <c r="BG146" s="289"/>
      <c r="BH146" s="289"/>
      <c r="BI146" s="289"/>
      <c r="BJ146" s="289"/>
      <c r="BK146" s="289"/>
      <c r="BL146" s="289"/>
      <c r="BM146" s="289"/>
      <c r="BN146" s="289"/>
      <c r="BO146" s="289"/>
      <c r="BP146" s="289"/>
      <c r="BQ146" s="289"/>
      <c r="BR146" s="289"/>
      <c r="BS146" s="289"/>
      <c r="BT146" s="289"/>
      <c r="BU146" s="289"/>
      <c r="BV146" s="289"/>
      <c r="BW146" s="289"/>
      <c r="BX146" s="289"/>
      <c r="BY146" s="289"/>
      <c r="BZ146" s="289"/>
      <c r="CA146" s="289"/>
      <c r="CB146" s="289"/>
      <c r="CC146" s="289"/>
      <c r="CD146" s="289"/>
      <c r="CE146" s="289"/>
      <c r="CF146" s="289"/>
      <c r="CG146" s="289"/>
      <c r="CH146" s="289"/>
      <c r="CI146" s="289"/>
      <c r="CJ146" s="289"/>
      <c r="CK146" s="289"/>
      <c r="CL146" s="289"/>
      <c r="CM146" s="289"/>
      <c r="CN146" s="289"/>
      <c r="CO146" s="289"/>
      <c r="CP146" s="289"/>
      <c r="CQ146" s="289"/>
      <c r="CR146" s="289"/>
      <c r="CS146" s="289"/>
      <c r="CT146" s="289"/>
      <c r="CU146" s="289"/>
      <c r="CV146" s="289"/>
      <c r="CW146" s="289"/>
      <c r="CX146" s="289"/>
      <c r="CY146" s="289"/>
      <c r="CZ146" s="289"/>
      <c r="DA146" s="289"/>
      <c r="DB146" s="289"/>
      <c r="DC146" s="289"/>
      <c r="DD146" s="289"/>
      <c r="DE146" s="289"/>
      <c r="DF146" s="289"/>
      <c r="DG146" s="289"/>
      <c r="DH146" s="289"/>
      <c r="DI146" s="289"/>
      <c r="DJ146" s="289"/>
      <c r="DK146" s="289"/>
      <c r="DL146" s="289"/>
      <c r="DM146" s="289"/>
      <c r="DN146" s="289"/>
      <c r="DO146" s="289"/>
      <c r="DP146" s="289"/>
      <c r="DQ146" s="289"/>
      <c r="DR146" s="289"/>
      <c r="DS146" s="289"/>
      <c r="DT146" s="289"/>
      <c r="DU146" s="289"/>
      <c r="DV146" s="289"/>
      <c r="DW146" s="289"/>
      <c r="DX146" s="289"/>
      <c r="DY146" s="289"/>
      <c r="DZ146" s="289"/>
      <c r="EA146" s="289"/>
      <c r="EB146" s="289"/>
      <c r="EC146" s="289"/>
      <c r="ED146" s="289"/>
      <c r="EE146" s="289"/>
      <c r="EF146" s="289"/>
      <c r="EG146" s="289"/>
      <c r="EH146" s="289"/>
      <c r="EI146" s="289"/>
      <c r="EJ146" s="289"/>
      <c r="EK146" s="289"/>
      <c r="EL146" s="289"/>
      <c r="EM146" s="289"/>
      <c r="EN146" s="289"/>
      <c r="EO146" s="289"/>
      <c r="EP146" s="289"/>
      <c r="EQ146" s="289"/>
      <c r="ER146" s="289"/>
      <c r="ES146" s="289"/>
      <c r="ET146" s="289"/>
      <c r="EU146" s="289"/>
      <c r="EV146" s="289"/>
      <c r="EW146" s="289"/>
      <c r="EX146" s="289"/>
      <c r="EY146" s="289"/>
      <c r="EZ146" s="289"/>
      <c r="FA146" s="289"/>
      <c r="FB146" s="289"/>
      <c r="FC146" s="289"/>
      <c r="FD146" s="289"/>
      <c r="FE146" s="289"/>
      <c r="FF146" s="289"/>
      <c r="FG146" s="289"/>
      <c r="FH146" s="289"/>
      <c r="FI146" s="289"/>
      <c r="FJ146" s="289"/>
      <c r="FK146" s="289"/>
      <c r="FL146" s="289"/>
      <c r="FM146" s="289"/>
      <c r="FN146" s="289"/>
      <c r="FO146" s="289"/>
      <c r="FP146" s="289"/>
      <c r="FQ146" s="289"/>
      <c r="FR146" s="289"/>
      <c r="FS146" s="289"/>
      <c r="FT146" s="289"/>
      <c r="FU146" s="289"/>
      <c r="FV146" s="289"/>
      <c r="FW146" s="289"/>
      <c r="FX146" s="289"/>
      <c r="FY146" s="289"/>
      <c r="FZ146" s="289"/>
      <c r="GA146" s="289"/>
      <c r="GB146" s="289"/>
      <c r="GC146" s="289"/>
      <c r="GD146" s="289"/>
      <c r="GE146" s="289"/>
      <c r="GF146" s="289"/>
      <c r="GG146" s="289"/>
      <c r="GH146" s="289"/>
      <c r="GI146" s="289"/>
      <c r="GJ146" s="289"/>
      <c r="GK146" s="289"/>
      <c r="GL146" s="289"/>
      <c r="GM146" s="289"/>
      <c r="GN146" s="289"/>
      <c r="GO146" s="289"/>
      <c r="GP146" s="289"/>
      <c r="GQ146" s="289"/>
      <c r="GR146" s="289"/>
      <c r="GS146" s="289"/>
      <c r="GT146" s="289"/>
      <c r="GU146" s="289"/>
      <c r="GV146" s="289"/>
      <c r="GW146" s="289"/>
      <c r="GX146" s="289"/>
      <c r="GY146" s="289"/>
      <c r="GZ146" s="289"/>
      <c r="HA146" s="289"/>
      <c r="HB146" s="289"/>
      <c r="HC146" s="289"/>
      <c r="HD146" s="289"/>
      <c r="HE146" s="289"/>
      <c r="HF146" s="289"/>
      <c r="HG146" s="289"/>
      <c r="HH146" s="289"/>
      <c r="HI146" s="289"/>
      <c r="HJ146" s="289"/>
      <c r="HK146" s="289"/>
      <c r="HL146" s="289"/>
      <c r="HM146" s="289"/>
      <c r="HN146" s="289"/>
      <c r="HO146" s="289"/>
      <c r="HP146" s="289"/>
      <c r="HQ146" s="289"/>
      <c r="HR146" s="289"/>
      <c r="HS146" s="289"/>
      <c r="HT146" s="289"/>
      <c r="HU146" s="289"/>
      <c r="HV146" s="289"/>
      <c r="HW146" s="289"/>
      <c r="HX146" s="289"/>
      <c r="HY146" s="289"/>
      <c r="HZ146" s="289"/>
      <c r="IA146" s="289"/>
      <c r="IB146" s="289"/>
      <c r="IC146" s="289"/>
      <c r="ID146" s="289"/>
      <c r="IE146" s="289"/>
      <c r="IF146" s="289"/>
      <c r="IG146" s="289"/>
      <c r="IH146" s="289"/>
      <c r="II146" s="289"/>
      <c r="IJ146" s="289"/>
      <c r="IK146" s="289"/>
      <c r="IL146" s="289"/>
      <c r="IM146" s="289"/>
      <c r="IN146" s="289"/>
      <c r="IO146" s="289"/>
      <c r="IP146" s="289"/>
      <c r="IQ146" s="289"/>
      <c r="IR146" s="289"/>
      <c r="IS146" s="289"/>
      <c r="IT146" s="289"/>
      <c r="IU146" s="289"/>
      <c r="IV146" s="289"/>
      <c r="IW146" s="289"/>
      <c r="IX146" s="289"/>
    </row>
    <row r="147" spans="1:258" s="21" customFormat="1">
      <c r="A147" s="289"/>
      <c r="B147" s="289"/>
      <c r="C147" s="289"/>
      <c r="D147" s="289"/>
      <c r="E147" s="289"/>
      <c r="F147" s="289"/>
      <c r="G147" s="289"/>
      <c r="H147" s="289"/>
      <c r="I147" s="289"/>
      <c r="J147" s="289"/>
      <c r="K147" s="289"/>
      <c r="L147" s="289"/>
      <c r="M147" s="289"/>
      <c r="N147" s="289"/>
      <c r="O147" s="289"/>
      <c r="P147" s="289"/>
      <c r="Q147" s="289"/>
      <c r="R147" s="289"/>
      <c r="S147" s="289"/>
      <c r="T147" s="289"/>
      <c r="U147" s="289"/>
      <c r="V147" s="575"/>
      <c r="W147" s="289"/>
      <c r="X147" s="289"/>
      <c r="Y147" s="289"/>
      <c r="Z147" s="289"/>
      <c r="AA147" s="289"/>
      <c r="AB147" s="289"/>
      <c r="AC147" s="289"/>
      <c r="AD147" s="289"/>
      <c r="AE147" s="289"/>
      <c r="AF147" s="289"/>
      <c r="AG147" s="289"/>
      <c r="AH147" s="289"/>
      <c r="AI147" s="289"/>
      <c r="AJ147" s="289"/>
      <c r="AK147" s="289"/>
      <c r="AL147" s="289"/>
      <c r="AM147" s="289"/>
      <c r="AN147" s="289"/>
      <c r="AO147" s="289"/>
      <c r="AP147" s="289"/>
      <c r="AQ147" s="289"/>
      <c r="AR147" s="289"/>
      <c r="AS147" s="289"/>
      <c r="AT147" s="289"/>
      <c r="AU147" s="289"/>
      <c r="AV147" s="289"/>
      <c r="AW147" s="289"/>
      <c r="AX147" s="289"/>
      <c r="AY147" s="289"/>
      <c r="AZ147" s="289"/>
      <c r="BA147" s="289"/>
      <c r="BB147" s="289"/>
      <c r="BC147" s="289"/>
      <c r="BD147" s="289"/>
      <c r="BE147" s="289"/>
      <c r="BF147" s="289"/>
      <c r="BG147" s="289"/>
      <c r="BH147" s="289"/>
      <c r="BI147" s="289"/>
      <c r="BJ147" s="289"/>
      <c r="BK147" s="289"/>
      <c r="BL147" s="289"/>
      <c r="BM147" s="289"/>
      <c r="BN147" s="289"/>
      <c r="BO147" s="289"/>
      <c r="BP147" s="289"/>
      <c r="BQ147" s="289"/>
      <c r="BR147" s="289"/>
      <c r="BS147" s="289"/>
      <c r="BT147" s="289"/>
      <c r="BU147" s="289"/>
      <c r="BV147" s="289"/>
      <c r="BW147" s="289"/>
      <c r="BX147" s="289"/>
      <c r="BY147" s="289"/>
      <c r="BZ147" s="289"/>
      <c r="CA147" s="289"/>
      <c r="CB147" s="289"/>
      <c r="CC147" s="289"/>
      <c r="CD147" s="289"/>
      <c r="CE147" s="289"/>
      <c r="CF147" s="289"/>
      <c r="CG147" s="289"/>
      <c r="CH147" s="289"/>
      <c r="CI147" s="289"/>
      <c r="CJ147" s="289"/>
      <c r="CK147" s="289"/>
      <c r="CL147" s="289"/>
      <c r="CM147" s="289"/>
      <c r="CN147" s="289"/>
      <c r="CO147" s="289"/>
      <c r="CP147" s="289"/>
      <c r="CQ147" s="289"/>
      <c r="CR147" s="289"/>
      <c r="CS147" s="289"/>
      <c r="CT147" s="289"/>
      <c r="CU147" s="289"/>
      <c r="CV147" s="289"/>
      <c r="CW147" s="289"/>
      <c r="CX147" s="289"/>
      <c r="CY147" s="289"/>
      <c r="CZ147" s="289"/>
      <c r="DA147" s="289"/>
      <c r="DB147" s="289"/>
      <c r="DC147" s="289"/>
      <c r="DD147" s="289"/>
      <c r="DE147" s="289"/>
      <c r="DF147" s="289"/>
      <c r="DG147" s="289"/>
      <c r="DH147" s="289"/>
      <c r="DI147" s="289"/>
      <c r="DJ147" s="289"/>
      <c r="DK147" s="289"/>
      <c r="DL147" s="289"/>
      <c r="DM147" s="289"/>
      <c r="DN147" s="289"/>
      <c r="DO147" s="289"/>
      <c r="DP147" s="289"/>
      <c r="DQ147" s="289"/>
      <c r="DR147" s="289"/>
      <c r="DS147" s="289"/>
      <c r="DT147" s="289"/>
      <c r="DU147" s="289"/>
      <c r="DV147" s="289"/>
      <c r="DW147" s="289"/>
      <c r="DX147" s="289"/>
      <c r="DY147" s="289"/>
      <c r="DZ147" s="289"/>
      <c r="EA147" s="289"/>
      <c r="EB147" s="289"/>
      <c r="EC147" s="289"/>
      <c r="ED147" s="289"/>
      <c r="EE147" s="289"/>
      <c r="EF147" s="289"/>
      <c r="EG147" s="289"/>
      <c r="EH147" s="289"/>
      <c r="EI147" s="289"/>
      <c r="EJ147" s="289"/>
      <c r="EK147" s="289"/>
      <c r="EL147" s="289"/>
      <c r="EM147" s="289"/>
      <c r="EN147" s="289"/>
      <c r="EO147" s="289"/>
      <c r="EP147" s="289"/>
      <c r="EQ147" s="289"/>
      <c r="ER147" s="289"/>
      <c r="ES147" s="289"/>
      <c r="ET147" s="289"/>
      <c r="EU147" s="289"/>
      <c r="EV147" s="289"/>
      <c r="EW147" s="289"/>
      <c r="EX147" s="289"/>
      <c r="EY147" s="289"/>
      <c r="EZ147" s="289"/>
      <c r="FA147" s="289"/>
      <c r="FB147" s="289"/>
      <c r="FC147" s="289"/>
      <c r="FD147" s="289"/>
      <c r="FE147" s="289"/>
      <c r="FF147" s="289"/>
      <c r="FG147" s="289"/>
      <c r="FH147" s="289"/>
      <c r="FI147" s="289"/>
      <c r="FJ147" s="289"/>
      <c r="FK147" s="289"/>
      <c r="FL147" s="289"/>
      <c r="FM147" s="289"/>
      <c r="FN147" s="289"/>
      <c r="FO147" s="289"/>
      <c r="FP147" s="289"/>
      <c r="FQ147" s="289"/>
      <c r="FR147" s="289"/>
      <c r="FS147" s="289"/>
      <c r="FT147" s="289"/>
      <c r="FU147" s="289"/>
      <c r="FV147" s="289"/>
      <c r="FW147" s="289"/>
      <c r="FX147" s="289"/>
      <c r="FY147" s="289"/>
      <c r="FZ147" s="289"/>
      <c r="GA147" s="289"/>
      <c r="GB147" s="289"/>
      <c r="GC147" s="289"/>
      <c r="GD147" s="289"/>
      <c r="GE147" s="289"/>
      <c r="GF147" s="289"/>
      <c r="GG147" s="289"/>
      <c r="GH147" s="289"/>
      <c r="GI147" s="289"/>
      <c r="GJ147" s="289"/>
      <c r="GK147" s="289"/>
      <c r="GL147" s="289"/>
      <c r="GM147" s="289"/>
      <c r="GN147" s="289"/>
      <c r="GO147" s="289"/>
      <c r="GP147" s="289"/>
      <c r="GQ147" s="289"/>
      <c r="GR147" s="289"/>
      <c r="GS147" s="289"/>
      <c r="GT147" s="289"/>
      <c r="GU147" s="289"/>
      <c r="GV147" s="289"/>
      <c r="GW147" s="289"/>
      <c r="GX147" s="289"/>
      <c r="GY147" s="289"/>
      <c r="GZ147" s="289"/>
      <c r="HA147" s="289"/>
      <c r="HB147" s="289"/>
      <c r="HC147" s="289"/>
      <c r="HD147" s="289"/>
      <c r="HE147" s="289"/>
      <c r="HF147" s="289"/>
      <c r="HG147" s="289"/>
      <c r="HH147" s="289"/>
      <c r="HI147" s="289"/>
      <c r="HJ147" s="289"/>
      <c r="HK147" s="289"/>
      <c r="HL147" s="289"/>
      <c r="HM147" s="289"/>
      <c r="HN147" s="289"/>
      <c r="HO147" s="289"/>
      <c r="HP147" s="289"/>
      <c r="HQ147" s="289"/>
      <c r="HR147" s="289"/>
      <c r="HS147" s="289"/>
      <c r="HT147" s="289"/>
      <c r="HU147" s="289"/>
      <c r="HV147" s="289"/>
      <c r="HW147" s="289"/>
      <c r="HX147" s="289"/>
      <c r="HY147" s="289"/>
      <c r="HZ147" s="289"/>
      <c r="IA147" s="289"/>
      <c r="IB147" s="289"/>
      <c r="IC147" s="289"/>
      <c r="ID147" s="289"/>
      <c r="IE147" s="289"/>
      <c r="IF147" s="289"/>
      <c r="IG147" s="289"/>
      <c r="IH147" s="289"/>
      <c r="II147" s="289"/>
      <c r="IJ147" s="289"/>
      <c r="IK147" s="289"/>
      <c r="IL147" s="289"/>
      <c r="IM147" s="289"/>
      <c r="IN147" s="289"/>
      <c r="IO147" s="289"/>
      <c r="IP147" s="289"/>
      <c r="IQ147" s="289"/>
      <c r="IR147" s="289"/>
      <c r="IS147" s="289"/>
      <c r="IT147" s="289"/>
      <c r="IU147" s="289"/>
      <c r="IV147" s="289"/>
      <c r="IW147" s="289"/>
      <c r="IX147" s="289"/>
    </row>
    <row r="148" spans="1:258" s="21" customFormat="1">
      <c r="A148" s="289"/>
      <c r="B148" s="289"/>
      <c r="C148" s="289"/>
      <c r="D148" s="289"/>
      <c r="E148" s="289"/>
      <c r="F148" s="289"/>
      <c r="G148" s="289"/>
      <c r="H148" s="289"/>
      <c r="I148" s="289"/>
      <c r="J148" s="289"/>
      <c r="K148" s="289"/>
      <c r="L148" s="289"/>
      <c r="M148" s="289"/>
      <c r="N148" s="289"/>
      <c r="O148" s="289"/>
      <c r="P148" s="289"/>
      <c r="Q148" s="289"/>
      <c r="R148" s="289"/>
      <c r="S148" s="289"/>
      <c r="T148" s="289"/>
      <c r="U148" s="289"/>
      <c r="V148" s="575"/>
      <c r="W148" s="289"/>
      <c r="X148" s="289"/>
      <c r="Y148" s="289"/>
      <c r="Z148" s="289"/>
      <c r="AA148" s="289"/>
      <c r="AB148" s="289"/>
      <c r="AC148" s="289"/>
      <c r="AD148" s="289"/>
      <c r="AE148" s="289"/>
      <c r="AF148" s="289"/>
      <c r="AG148" s="289"/>
      <c r="AH148" s="289"/>
      <c r="AI148" s="289"/>
      <c r="AJ148" s="289"/>
      <c r="AK148" s="289"/>
      <c r="AL148" s="289"/>
      <c r="AM148" s="289"/>
      <c r="AN148" s="289"/>
      <c r="AO148" s="289"/>
      <c r="AP148" s="289"/>
      <c r="AQ148" s="289"/>
      <c r="AR148" s="289"/>
      <c r="AS148" s="289"/>
      <c r="AT148" s="289"/>
      <c r="AU148" s="289"/>
      <c r="AV148" s="289"/>
      <c r="AW148" s="289"/>
      <c r="AX148" s="289"/>
      <c r="AY148" s="289"/>
      <c r="AZ148" s="289"/>
      <c r="BA148" s="289"/>
      <c r="BB148" s="289"/>
      <c r="BC148" s="289"/>
      <c r="BD148" s="289"/>
      <c r="BE148" s="289"/>
      <c r="BF148" s="289"/>
      <c r="BG148" s="289"/>
      <c r="BH148" s="289"/>
      <c r="BI148" s="289"/>
      <c r="BJ148" s="289"/>
      <c r="BK148" s="289"/>
      <c r="BL148" s="289"/>
      <c r="BM148" s="289"/>
      <c r="BN148" s="289"/>
      <c r="BO148" s="289"/>
      <c r="BP148" s="289"/>
      <c r="BQ148" s="289"/>
      <c r="BR148" s="289"/>
      <c r="BS148" s="289"/>
      <c r="BT148" s="289"/>
      <c r="BU148" s="289"/>
      <c r="BV148" s="289"/>
      <c r="BW148" s="289"/>
      <c r="BX148" s="289"/>
      <c r="BY148" s="289"/>
      <c r="BZ148" s="289"/>
      <c r="CA148" s="289"/>
      <c r="CB148" s="289"/>
      <c r="CC148" s="289"/>
      <c r="CD148" s="289"/>
      <c r="CE148" s="289"/>
      <c r="CF148" s="289"/>
      <c r="CG148" s="289"/>
      <c r="CH148" s="289"/>
      <c r="CI148" s="289"/>
      <c r="CJ148" s="289"/>
      <c r="CK148" s="289"/>
      <c r="CL148" s="289"/>
      <c r="CM148" s="289"/>
      <c r="CN148" s="289"/>
      <c r="CO148" s="289"/>
      <c r="CP148" s="289"/>
      <c r="CQ148" s="289"/>
      <c r="CR148" s="289"/>
      <c r="CS148" s="289"/>
      <c r="CT148" s="289"/>
      <c r="CU148" s="289"/>
      <c r="CV148" s="289"/>
      <c r="CW148" s="289"/>
      <c r="CX148" s="289"/>
      <c r="CY148" s="289"/>
      <c r="CZ148" s="289"/>
      <c r="DA148" s="289"/>
      <c r="DB148" s="289"/>
      <c r="DC148" s="289"/>
      <c r="DD148" s="289"/>
      <c r="DE148" s="289"/>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89"/>
      <c r="EB148" s="289"/>
      <c r="EC148" s="289"/>
      <c r="ED148" s="289"/>
      <c r="EE148" s="289"/>
      <c r="EF148" s="289"/>
      <c r="EG148" s="289"/>
      <c r="EH148" s="289"/>
      <c r="EI148" s="289"/>
      <c r="EJ148" s="289"/>
      <c r="EK148" s="289"/>
      <c r="EL148" s="289"/>
      <c r="EM148" s="289"/>
      <c r="EN148" s="289"/>
      <c r="EO148" s="289"/>
      <c r="EP148" s="289"/>
      <c r="EQ148" s="289"/>
      <c r="ER148" s="289"/>
      <c r="ES148" s="289"/>
      <c r="ET148" s="289"/>
      <c r="EU148" s="289"/>
      <c r="EV148" s="289"/>
      <c r="EW148" s="289"/>
      <c r="EX148" s="289"/>
      <c r="EY148" s="289"/>
      <c r="EZ148" s="289"/>
      <c r="FA148" s="289"/>
      <c r="FB148" s="289"/>
      <c r="FC148" s="289"/>
      <c r="FD148" s="289"/>
      <c r="FE148" s="289"/>
      <c r="FF148" s="289"/>
      <c r="FG148" s="289"/>
      <c r="FH148" s="289"/>
      <c r="FI148" s="289"/>
      <c r="FJ148" s="289"/>
      <c r="FK148" s="289"/>
      <c r="FL148" s="289"/>
      <c r="FM148" s="289"/>
      <c r="FN148" s="289"/>
      <c r="FO148" s="289"/>
      <c r="FP148" s="289"/>
      <c r="FQ148" s="289"/>
      <c r="FR148" s="289"/>
      <c r="FS148" s="289"/>
      <c r="FT148" s="289"/>
      <c r="FU148" s="289"/>
      <c r="FV148" s="289"/>
      <c r="FW148" s="289"/>
      <c r="FX148" s="289"/>
      <c r="FY148" s="289"/>
      <c r="FZ148" s="289"/>
      <c r="GA148" s="289"/>
      <c r="GB148" s="289"/>
      <c r="GC148" s="289"/>
      <c r="GD148" s="289"/>
      <c r="GE148" s="289"/>
      <c r="GF148" s="289"/>
      <c r="GG148" s="289"/>
      <c r="GH148" s="289"/>
      <c r="GI148" s="289"/>
      <c r="GJ148" s="289"/>
      <c r="GK148" s="289"/>
      <c r="GL148" s="289"/>
      <c r="GM148" s="289"/>
      <c r="GN148" s="289"/>
      <c r="GO148" s="289"/>
      <c r="GP148" s="289"/>
      <c r="GQ148" s="289"/>
      <c r="GR148" s="289"/>
      <c r="GS148" s="289"/>
      <c r="GT148" s="289"/>
      <c r="GU148" s="289"/>
      <c r="GV148" s="289"/>
      <c r="GW148" s="289"/>
      <c r="GX148" s="289"/>
      <c r="GY148" s="289"/>
      <c r="GZ148" s="289"/>
      <c r="HA148" s="289"/>
      <c r="HB148" s="289"/>
      <c r="HC148" s="289"/>
      <c r="HD148" s="289"/>
      <c r="HE148" s="289"/>
      <c r="HF148" s="289"/>
      <c r="HG148" s="289"/>
      <c r="HH148" s="289"/>
      <c r="HI148" s="289"/>
      <c r="HJ148" s="289"/>
      <c r="HK148" s="289"/>
      <c r="HL148" s="289"/>
      <c r="HM148" s="289"/>
      <c r="HN148" s="289"/>
      <c r="HO148" s="289"/>
      <c r="HP148" s="289"/>
      <c r="HQ148" s="289"/>
      <c r="HR148" s="289"/>
      <c r="HS148" s="289"/>
      <c r="HT148" s="289"/>
      <c r="HU148" s="289"/>
      <c r="HV148" s="289"/>
      <c r="HW148" s="289"/>
      <c r="HX148" s="289"/>
      <c r="HY148" s="289"/>
      <c r="HZ148" s="289"/>
      <c r="IA148" s="289"/>
      <c r="IB148" s="289"/>
      <c r="IC148" s="289"/>
      <c r="ID148" s="289"/>
      <c r="IE148" s="289"/>
      <c r="IF148" s="289"/>
      <c r="IG148" s="289"/>
      <c r="IH148" s="289"/>
      <c r="II148" s="289"/>
      <c r="IJ148" s="289"/>
      <c r="IK148" s="289"/>
      <c r="IL148" s="289"/>
      <c r="IM148" s="289"/>
      <c r="IN148" s="289"/>
      <c r="IO148" s="289"/>
      <c r="IP148" s="289"/>
      <c r="IQ148" s="289"/>
      <c r="IR148" s="289"/>
      <c r="IS148" s="289"/>
      <c r="IT148" s="289"/>
      <c r="IU148" s="289"/>
      <c r="IV148" s="289"/>
      <c r="IW148" s="289"/>
      <c r="IX148" s="289"/>
    </row>
    <row r="149" spans="1:258" s="21" customFormat="1">
      <c r="A149" s="289"/>
      <c r="B149" s="289"/>
      <c r="C149" s="289"/>
      <c r="D149" s="289"/>
      <c r="E149" s="289"/>
      <c r="F149" s="289"/>
      <c r="G149" s="289"/>
      <c r="H149" s="289"/>
      <c r="I149" s="289"/>
      <c r="J149" s="289"/>
      <c r="K149" s="289"/>
      <c r="L149" s="289"/>
      <c r="M149" s="289"/>
      <c r="N149" s="289"/>
      <c r="O149" s="289"/>
      <c r="P149" s="289"/>
      <c r="Q149" s="289"/>
      <c r="R149" s="289"/>
      <c r="S149" s="289"/>
      <c r="T149" s="289"/>
      <c r="U149" s="289"/>
      <c r="V149" s="575"/>
      <c r="W149" s="289"/>
      <c r="X149" s="289"/>
      <c r="Y149" s="289"/>
      <c r="Z149" s="289"/>
      <c r="AA149" s="289"/>
      <c r="AB149" s="289"/>
      <c r="AC149" s="289"/>
      <c r="AD149" s="289"/>
      <c r="AE149" s="289"/>
      <c r="AF149" s="289"/>
      <c r="AG149" s="289"/>
      <c r="AH149" s="289"/>
      <c r="AI149" s="289"/>
      <c r="AJ149" s="289"/>
      <c r="AK149" s="289"/>
      <c r="AL149" s="289"/>
      <c r="AM149" s="289"/>
      <c r="AN149" s="289"/>
      <c r="AO149" s="289"/>
      <c r="AP149" s="289"/>
      <c r="AQ149" s="289"/>
      <c r="AR149" s="289"/>
      <c r="AS149" s="289"/>
      <c r="AT149" s="289"/>
      <c r="AU149" s="289"/>
      <c r="AV149" s="289"/>
      <c r="AW149" s="289"/>
      <c r="AX149" s="289"/>
      <c r="AY149" s="289"/>
      <c r="AZ149" s="289"/>
      <c r="BA149" s="289"/>
      <c r="BB149" s="289"/>
      <c r="BC149" s="289"/>
      <c r="BD149" s="289"/>
      <c r="BE149" s="289"/>
      <c r="BF149" s="289"/>
      <c r="BG149" s="289"/>
      <c r="BH149" s="289"/>
      <c r="BI149" s="289"/>
      <c r="BJ149" s="289"/>
      <c r="BK149" s="289"/>
      <c r="BL149" s="289"/>
      <c r="BM149" s="289"/>
      <c r="BN149" s="289"/>
      <c r="BO149" s="289"/>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289"/>
      <c r="CT149" s="289"/>
      <c r="CU149" s="289"/>
      <c r="CV149" s="289"/>
      <c r="CW149" s="289"/>
      <c r="CX149" s="289"/>
      <c r="CY149" s="289"/>
      <c r="CZ149" s="289"/>
      <c r="DA149" s="289"/>
      <c r="DB149" s="289"/>
      <c r="DC149" s="289"/>
      <c r="DD149" s="289"/>
      <c r="DE149" s="289"/>
      <c r="DF149" s="289"/>
      <c r="DG149" s="289"/>
      <c r="DH149" s="289"/>
      <c r="DI149" s="289"/>
      <c r="DJ149" s="289"/>
      <c r="DK149" s="289"/>
      <c r="DL149" s="289"/>
      <c r="DM149" s="289"/>
      <c r="DN149" s="289"/>
      <c r="DO149" s="289"/>
      <c r="DP149" s="289"/>
      <c r="DQ149" s="289"/>
      <c r="DR149" s="289"/>
      <c r="DS149" s="289"/>
      <c r="DT149" s="289"/>
      <c r="DU149" s="289"/>
      <c r="DV149" s="289"/>
      <c r="DW149" s="289"/>
      <c r="DX149" s="289"/>
      <c r="DY149" s="289"/>
      <c r="DZ149" s="289"/>
      <c r="EA149" s="289"/>
      <c r="EB149" s="289"/>
      <c r="EC149" s="289"/>
      <c r="ED149" s="289"/>
      <c r="EE149" s="289"/>
      <c r="EF149" s="289"/>
      <c r="EG149" s="289"/>
      <c r="EH149" s="289"/>
      <c r="EI149" s="289"/>
      <c r="EJ149" s="289"/>
      <c r="EK149" s="289"/>
      <c r="EL149" s="289"/>
      <c r="EM149" s="289"/>
      <c r="EN149" s="289"/>
      <c r="EO149" s="289"/>
      <c r="EP149" s="289"/>
      <c r="EQ149" s="289"/>
      <c r="ER149" s="289"/>
      <c r="ES149" s="289"/>
      <c r="ET149" s="289"/>
      <c r="EU149" s="289"/>
      <c r="EV149" s="289"/>
      <c r="EW149" s="289"/>
      <c r="EX149" s="289"/>
      <c r="EY149" s="289"/>
      <c r="EZ149" s="289"/>
      <c r="FA149" s="289"/>
      <c r="FB149" s="289"/>
      <c r="FC149" s="289"/>
      <c r="FD149" s="289"/>
      <c r="FE149" s="289"/>
      <c r="FF149" s="289"/>
      <c r="FG149" s="289"/>
      <c r="FH149" s="289"/>
      <c r="FI149" s="289"/>
      <c r="FJ149" s="289"/>
      <c r="FK149" s="289"/>
      <c r="FL149" s="289"/>
      <c r="FM149" s="289"/>
      <c r="FN149" s="289"/>
      <c r="FO149" s="289"/>
      <c r="FP149" s="289"/>
      <c r="FQ149" s="289"/>
      <c r="FR149" s="289"/>
      <c r="FS149" s="289"/>
      <c r="FT149" s="289"/>
      <c r="FU149" s="289"/>
      <c r="FV149" s="289"/>
      <c r="FW149" s="289"/>
      <c r="FX149" s="289"/>
      <c r="FY149" s="289"/>
      <c r="FZ149" s="289"/>
      <c r="GA149" s="289"/>
      <c r="GB149" s="289"/>
      <c r="GC149" s="289"/>
      <c r="GD149" s="289"/>
      <c r="GE149" s="289"/>
      <c r="GF149" s="289"/>
      <c r="GG149" s="289"/>
      <c r="GH149" s="289"/>
      <c r="GI149" s="289"/>
      <c r="GJ149" s="289"/>
      <c r="GK149" s="289"/>
      <c r="GL149" s="289"/>
      <c r="GM149" s="289"/>
      <c r="GN149" s="289"/>
      <c r="GO149" s="289"/>
      <c r="GP149" s="289"/>
      <c r="GQ149" s="289"/>
      <c r="GR149" s="289"/>
      <c r="GS149" s="289"/>
      <c r="GT149" s="289"/>
      <c r="GU149" s="289"/>
      <c r="GV149" s="289"/>
      <c r="GW149" s="289"/>
      <c r="GX149" s="289"/>
      <c r="GY149" s="289"/>
      <c r="GZ149" s="289"/>
      <c r="HA149" s="289"/>
      <c r="HB149" s="289"/>
      <c r="HC149" s="289"/>
      <c r="HD149" s="289"/>
      <c r="HE149" s="289"/>
      <c r="HF149" s="289"/>
      <c r="HG149" s="289"/>
      <c r="HH149" s="289"/>
      <c r="HI149" s="289"/>
      <c r="HJ149" s="289"/>
      <c r="HK149" s="289"/>
      <c r="HL149" s="289"/>
      <c r="HM149" s="289"/>
      <c r="HN149" s="289"/>
      <c r="HO149" s="289"/>
      <c r="HP149" s="289"/>
      <c r="HQ149" s="289"/>
      <c r="HR149" s="289"/>
      <c r="HS149" s="289"/>
      <c r="HT149" s="289"/>
      <c r="HU149" s="289"/>
      <c r="HV149" s="289"/>
      <c r="HW149" s="289"/>
      <c r="HX149" s="289"/>
      <c r="HY149" s="289"/>
      <c r="HZ149" s="289"/>
      <c r="IA149" s="289"/>
      <c r="IB149" s="289"/>
      <c r="IC149" s="289"/>
      <c r="ID149" s="289"/>
      <c r="IE149" s="289"/>
      <c r="IF149" s="289"/>
      <c r="IG149" s="289"/>
      <c r="IH149" s="289"/>
      <c r="II149" s="289"/>
      <c r="IJ149" s="289"/>
      <c r="IK149" s="289"/>
      <c r="IL149" s="289"/>
      <c r="IM149" s="289"/>
      <c r="IN149" s="289"/>
      <c r="IO149" s="289"/>
      <c r="IP149" s="289"/>
      <c r="IQ149" s="289"/>
      <c r="IR149" s="289"/>
      <c r="IS149" s="289"/>
      <c r="IT149" s="289"/>
      <c r="IU149" s="289"/>
      <c r="IV149" s="289"/>
      <c r="IW149" s="289"/>
      <c r="IX149" s="289"/>
    </row>
    <row r="150" spans="1:258" s="21" customFormat="1">
      <c r="A150" s="289"/>
      <c r="B150" s="289"/>
      <c r="C150" s="289"/>
      <c r="D150" s="289"/>
      <c r="E150" s="289"/>
      <c r="F150" s="289"/>
      <c r="G150" s="289"/>
      <c r="H150" s="289"/>
      <c r="I150" s="289"/>
      <c r="J150" s="289"/>
      <c r="K150" s="289"/>
      <c r="L150" s="289"/>
      <c r="M150" s="289"/>
      <c r="N150" s="289"/>
      <c r="O150" s="289"/>
      <c r="P150" s="289"/>
      <c r="Q150" s="289"/>
      <c r="R150" s="289"/>
      <c r="S150" s="289"/>
      <c r="T150" s="289"/>
      <c r="U150" s="289"/>
      <c r="V150" s="575"/>
      <c r="W150" s="289"/>
      <c r="X150" s="289"/>
      <c r="Y150" s="289"/>
      <c r="Z150" s="289"/>
      <c r="AA150" s="289"/>
      <c r="AB150" s="289"/>
      <c r="AC150" s="289"/>
      <c r="AD150" s="289"/>
      <c r="AE150" s="289"/>
      <c r="AF150" s="289"/>
      <c r="AG150" s="289"/>
      <c r="AH150" s="289"/>
      <c r="AI150" s="289"/>
      <c r="AJ150" s="289"/>
      <c r="AK150" s="289"/>
      <c r="AL150" s="289"/>
      <c r="AM150" s="289"/>
      <c r="AN150" s="289"/>
      <c r="AO150" s="289"/>
      <c r="AP150" s="289"/>
      <c r="AQ150" s="289"/>
      <c r="AR150" s="289"/>
      <c r="AS150" s="289"/>
      <c r="AT150" s="289"/>
      <c r="AU150" s="289"/>
      <c r="AV150" s="289"/>
      <c r="AW150" s="289"/>
      <c r="AX150" s="289"/>
      <c r="AY150" s="289"/>
      <c r="AZ150" s="289"/>
      <c r="BA150" s="289"/>
      <c r="BB150" s="289"/>
      <c r="BC150" s="289"/>
      <c r="BD150" s="289"/>
      <c r="BE150" s="289"/>
      <c r="BF150" s="289"/>
      <c r="BG150" s="289"/>
      <c r="BH150" s="289"/>
      <c r="BI150" s="289"/>
      <c r="BJ150" s="289"/>
      <c r="BK150" s="289"/>
      <c r="BL150" s="289"/>
      <c r="BM150" s="289"/>
      <c r="BN150" s="289"/>
      <c r="BO150" s="289"/>
      <c r="BP150" s="289"/>
      <c r="BQ150" s="289"/>
      <c r="BR150" s="289"/>
      <c r="BS150" s="289"/>
      <c r="BT150" s="289"/>
      <c r="BU150" s="289"/>
      <c r="BV150" s="289"/>
      <c r="BW150" s="289"/>
      <c r="BX150" s="289"/>
      <c r="BY150" s="289"/>
      <c r="BZ150" s="289"/>
      <c r="CA150" s="289"/>
      <c r="CB150" s="289"/>
      <c r="CC150" s="289"/>
      <c r="CD150" s="289"/>
      <c r="CE150" s="289"/>
      <c r="CF150" s="289"/>
      <c r="CG150" s="289"/>
      <c r="CH150" s="289"/>
      <c r="CI150" s="289"/>
      <c r="CJ150" s="289"/>
      <c r="CK150" s="289"/>
      <c r="CL150" s="289"/>
      <c r="CM150" s="289"/>
      <c r="CN150" s="289"/>
      <c r="CO150" s="289"/>
      <c r="CP150" s="289"/>
      <c r="CQ150" s="289"/>
      <c r="CR150" s="289"/>
      <c r="CS150" s="289"/>
      <c r="CT150" s="289"/>
      <c r="CU150" s="289"/>
      <c r="CV150" s="289"/>
      <c r="CW150" s="289"/>
      <c r="CX150" s="289"/>
      <c r="CY150" s="289"/>
      <c r="CZ150" s="289"/>
      <c r="DA150" s="289"/>
      <c r="DB150" s="289"/>
      <c r="DC150" s="289"/>
      <c r="DD150" s="289"/>
      <c r="DE150" s="289"/>
      <c r="DF150" s="289"/>
      <c r="DG150" s="289"/>
      <c r="DH150" s="289"/>
      <c r="DI150" s="289"/>
      <c r="DJ150" s="289"/>
      <c r="DK150" s="289"/>
      <c r="DL150" s="289"/>
      <c r="DM150" s="289"/>
      <c r="DN150" s="289"/>
      <c r="DO150" s="289"/>
      <c r="DP150" s="289"/>
      <c r="DQ150" s="289"/>
      <c r="DR150" s="289"/>
      <c r="DS150" s="289"/>
      <c r="DT150" s="289"/>
      <c r="DU150" s="289"/>
      <c r="DV150" s="289"/>
      <c r="DW150" s="289"/>
      <c r="DX150" s="289"/>
      <c r="DY150" s="289"/>
      <c r="DZ150" s="289"/>
      <c r="EA150" s="289"/>
      <c r="EB150" s="289"/>
      <c r="EC150" s="289"/>
      <c r="ED150" s="289"/>
      <c r="EE150" s="289"/>
      <c r="EF150" s="289"/>
      <c r="EG150" s="289"/>
      <c r="EH150" s="289"/>
      <c r="EI150" s="289"/>
      <c r="EJ150" s="289"/>
      <c r="EK150" s="289"/>
      <c r="EL150" s="289"/>
      <c r="EM150" s="289"/>
      <c r="EN150" s="289"/>
      <c r="EO150" s="289"/>
      <c r="EP150" s="289"/>
      <c r="EQ150" s="289"/>
      <c r="ER150" s="289"/>
      <c r="ES150" s="289"/>
      <c r="ET150" s="289"/>
      <c r="EU150" s="289"/>
      <c r="EV150" s="289"/>
      <c r="EW150" s="289"/>
      <c r="EX150" s="289"/>
      <c r="EY150" s="289"/>
      <c r="EZ150" s="289"/>
      <c r="FA150" s="289"/>
      <c r="FB150" s="289"/>
      <c r="FC150" s="289"/>
      <c r="FD150" s="289"/>
      <c r="FE150" s="289"/>
      <c r="FF150" s="289"/>
      <c r="FG150" s="289"/>
      <c r="FH150" s="289"/>
      <c r="FI150" s="289"/>
      <c r="FJ150" s="289"/>
      <c r="FK150" s="289"/>
      <c r="FL150" s="289"/>
      <c r="FM150" s="289"/>
      <c r="FN150" s="289"/>
      <c r="FO150" s="289"/>
      <c r="FP150" s="289"/>
      <c r="FQ150" s="289"/>
      <c r="FR150" s="289"/>
      <c r="FS150" s="289"/>
      <c r="FT150" s="289"/>
      <c r="FU150" s="289"/>
      <c r="FV150" s="289"/>
      <c r="FW150" s="289"/>
      <c r="FX150" s="289"/>
      <c r="FY150" s="289"/>
      <c r="FZ150" s="289"/>
      <c r="GA150" s="289"/>
      <c r="GB150" s="289"/>
      <c r="GC150" s="289"/>
      <c r="GD150" s="289"/>
      <c r="GE150" s="289"/>
      <c r="GF150" s="289"/>
      <c r="GG150" s="289"/>
      <c r="GH150" s="289"/>
      <c r="GI150" s="289"/>
      <c r="GJ150" s="289"/>
      <c r="GK150" s="289"/>
      <c r="GL150" s="289"/>
      <c r="GM150" s="289"/>
      <c r="GN150" s="289"/>
      <c r="GO150" s="289"/>
      <c r="GP150" s="289"/>
      <c r="GQ150" s="289"/>
      <c r="GR150" s="289"/>
      <c r="GS150" s="289"/>
      <c r="GT150" s="289"/>
      <c r="GU150" s="289"/>
      <c r="GV150" s="289"/>
      <c r="GW150" s="289"/>
      <c r="GX150" s="289"/>
      <c r="GY150" s="289"/>
      <c r="GZ150" s="289"/>
      <c r="HA150" s="289"/>
      <c r="HB150" s="289"/>
      <c r="HC150" s="289"/>
      <c r="HD150" s="289"/>
      <c r="HE150" s="289"/>
      <c r="HF150" s="289"/>
      <c r="HG150" s="289"/>
      <c r="HH150" s="289"/>
      <c r="HI150" s="289"/>
      <c r="HJ150" s="289"/>
      <c r="HK150" s="289"/>
      <c r="HL150" s="289"/>
      <c r="HM150" s="289"/>
      <c r="HN150" s="289"/>
      <c r="HO150" s="289"/>
      <c r="HP150" s="289"/>
      <c r="HQ150" s="289"/>
      <c r="HR150" s="289"/>
      <c r="HS150" s="289"/>
      <c r="HT150" s="289"/>
      <c r="HU150" s="289"/>
      <c r="HV150" s="289"/>
      <c r="HW150" s="289"/>
      <c r="HX150" s="289"/>
      <c r="HY150" s="289"/>
      <c r="HZ150" s="289"/>
      <c r="IA150" s="289"/>
      <c r="IB150" s="289"/>
      <c r="IC150" s="289"/>
      <c r="ID150" s="289"/>
      <c r="IE150" s="289"/>
      <c r="IF150" s="289"/>
      <c r="IG150" s="289"/>
      <c r="IH150" s="289"/>
      <c r="II150" s="289"/>
      <c r="IJ150" s="289"/>
      <c r="IK150" s="289"/>
      <c r="IL150" s="289"/>
      <c r="IM150" s="289"/>
      <c r="IN150" s="289"/>
      <c r="IO150" s="289"/>
      <c r="IP150" s="289"/>
      <c r="IQ150" s="289"/>
      <c r="IR150" s="289"/>
      <c r="IS150" s="289"/>
      <c r="IT150" s="289"/>
      <c r="IU150" s="289"/>
      <c r="IV150" s="289"/>
      <c r="IW150" s="289"/>
      <c r="IX150" s="289"/>
    </row>
    <row r="151" spans="1:258" s="21" customFormat="1">
      <c r="A151" s="289"/>
      <c r="B151" s="289"/>
      <c r="C151" s="289"/>
      <c r="D151" s="289"/>
      <c r="E151" s="289"/>
      <c r="F151" s="289"/>
      <c r="G151" s="289"/>
      <c r="H151" s="289"/>
      <c r="I151" s="289"/>
      <c r="J151" s="289"/>
      <c r="K151" s="289"/>
      <c r="L151" s="289"/>
      <c r="M151" s="289"/>
      <c r="N151" s="289"/>
      <c r="O151" s="289"/>
      <c r="P151" s="289"/>
      <c r="Q151" s="289"/>
      <c r="R151" s="289"/>
      <c r="S151" s="289"/>
      <c r="T151" s="289"/>
      <c r="U151" s="289"/>
      <c r="V151" s="575"/>
      <c r="W151" s="289"/>
      <c r="X151" s="289"/>
      <c r="Y151" s="289"/>
      <c r="Z151" s="289"/>
      <c r="AA151" s="289"/>
      <c r="AB151" s="289"/>
      <c r="AC151" s="289"/>
      <c r="AD151" s="289"/>
      <c r="AE151" s="289"/>
      <c r="AF151" s="289"/>
      <c r="AG151" s="289"/>
      <c r="AH151" s="289"/>
      <c r="AI151" s="289"/>
      <c r="AJ151" s="289"/>
      <c r="AK151" s="289"/>
      <c r="AL151" s="289"/>
      <c r="AM151" s="289"/>
      <c r="AN151" s="289"/>
      <c r="AO151" s="289"/>
      <c r="AP151" s="289"/>
      <c r="AQ151" s="289"/>
      <c r="AR151" s="289"/>
      <c r="AS151" s="289"/>
      <c r="AT151" s="289"/>
      <c r="AU151" s="289"/>
      <c r="AV151" s="289"/>
      <c r="AW151" s="289"/>
      <c r="AX151" s="289"/>
      <c r="AY151" s="289"/>
      <c r="AZ151" s="289"/>
      <c r="BA151" s="289"/>
      <c r="BB151" s="289"/>
      <c r="BC151" s="289"/>
      <c r="BD151" s="289"/>
      <c r="BE151" s="289"/>
      <c r="BF151" s="289"/>
      <c r="BG151" s="289"/>
      <c r="BH151" s="289"/>
      <c r="BI151" s="289"/>
      <c r="BJ151" s="289"/>
      <c r="BK151" s="289"/>
      <c r="BL151" s="289"/>
      <c r="BM151" s="289"/>
      <c r="BN151" s="289"/>
      <c r="BO151" s="289"/>
      <c r="BP151" s="289"/>
      <c r="BQ151" s="289"/>
      <c r="BR151" s="289"/>
      <c r="BS151" s="289"/>
      <c r="BT151" s="289"/>
      <c r="BU151" s="289"/>
      <c r="BV151" s="289"/>
      <c r="BW151" s="289"/>
      <c r="BX151" s="289"/>
      <c r="BY151" s="289"/>
      <c r="BZ151" s="289"/>
      <c r="CA151" s="289"/>
      <c r="CB151" s="289"/>
      <c r="CC151" s="289"/>
      <c r="CD151" s="289"/>
      <c r="CE151" s="289"/>
      <c r="CF151" s="289"/>
      <c r="CG151" s="289"/>
      <c r="CH151" s="289"/>
      <c r="CI151" s="289"/>
      <c r="CJ151" s="289"/>
      <c r="CK151" s="289"/>
      <c r="CL151" s="289"/>
      <c r="CM151" s="289"/>
      <c r="CN151" s="289"/>
      <c r="CO151" s="289"/>
      <c r="CP151" s="289"/>
      <c r="CQ151" s="289"/>
      <c r="CR151" s="289"/>
      <c r="CS151" s="289"/>
      <c r="CT151" s="289"/>
      <c r="CU151" s="289"/>
      <c r="CV151" s="289"/>
      <c r="CW151" s="289"/>
      <c r="CX151" s="289"/>
      <c r="CY151" s="289"/>
      <c r="CZ151" s="289"/>
      <c r="DA151" s="289"/>
      <c r="DB151" s="289"/>
      <c r="DC151" s="289"/>
      <c r="DD151" s="289"/>
      <c r="DE151" s="289"/>
      <c r="DF151" s="289"/>
      <c r="DG151" s="289"/>
      <c r="DH151" s="289"/>
      <c r="DI151" s="289"/>
      <c r="DJ151" s="289"/>
      <c r="DK151" s="289"/>
      <c r="DL151" s="289"/>
      <c r="DM151" s="289"/>
      <c r="DN151" s="289"/>
      <c r="DO151" s="289"/>
      <c r="DP151" s="289"/>
      <c r="DQ151" s="289"/>
      <c r="DR151" s="289"/>
      <c r="DS151" s="289"/>
      <c r="DT151" s="289"/>
      <c r="DU151" s="289"/>
      <c r="DV151" s="289"/>
      <c r="DW151" s="289"/>
      <c r="DX151" s="289"/>
      <c r="DY151" s="289"/>
      <c r="DZ151" s="289"/>
      <c r="EA151" s="289"/>
      <c r="EB151" s="289"/>
      <c r="EC151" s="289"/>
      <c r="ED151" s="289"/>
      <c r="EE151" s="289"/>
      <c r="EF151" s="289"/>
      <c r="EG151" s="289"/>
      <c r="EH151" s="289"/>
      <c r="EI151" s="289"/>
      <c r="EJ151" s="289"/>
      <c r="EK151" s="289"/>
      <c r="EL151" s="289"/>
      <c r="EM151" s="289"/>
      <c r="EN151" s="289"/>
      <c r="EO151" s="289"/>
      <c r="EP151" s="289"/>
      <c r="EQ151" s="289"/>
      <c r="ER151" s="289"/>
      <c r="ES151" s="289"/>
      <c r="ET151" s="289"/>
      <c r="EU151" s="289"/>
      <c r="EV151" s="289"/>
      <c r="EW151" s="289"/>
      <c r="EX151" s="289"/>
      <c r="EY151" s="289"/>
      <c r="EZ151" s="289"/>
      <c r="FA151" s="289"/>
      <c r="FB151" s="289"/>
      <c r="FC151" s="289"/>
      <c r="FD151" s="289"/>
      <c r="FE151" s="289"/>
      <c r="FF151" s="289"/>
      <c r="FG151" s="289"/>
      <c r="FH151" s="289"/>
      <c r="FI151" s="289"/>
      <c r="FJ151" s="289"/>
      <c r="FK151" s="289"/>
      <c r="FL151" s="289"/>
      <c r="FM151" s="289"/>
      <c r="FN151" s="289"/>
      <c r="FO151" s="289"/>
      <c r="FP151" s="289"/>
      <c r="FQ151" s="289"/>
      <c r="FR151" s="289"/>
      <c r="FS151" s="289"/>
      <c r="FT151" s="289"/>
      <c r="FU151" s="289"/>
      <c r="FV151" s="289"/>
      <c r="FW151" s="289"/>
      <c r="FX151" s="289"/>
      <c r="FY151" s="289"/>
      <c r="FZ151" s="289"/>
      <c r="GA151" s="289"/>
      <c r="GB151" s="289"/>
      <c r="GC151" s="289"/>
      <c r="GD151" s="289"/>
      <c r="GE151" s="289"/>
      <c r="GF151" s="289"/>
      <c r="GG151" s="289"/>
      <c r="GH151" s="289"/>
      <c r="GI151" s="289"/>
      <c r="GJ151" s="289"/>
      <c r="GK151" s="289"/>
      <c r="GL151" s="289"/>
      <c r="GM151" s="289"/>
      <c r="GN151" s="289"/>
      <c r="GO151" s="289"/>
      <c r="GP151" s="289"/>
      <c r="GQ151" s="289"/>
      <c r="GR151" s="289"/>
      <c r="GS151" s="289"/>
      <c r="GT151" s="289"/>
      <c r="GU151" s="289"/>
      <c r="GV151" s="289"/>
      <c r="GW151" s="289"/>
      <c r="GX151" s="289"/>
      <c r="GY151" s="289"/>
      <c r="GZ151" s="289"/>
      <c r="HA151" s="289"/>
      <c r="HB151" s="289"/>
      <c r="HC151" s="289"/>
      <c r="HD151" s="289"/>
      <c r="HE151" s="289"/>
      <c r="HF151" s="289"/>
      <c r="HG151" s="289"/>
      <c r="HH151" s="289"/>
      <c r="HI151" s="289"/>
      <c r="HJ151" s="289"/>
      <c r="HK151" s="289"/>
      <c r="HL151" s="289"/>
      <c r="HM151" s="289"/>
      <c r="HN151" s="289"/>
      <c r="HO151" s="289"/>
      <c r="HP151" s="289"/>
      <c r="HQ151" s="289"/>
      <c r="HR151" s="289"/>
      <c r="HS151" s="289"/>
      <c r="HT151" s="289"/>
      <c r="HU151" s="289"/>
      <c r="HV151" s="289"/>
      <c r="HW151" s="289"/>
      <c r="HX151" s="289"/>
      <c r="HY151" s="289"/>
      <c r="HZ151" s="289"/>
      <c r="IA151" s="289"/>
      <c r="IB151" s="289"/>
      <c r="IC151" s="289"/>
      <c r="ID151" s="289"/>
      <c r="IE151" s="289"/>
      <c r="IF151" s="289"/>
      <c r="IG151" s="289"/>
      <c r="IH151" s="289"/>
      <c r="II151" s="289"/>
      <c r="IJ151" s="289"/>
      <c r="IK151" s="289"/>
      <c r="IL151" s="289"/>
      <c r="IM151" s="289"/>
      <c r="IN151" s="289"/>
      <c r="IO151" s="289"/>
      <c r="IP151" s="289"/>
      <c r="IQ151" s="289"/>
      <c r="IR151" s="289"/>
      <c r="IS151" s="289"/>
      <c r="IT151" s="289"/>
      <c r="IU151" s="289"/>
      <c r="IV151" s="289"/>
      <c r="IW151" s="289"/>
      <c r="IX151" s="289"/>
    </row>
    <row r="152" spans="1:258" s="21" customFormat="1">
      <c r="A152" s="289"/>
      <c r="B152" s="289"/>
      <c r="C152" s="289"/>
      <c r="D152" s="289"/>
      <c r="E152" s="289"/>
      <c r="F152" s="289"/>
      <c r="G152" s="289"/>
      <c r="H152" s="289"/>
      <c r="I152" s="289"/>
      <c r="J152" s="289"/>
      <c r="K152" s="289"/>
      <c r="L152" s="289"/>
      <c r="M152" s="289"/>
      <c r="N152" s="289"/>
      <c r="O152" s="289"/>
      <c r="P152" s="289"/>
      <c r="Q152" s="289"/>
      <c r="R152" s="289"/>
      <c r="S152" s="289"/>
      <c r="T152" s="289"/>
      <c r="U152" s="289"/>
      <c r="V152" s="575"/>
      <c r="W152" s="289"/>
      <c r="X152" s="289"/>
      <c r="Y152" s="289"/>
      <c r="Z152" s="289"/>
      <c r="AA152" s="289"/>
      <c r="AB152" s="289"/>
      <c r="AC152" s="289"/>
      <c r="AD152" s="289"/>
      <c r="AE152" s="289"/>
      <c r="AF152" s="289"/>
      <c r="AG152" s="289"/>
      <c r="AH152" s="289"/>
      <c r="AI152" s="289"/>
      <c r="AJ152" s="289"/>
      <c r="AK152" s="289"/>
      <c r="AL152" s="289"/>
      <c r="AM152" s="289"/>
      <c r="AN152" s="289"/>
      <c r="AO152" s="289"/>
      <c r="AP152" s="289"/>
      <c r="AQ152" s="289"/>
      <c r="AR152" s="289"/>
      <c r="AS152" s="289"/>
      <c r="AT152" s="289"/>
      <c r="AU152" s="289"/>
      <c r="AV152" s="289"/>
      <c r="AW152" s="289"/>
      <c r="AX152" s="289"/>
      <c r="AY152" s="289"/>
      <c r="AZ152" s="289"/>
      <c r="BA152" s="289"/>
      <c r="BB152" s="289"/>
      <c r="BC152" s="289"/>
      <c r="BD152" s="289"/>
      <c r="BE152" s="289"/>
      <c r="BF152" s="289"/>
      <c r="BG152" s="289"/>
      <c r="BH152" s="289"/>
      <c r="BI152" s="289"/>
      <c r="BJ152" s="289"/>
      <c r="BK152" s="289"/>
      <c r="BL152" s="289"/>
      <c r="BM152" s="289"/>
      <c r="BN152" s="289"/>
      <c r="BO152" s="289"/>
      <c r="BP152" s="289"/>
      <c r="BQ152" s="289"/>
      <c r="BR152" s="289"/>
      <c r="BS152" s="289"/>
      <c r="BT152" s="289"/>
      <c r="BU152" s="289"/>
      <c r="BV152" s="289"/>
      <c r="BW152" s="289"/>
      <c r="BX152" s="289"/>
      <c r="BY152" s="289"/>
      <c r="BZ152" s="289"/>
      <c r="CA152" s="289"/>
      <c r="CB152" s="289"/>
      <c r="CC152" s="289"/>
      <c r="CD152" s="289"/>
      <c r="CE152" s="289"/>
      <c r="CF152" s="289"/>
      <c r="CG152" s="289"/>
      <c r="CH152" s="289"/>
      <c r="CI152" s="289"/>
      <c r="CJ152" s="289"/>
      <c r="CK152" s="289"/>
      <c r="CL152" s="289"/>
      <c r="CM152" s="289"/>
      <c r="CN152" s="289"/>
      <c r="CO152" s="289"/>
      <c r="CP152" s="289"/>
      <c r="CQ152" s="289"/>
      <c r="CR152" s="289"/>
      <c r="CS152" s="289"/>
      <c r="CT152" s="289"/>
      <c r="CU152" s="289"/>
      <c r="CV152" s="289"/>
      <c r="CW152" s="289"/>
      <c r="CX152" s="289"/>
      <c r="CY152" s="289"/>
      <c r="CZ152" s="289"/>
      <c r="DA152" s="289"/>
      <c r="DB152" s="289"/>
      <c r="DC152" s="289"/>
      <c r="DD152" s="289"/>
      <c r="DE152" s="289"/>
      <c r="DF152" s="289"/>
      <c r="DG152" s="289"/>
      <c r="DH152" s="289"/>
      <c r="DI152" s="289"/>
      <c r="DJ152" s="289"/>
      <c r="DK152" s="289"/>
      <c r="DL152" s="289"/>
      <c r="DM152" s="289"/>
      <c r="DN152" s="289"/>
      <c r="DO152" s="289"/>
      <c r="DP152" s="289"/>
      <c r="DQ152" s="289"/>
      <c r="DR152" s="289"/>
      <c r="DS152" s="289"/>
      <c r="DT152" s="289"/>
      <c r="DU152" s="289"/>
      <c r="DV152" s="289"/>
      <c r="DW152" s="289"/>
      <c r="DX152" s="289"/>
      <c r="DY152" s="289"/>
      <c r="DZ152" s="289"/>
      <c r="EA152" s="289"/>
      <c r="EB152" s="289"/>
      <c r="EC152" s="289"/>
      <c r="ED152" s="289"/>
      <c r="EE152" s="289"/>
      <c r="EF152" s="289"/>
      <c r="EG152" s="289"/>
      <c r="EH152" s="289"/>
      <c r="EI152" s="289"/>
      <c r="EJ152" s="289"/>
      <c r="EK152" s="289"/>
      <c r="EL152" s="289"/>
      <c r="EM152" s="289"/>
      <c r="EN152" s="289"/>
      <c r="EO152" s="289"/>
      <c r="EP152" s="289"/>
      <c r="EQ152" s="289"/>
      <c r="ER152" s="289"/>
      <c r="ES152" s="289"/>
      <c r="ET152" s="289"/>
      <c r="EU152" s="289"/>
      <c r="EV152" s="289"/>
      <c r="EW152" s="289"/>
      <c r="EX152" s="289"/>
      <c r="EY152" s="289"/>
      <c r="EZ152" s="289"/>
      <c r="FA152" s="289"/>
      <c r="FB152" s="289"/>
      <c r="FC152" s="289"/>
      <c r="FD152" s="289"/>
      <c r="FE152" s="289"/>
      <c r="FF152" s="289"/>
      <c r="FG152" s="289"/>
      <c r="FH152" s="289"/>
      <c r="FI152" s="289"/>
      <c r="FJ152" s="289"/>
      <c r="FK152" s="289"/>
      <c r="FL152" s="289"/>
      <c r="FM152" s="289"/>
      <c r="FN152" s="289"/>
      <c r="FO152" s="289"/>
      <c r="FP152" s="289"/>
      <c r="FQ152" s="289"/>
      <c r="FR152" s="289"/>
      <c r="FS152" s="289"/>
      <c r="FT152" s="289"/>
      <c r="FU152" s="289"/>
      <c r="FV152" s="289"/>
      <c r="FW152" s="289"/>
      <c r="FX152" s="289"/>
      <c r="FY152" s="289"/>
      <c r="FZ152" s="289"/>
      <c r="GA152" s="289"/>
      <c r="GB152" s="289"/>
      <c r="GC152" s="289"/>
      <c r="GD152" s="289"/>
      <c r="GE152" s="289"/>
      <c r="GF152" s="289"/>
      <c r="GG152" s="289"/>
      <c r="GH152" s="289"/>
      <c r="GI152" s="289"/>
      <c r="GJ152" s="289"/>
      <c r="GK152" s="289"/>
      <c r="GL152" s="289"/>
      <c r="GM152" s="289"/>
      <c r="GN152" s="289"/>
      <c r="GO152" s="289"/>
      <c r="GP152" s="289"/>
      <c r="GQ152" s="289"/>
      <c r="GR152" s="289"/>
      <c r="GS152" s="289"/>
      <c r="GT152" s="289"/>
      <c r="GU152" s="289"/>
      <c r="GV152" s="289"/>
      <c r="GW152" s="289"/>
      <c r="GX152" s="289"/>
      <c r="GY152" s="289"/>
      <c r="GZ152" s="289"/>
      <c r="HA152" s="289"/>
      <c r="HB152" s="289"/>
      <c r="HC152" s="289"/>
      <c r="HD152" s="289"/>
      <c r="HE152" s="289"/>
      <c r="HF152" s="289"/>
      <c r="HG152" s="289"/>
      <c r="HH152" s="289"/>
      <c r="HI152" s="289"/>
      <c r="HJ152" s="289"/>
      <c r="HK152" s="289"/>
      <c r="HL152" s="289"/>
      <c r="HM152" s="289"/>
      <c r="HN152" s="289"/>
      <c r="HO152" s="289"/>
      <c r="HP152" s="289"/>
      <c r="HQ152" s="289"/>
      <c r="HR152" s="289"/>
      <c r="HS152" s="289"/>
      <c r="HT152" s="289"/>
      <c r="HU152" s="289"/>
      <c r="HV152" s="289"/>
      <c r="HW152" s="289"/>
      <c r="HX152" s="289"/>
      <c r="HY152" s="289"/>
      <c r="HZ152" s="289"/>
      <c r="IA152" s="289"/>
      <c r="IB152" s="289"/>
      <c r="IC152" s="289"/>
      <c r="ID152" s="289"/>
      <c r="IE152" s="289"/>
      <c r="IF152" s="289"/>
      <c r="IG152" s="289"/>
      <c r="IH152" s="289"/>
      <c r="II152" s="289"/>
      <c r="IJ152" s="289"/>
      <c r="IK152" s="289"/>
      <c r="IL152" s="289"/>
      <c r="IM152" s="289"/>
      <c r="IN152" s="289"/>
      <c r="IO152" s="289"/>
      <c r="IP152" s="289"/>
      <c r="IQ152" s="289"/>
      <c r="IR152" s="289"/>
      <c r="IS152" s="289"/>
      <c r="IT152" s="289"/>
      <c r="IU152" s="289"/>
      <c r="IV152" s="289"/>
      <c r="IW152" s="289"/>
      <c r="IX152" s="289"/>
    </row>
    <row r="153" spans="1:258" s="21" customFormat="1">
      <c r="A153" s="289"/>
      <c r="B153" s="289"/>
      <c r="C153" s="289"/>
      <c r="D153" s="289"/>
      <c r="E153" s="289"/>
      <c r="F153" s="289"/>
      <c r="G153" s="289"/>
      <c r="H153" s="289"/>
      <c r="I153" s="289"/>
      <c r="J153" s="289"/>
      <c r="K153" s="289"/>
      <c r="L153" s="289"/>
      <c r="M153" s="289"/>
      <c r="N153" s="289"/>
      <c r="O153" s="289"/>
      <c r="P153" s="289"/>
      <c r="Q153" s="289"/>
      <c r="R153" s="289"/>
      <c r="S153" s="289"/>
      <c r="T153" s="289"/>
      <c r="U153" s="289"/>
      <c r="V153" s="575"/>
      <c r="W153" s="289"/>
      <c r="X153" s="289"/>
      <c r="Y153" s="289"/>
      <c r="Z153" s="289"/>
      <c r="AA153" s="289"/>
      <c r="AB153" s="289"/>
      <c r="AC153" s="289"/>
      <c r="AD153" s="289"/>
      <c r="AE153" s="289"/>
      <c r="AF153" s="289"/>
      <c r="AG153" s="289"/>
      <c r="AH153" s="289"/>
      <c r="AI153" s="289"/>
      <c r="AJ153" s="289"/>
      <c r="AK153" s="289"/>
      <c r="AL153" s="289"/>
      <c r="AM153" s="289"/>
      <c r="AN153" s="289"/>
      <c r="AO153" s="289"/>
      <c r="AP153" s="289"/>
      <c r="AQ153" s="289"/>
      <c r="AR153" s="289"/>
      <c r="AS153" s="289"/>
      <c r="AT153" s="289"/>
      <c r="AU153" s="289"/>
      <c r="AV153" s="289"/>
      <c r="AW153" s="289"/>
      <c r="AX153" s="289"/>
      <c r="AY153" s="289"/>
      <c r="AZ153" s="289"/>
      <c r="BA153" s="289"/>
      <c r="BB153" s="289"/>
      <c r="BC153" s="289"/>
      <c r="BD153" s="289"/>
      <c r="BE153" s="289"/>
      <c r="BF153" s="289"/>
      <c r="BG153" s="289"/>
      <c r="BH153" s="289"/>
      <c r="BI153" s="289"/>
      <c r="BJ153" s="289"/>
      <c r="BK153" s="289"/>
      <c r="BL153" s="289"/>
      <c r="BM153" s="289"/>
      <c r="BN153" s="289"/>
      <c r="BO153" s="289"/>
      <c r="BP153" s="289"/>
      <c r="BQ153" s="289"/>
      <c r="BR153" s="289"/>
      <c r="BS153" s="289"/>
      <c r="BT153" s="289"/>
      <c r="BU153" s="289"/>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289"/>
      <c r="CT153" s="289"/>
      <c r="CU153" s="289"/>
      <c r="CV153" s="289"/>
      <c r="CW153" s="289"/>
      <c r="CX153" s="289"/>
      <c r="CY153" s="289"/>
      <c r="CZ153" s="289"/>
      <c r="DA153" s="289"/>
      <c r="DB153" s="289"/>
      <c r="DC153" s="289"/>
      <c r="DD153" s="289"/>
      <c r="DE153" s="289"/>
      <c r="DF153" s="289"/>
      <c r="DG153" s="289"/>
      <c r="DH153" s="289"/>
      <c r="DI153" s="289"/>
      <c r="DJ153" s="289"/>
      <c r="DK153" s="289"/>
      <c r="DL153" s="289"/>
      <c r="DM153" s="289"/>
      <c r="DN153" s="289"/>
      <c r="DO153" s="289"/>
      <c r="DP153" s="289"/>
      <c r="DQ153" s="289"/>
      <c r="DR153" s="289"/>
      <c r="DS153" s="289"/>
      <c r="DT153" s="289"/>
      <c r="DU153" s="289"/>
      <c r="DV153" s="289"/>
      <c r="DW153" s="289"/>
      <c r="DX153" s="289"/>
      <c r="DY153" s="289"/>
      <c r="DZ153" s="289"/>
      <c r="EA153" s="289"/>
      <c r="EB153" s="289"/>
      <c r="EC153" s="289"/>
      <c r="ED153" s="289"/>
      <c r="EE153" s="289"/>
      <c r="EF153" s="289"/>
      <c r="EG153" s="289"/>
      <c r="EH153" s="289"/>
      <c r="EI153" s="289"/>
      <c r="EJ153" s="289"/>
      <c r="EK153" s="289"/>
      <c r="EL153" s="289"/>
      <c r="EM153" s="289"/>
      <c r="EN153" s="289"/>
      <c r="EO153" s="289"/>
      <c r="EP153" s="289"/>
      <c r="EQ153" s="289"/>
      <c r="ER153" s="289"/>
      <c r="ES153" s="289"/>
      <c r="ET153" s="289"/>
      <c r="EU153" s="289"/>
      <c r="EV153" s="289"/>
      <c r="EW153" s="289"/>
      <c r="EX153" s="289"/>
      <c r="EY153" s="289"/>
      <c r="EZ153" s="289"/>
      <c r="FA153" s="289"/>
      <c r="FB153" s="289"/>
      <c r="FC153" s="289"/>
      <c r="FD153" s="289"/>
      <c r="FE153" s="289"/>
      <c r="FF153" s="289"/>
      <c r="FG153" s="289"/>
      <c r="FH153" s="289"/>
      <c r="FI153" s="289"/>
      <c r="FJ153" s="289"/>
      <c r="FK153" s="289"/>
      <c r="FL153" s="289"/>
      <c r="FM153" s="289"/>
      <c r="FN153" s="289"/>
      <c r="FO153" s="289"/>
      <c r="FP153" s="289"/>
      <c r="FQ153" s="289"/>
      <c r="FR153" s="289"/>
      <c r="FS153" s="289"/>
      <c r="FT153" s="289"/>
      <c r="FU153" s="289"/>
      <c r="FV153" s="289"/>
      <c r="FW153" s="289"/>
      <c r="FX153" s="289"/>
      <c r="FY153" s="289"/>
      <c r="FZ153" s="289"/>
      <c r="GA153" s="289"/>
      <c r="GB153" s="289"/>
      <c r="GC153" s="289"/>
      <c r="GD153" s="289"/>
      <c r="GE153" s="289"/>
      <c r="GF153" s="289"/>
      <c r="GG153" s="289"/>
      <c r="GH153" s="289"/>
      <c r="GI153" s="289"/>
      <c r="GJ153" s="289"/>
      <c r="GK153" s="289"/>
      <c r="GL153" s="289"/>
      <c r="GM153" s="289"/>
      <c r="GN153" s="289"/>
      <c r="GO153" s="289"/>
      <c r="GP153" s="289"/>
      <c r="GQ153" s="289"/>
      <c r="GR153" s="289"/>
      <c r="GS153" s="289"/>
      <c r="GT153" s="289"/>
      <c r="GU153" s="289"/>
      <c r="GV153" s="289"/>
      <c r="GW153" s="289"/>
      <c r="GX153" s="289"/>
      <c r="GY153" s="289"/>
      <c r="GZ153" s="289"/>
      <c r="HA153" s="289"/>
      <c r="HB153" s="289"/>
      <c r="HC153" s="289"/>
      <c r="HD153" s="289"/>
      <c r="HE153" s="289"/>
      <c r="HF153" s="289"/>
      <c r="HG153" s="289"/>
      <c r="HH153" s="289"/>
      <c r="HI153" s="289"/>
      <c r="HJ153" s="289"/>
      <c r="HK153" s="289"/>
      <c r="HL153" s="289"/>
      <c r="HM153" s="289"/>
      <c r="HN153" s="289"/>
      <c r="HO153" s="289"/>
      <c r="HP153" s="289"/>
      <c r="HQ153" s="289"/>
      <c r="HR153" s="289"/>
      <c r="HS153" s="289"/>
      <c r="HT153" s="289"/>
      <c r="HU153" s="289"/>
      <c r="HV153" s="289"/>
      <c r="HW153" s="289"/>
      <c r="HX153" s="289"/>
      <c r="HY153" s="289"/>
      <c r="HZ153" s="289"/>
      <c r="IA153" s="289"/>
      <c r="IB153" s="289"/>
      <c r="IC153" s="289"/>
      <c r="ID153" s="289"/>
      <c r="IE153" s="289"/>
      <c r="IF153" s="289"/>
      <c r="IG153" s="289"/>
      <c r="IH153" s="289"/>
      <c r="II153" s="289"/>
      <c r="IJ153" s="289"/>
      <c r="IK153" s="289"/>
      <c r="IL153" s="289"/>
      <c r="IM153" s="289"/>
      <c r="IN153" s="289"/>
      <c r="IO153" s="289"/>
      <c r="IP153" s="289"/>
      <c r="IQ153" s="289"/>
      <c r="IR153" s="289"/>
      <c r="IS153" s="289"/>
      <c r="IT153" s="289"/>
      <c r="IU153" s="289"/>
      <c r="IV153" s="289"/>
      <c r="IW153" s="289"/>
      <c r="IX153" s="289"/>
    </row>
    <row r="154" spans="1:258" s="21" customFormat="1">
      <c r="A154" s="289"/>
      <c r="B154" s="289"/>
      <c r="C154" s="289"/>
      <c r="D154" s="289"/>
      <c r="E154" s="289"/>
      <c r="F154" s="289"/>
      <c r="G154" s="289"/>
      <c r="H154" s="289"/>
      <c r="I154" s="289"/>
      <c r="J154" s="289"/>
      <c r="K154" s="289"/>
      <c r="L154" s="289"/>
      <c r="M154" s="289"/>
      <c r="N154" s="289"/>
      <c r="O154" s="289"/>
      <c r="P154" s="289"/>
      <c r="Q154" s="289"/>
      <c r="R154" s="289"/>
      <c r="S154" s="289"/>
      <c r="T154" s="289"/>
      <c r="U154" s="289"/>
      <c r="V154" s="575"/>
      <c r="W154" s="289"/>
      <c r="X154" s="289"/>
      <c r="Y154" s="289"/>
      <c r="Z154" s="289"/>
      <c r="AA154" s="289"/>
      <c r="AB154" s="289"/>
      <c r="AC154" s="289"/>
      <c r="AD154" s="289"/>
      <c r="AE154" s="289"/>
      <c r="AF154" s="289"/>
      <c r="AG154" s="289"/>
      <c r="AH154" s="289"/>
      <c r="AI154" s="289"/>
      <c r="AJ154" s="289"/>
      <c r="AK154" s="289"/>
      <c r="AL154" s="289"/>
      <c r="AM154" s="289"/>
      <c r="AN154" s="289"/>
      <c r="AO154" s="289"/>
      <c r="AP154" s="289"/>
      <c r="AQ154" s="289"/>
      <c r="AR154" s="289"/>
      <c r="AS154" s="289"/>
      <c r="AT154" s="289"/>
      <c r="AU154" s="289"/>
      <c r="AV154" s="289"/>
      <c r="AW154" s="289"/>
      <c r="AX154" s="289"/>
      <c r="AY154" s="289"/>
      <c r="AZ154" s="289"/>
      <c r="BA154" s="289"/>
      <c r="BB154" s="289"/>
      <c r="BC154" s="289"/>
      <c r="BD154" s="289"/>
      <c r="BE154" s="289"/>
      <c r="BF154" s="289"/>
      <c r="BG154" s="289"/>
      <c r="BH154" s="289"/>
      <c r="BI154" s="289"/>
      <c r="BJ154" s="289"/>
      <c r="BK154" s="289"/>
      <c r="BL154" s="289"/>
      <c r="BM154" s="289"/>
      <c r="BN154" s="289"/>
      <c r="BO154" s="289"/>
      <c r="BP154" s="289"/>
      <c r="BQ154" s="289"/>
      <c r="BR154" s="289"/>
      <c r="BS154" s="289"/>
      <c r="BT154" s="289"/>
      <c r="BU154" s="289"/>
      <c r="BV154" s="289"/>
      <c r="BW154" s="289"/>
      <c r="BX154" s="289"/>
      <c r="BY154" s="289"/>
      <c r="BZ154" s="289"/>
      <c r="CA154" s="289"/>
      <c r="CB154" s="289"/>
      <c r="CC154" s="289"/>
      <c r="CD154" s="289"/>
      <c r="CE154" s="289"/>
      <c r="CF154" s="289"/>
      <c r="CG154" s="289"/>
      <c r="CH154" s="289"/>
      <c r="CI154" s="289"/>
      <c r="CJ154" s="289"/>
      <c r="CK154" s="289"/>
      <c r="CL154" s="289"/>
      <c r="CM154" s="289"/>
      <c r="CN154" s="289"/>
      <c r="CO154" s="289"/>
      <c r="CP154" s="289"/>
      <c r="CQ154" s="289"/>
      <c r="CR154" s="289"/>
      <c r="CS154" s="289"/>
      <c r="CT154" s="289"/>
      <c r="CU154" s="289"/>
      <c r="CV154" s="289"/>
      <c r="CW154" s="289"/>
      <c r="CX154" s="289"/>
      <c r="CY154" s="289"/>
      <c r="CZ154" s="289"/>
      <c r="DA154" s="289"/>
      <c r="DB154" s="289"/>
      <c r="DC154" s="289"/>
      <c r="DD154" s="289"/>
      <c r="DE154" s="289"/>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89"/>
      <c r="EB154" s="289"/>
      <c r="EC154" s="289"/>
      <c r="ED154" s="289"/>
      <c r="EE154" s="289"/>
      <c r="EF154" s="289"/>
      <c r="EG154" s="289"/>
      <c r="EH154" s="289"/>
      <c r="EI154" s="289"/>
      <c r="EJ154" s="289"/>
      <c r="EK154" s="289"/>
      <c r="EL154" s="289"/>
      <c r="EM154" s="289"/>
      <c r="EN154" s="289"/>
      <c r="EO154" s="289"/>
      <c r="EP154" s="289"/>
      <c r="EQ154" s="289"/>
      <c r="ER154" s="289"/>
      <c r="ES154" s="289"/>
      <c r="ET154" s="289"/>
      <c r="EU154" s="289"/>
      <c r="EV154" s="289"/>
      <c r="EW154" s="289"/>
      <c r="EX154" s="289"/>
      <c r="EY154" s="289"/>
      <c r="EZ154" s="289"/>
      <c r="FA154" s="289"/>
      <c r="FB154" s="289"/>
      <c r="FC154" s="289"/>
      <c r="FD154" s="289"/>
      <c r="FE154" s="289"/>
      <c r="FF154" s="289"/>
      <c r="FG154" s="289"/>
      <c r="FH154" s="289"/>
      <c r="FI154" s="289"/>
      <c r="FJ154" s="289"/>
      <c r="FK154" s="289"/>
      <c r="FL154" s="289"/>
      <c r="FM154" s="289"/>
      <c r="FN154" s="289"/>
      <c r="FO154" s="289"/>
      <c r="FP154" s="289"/>
      <c r="FQ154" s="289"/>
      <c r="FR154" s="289"/>
      <c r="FS154" s="289"/>
      <c r="FT154" s="289"/>
      <c r="FU154" s="289"/>
      <c r="FV154" s="289"/>
      <c r="FW154" s="289"/>
      <c r="FX154" s="289"/>
      <c r="FY154" s="289"/>
      <c r="FZ154" s="289"/>
      <c r="GA154" s="289"/>
      <c r="GB154" s="289"/>
      <c r="GC154" s="289"/>
      <c r="GD154" s="289"/>
      <c r="GE154" s="289"/>
      <c r="GF154" s="289"/>
      <c r="GG154" s="289"/>
      <c r="GH154" s="289"/>
      <c r="GI154" s="289"/>
      <c r="GJ154" s="289"/>
      <c r="GK154" s="289"/>
      <c r="GL154" s="289"/>
      <c r="GM154" s="289"/>
      <c r="GN154" s="289"/>
      <c r="GO154" s="289"/>
      <c r="GP154" s="289"/>
      <c r="GQ154" s="289"/>
      <c r="GR154" s="289"/>
      <c r="GS154" s="289"/>
      <c r="GT154" s="289"/>
      <c r="GU154" s="289"/>
      <c r="GV154" s="289"/>
      <c r="GW154" s="289"/>
      <c r="GX154" s="289"/>
      <c r="GY154" s="289"/>
      <c r="GZ154" s="289"/>
      <c r="HA154" s="289"/>
      <c r="HB154" s="289"/>
      <c r="HC154" s="289"/>
      <c r="HD154" s="289"/>
      <c r="HE154" s="289"/>
      <c r="HF154" s="289"/>
      <c r="HG154" s="289"/>
      <c r="HH154" s="289"/>
      <c r="HI154" s="289"/>
      <c r="HJ154" s="289"/>
      <c r="HK154" s="289"/>
      <c r="HL154" s="289"/>
      <c r="HM154" s="289"/>
      <c r="HN154" s="289"/>
      <c r="HO154" s="289"/>
      <c r="HP154" s="289"/>
      <c r="HQ154" s="289"/>
      <c r="HR154" s="289"/>
      <c r="HS154" s="289"/>
      <c r="HT154" s="289"/>
      <c r="HU154" s="289"/>
      <c r="HV154" s="289"/>
      <c r="HW154" s="289"/>
      <c r="HX154" s="289"/>
      <c r="HY154" s="289"/>
      <c r="HZ154" s="289"/>
      <c r="IA154" s="289"/>
      <c r="IB154" s="289"/>
      <c r="IC154" s="289"/>
      <c r="ID154" s="289"/>
      <c r="IE154" s="289"/>
      <c r="IF154" s="289"/>
      <c r="IG154" s="289"/>
      <c r="IH154" s="289"/>
      <c r="II154" s="289"/>
      <c r="IJ154" s="289"/>
      <c r="IK154" s="289"/>
      <c r="IL154" s="289"/>
      <c r="IM154" s="289"/>
      <c r="IN154" s="289"/>
      <c r="IO154" s="289"/>
      <c r="IP154" s="289"/>
      <c r="IQ154" s="289"/>
      <c r="IR154" s="289"/>
      <c r="IS154" s="289"/>
      <c r="IT154" s="289"/>
      <c r="IU154" s="289"/>
      <c r="IV154" s="289"/>
      <c r="IW154" s="289"/>
      <c r="IX154" s="289"/>
    </row>
    <row r="155" spans="1:258" s="21" customFormat="1">
      <c r="A155" s="289"/>
      <c r="B155" s="289"/>
      <c r="C155" s="289"/>
      <c r="D155" s="289"/>
      <c r="E155" s="289"/>
      <c r="F155" s="289"/>
      <c r="G155" s="289"/>
      <c r="H155" s="289"/>
      <c r="I155" s="289"/>
      <c r="J155" s="289"/>
      <c r="K155" s="289"/>
      <c r="L155" s="289"/>
      <c r="M155" s="289"/>
      <c r="N155" s="289"/>
      <c r="O155" s="289"/>
      <c r="P155" s="289"/>
      <c r="Q155" s="289"/>
      <c r="R155" s="289"/>
      <c r="S155" s="289"/>
      <c r="T155" s="289"/>
      <c r="U155" s="289"/>
      <c r="V155" s="575"/>
      <c r="W155" s="289"/>
      <c r="X155" s="289"/>
      <c r="Y155" s="289"/>
      <c r="Z155" s="289"/>
      <c r="AA155" s="289"/>
      <c r="AB155" s="289"/>
      <c r="AC155" s="289"/>
      <c r="AD155" s="289"/>
      <c r="AE155" s="289"/>
      <c r="AF155" s="289"/>
      <c r="AG155" s="289"/>
      <c r="AH155" s="289"/>
      <c r="AI155" s="289"/>
      <c r="AJ155" s="289"/>
      <c r="AK155" s="289"/>
      <c r="AL155" s="289"/>
      <c r="AM155" s="289"/>
      <c r="AN155" s="289"/>
      <c r="AO155" s="289"/>
      <c r="AP155" s="289"/>
      <c r="AQ155" s="289"/>
      <c r="AR155" s="289"/>
      <c r="AS155" s="289"/>
      <c r="AT155" s="289"/>
      <c r="AU155" s="289"/>
      <c r="AV155" s="289"/>
      <c r="AW155" s="289"/>
      <c r="AX155" s="289"/>
      <c r="AY155" s="289"/>
      <c r="AZ155" s="289"/>
      <c r="BA155" s="289"/>
      <c r="BB155" s="289"/>
      <c r="BC155" s="289"/>
      <c r="BD155" s="289"/>
      <c r="BE155" s="289"/>
      <c r="BF155" s="289"/>
      <c r="BG155" s="289"/>
      <c r="BH155" s="289"/>
      <c r="BI155" s="289"/>
      <c r="BJ155" s="289"/>
      <c r="BK155" s="289"/>
      <c r="BL155" s="289"/>
      <c r="BM155" s="289"/>
      <c r="BN155" s="289"/>
      <c r="BO155" s="289"/>
      <c r="BP155" s="289"/>
      <c r="BQ155" s="289"/>
      <c r="BR155" s="289"/>
      <c r="BS155" s="289"/>
      <c r="BT155" s="289"/>
      <c r="BU155" s="289"/>
      <c r="BV155" s="289"/>
      <c r="BW155" s="289"/>
      <c r="BX155" s="289"/>
      <c r="BY155" s="289"/>
      <c r="BZ155" s="289"/>
      <c r="CA155" s="289"/>
      <c r="CB155" s="289"/>
      <c r="CC155" s="289"/>
      <c r="CD155" s="289"/>
      <c r="CE155" s="289"/>
      <c r="CF155" s="289"/>
      <c r="CG155" s="289"/>
      <c r="CH155" s="289"/>
      <c r="CI155" s="289"/>
      <c r="CJ155" s="289"/>
      <c r="CK155" s="289"/>
      <c r="CL155" s="289"/>
      <c r="CM155" s="289"/>
      <c r="CN155" s="289"/>
      <c r="CO155" s="289"/>
      <c r="CP155" s="289"/>
      <c r="CQ155" s="289"/>
      <c r="CR155" s="289"/>
      <c r="CS155" s="289"/>
      <c r="CT155" s="289"/>
      <c r="CU155" s="289"/>
      <c r="CV155" s="289"/>
      <c r="CW155" s="289"/>
      <c r="CX155" s="289"/>
      <c r="CY155" s="289"/>
      <c r="CZ155" s="289"/>
      <c r="DA155" s="289"/>
      <c r="DB155" s="289"/>
      <c r="DC155" s="289"/>
      <c r="DD155" s="289"/>
      <c r="DE155" s="289"/>
      <c r="DF155" s="289"/>
      <c r="DG155" s="289"/>
      <c r="DH155" s="289"/>
      <c r="DI155" s="289"/>
      <c r="DJ155" s="289"/>
      <c r="DK155" s="289"/>
      <c r="DL155" s="289"/>
      <c r="DM155" s="289"/>
      <c r="DN155" s="289"/>
      <c r="DO155" s="289"/>
      <c r="DP155" s="289"/>
      <c r="DQ155" s="289"/>
      <c r="DR155" s="289"/>
      <c r="DS155" s="289"/>
      <c r="DT155" s="289"/>
      <c r="DU155" s="289"/>
      <c r="DV155" s="289"/>
      <c r="DW155" s="289"/>
      <c r="DX155" s="289"/>
      <c r="DY155" s="289"/>
      <c r="DZ155" s="289"/>
      <c r="EA155" s="289"/>
      <c r="EB155" s="289"/>
      <c r="EC155" s="289"/>
      <c r="ED155" s="289"/>
      <c r="EE155" s="289"/>
      <c r="EF155" s="289"/>
      <c r="EG155" s="289"/>
      <c r="EH155" s="289"/>
      <c r="EI155" s="289"/>
      <c r="EJ155" s="289"/>
      <c r="EK155" s="289"/>
      <c r="EL155" s="289"/>
      <c r="EM155" s="289"/>
      <c r="EN155" s="289"/>
      <c r="EO155" s="289"/>
      <c r="EP155" s="289"/>
      <c r="EQ155" s="289"/>
      <c r="ER155" s="289"/>
      <c r="ES155" s="289"/>
      <c r="ET155" s="289"/>
      <c r="EU155" s="289"/>
      <c r="EV155" s="289"/>
      <c r="EW155" s="289"/>
      <c r="EX155" s="289"/>
      <c r="EY155" s="289"/>
      <c r="EZ155" s="289"/>
      <c r="FA155" s="289"/>
      <c r="FB155" s="289"/>
      <c r="FC155" s="289"/>
      <c r="FD155" s="289"/>
      <c r="FE155" s="289"/>
      <c r="FF155" s="289"/>
      <c r="FG155" s="289"/>
      <c r="FH155" s="289"/>
      <c r="FI155" s="289"/>
      <c r="FJ155" s="289"/>
      <c r="FK155" s="289"/>
      <c r="FL155" s="289"/>
      <c r="FM155" s="289"/>
      <c r="FN155" s="289"/>
      <c r="FO155" s="289"/>
      <c r="FP155" s="289"/>
      <c r="FQ155" s="289"/>
      <c r="FR155" s="289"/>
      <c r="FS155" s="289"/>
      <c r="FT155" s="289"/>
      <c r="FU155" s="289"/>
      <c r="FV155" s="289"/>
      <c r="FW155" s="289"/>
      <c r="FX155" s="289"/>
      <c r="FY155" s="289"/>
      <c r="FZ155" s="289"/>
      <c r="GA155" s="289"/>
      <c r="GB155" s="289"/>
      <c r="GC155" s="289"/>
      <c r="GD155" s="289"/>
      <c r="GE155" s="289"/>
      <c r="GF155" s="289"/>
      <c r="GG155" s="289"/>
      <c r="GH155" s="289"/>
      <c r="GI155" s="289"/>
      <c r="GJ155" s="289"/>
      <c r="GK155" s="289"/>
      <c r="GL155" s="289"/>
      <c r="GM155" s="289"/>
      <c r="GN155" s="289"/>
      <c r="GO155" s="289"/>
      <c r="GP155" s="289"/>
      <c r="GQ155" s="289"/>
      <c r="GR155" s="289"/>
      <c r="GS155" s="289"/>
      <c r="GT155" s="289"/>
      <c r="GU155" s="289"/>
      <c r="GV155" s="289"/>
      <c r="GW155" s="289"/>
      <c r="GX155" s="289"/>
      <c r="GY155" s="289"/>
      <c r="GZ155" s="289"/>
      <c r="HA155" s="289"/>
      <c r="HB155" s="289"/>
      <c r="HC155" s="289"/>
      <c r="HD155" s="289"/>
      <c r="HE155" s="289"/>
      <c r="HF155" s="289"/>
      <c r="HG155" s="289"/>
      <c r="HH155" s="289"/>
      <c r="HI155" s="289"/>
      <c r="HJ155" s="289"/>
      <c r="HK155" s="289"/>
      <c r="HL155" s="289"/>
      <c r="HM155" s="289"/>
      <c r="HN155" s="289"/>
      <c r="HO155" s="289"/>
      <c r="HP155" s="289"/>
      <c r="HQ155" s="289"/>
      <c r="HR155" s="289"/>
      <c r="HS155" s="289"/>
      <c r="HT155" s="289"/>
      <c r="HU155" s="289"/>
      <c r="HV155" s="289"/>
      <c r="HW155" s="289"/>
      <c r="HX155" s="289"/>
      <c r="HY155" s="289"/>
      <c r="HZ155" s="289"/>
      <c r="IA155" s="289"/>
      <c r="IB155" s="289"/>
      <c r="IC155" s="289"/>
      <c r="ID155" s="289"/>
      <c r="IE155" s="289"/>
      <c r="IF155" s="289"/>
      <c r="IG155" s="289"/>
      <c r="IH155" s="289"/>
      <c r="II155" s="289"/>
      <c r="IJ155" s="289"/>
      <c r="IK155" s="289"/>
      <c r="IL155" s="289"/>
      <c r="IM155" s="289"/>
      <c r="IN155" s="289"/>
      <c r="IO155" s="289"/>
      <c r="IP155" s="289"/>
      <c r="IQ155" s="289"/>
      <c r="IR155" s="289"/>
      <c r="IS155" s="289"/>
      <c r="IT155" s="289"/>
      <c r="IU155" s="289"/>
      <c r="IV155" s="289"/>
      <c r="IW155" s="289"/>
      <c r="IX155" s="289"/>
    </row>
    <row r="156" spans="1:258" s="21" customFormat="1">
      <c r="A156" s="289"/>
      <c r="B156" s="289"/>
      <c r="C156" s="289"/>
      <c r="D156" s="289"/>
      <c r="E156" s="289"/>
      <c r="F156" s="289"/>
      <c r="G156" s="289"/>
      <c r="H156" s="289"/>
      <c r="I156" s="289"/>
      <c r="J156" s="289"/>
      <c r="K156" s="289"/>
      <c r="L156" s="289"/>
      <c r="M156" s="289"/>
      <c r="N156" s="289"/>
      <c r="O156" s="289"/>
      <c r="P156" s="289"/>
      <c r="Q156" s="289"/>
      <c r="R156" s="289"/>
      <c r="S156" s="289"/>
      <c r="T156" s="289"/>
      <c r="U156" s="289"/>
      <c r="V156" s="575"/>
      <c r="W156" s="289"/>
      <c r="X156" s="289"/>
      <c r="Y156" s="289"/>
      <c r="Z156" s="289"/>
      <c r="AA156" s="289"/>
      <c r="AB156" s="289"/>
      <c r="AC156" s="289"/>
      <c r="AD156" s="289"/>
      <c r="AE156" s="289"/>
      <c r="AF156" s="289"/>
      <c r="AG156" s="289"/>
      <c r="AH156" s="289"/>
      <c r="AI156" s="289"/>
      <c r="AJ156" s="289"/>
      <c r="AK156" s="289"/>
      <c r="AL156" s="289"/>
      <c r="AM156" s="289"/>
      <c r="AN156" s="289"/>
      <c r="AO156" s="289"/>
      <c r="AP156" s="289"/>
      <c r="AQ156" s="289"/>
      <c r="AR156" s="289"/>
      <c r="AS156" s="289"/>
      <c r="AT156" s="289"/>
      <c r="AU156" s="289"/>
      <c r="AV156" s="289"/>
      <c r="AW156" s="289"/>
      <c r="AX156" s="289"/>
      <c r="AY156" s="289"/>
      <c r="AZ156" s="289"/>
      <c r="BA156" s="289"/>
      <c r="BB156" s="289"/>
      <c r="BC156" s="289"/>
      <c r="BD156" s="289"/>
      <c r="BE156" s="289"/>
      <c r="BF156" s="289"/>
      <c r="BG156" s="289"/>
      <c r="BH156" s="289"/>
      <c r="BI156" s="289"/>
      <c r="BJ156" s="289"/>
      <c r="BK156" s="289"/>
      <c r="BL156" s="289"/>
      <c r="BM156" s="289"/>
      <c r="BN156" s="289"/>
      <c r="BO156" s="289"/>
      <c r="BP156" s="289"/>
      <c r="BQ156" s="289"/>
      <c r="BR156" s="289"/>
      <c r="BS156" s="289"/>
      <c r="BT156" s="289"/>
      <c r="BU156" s="289"/>
      <c r="BV156" s="289"/>
      <c r="BW156" s="289"/>
      <c r="BX156" s="289"/>
      <c r="BY156" s="289"/>
      <c r="BZ156" s="289"/>
      <c r="CA156" s="289"/>
      <c r="CB156" s="289"/>
      <c r="CC156" s="289"/>
      <c r="CD156" s="289"/>
      <c r="CE156" s="289"/>
      <c r="CF156" s="289"/>
      <c r="CG156" s="289"/>
      <c r="CH156" s="289"/>
      <c r="CI156" s="289"/>
      <c r="CJ156" s="289"/>
      <c r="CK156" s="289"/>
      <c r="CL156" s="289"/>
      <c r="CM156" s="289"/>
      <c r="CN156" s="289"/>
      <c r="CO156" s="289"/>
      <c r="CP156" s="289"/>
      <c r="CQ156" s="289"/>
      <c r="CR156" s="289"/>
      <c r="CS156" s="289"/>
      <c r="CT156" s="289"/>
      <c r="CU156" s="289"/>
      <c r="CV156" s="289"/>
      <c r="CW156" s="289"/>
      <c r="CX156" s="289"/>
      <c r="CY156" s="289"/>
      <c r="CZ156" s="289"/>
      <c r="DA156" s="289"/>
      <c r="DB156" s="289"/>
      <c r="DC156" s="289"/>
      <c r="DD156" s="289"/>
      <c r="DE156" s="289"/>
      <c r="DF156" s="289"/>
      <c r="DG156" s="289"/>
      <c r="DH156" s="289"/>
      <c r="DI156" s="289"/>
      <c r="DJ156" s="289"/>
      <c r="DK156" s="289"/>
      <c r="DL156" s="289"/>
      <c r="DM156" s="289"/>
      <c r="DN156" s="289"/>
      <c r="DO156" s="289"/>
      <c r="DP156" s="289"/>
      <c r="DQ156" s="289"/>
      <c r="DR156" s="289"/>
      <c r="DS156" s="289"/>
      <c r="DT156" s="289"/>
      <c r="DU156" s="289"/>
      <c r="DV156" s="289"/>
      <c r="DW156" s="289"/>
      <c r="DX156" s="289"/>
      <c r="DY156" s="289"/>
      <c r="DZ156" s="289"/>
      <c r="EA156" s="289"/>
      <c r="EB156" s="289"/>
      <c r="EC156" s="289"/>
      <c r="ED156" s="289"/>
      <c r="EE156" s="289"/>
      <c r="EF156" s="289"/>
      <c r="EG156" s="289"/>
      <c r="EH156" s="289"/>
      <c r="EI156" s="289"/>
      <c r="EJ156" s="289"/>
      <c r="EK156" s="289"/>
      <c r="EL156" s="289"/>
      <c r="EM156" s="289"/>
      <c r="EN156" s="289"/>
      <c r="EO156" s="289"/>
      <c r="EP156" s="289"/>
      <c r="EQ156" s="289"/>
      <c r="ER156" s="289"/>
      <c r="ES156" s="289"/>
      <c r="ET156" s="289"/>
      <c r="EU156" s="289"/>
      <c r="EV156" s="289"/>
      <c r="EW156" s="289"/>
      <c r="EX156" s="289"/>
      <c r="EY156" s="289"/>
      <c r="EZ156" s="289"/>
      <c r="FA156" s="289"/>
      <c r="FB156" s="289"/>
      <c r="FC156" s="289"/>
      <c r="FD156" s="289"/>
      <c r="FE156" s="289"/>
      <c r="FF156" s="289"/>
      <c r="FG156" s="289"/>
      <c r="FH156" s="289"/>
      <c r="FI156" s="289"/>
      <c r="FJ156" s="289"/>
      <c r="FK156" s="289"/>
      <c r="FL156" s="289"/>
      <c r="FM156" s="289"/>
      <c r="FN156" s="289"/>
      <c r="FO156" s="289"/>
      <c r="FP156" s="289"/>
      <c r="FQ156" s="289"/>
      <c r="FR156" s="289"/>
      <c r="FS156" s="289"/>
      <c r="FT156" s="289"/>
      <c r="FU156" s="289"/>
      <c r="FV156" s="289"/>
      <c r="FW156" s="289"/>
      <c r="FX156" s="289"/>
      <c r="FY156" s="289"/>
      <c r="FZ156" s="289"/>
      <c r="GA156" s="289"/>
      <c r="GB156" s="289"/>
      <c r="GC156" s="289"/>
      <c r="GD156" s="289"/>
      <c r="GE156" s="289"/>
      <c r="GF156" s="289"/>
      <c r="GG156" s="289"/>
      <c r="GH156" s="289"/>
      <c r="GI156" s="289"/>
      <c r="GJ156" s="289"/>
      <c r="GK156" s="289"/>
      <c r="GL156" s="289"/>
      <c r="GM156" s="289"/>
      <c r="GN156" s="289"/>
      <c r="GO156" s="289"/>
      <c r="GP156" s="289"/>
      <c r="GQ156" s="289"/>
      <c r="GR156" s="289"/>
      <c r="GS156" s="289"/>
      <c r="GT156" s="289"/>
      <c r="GU156" s="289"/>
      <c r="GV156" s="289"/>
      <c r="GW156" s="289"/>
      <c r="GX156" s="289"/>
      <c r="GY156" s="289"/>
      <c r="GZ156" s="289"/>
      <c r="HA156" s="289"/>
      <c r="HB156" s="289"/>
      <c r="HC156" s="289"/>
      <c r="HD156" s="289"/>
      <c r="HE156" s="289"/>
      <c r="HF156" s="289"/>
      <c r="HG156" s="289"/>
      <c r="HH156" s="289"/>
      <c r="HI156" s="289"/>
      <c r="HJ156" s="289"/>
      <c r="HK156" s="289"/>
      <c r="HL156" s="289"/>
      <c r="HM156" s="289"/>
      <c r="HN156" s="289"/>
      <c r="HO156" s="289"/>
      <c r="HP156" s="289"/>
      <c r="HQ156" s="289"/>
      <c r="HR156" s="289"/>
      <c r="HS156" s="289"/>
      <c r="HT156" s="289"/>
      <c r="HU156" s="289"/>
      <c r="HV156" s="289"/>
      <c r="HW156" s="289"/>
      <c r="HX156" s="289"/>
      <c r="HY156" s="289"/>
      <c r="HZ156" s="289"/>
      <c r="IA156" s="289"/>
      <c r="IB156" s="289"/>
      <c r="IC156" s="289"/>
      <c r="ID156" s="289"/>
      <c r="IE156" s="289"/>
      <c r="IF156" s="289"/>
      <c r="IG156" s="289"/>
      <c r="IH156" s="289"/>
      <c r="II156" s="289"/>
      <c r="IJ156" s="289"/>
      <c r="IK156" s="289"/>
      <c r="IL156" s="289"/>
      <c r="IM156" s="289"/>
      <c r="IN156" s="289"/>
      <c r="IO156" s="289"/>
      <c r="IP156" s="289"/>
      <c r="IQ156" s="289"/>
      <c r="IR156" s="289"/>
      <c r="IS156" s="289"/>
      <c r="IT156" s="289"/>
      <c r="IU156" s="289"/>
      <c r="IV156" s="289"/>
      <c r="IW156" s="289"/>
      <c r="IX156" s="289"/>
    </row>
    <row r="157" spans="1:258" s="21" customFormat="1">
      <c r="A157" s="289"/>
      <c r="B157" s="289"/>
      <c r="C157" s="289"/>
      <c r="D157" s="289"/>
      <c r="E157" s="289"/>
      <c r="F157" s="289"/>
      <c r="G157" s="289"/>
      <c r="H157" s="289"/>
      <c r="I157" s="289"/>
      <c r="J157" s="289"/>
      <c r="K157" s="289"/>
      <c r="L157" s="289"/>
      <c r="M157" s="289"/>
      <c r="N157" s="289"/>
      <c r="O157" s="289"/>
      <c r="P157" s="289"/>
      <c r="Q157" s="289"/>
      <c r="R157" s="289"/>
      <c r="S157" s="289"/>
      <c r="T157" s="289"/>
      <c r="U157" s="289"/>
      <c r="V157" s="575"/>
      <c r="W157" s="289"/>
      <c r="X157" s="289"/>
      <c r="Y157" s="289"/>
      <c r="Z157" s="289"/>
      <c r="AA157" s="289"/>
      <c r="AB157" s="289"/>
      <c r="AC157" s="289"/>
      <c r="AD157" s="289"/>
      <c r="AE157" s="289"/>
      <c r="AF157" s="289"/>
      <c r="AG157" s="289"/>
      <c r="AH157" s="289"/>
      <c r="AI157" s="289"/>
      <c r="AJ157" s="289"/>
      <c r="AK157" s="289"/>
      <c r="AL157" s="289"/>
      <c r="AM157" s="289"/>
      <c r="AN157" s="289"/>
      <c r="AO157" s="289"/>
      <c r="AP157" s="289"/>
      <c r="AQ157" s="289"/>
      <c r="AR157" s="289"/>
      <c r="AS157" s="289"/>
      <c r="AT157" s="289"/>
      <c r="AU157" s="289"/>
      <c r="AV157" s="289"/>
      <c r="AW157" s="289"/>
      <c r="AX157" s="289"/>
      <c r="AY157" s="289"/>
      <c r="AZ157" s="289"/>
      <c r="BA157" s="289"/>
      <c r="BB157" s="289"/>
      <c r="BC157" s="289"/>
      <c r="BD157" s="289"/>
      <c r="BE157" s="289"/>
      <c r="BF157" s="289"/>
      <c r="BG157" s="289"/>
      <c r="BH157" s="289"/>
      <c r="BI157" s="289"/>
      <c r="BJ157" s="289"/>
      <c r="BK157" s="289"/>
      <c r="BL157" s="289"/>
      <c r="BM157" s="289"/>
      <c r="BN157" s="289"/>
      <c r="BO157" s="289"/>
      <c r="BP157" s="289"/>
      <c r="BQ157" s="289"/>
      <c r="BR157" s="289"/>
      <c r="BS157" s="289"/>
      <c r="BT157" s="289"/>
      <c r="BU157" s="289"/>
      <c r="BV157" s="289"/>
      <c r="BW157" s="289"/>
      <c r="BX157" s="289"/>
      <c r="BY157" s="289"/>
      <c r="BZ157" s="289"/>
      <c r="CA157" s="289"/>
      <c r="CB157" s="289"/>
      <c r="CC157" s="289"/>
      <c r="CD157" s="289"/>
      <c r="CE157" s="289"/>
      <c r="CF157" s="289"/>
      <c r="CG157" s="289"/>
      <c r="CH157" s="289"/>
      <c r="CI157" s="289"/>
      <c r="CJ157" s="289"/>
      <c r="CK157" s="289"/>
      <c r="CL157" s="289"/>
      <c r="CM157" s="289"/>
      <c r="CN157" s="289"/>
      <c r="CO157" s="289"/>
      <c r="CP157" s="289"/>
      <c r="CQ157" s="289"/>
      <c r="CR157" s="289"/>
      <c r="CS157" s="289"/>
      <c r="CT157" s="289"/>
      <c r="CU157" s="289"/>
      <c r="CV157" s="289"/>
      <c r="CW157" s="289"/>
      <c r="CX157" s="289"/>
      <c r="CY157" s="289"/>
      <c r="CZ157" s="289"/>
      <c r="DA157" s="289"/>
      <c r="DB157" s="289"/>
      <c r="DC157" s="289"/>
      <c r="DD157" s="289"/>
      <c r="DE157" s="289"/>
      <c r="DF157" s="289"/>
      <c r="DG157" s="289"/>
      <c r="DH157" s="289"/>
      <c r="DI157" s="289"/>
      <c r="DJ157" s="289"/>
      <c r="DK157" s="289"/>
      <c r="DL157" s="289"/>
      <c r="DM157" s="289"/>
      <c r="DN157" s="289"/>
      <c r="DO157" s="289"/>
      <c r="DP157" s="289"/>
      <c r="DQ157" s="289"/>
      <c r="DR157" s="289"/>
      <c r="DS157" s="289"/>
      <c r="DT157" s="289"/>
      <c r="DU157" s="289"/>
      <c r="DV157" s="289"/>
      <c r="DW157" s="289"/>
      <c r="DX157" s="289"/>
      <c r="DY157" s="289"/>
      <c r="DZ157" s="289"/>
      <c r="EA157" s="289"/>
      <c r="EB157" s="289"/>
      <c r="EC157" s="289"/>
      <c r="ED157" s="289"/>
      <c r="EE157" s="289"/>
      <c r="EF157" s="289"/>
      <c r="EG157" s="289"/>
      <c r="EH157" s="289"/>
      <c r="EI157" s="289"/>
      <c r="EJ157" s="289"/>
      <c r="EK157" s="289"/>
      <c r="EL157" s="289"/>
      <c r="EM157" s="289"/>
      <c r="EN157" s="289"/>
      <c r="EO157" s="289"/>
      <c r="EP157" s="289"/>
      <c r="EQ157" s="289"/>
      <c r="ER157" s="289"/>
      <c r="ES157" s="289"/>
      <c r="ET157" s="289"/>
      <c r="EU157" s="289"/>
      <c r="EV157" s="289"/>
      <c r="EW157" s="289"/>
      <c r="EX157" s="289"/>
      <c r="EY157" s="289"/>
      <c r="EZ157" s="289"/>
      <c r="FA157" s="289"/>
      <c r="FB157" s="289"/>
      <c r="FC157" s="289"/>
      <c r="FD157" s="289"/>
      <c r="FE157" s="289"/>
      <c r="FF157" s="289"/>
      <c r="FG157" s="289"/>
      <c r="FH157" s="289"/>
      <c r="FI157" s="289"/>
      <c r="FJ157" s="289"/>
      <c r="FK157" s="289"/>
      <c r="FL157" s="289"/>
      <c r="FM157" s="289"/>
      <c r="FN157" s="289"/>
      <c r="FO157" s="289"/>
      <c r="FP157" s="289"/>
      <c r="FQ157" s="289"/>
      <c r="FR157" s="289"/>
      <c r="FS157" s="289"/>
      <c r="FT157" s="289"/>
      <c r="FU157" s="289"/>
      <c r="FV157" s="289"/>
      <c r="FW157" s="289"/>
      <c r="FX157" s="289"/>
      <c r="FY157" s="289"/>
      <c r="FZ157" s="289"/>
      <c r="GA157" s="289"/>
      <c r="GB157" s="289"/>
      <c r="GC157" s="289"/>
      <c r="GD157" s="289"/>
      <c r="GE157" s="289"/>
      <c r="GF157" s="289"/>
      <c r="GG157" s="289"/>
      <c r="GH157" s="289"/>
      <c r="GI157" s="289"/>
      <c r="GJ157" s="289"/>
      <c r="GK157" s="289"/>
      <c r="GL157" s="289"/>
      <c r="GM157" s="289"/>
      <c r="GN157" s="289"/>
      <c r="GO157" s="289"/>
      <c r="GP157" s="289"/>
      <c r="GQ157" s="289"/>
      <c r="GR157" s="289"/>
      <c r="GS157" s="289"/>
      <c r="GT157" s="289"/>
      <c r="GU157" s="289"/>
      <c r="GV157" s="289"/>
      <c r="GW157" s="289"/>
      <c r="GX157" s="289"/>
      <c r="GY157" s="289"/>
      <c r="GZ157" s="289"/>
      <c r="HA157" s="289"/>
      <c r="HB157" s="289"/>
      <c r="HC157" s="289"/>
      <c r="HD157" s="289"/>
      <c r="HE157" s="289"/>
      <c r="HF157" s="289"/>
      <c r="HG157" s="289"/>
      <c r="HH157" s="289"/>
      <c r="HI157" s="289"/>
      <c r="HJ157" s="289"/>
      <c r="HK157" s="289"/>
      <c r="HL157" s="289"/>
      <c r="HM157" s="289"/>
      <c r="HN157" s="289"/>
      <c r="HO157" s="289"/>
      <c r="HP157" s="289"/>
      <c r="HQ157" s="289"/>
      <c r="HR157" s="289"/>
      <c r="HS157" s="289"/>
      <c r="HT157" s="289"/>
      <c r="HU157" s="289"/>
      <c r="HV157" s="289"/>
      <c r="HW157" s="289"/>
      <c r="HX157" s="289"/>
      <c r="HY157" s="289"/>
      <c r="HZ157" s="289"/>
      <c r="IA157" s="289"/>
      <c r="IB157" s="289"/>
      <c r="IC157" s="289"/>
      <c r="ID157" s="289"/>
      <c r="IE157" s="289"/>
      <c r="IF157" s="289"/>
      <c r="IG157" s="289"/>
      <c r="IH157" s="289"/>
      <c r="II157" s="289"/>
      <c r="IJ157" s="289"/>
      <c r="IK157" s="289"/>
      <c r="IL157" s="289"/>
      <c r="IM157" s="289"/>
      <c r="IN157" s="289"/>
      <c r="IO157" s="289"/>
      <c r="IP157" s="289"/>
      <c r="IQ157" s="289"/>
      <c r="IR157" s="289"/>
      <c r="IS157" s="289"/>
      <c r="IT157" s="289"/>
      <c r="IU157" s="289"/>
      <c r="IV157" s="289"/>
      <c r="IW157" s="289"/>
      <c r="IX157" s="289"/>
    </row>
    <row r="158" spans="1:258" s="21" customFormat="1">
      <c r="A158" s="289"/>
      <c r="B158" s="289"/>
      <c r="C158" s="289"/>
      <c r="D158" s="289"/>
      <c r="E158" s="289"/>
      <c r="F158" s="289"/>
      <c r="G158" s="289"/>
      <c r="H158" s="289"/>
      <c r="I158" s="289"/>
      <c r="J158" s="289"/>
      <c r="K158" s="289"/>
      <c r="L158" s="289"/>
      <c r="M158" s="289"/>
      <c r="N158" s="289"/>
      <c r="O158" s="289"/>
      <c r="P158" s="289"/>
      <c r="Q158" s="289"/>
      <c r="R158" s="289"/>
      <c r="S158" s="289"/>
      <c r="T158" s="289"/>
      <c r="U158" s="289"/>
      <c r="V158" s="575"/>
      <c r="W158" s="289"/>
      <c r="X158" s="289"/>
      <c r="Y158" s="289"/>
      <c r="Z158" s="289"/>
      <c r="AA158" s="289"/>
      <c r="AB158" s="289"/>
      <c r="AC158" s="289"/>
      <c r="AD158" s="289"/>
      <c r="AE158" s="289"/>
      <c r="AF158" s="289"/>
      <c r="AG158" s="289"/>
      <c r="AH158" s="289"/>
      <c r="AI158" s="289"/>
      <c r="AJ158" s="289"/>
      <c r="AK158" s="289"/>
      <c r="AL158" s="289"/>
      <c r="AM158" s="289"/>
      <c r="AN158" s="289"/>
      <c r="AO158" s="289"/>
      <c r="AP158" s="289"/>
      <c r="AQ158" s="289"/>
      <c r="AR158" s="289"/>
      <c r="AS158" s="289"/>
      <c r="AT158" s="289"/>
      <c r="AU158" s="289"/>
      <c r="AV158" s="289"/>
      <c r="AW158" s="289"/>
      <c r="AX158" s="289"/>
      <c r="AY158" s="289"/>
      <c r="AZ158" s="289"/>
      <c r="BA158" s="289"/>
      <c r="BB158" s="289"/>
      <c r="BC158" s="289"/>
      <c r="BD158" s="289"/>
      <c r="BE158" s="289"/>
      <c r="BF158" s="289"/>
      <c r="BG158" s="289"/>
      <c r="BH158" s="289"/>
      <c r="BI158" s="289"/>
      <c r="BJ158" s="289"/>
      <c r="BK158" s="289"/>
      <c r="BL158" s="289"/>
      <c r="BM158" s="289"/>
      <c r="BN158" s="289"/>
      <c r="BO158" s="289"/>
      <c r="BP158" s="289"/>
      <c r="BQ158" s="289"/>
      <c r="BR158" s="289"/>
      <c r="BS158" s="289"/>
      <c r="BT158" s="289"/>
      <c r="BU158" s="289"/>
      <c r="BV158" s="289"/>
      <c r="BW158" s="289"/>
      <c r="BX158" s="289"/>
      <c r="BY158" s="289"/>
      <c r="BZ158" s="289"/>
      <c r="CA158" s="289"/>
      <c r="CB158" s="289"/>
      <c r="CC158" s="289"/>
      <c r="CD158" s="289"/>
      <c r="CE158" s="289"/>
      <c r="CF158" s="289"/>
      <c r="CG158" s="289"/>
      <c r="CH158" s="289"/>
      <c r="CI158" s="289"/>
      <c r="CJ158" s="289"/>
      <c r="CK158" s="289"/>
      <c r="CL158" s="289"/>
      <c r="CM158" s="289"/>
      <c r="CN158" s="289"/>
      <c r="CO158" s="289"/>
      <c r="CP158" s="289"/>
      <c r="CQ158" s="289"/>
      <c r="CR158" s="289"/>
      <c r="CS158" s="289"/>
      <c r="CT158" s="289"/>
      <c r="CU158" s="289"/>
      <c r="CV158" s="289"/>
      <c r="CW158" s="289"/>
      <c r="CX158" s="289"/>
      <c r="CY158" s="289"/>
      <c r="CZ158" s="289"/>
      <c r="DA158" s="289"/>
      <c r="DB158" s="289"/>
      <c r="DC158" s="289"/>
      <c r="DD158" s="289"/>
      <c r="DE158" s="289"/>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89"/>
      <c r="EB158" s="289"/>
      <c r="EC158" s="289"/>
      <c r="ED158" s="289"/>
      <c r="EE158" s="289"/>
      <c r="EF158" s="289"/>
      <c r="EG158" s="289"/>
      <c r="EH158" s="289"/>
      <c r="EI158" s="289"/>
      <c r="EJ158" s="289"/>
      <c r="EK158" s="289"/>
      <c r="EL158" s="289"/>
      <c r="EM158" s="289"/>
      <c r="EN158" s="289"/>
      <c r="EO158" s="289"/>
      <c r="EP158" s="289"/>
      <c r="EQ158" s="289"/>
      <c r="ER158" s="289"/>
      <c r="ES158" s="289"/>
      <c r="ET158" s="289"/>
      <c r="EU158" s="289"/>
      <c r="EV158" s="289"/>
      <c r="EW158" s="289"/>
      <c r="EX158" s="289"/>
      <c r="EY158" s="289"/>
      <c r="EZ158" s="289"/>
      <c r="FA158" s="289"/>
      <c r="FB158" s="289"/>
      <c r="FC158" s="289"/>
      <c r="FD158" s="289"/>
      <c r="FE158" s="289"/>
      <c r="FF158" s="289"/>
      <c r="FG158" s="289"/>
      <c r="FH158" s="289"/>
      <c r="FI158" s="289"/>
      <c r="FJ158" s="289"/>
      <c r="FK158" s="289"/>
      <c r="FL158" s="289"/>
      <c r="FM158" s="289"/>
      <c r="FN158" s="289"/>
      <c r="FO158" s="289"/>
      <c r="FP158" s="289"/>
      <c r="FQ158" s="289"/>
      <c r="FR158" s="289"/>
      <c r="FS158" s="289"/>
      <c r="FT158" s="289"/>
      <c r="FU158" s="289"/>
      <c r="FV158" s="289"/>
      <c r="FW158" s="289"/>
      <c r="FX158" s="289"/>
      <c r="FY158" s="289"/>
      <c r="FZ158" s="289"/>
      <c r="GA158" s="289"/>
      <c r="GB158" s="289"/>
      <c r="GC158" s="289"/>
      <c r="GD158" s="289"/>
      <c r="GE158" s="289"/>
      <c r="GF158" s="289"/>
      <c r="GG158" s="289"/>
      <c r="GH158" s="289"/>
      <c r="GI158" s="289"/>
      <c r="GJ158" s="289"/>
      <c r="GK158" s="289"/>
      <c r="GL158" s="289"/>
      <c r="GM158" s="289"/>
      <c r="GN158" s="289"/>
      <c r="GO158" s="289"/>
      <c r="GP158" s="289"/>
      <c r="GQ158" s="289"/>
      <c r="GR158" s="289"/>
      <c r="GS158" s="289"/>
      <c r="GT158" s="289"/>
      <c r="GU158" s="289"/>
      <c r="GV158" s="289"/>
      <c r="GW158" s="289"/>
      <c r="GX158" s="289"/>
      <c r="GY158" s="289"/>
      <c r="GZ158" s="289"/>
      <c r="HA158" s="289"/>
      <c r="HB158" s="289"/>
      <c r="HC158" s="289"/>
      <c r="HD158" s="289"/>
      <c r="HE158" s="289"/>
      <c r="HF158" s="289"/>
      <c r="HG158" s="289"/>
      <c r="HH158" s="289"/>
      <c r="HI158" s="289"/>
      <c r="HJ158" s="289"/>
      <c r="HK158" s="289"/>
      <c r="HL158" s="289"/>
      <c r="HM158" s="289"/>
      <c r="HN158" s="289"/>
      <c r="HO158" s="289"/>
      <c r="HP158" s="289"/>
      <c r="HQ158" s="289"/>
      <c r="HR158" s="289"/>
      <c r="HS158" s="289"/>
      <c r="HT158" s="289"/>
      <c r="HU158" s="289"/>
      <c r="HV158" s="289"/>
      <c r="HW158" s="289"/>
      <c r="HX158" s="289"/>
      <c r="HY158" s="289"/>
      <c r="HZ158" s="289"/>
      <c r="IA158" s="289"/>
      <c r="IB158" s="289"/>
      <c r="IC158" s="289"/>
      <c r="ID158" s="289"/>
      <c r="IE158" s="289"/>
      <c r="IF158" s="289"/>
      <c r="IG158" s="289"/>
      <c r="IH158" s="289"/>
      <c r="II158" s="289"/>
      <c r="IJ158" s="289"/>
      <c r="IK158" s="289"/>
      <c r="IL158" s="289"/>
      <c r="IM158" s="289"/>
      <c r="IN158" s="289"/>
      <c r="IO158" s="289"/>
      <c r="IP158" s="289"/>
      <c r="IQ158" s="289"/>
      <c r="IR158" s="289"/>
      <c r="IS158" s="289"/>
      <c r="IT158" s="289"/>
      <c r="IU158" s="289"/>
      <c r="IV158" s="289"/>
      <c r="IW158" s="289"/>
      <c r="IX158" s="289"/>
    </row>
    <row r="159" spans="1:258" s="21" customFormat="1">
      <c r="A159" s="289"/>
      <c r="B159" s="289"/>
      <c r="C159" s="289"/>
      <c r="D159" s="289"/>
      <c r="E159" s="289"/>
      <c r="F159" s="289"/>
      <c r="G159" s="289"/>
      <c r="H159" s="289"/>
      <c r="I159" s="289"/>
      <c r="J159" s="289"/>
      <c r="K159" s="289"/>
      <c r="L159" s="289"/>
      <c r="M159" s="289"/>
      <c r="N159" s="289"/>
      <c r="O159" s="289"/>
      <c r="P159" s="289"/>
      <c r="Q159" s="289"/>
      <c r="R159" s="289"/>
      <c r="S159" s="289"/>
      <c r="T159" s="289"/>
      <c r="U159" s="289"/>
      <c r="V159" s="575"/>
      <c r="W159" s="289"/>
      <c r="X159" s="289"/>
      <c r="Y159" s="289"/>
      <c r="Z159" s="289"/>
      <c r="AA159" s="289"/>
      <c r="AB159" s="289"/>
      <c r="AC159" s="289"/>
      <c r="AD159" s="289"/>
      <c r="AE159" s="289"/>
      <c r="AF159" s="289"/>
      <c r="AG159" s="289"/>
      <c r="AH159" s="289"/>
      <c r="AI159" s="289"/>
      <c r="AJ159" s="289"/>
      <c r="AK159" s="289"/>
      <c r="AL159" s="289"/>
      <c r="AM159" s="289"/>
      <c r="AN159" s="289"/>
      <c r="AO159" s="289"/>
      <c r="AP159" s="289"/>
      <c r="AQ159" s="289"/>
      <c r="AR159" s="289"/>
      <c r="AS159" s="289"/>
      <c r="AT159" s="289"/>
      <c r="AU159" s="289"/>
      <c r="AV159" s="289"/>
      <c r="AW159" s="289"/>
      <c r="AX159" s="289"/>
      <c r="AY159" s="289"/>
      <c r="AZ159" s="289"/>
      <c r="BA159" s="289"/>
      <c r="BB159" s="289"/>
      <c r="BC159" s="289"/>
      <c r="BD159" s="289"/>
      <c r="BE159" s="289"/>
      <c r="BF159" s="289"/>
      <c r="BG159" s="289"/>
      <c r="BH159" s="289"/>
      <c r="BI159" s="289"/>
      <c r="BJ159" s="289"/>
      <c r="BK159" s="289"/>
      <c r="BL159" s="289"/>
      <c r="BM159" s="289"/>
      <c r="BN159" s="289"/>
      <c r="BO159" s="289"/>
      <c r="BP159" s="289"/>
      <c r="BQ159" s="289"/>
      <c r="BR159" s="289"/>
      <c r="BS159" s="289"/>
      <c r="BT159" s="289"/>
      <c r="BU159" s="289"/>
      <c r="BV159" s="289"/>
      <c r="BW159" s="289"/>
      <c r="BX159" s="289"/>
      <c r="BY159" s="289"/>
      <c r="BZ159" s="289"/>
      <c r="CA159" s="289"/>
      <c r="CB159" s="289"/>
      <c r="CC159" s="289"/>
      <c r="CD159" s="289"/>
      <c r="CE159" s="289"/>
      <c r="CF159" s="289"/>
      <c r="CG159" s="289"/>
      <c r="CH159" s="289"/>
      <c r="CI159" s="289"/>
      <c r="CJ159" s="289"/>
      <c r="CK159" s="289"/>
      <c r="CL159" s="289"/>
      <c r="CM159" s="289"/>
      <c r="CN159" s="289"/>
      <c r="CO159" s="289"/>
      <c r="CP159" s="289"/>
      <c r="CQ159" s="289"/>
      <c r="CR159" s="289"/>
      <c r="CS159" s="289"/>
      <c r="CT159" s="289"/>
      <c r="CU159" s="289"/>
      <c r="CV159" s="289"/>
      <c r="CW159" s="289"/>
      <c r="CX159" s="289"/>
      <c r="CY159" s="289"/>
      <c r="CZ159" s="289"/>
      <c r="DA159" s="289"/>
      <c r="DB159" s="289"/>
      <c r="DC159" s="289"/>
      <c r="DD159" s="289"/>
      <c r="DE159" s="289"/>
      <c r="DF159" s="289"/>
      <c r="DG159" s="289"/>
      <c r="DH159" s="289"/>
      <c r="DI159" s="289"/>
      <c r="DJ159" s="289"/>
      <c r="DK159" s="289"/>
      <c r="DL159" s="289"/>
      <c r="DM159" s="289"/>
      <c r="DN159" s="289"/>
      <c r="DO159" s="289"/>
      <c r="DP159" s="289"/>
      <c r="DQ159" s="289"/>
      <c r="DR159" s="289"/>
      <c r="DS159" s="289"/>
      <c r="DT159" s="289"/>
      <c r="DU159" s="289"/>
      <c r="DV159" s="289"/>
      <c r="DW159" s="289"/>
      <c r="DX159" s="289"/>
      <c r="DY159" s="289"/>
      <c r="DZ159" s="289"/>
      <c r="EA159" s="289"/>
      <c r="EB159" s="289"/>
      <c r="EC159" s="289"/>
      <c r="ED159" s="289"/>
      <c r="EE159" s="289"/>
      <c r="EF159" s="289"/>
      <c r="EG159" s="289"/>
      <c r="EH159" s="289"/>
      <c r="EI159" s="289"/>
      <c r="EJ159" s="289"/>
      <c r="EK159" s="289"/>
      <c r="EL159" s="289"/>
      <c r="EM159" s="289"/>
      <c r="EN159" s="289"/>
      <c r="EO159" s="289"/>
      <c r="EP159" s="289"/>
      <c r="EQ159" s="289"/>
      <c r="ER159" s="289"/>
      <c r="ES159" s="289"/>
      <c r="ET159" s="289"/>
      <c r="EU159" s="289"/>
      <c r="EV159" s="289"/>
      <c r="EW159" s="289"/>
      <c r="EX159" s="289"/>
      <c r="EY159" s="289"/>
      <c r="EZ159" s="289"/>
      <c r="FA159" s="289"/>
      <c r="FB159" s="289"/>
      <c r="FC159" s="289"/>
      <c r="FD159" s="289"/>
      <c r="FE159" s="289"/>
      <c r="FF159" s="289"/>
      <c r="FG159" s="289"/>
      <c r="FH159" s="289"/>
      <c r="FI159" s="289"/>
      <c r="FJ159" s="289"/>
      <c r="FK159" s="289"/>
      <c r="FL159" s="289"/>
      <c r="FM159" s="289"/>
      <c r="FN159" s="289"/>
      <c r="FO159" s="289"/>
      <c r="FP159" s="289"/>
      <c r="FQ159" s="289"/>
      <c r="FR159" s="289"/>
      <c r="FS159" s="289"/>
      <c r="FT159" s="289"/>
      <c r="FU159" s="289"/>
      <c r="FV159" s="289"/>
      <c r="FW159" s="289"/>
      <c r="FX159" s="289"/>
      <c r="FY159" s="289"/>
      <c r="FZ159" s="289"/>
      <c r="GA159" s="289"/>
      <c r="GB159" s="289"/>
      <c r="GC159" s="289"/>
      <c r="GD159" s="289"/>
      <c r="GE159" s="289"/>
      <c r="GF159" s="289"/>
      <c r="GG159" s="289"/>
      <c r="GH159" s="289"/>
      <c r="GI159" s="289"/>
      <c r="GJ159" s="289"/>
      <c r="GK159" s="289"/>
      <c r="GL159" s="289"/>
      <c r="GM159" s="289"/>
      <c r="GN159" s="289"/>
      <c r="GO159" s="289"/>
      <c r="GP159" s="289"/>
      <c r="GQ159" s="289"/>
      <c r="GR159" s="289"/>
      <c r="GS159" s="289"/>
      <c r="GT159" s="289"/>
      <c r="GU159" s="289"/>
      <c r="GV159" s="289"/>
      <c r="GW159" s="289"/>
      <c r="GX159" s="289"/>
      <c r="GY159" s="289"/>
      <c r="GZ159" s="289"/>
      <c r="HA159" s="289"/>
      <c r="HB159" s="289"/>
      <c r="HC159" s="289"/>
      <c r="HD159" s="289"/>
      <c r="HE159" s="289"/>
      <c r="HF159" s="289"/>
      <c r="HG159" s="289"/>
      <c r="HH159" s="289"/>
      <c r="HI159" s="289"/>
      <c r="HJ159" s="289"/>
      <c r="HK159" s="289"/>
      <c r="HL159" s="289"/>
      <c r="HM159" s="289"/>
      <c r="HN159" s="289"/>
      <c r="HO159" s="289"/>
      <c r="HP159" s="289"/>
      <c r="HQ159" s="289"/>
      <c r="HR159" s="289"/>
      <c r="HS159" s="289"/>
      <c r="HT159" s="289"/>
      <c r="HU159" s="289"/>
      <c r="HV159" s="289"/>
      <c r="HW159" s="289"/>
      <c r="HX159" s="289"/>
      <c r="HY159" s="289"/>
      <c r="HZ159" s="289"/>
      <c r="IA159" s="289"/>
      <c r="IB159" s="289"/>
      <c r="IC159" s="289"/>
      <c r="ID159" s="289"/>
      <c r="IE159" s="289"/>
      <c r="IF159" s="289"/>
      <c r="IG159" s="289"/>
      <c r="IH159" s="289"/>
      <c r="II159" s="289"/>
      <c r="IJ159" s="289"/>
      <c r="IK159" s="289"/>
      <c r="IL159" s="289"/>
      <c r="IM159" s="289"/>
      <c r="IN159" s="289"/>
      <c r="IO159" s="289"/>
      <c r="IP159" s="289"/>
      <c r="IQ159" s="289"/>
      <c r="IR159" s="289"/>
      <c r="IS159" s="289"/>
      <c r="IT159" s="289"/>
      <c r="IU159" s="289"/>
      <c r="IV159" s="289"/>
      <c r="IW159" s="289"/>
      <c r="IX159" s="289"/>
    </row>
    <row r="160" spans="1:258" s="21" customFormat="1">
      <c r="A160" s="289"/>
      <c r="B160" s="289"/>
      <c r="C160" s="289"/>
      <c r="D160" s="289"/>
      <c r="E160" s="289"/>
      <c r="F160" s="289"/>
      <c r="G160" s="289"/>
      <c r="H160" s="289"/>
      <c r="I160" s="289"/>
      <c r="J160" s="289"/>
      <c r="K160" s="289"/>
      <c r="L160" s="289"/>
      <c r="M160" s="289"/>
      <c r="N160" s="289"/>
      <c r="O160" s="289"/>
      <c r="P160" s="289"/>
      <c r="Q160" s="289"/>
      <c r="R160" s="289"/>
      <c r="S160" s="289"/>
      <c r="T160" s="289"/>
      <c r="U160" s="289"/>
      <c r="V160" s="575"/>
      <c r="W160" s="289"/>
      <c r="X160" s="289"/>
      <c r="Y160" s="289"/>
      <c r="Z160" s="289"/>
      <c r="AA160" s="289"/>
      <c r="AB160" s="289"/>
      <c r="AC160" s="289"/>
      <c r="AD160" s="289"/>
      <c r="AE160" s="289"/>
      <c r="AF160" s="289"/>
      <c r="AG160" s="289"/>
      <c r="AH160" s="289"/>
      <c r="AI160" s="289"/>
      <c r="AJ160" s="289"/>
      <c r="AK160" s="289"/>
      <c r="AL160" s="289"/>
      <c r="AM160" s="289"/>
      <c r="AN160" s="289"/>
      <c r="AO160" s="289"/>
      <c r="AP160" s="289"/>
      <c r="AQ160" s="289"/>
      <c r="AR160" s="289"/>
      <c r="AS160" s="289"/>
      <c r="AT160" s="289"/>
      <c r="AU160" s="289"/>
      <c r="AV160" s="289"/>
      <c r="AW160" s="289"/>
      <c r="AX160" s="289"/>
      <c r="AY160" s="289"/>
      <c r="AZ160" s="289"/>
      <c r="BA160" s="289"/>
      <c r="BB160" s="289"/>
      <c r="BC160" s="289"/>
      <c r="BD160" s="289"/>
      <c r="BE160" s="289"/>
      <c r="BF160" s="289"/>
      <c r="BG160" s="289"/>
      <c r="BH160" s="289"/>
      <c r="BI160" s="289"/>
      <c r="BJ160" s="289"/>
      <c r="BK160" s="289"/>
      <c r="BL160" s="289"/>
      <c r="BM160" s="289"/>
      <c r="BN160" s="289"/>
      <c r="BO160" s="289"/>
      <c r="BP160" s="289"/>
      <c r="BQ160" s="289"/>
      <c r="BR160" s="289"/>
      <c r="BS160" s="289"/>
      <c r="BT160" s="289"/>
      <c r="BU160" s="289"/>
      <c r="BV160" s="289"/>
      <c r="BW160" s="289"/>
      <c r="BX160" s="289"/>
      <c r="BY160" s="289"/>
      <c r="BZ160" s="289"/>
      <c r="CA160" s="289"/>
      <c r="CB160" s="289"/>
      <c r="CC160" s="289"/>
      <c r="CD160" s="289"/>
      <c r="CE160" s="289"/>
      <c r="CF160" s="289"/>
      <c r="CG160" s="289"/>
      <c r="CH160" s="289"/>
      <c r="CI160" s="289"/>
      <c r="CJ160" s="289"/>
      <c r="CK160" s="289"/>
      <c r="CL160" s="289"/>
      <c r="CM160" s="289"/>
      <c r="CN160" s="289"/>
      <c r="CO160" s="289"/>
      <c r="CP160" s="289"/>
      <c r="CQ160" s="289"/>
      <c r="CR160" s="289"/>
      <c r="CS160" s="289"/>
      <c r="CT160" s="289"/>
      <c r="CU160" s="289"/>
      <c r="CV160" s="289"/>
      <c r="CW160" s="289"/>
      <c r="CX160" s="289"/>
      <c r="CY160" s="289"/>
      <c r="CZ160" s="289"/>
      <c r="DA160" s="289"/>
      <c r="DB160" s="289"/>
      <c r="DC160" s="289"/>
      <c r="DD160" s="289"/>
      <c r="DE160" s="289"/>
      <c r="DF160" s="289"/>
      <c r="DG160" s="289"/>
      <c r="DH160" s="289"/>
      <c r="DI160" s="289"/>
      <c r="DJ160" s="289"/>
      <c r="DK160" s="289"/>
      <c r="DL160" s="289"/>
      <c r="DM160" s="289"/>
      <c r="DN160" s="289"/>
      <c r="DO160" s="289"/>
      <c r="DP160" s="289"/>
      <c r="DQ160" s="289"/>
      <c r="DR160" s="289"/>
      <c r="DS160" s="289"/>
      <c r="DT160" s="289"/>
      <c r="DU160" s="289"/>
      <c r="DV160" s="289"/>
      <c r="DW160" s="289"/>
      <c r="DX160" s="289"/>
      <c r="DY160" s="289"/>
      <c r="DZ160" s="289"/>
      <c r="EA160" s="289"/>
      <c r="EB160" s="289"/>
      <c r="EC160" s="289"/>
      <c r="ED160" s="289"/>
      <c r="EE160" s="289"/>
      <c r="EF160" s="289"/>
      <c r="EG160" s="289"/>
      <c r="EH160" s="289"/>
      <c r="EI160" s="289"/>
      <c r="EJ160" s="289"/>
      <c r="EK160" s="289"/>
      <c r="EL160" s="289"/>
      <c r="EM160" s="289"/>
      <c r="EN160" s="289"/>
      <c r="EO160" s="289"/>
      <c r="EP160" s="289"/>
      <c r="EQ160" s="289"/>
      <c r="ER160" s="289"/>
      <c r="ES160" s="289"/>
      <c r="ET160" s="289"/>
      <c r="EU160" s="289"/>
      <c r="EV160" s="289"/>
      <c r="EW160" s="289"/>
      <c r="EX160" s="289"/>
      <c r="EY160" s="289"/>
      <c r="EZ160" s="289"/>
      <c r="FA160" s="289"/>
      <c r="FB160" s="289"/>
      <c r="FC160" s="289"/>
      <c r="FD160" s="289"/>
      <c r="FE160" s="289"/>
      <c r="FF160" s="289"/>
      <c r="FG160" s="289"/>
      <c r="FH160" s="289"/>
      <c r="FI160" s="289"/>
      <c r="FJ160" s="289"/>
      <c r="FK160" s="289"/>
      <c r="FL160" s="289"/>
      <c r="FM160" s="289"/>
      <c r="FN160" s="289"/>
      <c r="FO160" s="289"/>
      <c r="FP160" s="289"/>
      <c r="FQ160" s="289"/>
      <c r="FR160" s="289"/>
      <c r="FS160" s="289"/>
      <c r="FT160" s="289"/>
      <c r="FU160" s="289"/>
      <c r="FV160" s="289"/>
      <c r="FW160" s="289"/>
      <c r="FX160" s="289"/>
      <c r="FY160" s="289"/>
      <c r="FZ160" s="289"/>
      <c r="GA160" s="289"/>
      <c r="GB160" s="289"/>
      <c r="GC160" s="289"/>
      <c r="GD160" s="289"/>
      <c r="GE160" s="289"/>
      <c r="GF160" s="289"/>
      <c r="GG160" s="289"/>
      <c r="GH160" s="289"/>
      <c r="GI160" s="289"/>
      <c r="GJ160" s="289"/>
      <c r="GK160" s="289"/>
      <c r="GL160" s="289"/>
      <c r="GM160" s="289"/>
      <c r="GN160" s="289"/>
      <c r="GO160" s="289"/>
      <c r="GP160" s="289"/>
      <c r="GQ160" s="289"/>
      <c r="GR160" s="289"/>
      <c r="GS160" s="289"/>
      <c r="GT160" s="289"/>
      <c r="GU160" s="289"/>
      <c r="GV160" s="289"/>
      <c r="GW160" s="289"/>
      <c r="GX160" s="289"/>
      <c r="GY160" s="289"/>
      <c r="GZ160" s="289"/>
      <c r="HA160" s="289"/>
      <c r="HB160" s="289"/>
      <c r="HC160" s="289"/>
      <c r="HD160" s="289"/>
      <c r="HE160" s="289"/>
      <c r="HF160" s="289"/>
      <c r="HG160" s="289"/>
      <c r="HH160" s="289"/>
      <c r="HI160" s="289"/>
      <c r="HJ160" s="289"/>
      <c r="HK160" s="289"/>
      <c r="HL160" s="289"/>
      <c r="HM160" s="289"/>
      <c r="HN160" s="289"/>
      <c r="HO160" s="289"/>
      <c r="HP160" s="289"/>
      <c r="HQ160" s="289"/>
      <c r="HR160" s="289"/>
      <c r="HS160" s="289"/>
      <c r="HT160" s="289"/>
      <c r="HU160" s="289"/>
      <c r="HV160" s="289"/>
      <c r="HW160" s="289"/>
      <c r="HX160" s="289"/>
      <c r="HY160" s="289"/>
      <c r="HZ160" s="289"/>
      <c r="IA160" s="289"/>
      <c r="IB160" s="289"/>
      <c r="IC160" s="289"/>
      <c r="ID160" s="289"/>
      <c r="IE160" s="289"/>
      <c r="IF160" s="289"/>
      <c r="IG160" s="289"/>
      <c r="IH160" s="289"/>
      <c r="II160" s="289"/>
      <c r="IJ160" s="289"/>
      <c r="IK160" s="289"/>
      <c r="IL160" s="289"/>
      <c r="IM160" s="289"/>
      <c r="IN160" s="289"/>
      <c r="IO160" s="289"/>
      <c r="IP160" s="289"/>
      <c r="IQ160" s="289"/>
      <c r="IR160" s="289"/>
      <c r="IS160" s="289"/>
      <c r="IT160" s="289"/>
      <c r="IU160" s="289"/>
      <c r="IV160" s="289"/>
      <c r="IW160" s="289"/>
      <c r="IX160" s="289"/>
    </row>
    <row r="161" spans="1:258" s="21" customFormat="1">
      <c r="A161" s="289"/>
      <c r="B161" s="289"/>
      <c r="C161" s="289"/>
      <c r="D161" s="289"/>
      <c r="E161" s="289"/>
      <c r="F161" s="289"/>
      <c r="G161" s="289"/>
      <c r="H161" s="289"/>
      <c r="I161" s="289"/>
      <c r="J161" s="289"/>
      <c r="K161" s="289"/>
      <c r="L161" s="289"/>
      <c r="M161" s="289"/>
      <c r="N161" s="289"/>
      <c r="O161" s="289"/>
      <c r="P161" s="289"/>
      <c r="Q161" s="289"/>
      <c r="R161" s="289"/>
      <c r="S161" s="289"/>
      <c r="T161" s="289"/>
      <c r="U161" s="289"/>
      <c r="V161" s="575"/>
      <c r="W161" s="289"/>
      <c r="X161" s="289"/>
      <c r="Y161" s="289"/>
      <c r="Z161" s="289"/>
      <c r="AA161" s="289"/>
      <c r="AB161" s="289"/>
      <c r="AC161" s="289"/>
      <c r="AD161" s="289"/>
      <c r="AE161" s="289"/>
      <c r="AF161" s="289"/>
      <c r="AG161" s="289"/>
      <c r="AH161" s="289"/>
      <c r="AI161" s="289"/>
      <c r="AJ161" s="289"/>
      <c r="AK161" s="289"/>
      <c r="AL161" s="289"/>
      <c r="AM161" s="289"/>
      <c r="AN161" s="289"/>
      <c r="AO161" s="289"/>
      <c r="AP161" s="289"/>
      <c r="AQ161" s="289"/>
      <c r="AR161" s="289"/>
      <c r="AS161" s="289"/>
      <c r="AT161" s="289"/>
      <c r="AU161" s="289"/>
      <c r="AV161" s="289"/>
      <c r="AW161" s="289"/>
      <c r="AX161" s="289"/>
      <c r="AY161" s="289"/>
      <c r="AZ161" s="289"/>
      <c r="BA161" s="289"/>
      <c r="BB161" s="289"/>
      <c r="BC161" s="289"/>
      <c r="BD161" s="289"/>
      <c r="BE161" s="289"/>
      <c r="BF161" s="289"/>
      <c r="BG161" s="289"/>
      <c r="BH161" s="289"/>
      <c r="BI161" s="289"/>
      <c r="BJ161" s="289"/>
      <c r="BK161" s="289"/>
      <c r="BL161" s="289"/>
      <c r="BM161" s="289"/>
      <c r="BN161" s="289"/>
      <c r="BO161" s="289"/>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289"/>
      <c r="CT161" s="289"/>
      <c r="CU161" s="289"/>
      <c r="CV161" s="289"/>
      <c r="CW161" s="289"/>
      <c r="CX161" s="289"/>
      <c r="CY161" s="289"/>
      <c r="CZ161" s="289"/>
      <c r="DA161" s="289"/>
      <c r="DB161" s="289"/>
      <c r="DC161" s="289"/>
      <c r="DD161" s="289"/>
      <c r="DE161" s="289"/>
      <c r="DF161" s="289"/>
      <c r="DG161" s="289"/>
      <c r="DH161" s="289"/>
      <c r="DI161" s="289"/>
      <c r="DJ161" s="289"/>
      <c r="DK161" s="289"/>
      <c r="DL161" s="289"/>
      <c r="DM161" s="289"/>
      <c r="DN161" s="289"/>
      <c r="DO161" s="289"/>
      <c r="DP161" s="289"/>
      <c r="DQ161" s="289"/>
      <c r="DR161" s="289"/>
      <c r="DS161" s="289"/>
      <c r="DT161" s="289"/>
      <c r="DU161" s="289"/>
      <c r="DV161" s="289"/>
      <c r="DW161" s="289"/>
      <c r="DX161" s="289"/>
      <c r="DY161" s="289"/>
      <c r="DZ161" s="289"/>
      <c r="EA161" s="289"/>
      <c r="EB161" s="289"/>
      <c r="EC161" s="289"/>
      <c r="ED161" s="289"/>
      <c r="EE161" s="289"/>
      <c r="EF161" s="289"/>
      <c r="EG161" s="289"/>
      <c r="EH161" s="289"/>
      <c r="EI161" s="289"/>
      <c r="EJ161" s="289"/>
      <c r="EK161" s="289"/>
      <c r="EL161" s="289"/>
      <c r="EM161" s="289"/>
      <c r="EN161" s="289"/>
      <c r="EO161" s="289"/>
      <c r="EP161" s="289"/>
      <c r="EQ161" s="289"/>
      <c r="ER161" s="289"/>
      <c r="ES161" s="289"/>
      <c r="ET161" s="289"/>
      <c r="EU161" s="289"/>
      <c r="EV161" s="289"/>
      <c r="EW161" s="289"/>
      <c r="EX161" s="289"/>
      <c r="EY161" s="289"/>
      <c r="EZ161" s="289"/>
      <c r="FA161" s="289"/>
      <c r="FB161" s="289"/>
      <c r="FC161" s="289"/>
      <c r="FD161" s="289"/>
      <c r="FE161" s="289"/>
      <c r="FF161" s="289"/>
      <c r="FG161" s="289"/>
      <c r="FH161" s="289"/>
      <c r="FI161" s="289"/>
      <c r="FJ161" s="289"/>
      <c r="FK161" s="289"/>
      <c r="FL161" s="289"/>
      <c r="FM161" s="289"/>
      <c r="FN161" s="289"/>
      <c r="FO161" s="289"/>
      <c r="FP161" s="289"/>
      <c r="FQ161" s="289"/>
      <c r="FR161" s="289"/>
      <c r="FS161" s="289"/>
      <c r="FT161" s="289"/>
      <c r="FU161" s="289"/>
      <c r="FV161" s="289"/>
      <c r="FW161" s="289"/>
      <c r="FX161" s="289"/>
      <c r="FY161" s="289"/>
      <c r="FZ161" s="289"/>
      <c r="GA161" s="289"/>
      <c r="GB161" s="289"/>
      <c r="GC161" s="289"/>
      <c r="GD161" s="289"/>
      <c r="GE161" s="289"/>
      <c r="GF161" s="289"/>
      <c r="GG161" s="289"/>
      <c r="GH161" s="289"/>
      <c r="GI161" s="289"/>
      <c r="GJ161" s="289"/>
      <c r="GK161" s="289"/>
      <c r="GL161" s="289"/>
      <c r="GM161" s="289"/>
      <c r="GN161" s="289"/>
      <c r="GO161" s="289"/>
      <c r="GP161" s="289"/>
      <c r="GQ161" s="289"/>
      <c r="GR161" s="289"/>
      <c r="GS161" s="289"/>
      <c r="GT161" s="289"/>
      <c r="GU161" s="289"/>
      <c r="GV161" s="289"/>
      <c r="GW161" s="289"/>
      <c r="GX161" s="289"/>
      <c r="GY161" s="289"/>
      <c r="GZ161" s="289"/>
      <c r="HA161" s="289"/>
      <c r="HB161" s="289"/>
      <c r="HC161" s="289"/>
      <c r="HD161" s="289"/>
      <c r="HE161" s="289"/>
      <c r="HF161" s="289"/>
      <c r="HG161" s="289"/>
      <c r="HH161" s="289"/>
      <c r="HI161" s="289"/>
      <c r="HJ161" s="289"/>
      <c r="HK161" s="289"/>
      <c r="HL161" s="289"/>
      <c r="HM161" s="289"/>
      <c r="HN161" s="289"/>
      <c r="HO161" s="289"/>
      <c r="HP161" s="289"/>
      <c r="HQ161" s="289"/>
      <c r="HR161" s="289"/>
      <c r="HS161" s="289"/>
      <c r="HT161" s="289"/>
      <c r="HU161" s="289"/>
      <c r="HV161" s="289"/>
      <c r="HW161" s="289"/>
      <c r="HX161" s="289"/>
      <c r="HY161" s="289"/>
      <c r="HZ161" s="289"/>
      <c r="IA161" s="289"/>
      <c r="IB161" s="289"/>
      <c r="IC161" s="289"/>
      <c r="ID161" s="289"/>
      <c r="IE161" s="289"/>
      <c r="IF161" s="289"/>
      <c r="IG161" s="289"/>
      <c r="IH161" s="289"/>
      <c r="II161" s="289"/>
      <c r="IJ161" s="289"/>
      <c r="IK161" s="289"/>
      <c r="IL161" s="289"/>
      <c r="IM161" s="289"/>
      <c r="IN161" s="289"/>
      <c r="IO161" s="289"/>
      <c r="IP161" s="289"/>
      <c r="IQ161" s="289"/>
      <c r="IR161" s="289"/>
      <c r="IS161" s="289"/>
      <c r="IT161" s="289"/>
      <c r="IU161" s="289"/>
      <c r="IV161" s="289"/>
      <c r="IW161" s="289"/>
      <c r="IX161" s="289"/>
    </row>
    <row r="162" spans="1:258" s="21" customFormat="1">
      <c r="A162" s="289"/>
      <c r="B162" s="289"/>
      <c r="C162" s="289"/>
      <c r="D162" s="289"/>
      <c r="E162" s="289"/>
      <c r="F162" s="289"/>
      <c r="G162" s="289"/>
      <c r="H162" s="289"/>
      <c r="I162" s="289"/>
      <c r="J162" s="289"/>
      <c r="K162" s="289"/>
      <c r="L162" s="289"/>
      <c r="M162" s="289"/>
      <c r="N162" s="289"/>
      <c r="O162" s="289"/>
      <c r="P162" s="289"/>
      <c r="Q162" s="289"/>
      <c r="R162" s="289"/>
      <c r="S162" s="289"/>
      <c r="T162" s="289"/>
      <c r="U162" s="289"/>
      <c r="V162" s="575"/>
      <c r="W162" s="289"/>
      <c r="X162" s="289"/>
      <c r="Y162" s="289"/>
      <c r="Z162" s="289"/>
      <c r="AA162" s="289"/>
      <c r="AB162" s="289"/>
      <c r="AC162" s="289"/>
      <c r="AD162" s="289"/>
      <c r="AE162" s="289"/>
      <c r="AF162" s="289"/>
      <c r="AG162" s="289"/>
      <c r="AH162" s="289"/>
      <c r="AI162" s="289"/>
      <c r="AJ162" s="289"/>
      <c r="AK162" s="289"/>
      <c r="AL162" s="289"/>
      <c r="AM162" s="289"/>
      <c r="AN162" s="289"/>
      <c r="AO162" s="289"/>
      <c r="AP162" s="289"/>
      <c r="AQ162" s="289"/>
      <c r="AR162" s="289"/>
      <c r="AS162" s="289"/>
      <c r="AT162" s="289"/>
      <c r="AU162" s="289"/>
      <c r="AV162" s="289"/>
      <c r="AW162" s="289"/>
      <c r="AX162" s="289"/>
      <c r="AY162" s="289"/>
      <c r="AZ162" s="289"/>
      <c r="BA162" s="289"/>
      <c r="BB162" s="289"/>
      <c r="BC162" s="289"/>
      <c r="BD162" s="289"/>
      <c r="BE162" s="289"/>
      <c r="BF162" s="289"/>
      <c r="BG162" s="289"/>
      <c r="BH162" s="289"/>
      <c r="BI162" s="289"/>
      <c r="BJ162" s="289"/>
      <c r="BK162" s="289"/>
      <c r="BL162" s="289"/>
      <c r="BM162" s="289"/>
      <c r="BN162" s="289"/>
      <c r="BO162" s="289"/>
      <c r="BP162" s="289"/>
      <c r="BQ162" s="289"/>
      <c r="BR162" s="289"/>
      <c r="BS162" s="289"/>
      <c r="BT162" s="289"/>
      <c r="BU162" s="289"/>
      <c r="BV162" s="289"/>
      <c r="BW162" s="289"/>
      <c r="BX162" s="289"/>
      <c r="BY162" s="289"/>
      <c r="BZ162" s="289"/>
      <c r="CA162" s="289"/>
      <c r="CB162" s="289"/>
      <c r="CC162" s="289"/>
      <c r="CD162" s="289"/>
      <c r="CE162" s="289"/>
      <c r="CF162" s="289"/>
      <c r="CG162" s="289"/>
      <c r="CH162" s="289"/>
      <c r="CI162" s="289"/>
      <c r="CJ162" s="289"/>
      <c r="CK162" s="289"/>
      <c r="CL162" s="289"/>
      <c r="CM162" s="289"/>
      <c r="CN162" s="289"/>
      <c r="CO162" s="289"/>
      <c r="CP162" s="289"/>
      <c r="CQ162" s="289"/>
      <c r="CR162" s="289"/>
      <c r="CS162" s="289"/>
      <c r="CT162" s="289"/>
      <c r="CU162" s="289"/>
      <c r="CV162" s="289"/>
      <c r="CW162" s="289"/>
      <c r="CX162" s="289"/>
      <c r="CY162" s="289"/>
      <c r="CZ162" s="289"/>
      <c r="DA162" s="289"/>
      <c r="DB162" s="289"/>
      <c r="DC162" s="289"/>
      <c r="DD162" s="289"/>
      <c r="DE162" s="289"/>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89"/>
      <c r="EB162" s="289"/>
      <c r="EC162" s="289"/>
      <c r="ED162" s="289"/>
      <c r="EE162" s="289"/>
      <c r="EF162" s="289"/>
      <c r="EG162" s="289"/>
      <c r="EH162" s="289"/>
      <c r="EI162" s="289"/>
      <c r="EJ162" s="289"/>
      <c r="EK162" s="289"/>
      <c r="EL162" s="289"/>
      <c r="EM162" s="289"/>
      <c r="EN162" s="289"/>
      <c r="EO162" s="289"/>
      <c r="EP162" s="289"/>
      <c r="EQ162" s="289"/>
      <c r="ER162" s="289"/>
      <c r="ES162" s="289"/>
      <c r="ET162" s="289"/>
      <c r="EU162" s="289"/>
      <c r="EV162" s="289"/>
      <c r="EW162" s="289"/>
      <c r="EX162" s="289"/>
      <c r="EY162" s="289"/>
      <c r="EZ162" s="289"/>
      <c r="FA162" s="289"/>
      <c r="FB162" s="289"/>
      <c r="FC162" s="289"/>
      <c r="FD162" s="289"/>
      <c r="FE162" s="289"/>
      <c r="FF162" s="289"/>
      <c r="FG162" s="289"/>
      <c r="FH162" s="289"/>
      <c r="FI162" s="289"/>
      <c r="FJ162" s="289"/>
      <c r="FK162" s="289"/>
      <c r="FL162" s="289"/>
      <c r="FM162" s="289"/>
      <c r="FN162" s="289"/>
      <c r="FO162" s="289"/>
      <c r="FP162" s="289"/>
      <c r="FQ162" s="289"/>
      <c r="FR162" s="289"/>
      <c r="FS162" s="289"/>
      <c r="FT162" s="289"/>
      <c r="FU162" s="289"/>
      <c r="FV162" s="289"/>
      <c r="FW162" s="289"/>
      <c r="FX162" s="289"/>
      <c r="FY162" s="289"/>
      <c r="FZ162" s="289"/>
      <c r="GA162" s="289"/>
      <c r="GB162" s="289"/>
      <c r="GC162" s="289"/>
      <c r="GD162" s="289"/>
      <c r="GE162" s="289"/>
      <c r="GF162" s="289"/>
      <c r="GG162" s="289"/>
      <c r="GH162" s="289"/>
      <c r="GI162" s="289"/>
      <c r="GJ162" s="289"/>
      <c r="GK162" s="289"/>
      <c r="GL162" s="289"/>
      <c r="GM162" s="289"/>
      <c r="GN162" s="289"/>
      <c r="GO162" s="289"/>
      <c r="GP162" s="289"/>
      <c r="GQ162" s="289"/>
      <c r="GR162" s="289"/>
      <c r="GS162" s="289"/>
      <c r="GT162" s="289"/>
      <c r="GU162" s="289"/>
      <c r="GV162" s="289"/>
      <c r="GW162" s="289"/>
      <c r="GX162" s="289"/>
      <c r="GY162" s="289"/>
      <c r="GZ162" s="289"/>
      <c r="HA162" s="289"/>
      <c r="HB162" s="289"/>
      <c r="HC162" s="289"/>
      <c r="HD162" s="289"/>
      <c r="HE162" s="289"/>
      <c r="HF162" s="289"/>
      <c r="HG162" s="289"/>
      <c r="HH162" s="289"/>
      <c r="HI162" s="289"/>
      <c r="HJ162" s="289"/>
      <c r="HK162" s="289"/>
      <c r="HL162" s="289"/>
      <c r="HM162" s="289"/>
      <c r="HN162" s="289"/>
      <c r="HO162" s="289"/>
      <c r="HP162" s="289"/>
      <c r="HQ162" s="289"/>
      <c r="HR162" s="289"/>
      <c r="HS162" s="289"/>
      <c r="HT162" s="289"/>
      <c r="HU162" s="289"/>
      <c r="HV162" s="289"/>
      <c r="HW162" s="289"/>
      <c r="HX162" s="289"/>
      <c r="HY162" s="289"/>
      <c r="HZ162" s="289"/>
      <c r="IA162" s="289"/>
      <c r="IB162" s="289"/>
      <c r="IC162" s="289"/>
      <c r="ID162" s="289"/>
      <c r="IE162" s="289"/>
      <c r="IF162" s="289"/>
      <c r="IG162" s="289"/>
      <c r="IH162" s="289"/>
      <c r="II162" s="289"/>
      <c r="IJ162" s="289"/>
      <c r="IK162" s="289"/>
      <c r="IL162" s="289"/>
      <c r="IM162" s="289"/>
      <c r="IN162" s="289"/>
      <c r="IO162" s="289"/>
      <c r="IP162" s="289"/>
      <c r="IQ162" s="289"/>
      <c r="IR162" s="289"/>
      <c r="IS162" s="289"/>
      <c r="IT162" s="289"/>
      <c r="IU162" s="289"/>
      <c r="IV162" s="289"/>
      <c r="IW162" s="289"/>
      <c r="IX162" s="289"/>
    </row>
    <row r="163" spans="1:258" s="21" customFormat="1">
      <c r="A163" s="289"/>
      <c r="B163" s="289"/>
      <c r="C163" s="289"/>
      <c r="D163" s="289"/>
      <c r="E163" s="289"/>
      <c r="F163" s="289"/>
      <c r="G163" s="289"/>
      <c r="H163" s="289"/>
      <c r="I163" s="289"/>
      <c r="J163" s="289"/>
      <c r="K163" s="289"/>
      <c r="L163" s="289"/>
      <c r="M163" s="289"/>
      <c r="N163" s="289"/>
      <c r="O163" s="289"/>
      <c r="P163" s="289"/>
      <c r="Q163" s="289"/>
      <c r="R163" s="289"/>
      <c r="S163" s="289"/>
      <c r="T163" s="289"/>
      <c r="U163" s="289"/>
      <c r="V163" s="575"/>
      <c r="W163" s="289"/>
      <c r="X163" s="289"/>
      <c r="Y163" s="289"/>
      <c r="Z163" s="289"/>
      <c r="AA163" s="289"/>
      <c r="AB163" s="289"/>
      <c r="AC163" s="289"/>
      <c r="AD163" s="289"/>
      <c r="AE163" s="289"/>
      <c r="AF163" s="289"/>
      <c r="AG163" s="289"/>
      <c r="AH163" s="289"/>
      <c r="AI163" s="289"/>
      <c r="AJ163" s="289"/>
      <c r="AK163" s="289"/>
      <c r="AL163" s="289"/>
      <c r="AM163" s="289"/>
      <c r="AN163" s="289"/>
      <c r="AO163" s="289"/>
      <c r="AP163" s="289"/>
      <c r="AQ163" s="289"/>
      <c r="AR163" s="289"/>
      <c r="AS163" s="289"/>
      <c r="AT163" s="289"/>
      <c r="AU163" s="289"/>
      <c r="AV163" s="289"/>
      <c r="AW163" s="289"/>
      <c r="AX163" s="289"/>
      <c r="AY163" s="289"/>
      <c r="AZ163" s="289"/>
      <c r="BA163" s="289"/>
      <c r="BB163" s="289"/>
      <c r="BC163" s="289"/>
      <c r="BD163" s="289"/>
      <c r="BE163" s="289"/>
      <c r="BF163" s="289"/>
      <c r="BG163" s="289"/>
      <c r="BH163" s="289"/>
      <c r="BI163" s="289"/>
      <c r="BJ163" s="289"/>
      <c r="BK163" s="289"/>
      <c r="BL163" s="289"/>
      <c r="BM163" s="289"/>
      <c r="BN163" s="289"/>
      <c r="BO163" s="289"/>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289"/>
      <c r="CT163" s="289"/>
      <c r="CU163" s="289"/>
      <c r="CV163" s="289"/>
      <c r="CW163" s="289"/>
      <c r="CX163" s="289"/>
      <c r="CY163" s="289"/>
      <c r="CZ163" s="289"/>
      <c r="DA163" s="289"/>
      <c r="DB163" s="289"/>
      <c r="DC163" s="289"/>
      <c r="DD163" s="289"/>
      <c r="DE163" s="289"/>
      <c r="DF163" s="289"/>
      <c r="DG163" s="289"/>
      <c r="DH163" s="289"/>
      <c r="DI163" s="289"/>
      <c r="DJ163" s="289"/>
      <c r="DK163" s="289"/>
      <c r="DL163" s="289"/>
      <c r="DM163" s="289"/>
      <c r="DN163" s="289"/>
      <c r="DO163" s="289"/>
      <c r="DP163" s="289"/>
      <c r="DQ163" s="289"/>
      <c r="DR163" s="289"/>
      <c r="DS163" s="289"/>
      <c r="DT163" s="289"/>
      <c r="DU163" s="289"/>
      <c r="DV163" s="289"/>
      <c r="DW163" s="289"/>
      <c r="DX163" s="289"/>
      <c r="DY163" s="289"/>
      <c r="DZ163" s="289"/>
      <c r="EA163" s="289"/>
      <c r="EB163" s="289"/>
      <c r="EC163" s="289"/>
      <c r="ED163" s="289"/>
      <c r="EE163" s="289"/>
      <c r="EF163" s="289"/>
      <c r="EG163" s="289"/>
      <c r="EH163" s="289"/>
      <c r="EI163" s="289"/>
      <c r="EJ163" s="289"/>
      <c r="EK163" s="289"/>
      <c r="EL163" s="289"/>
      <c r="EM163" s="289"/>
      <c r="EN163" s="289"/>
      <c r="EO163" s="289"/>
      <c r="EP163" s="289"/>
      <c r="EQ163" s="289"/>
      <c r="ER163" s="289"/>
      <c r="ES163" s="289"/>
      <c r="ET163" s="289"/>
      <c r="EU163" s="289"/>
      <c r="EV163" s="289"/>
      <c r="EW163" s="289"/>
      <c r="EX163" s="289"/>
      <c r="EY163" s="289"/>
      <c r="EZ163" s="289"/>
      <c r="FA163" s="289"/>
      <c r="FB163" s="289"/>
      <c r="FC163" s="289"/>
      <c r="FD163" s="289"/>
      <c r="FE163" s="289"/>
      <c r="FF163" s="289"/>
      <c r="FG163" s="289"/>
      <c r="FH163" s="289"/>
      <c r="FI163" s="289"/>
      <c r="FJ163" s="289"/>
      <c r="FK163" s="289"/>
      <c r="FL163" s="289"/>
      <c r="FM163" s="289"/>
      <c r="FN163" s="289"/>
      <c r="FO163" s="289"/>
      <c r="FP163" s="289"/>
      <c r="FQ163" s="289"/>
      <c r="FR163" s="289"/>
      <c r="FS163" s="289"/>
      <c r="FT163" s="289"/>
      <c r="FU163" s="289"/>
      <c r="FV163" s="289"/>
      <c r="FW163" s="289"/>
      <c r="FX163" s="289"/>
      <c r="FY163" s="289"/>
      <c r="FZ163" s="289"/>
      <c r="GA163" s="289"/>
      <c r="GB163" s="289"/>
      <c r="GC163" s="289"/>
      <c r="GD163" s="289"/>
      <c r="GE163" s="289"/>
      <c r="GF163" s="289"/>
      <c r="GG163" s="289"/>
      <c r="GH163" s="289"/>
      <c r="GI163" s="289"/>
      <c r="GJ163" s="289"/>
      <c r="GK163" s="289"/>
      <c r="GL163" s="289"/>
      <c r="GM163" s="289"/>
      <c r="GN163" s="289"/>
      <c r="GO163" s="289"/>
      <c r="GP163" s="289"/>
      <c r="GQ163" s="289"/>
      <c r="GR163" s="289"/>
      <c r="GS163" s="289"/>
      <c r="GT163" s="289"/>
      <c r="GU163" s="289"/>
      <c r="GV163" s="289"/>
      <c r="GW163" s="289"/>
      <c r="GX163" s="289"/>
      <c r="GY163" s="289"/>
      <c r="GZ163" s="289"/>
      <c r="HA163" s="289"/>
      <c r="HB163" s="289"/>
      <c r="HC163" s="289"/>
      <c r="HD163" s="289"/>
      <c r="HE163" s="289"/>
      <c r="HF163" s="289"/>
      <c r="HG163" s="289"/>
      <c r="HH163" s="289"/>
      <c r="HI163" s="289"/>
      <c r="HJ163" s="289"/>
      <c r="HK163" s="289"/>
      <c r="HL163" s="289"/>
      <c r="HM163" s="289"/>
      <c r="HN163" s="289"/>
      <c r="HO163" s="289"/>
      <c r="HP163" s="289"/>
      <c r="HQ163" s="289"/>
      <c r="HR163" s="289"/>
      <c r="HS163" s="289"/>
      <c r="HT163" s="289"/>
      <c r="HU163" s="289"/>
      <c r="HV163" s="289"/>
      <c r="HW163" s="289"/>
      <c r="HX163" s="289"/>
      <c r="HY163" s="289"/>
      <c r="HZ163" s="289"/>
      <c r="IA163" s="289"/>
      <c r="IB163" s="289"/>
      <c r="IC163" s="289"/>
      <c r="ID163" s="289"/>
      <c r="IE163" s="289"/>
      <c r="IF163" s="289"/>
      <c r="IG163" s="289"/>
      <c r="IH163" s="289"/>
      <c r="II163" s="289"/>
      <c r="IJ163" s="289"/>
      <c r="IK163" s="289"/>
      <c r="IL163" s="289"/>
      <c r="IM163" s="289"/>
      <c r="IN163" s="289"/>
      <c r="IO163" s="289"/>
      <c r="IP163" s="289"/>
      <c r="IQ163" s="289"/>
      <c r="IR163" s="289"/>
      <c r="IS163" s="289"/>
      <c r="IT163" s="289"/>
      <c r="IU163" s="289"/>
      <c r="IV163" s="289"/>
      <c r="IW163" s="289"/>
      <c r="IX163" s="289"/>
    </row>
    <row r="164" spans="1:258" s="21" customFormat="1">
      <c r="A164" s="289"/>
      <c r="B164" s="289"/>
      <c r="C164" s="289"/>
      <c r="D164" s="289"/>
      <c r="E164" s="289"/>
      <c r="F164" s="289"/>
      <c r="G164" s="289"/>
      <c r="H164" s="289"/>
      <c r="I164" s="289"/>
      <c r="J164" s="289"/>
      <c r="K164" s="289"/>
      <c r="L164" s="289"/>
      <c r="M164" s="289"/>
      <c r="N164" s="289"/>
      <c r="O164" s="289"/>
      <c r="P164" s="289"/>
      <c r="Q164" s="289"/>
      <c r="R164" s="289"/>
      <c r="S164" s="289"/>
      <c r="T164" s="289"/>
      <c r="U164" s="289"/>
      <c r="V164" s="575"/>
      <c r="W164" s="289"/>
      <c r="X164" s="289"/>
      <c r="Y164" s="289"/>
      <c r="Z164" s="289"/>
      <c r="AA164" s="289"/>
      <c r="AB164" s="289"/>
      <c r="AC164" s="289"/>
      <c r="AD164" s="289"/>
      <c r="AE164" s="289"/>
      <c r="AF164" s="289"/>
      <c r="AG164" s="289"/>
      <c r="AH164" s="289"/>
      <c r="AI164" s="289"/>
      <c r="AJ164" s="289"/>
      <c r="AK164" s="289"/>
      <c r="AL164" s="289"/>
      <c r="AM164" s="289"/>
      <c r="AN164" s="289"/>
      <c r="AO164" s="289"/>
      <c r="AP164" s="289"/>
      <c r="AQ164" s="289"/>
      <c r="AR164" s="289"/>
      <c r="AS164" s="289"/>
      <c r="AT164" s="289"/>
      <c r="AU164" s="289"/>
      <c r="AV164" s="289"/>
      <c r="AW164" s="289"/>
      <c r="AX164" s="289"/>
      <c r="AY164" s="289"/>
      <c r="AZ164" s="289"/>
      <c r="BA164" s="289"/>
      <c r="BB164" s="289"/>
      <c r="BC164" s="289"/>
      <c r="BD164" s="289"/>
      <c r="BE164" s="289"/>
      <c r="BF164" s="289"/>
      <c r="BG164" s="289"/>
      <c r="BH164" s="289"/>
      <c r="BI164" s="289"/>
      <c r="BJ164" s="289"/>
      <c r="BK164" s="289"/>
      <c r="BL164" s="289"/>
      <c r="BM164" s="289"/>
      <c r="BN164" s="289"/>
      <c r="BO164" s="289"/>
      <c r="BP164" s="289"/>
      <c r="BQ164" s="289"/>
      <c r="BR164" s="289"/>
      <c r="BS164" s="289"/>
      <c r="BT164" s="289"/>
      <c r="BU164" s="289"/>
      <c r="BV164" s="289"/>
      <c r="BW164" s="289"/>
      <c r="BX164" s="289"/>
      <c r="BY164" s="289"/>
      <c r="BZ164" s="289"/>
      <c r="CA164" s="289"/>
      <c r="CB164" s="289"/>
      <c r="CC164" s="289"/>
      <c r="CD164" s="289"/>
      <c r="CE164" s="289"/>
      <c r="CF164" s="289"/>
      <c r="CG164" s="289"/>
      <c r="CH164" s="289"/>
      <c r="CI164" s="289"/>
      <c r="CJ164" s="289"/>
      <c r="CK164" s="289"/>
      <c r="CL164" s="289"/>
      <c r="CM164" s="289"/>
      <c r="CN164" s="289"/>
      <c r="CO164" s="289"/>
      <c r="CP164" s="289"/>
      <c r="CQ164" s="289"/>
      <c r="CR164" s="289"/>
      <c r="CS164" s="289"/>
      <c r="CT164" s="289"/>
      <c r="CU164" s="289"/>
      <c r="CV164" s="289"/>
      <c r="CW164" s="289"/>
      <c r="CX164" s="289"/>
      <c r="CY164" s="289"/>
      <c r="CZ164" s="289"/>
      <c r="DA164" s="289"/>
      <c r="DB164" s="289"/>
      <c r="DC164" s="289"/>
      <c r="DD164" s="289"/>
      <c r="DE164" s="289"/>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89"/>
      <c r="EB164" s="289"/>
      <c r="EC164" s="289"/>
      <c r="ED164" s="289"/>
      <c r="EE164" s="289"/>
      <c r="EF164" s="289"/>
      <c r="EG164" s="289"/>
      <c r="EH164" s="289"/>
      <c r="EI164" s="289"/>
      <c r="EJ164" s="289"/>
      <c r="EK164" s="289"/>
      <c r="EL164" s="289"/>
      <c r="EM164" s="289"/>
      <c r="EN164" s="289"/>
      <c r="EO164" s="289"/>
      <c r="EP164" s="289"/>
      <c r="EQ164" s="289"/>
      <c r="ER164" s="289"/>
      <c r="ES164" s="289"/>
      <c r="ET164" s="289"/>
      <c r="EU164" s="289"/>
      <c r="EV164" s="289"/>
      <c r="EW164" s="289"/>
      <c r="EX164" s="289"/>
      <c r="EY164" s="289"/>
      <c r="EZ164" s="289"/>
      <c r="FA164" s="289"/>
      <c r="FB164" s="289"/>
      <c r="FC164" s="289"/>
      <c r="FD164" s="289"/>
      <c r="FE164" s="289"/>
      <c r="FF164" s="289"/>
      <c r="FG164" s="289"/>
      <c r="FH164" s="289"/>
      <c r="FI164" s="289"/>
      <c r="FJ164" s="289"/>
      <c r="FK164" s="289"/>
      <c r="FL164" s="289"/>
      <c r="FM164" s="289"/>
      <c r="FN164" s="289"/>
      <c r="FO164" s="289"/>
      <c r="FP164" s="289"/>
      <c r="FQ164" s="289"/>
      <c r="FR164" s="289"/>
      <c r="FS164" s="289"/>
      <c r="FT164" s="289"/>
      <c r="FU164" s="289"/>
      <c r="FV164" s="289"/>
      <c r="FW164" s="289"/>
      <c r="FX164" s="289"/>
      <c r="FY164" s="289"/>
      <c r="FZ164" s="289"/>
      <c r="GA164" s="289"/>
      <c r="GB164" s="289"/>
      <c r="GC164" s="289"/>
      <c r="GD164" s="289"/>
      <c r="GE164" s="289"/>
      <c r="GF164" s="289"/>
      <c r="GG164" s="289"/>
      <c r="GH164" s="289"/>
      <c r="GI164" s="289"/>
      <c r="GJ164" s="289"/>
      <c r="GK164" s="289"/>
      <c r="GL164" s="289"/>
      <c r="GM164" s="289"/>
      <c r="GN164" s="289"/>
      <c r="GO164" s="289"/>
      <c r="GP164" s="289"/>
      <c r="GQ164" s="289"/>
      <c r="GR164" s="289"/>
      <c r="GS164" s="289"/>
      <c r="GT164" s="289"/>
      <c r="GU164" s="289"/>
      <c r="GV164" s="289"/>
      <c r="GW164" s="289"/>
      <c r="GX164" s="289"/>
      <c r="GY164" s="289"/>
      <c r="GZ164" s="289"/>
      <c r="HA164" s="289"/>
      <c r="HB164" s="289"/>
      <c r="HC164" s="289"/>
      <c r="HD164" s="289"/>
      <c r="HE164" s="289"/>
      <c r="HF164" s="289"/>
      <c r="HG164" s="289"/>
      <c r="HH164" s="289"/>
      <c r="HI164" s="289"/>
      <c r="HJ164" s="289"/>
      <c r="HK164" s="289"/>
      <c r="HL164" s="289"/>
      <c r="HM164" s="289"/>
      <c r="HN164" s="289"/>
      <c r="HO164" s="289"/>
      <c r="HP164" s="289"/>
      <c r="HQ164" s="289"/>
      <c r="HR164" s="289"/>
      <c r="HS164" s="289"/>
      <c r="HT164" s="289"/>
      <c r="HU164" s="289"/>
      <c r="HV164" s="289"/>
      <c r="HW164" s="289"/>
      <c r="HX164" s="289"/>
      <c r="HY164" s="289"/>
      <c r="HZ164" s="289"/>
      <c r="IA164" s="289"/>
      <c r="IB164" s="289"/>
      <c r="IC164" s="289"/>
      <c r="ID164" s="289"/>
      <c r="IE164" s="289"/>
      <c r="IF164" s="289"/>
      <c r="IG164" s="289"/>
      <c r="IH164" s="289"/>
      <c r="II164" s="289"/>
      <c r="IJ164" s="289"/>
      <c r="IK164" s="289"/>
      <c r="IL164" s="289"/>
      <c r="IM164" s="289"/>
      <c r="IN164" s="289"/>
      <c r="IO164" s="289"/>
      <c r="IP164" s="289"/>
      <c r="IQ164" s="289"/>
      <c r="IR164" s="289"/>
      <c r="IS164" s="289"/>
      <c r="IT164" s="289"/>
      <c r="IU164" s="289"/>
      <c r="IV164" s="289"/>
      <c r="IW164" s="289"/>
      <c r="IX164" s="289"/>
    </row>
    <row r="165" spans="1:258" s="21" customFormat="1">
      <c r="A165" s="289"/>
      <c r="B165" s="289"/>
      <c r="C165" s="289"/>
      <c r="D165" s="289"/>
      <c r="E165" s="289"/>
      <c r="F165" s="289"/>
      <c r="G165" s="289"/>
      <c r="H165" s="289"/>
      <c r="I165" s="289"/>
      <c r="J165" s="289"/>
      <c r="K165" s="289"/>
      <c r="L165" s="289"/>
      <c r="M165" s="289"/>
      <c r="N165" s="289"/>
      <c r="O165" s="289"/>
      <c r="P165" s="289"/>
      <c r="Q165" s="289"/>
      <c r="R165" s="289"/>
      <c r="S165" s="289"/>
      <c r="T165" s="289"/>
      <c r="U165" s="289"/>
      <c r="V165" s="575"/>
      <c r="W165" s="289"/>
      <c r="X165" s="289"/>
      <c r="Y165" s="289"/>
      <c r="Z165" s="289"/>
      <c r="AA165" s="289"/>
      <c r="AB165" s="289"/>
      <c r="AC165" s="289"/>
      <c r="AD165" s="289"/>
      <c r="AE165" s="289"/>
      <c r="AF165" s="289"/>
      <c r="AG165" s="289"/>
      <c r="AH165" s="289"/>
      <c r="AI165" s="289"/>
      <c r="AJ165" s="289"/>
      <c r="AK165" s="289"/>
      <c r="AL165" s="289"/>
      <c r="AM165" s="289"/>
      <c r="AN165" s="289"/>
      <c r="AO165" s="289"/>
      <c r="AP165" s="289"/>
      <c r="AQ165" s="289"/>
      <c r="AR165" s="289"/>
      <c r="AS165" s="289"/>
      <c r="AT165" s="289"/>
      <c r="AU165" s="289"/>
      <c r="AV165" s="289"/>
      <c r="AW165" s="289"/>
      <c r="AX165" s="289"/>
      <c r="AY165" s="289"/>
      <c r="AZ165" s="289"/>
      <c r="BA165" s="289"/>
      <c r="BB165" s="289"/>
      <c r="BC165" s="289"/>
      <c r="BD165" s="289"/>
      <c r="BE165" s="289"/>
      <c r="BF165" s="289"/>
      <c r="BG165" s="289"/>
      <c r="BH165" s="289"/>
      <c r="BI165" s="289"/>
      <c r="BJ165" s="289"/>
      <c r="BK165" s="289"/>
      <c r="BL165" s="289"/>
      <c r="BM165" s="289"/>
      <c r="BN165" s="289"/>
      <c r="BO165" s="289"/>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289"/>
      <c r="CT165" s="289"/>
      <c r="CU165" s="289"/>
      <c r="CV165" s="289"/>
      <c r="CW165" s="289"/>
      <c r="CX165" s="289"/>
      <c r="CY165" s="289"/>
      <c r="CZ165" s="289"/>
      <c r="DA165" s="289"/>
      <c r="DB165" s="289"/>
      <c r="DC165" s="289"/>
      <c r="DD165" s="289"/>
      <c r="DE165" s="289"/>
      <c r="DF165" s="289"/>
      <c r="DG165" s="289"/>
      <c r="DH165" s="289"/>
      <c r="DI165" s="289"/>
      <c r="DJ165" s="289"/>
      <c r="DK165" s="289"/>
      <c r="DL165" s="289"/>
      <c r="DM165" s="289"/>
      <c r="DN165" s="289"/>
      <c r="DO165" s="289"/>
      <c r="DP165" s="289"/>
      <c r="DQ165" s="289"/>
      <c r="DR165" s="289"/>
      <c r="DS165" s="289"/>
      <c r="DT165" s="289"/>
      <c r="DU165" s="289"/>
      <c r="DV165" s="289"/>
      <c r="DW165" s="289"/>
      <c r="DX165" s="289"/>
      <c r="DY165" s="289"/>
      <c r="DZ165" s="289"/>
      <c r="EA165" s="289"/>
      <c r="EB165" s="289"/>
      <c r="EC165" s="289"/>
      <c r="ED165" s="289"/>
      <c r="EE165" s="289"/>
      <c r="EF165" s="289"/>
      <c r="EG165" s="289"/>
      <c r="EH165" s="289"/>
      <c r="EI165" s="289"/>
      <c r="EJ165" s="289"/>
      <c r="EK165" s="289"/>
      <c r="EL165" s="289"/>
      <c r="EM165" s="289"/>
      <c r="EN165" s="289"/>
      <c r="EO165" s="289"/>
      <c r="EP165" s="289"/>
      <c r="EQ165" s="289"/>
      <c r="ER165" s="289"/>
      <c r="ES165" s="289"/>
      <c r="ET165" s="289"/>
      <c r="EU165" s="289"/>
      <c r="EV165" s="289"/>
      <c r="EW165" s="289"/>
      <c r="EX165" s="289"/>
      <c r="EY165" s="289"/>
      <c r="EZ165" s="289"/>
      <c r="FA165" s="289"/>
      <c r="FB165" s="289"/>
      <c r="FC165" s="289"/>
      <c r="FD165" s="289"/>
      <c r="FE165" s="289"/>
      <c r="FF165" s="289"/>
      <c r="FG165" s="289"/>
      <c r="FH165" s="289"/>
      <c r="FI165" s="289"/>
      <c r="FJ165" s="289"/>
      <c r="FK165" s="289"/>
      <c r="FL165" s="289"/>
      <c r="FM165" s="289"/>
      <c r="FN165" s="289"/>
      <c r="FO165" s="289"/>
      <c r="FP165" s="289"/>
      <c r="FQ165" s="289"/>
      <c r="FR165" s="289"/>
      <c r="FS165" s="289"/>
      <c r="FT165" s="289"/>
      <c r="FU165" s="289"/>
      <c r="FV165" s="289"/>
      <c r="FW165" s="289"/>
      <c r="FX165" s="289"/>
      <c r="FY165" s="289"/>
      <c r="FZ165" s="289"/>
      <c r="GA165" s="289"/>
      <c r="GB165" s="289"/>
      <c r="GC165" s="289"/>
      <c r="GD165" s="289"/>
      <c r="GE165" s="289"/>
      <c r="GF165" s="289"/>
      <c r="GG165" s="289"/>
      <c r="GH165" s="289"/>
      <c r="GI165" s="289"/>
      <c r="GJ165" s="289"/>
      <c r="GK165" s="289"/>
      <c r="GL165" s="289"/>
      <c r="GM165" s="289"/>
      <c r="GN165" s="289"/>
      <c r="GO165" s="289"/>
      <c r="GP165" s="289"/>
      <c r="GQ165" s="289"/>
      <c r="GR165" s="289"/>
      <c r="GS165" s="289"/>
      <c r="GT165" s="289"/>
      <c r="GU165" s="289"/>
      <c r="GV165" s="289"/>
      <c r="GW165" s="289"/>
      <c r="GX165" s="289"/>
      <c r="GY165" s="289"/>
      <c r="GZ165" s="289"/>
      <c r="HA165" s="289"/>
      <c r="HB165" s="289"/>
      <c r="HC165" s="289"/>
      <c r="HD165" s="289"/>
      <c r="HE165" s="289"/>
      <c r="HF165" s="289"/>
      <c r="HG165" s="289"/>
      <c r="HH165" s="289"/>
      <c r="HI165" s="289"/>
      <c r="HJ165" s="289"/>
      <c r="HK165" s="289"/>
      <c r="HL165" s="289"/>
      <c r="HM165" s="289"/>
      <c r="HN165" s="289"/>
      <c r="HO165" s="289"/>
      <c r="HP165" s="289"/>
      <c r="HQ165" s="289"/>
      <c r="HR165" s="289"/>
      <c r="HS165" s="289"/>
      <c r="HT165" s="289"/>
      <c r="HU165" s="289"/>
      <c r="HV165" s="289"/>
      <c r="HW165" s="289"/>
      <c r="HX165" s="289"/>
      <c r="HY165" s="289"/>
      <c r="HZ165" s="289"/>
      <c r="IA165" s="289"/>
      <c r="IB165" s="289"/>
      <c r="IC165" s="289"/>
      <c r="ID165" s="289"/>
      <c r="IE165" s="289"/>
      <c r="IF165" s="289"/>
      <c r="IG165" s="289"/>
      <c r="IH165" s="289"/>
      <c r="II165" s="289"/>
      <c r="IJ165" s="289"/>
      <c r="IK165" s="289"/>
      <c r="IL165" s="289"/>
      <c r="IM165" s="289"/>
      <c r="IN165" s="289"/>
      <c r="IO165" s="289"/>
      <c r="IP165" s="289"/>
      <c r="IQ165" s="289"/>
      <c r="IR165" s="289"/>
      <c r="IS165" s="289"/>
      <c r="IT165" s="289"/>
      <c r="IU165" s="289"/>
      <c r="IV165" s="289"/>
      <c r="IW165" s="289"/>
      <c r="IX165" s="289"/>
    </row>
    <row r="166" spans="1:258" s="21" customFormat="1">
      <c r="A166" s="289"/>
      <c r="B166" s="289"/>
      <c r="C166" s="289"/>
      <c r="D166" s="289"/>
      <c r="E166" s="289"/>
      <c r="F166" s="289"/>
      <c r="G166" s="289"/>
      <c r="H166" s="289"/>
      <c r="I166" s="289"/>
      <c r="J166" s="289"/>
      <c r="K166" s="289"/>
      <c r="L166" s="289"/>
      <c r="M166" s="289"/>
      <c r="N166" s="289"/>
      <c r="O166" s="289"/>
      <c r="P166" s="289"/>
      <c r="Q166" s="289"/>
      <c r="R166" s="289"/>
      <c r="S166" s="289"/>
      <c r="T166" s="289"/>
      <c r="U166" s="289"/>
      <c r="V166" s="575"/>
      <c r="W166" s="289"/>
      <c r="X166" s="289"/>
      <c r="Y166" s="289"/>
      <c r="Z166" s="289"/>
      <c r="AA166" s="289"/>
      <c r="AB166" s="289"/>
      <c r="AC166" s="289"/>
      <c r="AD166" s="289"/>
      <c r="AE166" s="289"/>
      <c r="AF166" s="289"/>
      <c r="AG166" s="289"/>
      <c r="AH166" s="289"/>
      <c r="AI166" s="289"/>
      <c r="AJ166" s="289"/>
      <c r="AK166" s="289"/>
      <c r="AL166" s="289"/>
      <c r="AM166" s="289"/>
      <c r="AN166" s="289"/>
      <c r="AO166" s="289"/>
      <c r="AP166" s="289"/>
      <c r="AQ166" s="289"/>
      <c r="AR166" s="289"/>
      <c r="AS166" s="289"/>
      <c r="AT166" s="289"/>
      <c r="AU166" s="289"/>
      <c r="AV166" s="289"/>
      <c r="AW166" s="289"/>
      <c r="AX166" s="289"/>
      <c r="AY166" s="289"/>
      <c r="AZ166" s="289"/>
      <c r="BA166" s="289"/>
      <c r="BB166" s="289"/>
      <c r="BC166" s="289"/>
      <c r="BD166" s="289"/>
      <c r="BE166" s="289"/>
      <c r="BF166" s="289"/>
      <c r="BG166" s="289"/>
      <c r="BH166" s="289"/>
      <c r="BI166" s="289"/>
      <c r="BJ166" s="289"/>
      <c r="BK166" s="289"/>
      <c r="BL166" s="289"/>
      <c r="BM166" s="289"/>
      <c r="BN166" s="289"/>
      <c r="BO166" s="289"/>
      <c r="BP166" s="289"/>
      <c r="BQ166" s="289"/>
      <c r="BR166" s="289"/>
      <c r="BS166" s="289"/>
      <c r="BT166" s="289"/>
      <c r="BU166" s="289"/>
      <c r="BV166" s="289"/>
      <c r="BW166" s="289"/>
      <c r="BX166" s="289"/>
      <c r="BY166" s="289"/>
      <c r="BZ166" s="289"/>
      <c r="CA166" s="289"/>
      <c r="CB166" s="289"/>
      <c r="CC166" s="289"/>
      <c r="CD166" s="289"/>
      <c r="CE166" s="289"/>
      <c r="CF166" s="289"/>
      <c r="CG166" s="289"/>
      <c r="CH166" s="289"/>
      <c r="CI166" s="289"/>
      <c r="CJ166" s="289"/>
      <c r="CK166" s="289"/>
      <c r="CL166" s="289"/>
      <c r="CM166" s="289"/>
      <c r="CN166" s="289"/>
      <c r="CO166" s="289"/>
      <c r="CP166" s="289"/>
      <c r="CQ166" s="289"/>
      <c r="CR166" s="289"/>
      <c r="CS166" s="289"/>
      <c r="CT166" s="289"/>
      <c r="CU166" s="289"/>
      <c r="CV166" s="289"/>
      <c r="CW166" s="289"/>
      <c r="CX166" s="289"/>
      <c r="CY166" s="289"/>
      <c r="CZ166" s="289"/>
      <c r="DA166" s="289"/>
      <c r="DB166" s="289"/>
      <c r="DC166" s="289"/>
      <c r="DD166" s="289"/>
      <c r="DE166" s="289"/>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89"/>
      <c r="EB166" s="289"/>
      <c r="EC166" s="289"/>
      <c r="ED166" s="289"/>
      <c r="EE166" s="289"/>
      <c r="EF166" s="289"/>
      <c r="EG166" s="289"/>
      <c r="EH166" s="289"/>
      <c r="EI166" s="289"/>
      <c r="EJ166" s="289"/>
      <c r="EK166" s="289"/>
      <c r="EL166" s="289"/>
      <c r="EM166" s="289"/>
      <c r="EN166" s="289"/>
      <c r="EO166" s="289"/>
      <c r="EP166" s="289"/>
      <c r="EQ166" s="289"/>
      <c r="ER166" s="289"/>
      <c r="ES166" s="289"/>
      <c r="ET166" s="289"/>
      <c r="EU166" s="289"/>
      <c r="EV166" s="289"/>
      <c r="EW166" s="289"/>
      <c r="EX166" s="289"/>
      <c r="EY166" s="289"/>
      <c r="EZ166" s="289"/>
      <c r="FA166" s="289"/>
      <c r="FB166" s="289"/>
      <c r="FC166" s="289"/>
      <c r="FD166" s="289"/>
      <c r="FE166" s="289"/>
      <c r="FF166" s="289"/>
      <c r="FG166" s="289"/>
      <c r="FH166" s="289"/>
      <c r="FI166" s="289"/>
      <c r="FJ166" s="289"/>
      <c r="FK166" s="289"/>
      <c r="FL166" s="289"/>
      <c r="FM166" s="289"/>
      <c r="FN166" s="289"/>
      <c r="FO166" s="289"/>
      <c r="FP166" s="289"/>
      <c r="FQ166" s="289"/>
      <c r="FR166" s="289"/>
      <c r="FS166" s="289"/>
      <c r="FT166" s="289"/>
      <c r="FU166" s="289"/>
      <c r="FV166" s="289"/>
      <c r="FW166" s="289"/>
      <c r="FX166" s="289"/>
      <c r="FY166" s="289"/>
      <c r="FZ166" s="289"/>
      <c r="GA166" s="289"/>
      <c r="GB166" s="289"/>
      <c r="GC166" s="289"/>
      <c r="GD166" s="289"/>
      <c r="GE166" s="289"/>
      <c r="GF166" s="289"/>
      <c r="GG166" s="289"/>
      <c r="GH166" s="289"/>
      <c r="GI166" s="289"/>
      <c r="GJ166" s="289"/>
      <c r="GK166" s="289"/>
      <c r="GL166" s="289"/>
      <c r="GM166" s="289"/>
      <c r="GN166" s="289"/>
      <c r="GO166" s="289"/>
      <c r="GP166" s="289"/>
      <c r="GQ166" s="289"/>
      <c r="GR166" s="289"/>
      <c r="GS166" s="289"/>
      <c r="GT166" s="289"/>
      <c r="GU166" s="289"/>
      <c r="GV166" s="289"/>
      <c r="GW166" s="289"/>
      <c r="GX166" s="289"/>
      <c r="GY166" s="289"/>
      <c r="GZ166" s="289"/>
      <c r="HA166" s="289"/>
      <c r="HB166" s="289"/>
      <c r="HC166" s="289"/>
      <c r="HD166" s="289"/>
      <c r="HE166" s="289"/>
      <c r="HF166" s="289"/>
      <c r="HG166" s="289"/>
      <c r="HH166" s="289"/>
      <c r="HI166" s="289"/>
      <c r="HJ166" s="289"/>
      <c r="HK166" s="289"/>
      <c r="HL166" s="289"/>
      <c r="HM166" s="289"/>
      <c r="HN166" s="289"/>
      <c r="HO166" s="289"/>
      <c r="HP166" s="289"/>
      <c r="HQ166" s="289"/>
      <c r="HR166" s="289"/>
      <c r="HS166" s="289"/>
      <c r="HT166" s="289"/>
      <c r="HU166" s="289"/>
      <c r="HV166" s="289"/>
      <c r="HW166" s="289"/>
      <c r="HX166" s="289"/>
      <c r="HY166" s="289"/>
      <c r="HZ166" s="289"/>
      <c r="IA166" s="289"/>
      <c r="IB166" s="289"/>
      <c r="IC166" s="289"/>
      <c r="ID166" s="289"/>
      <c r="IE166" s="289"/>
      <c r="IF166" s="289"/>
      <c r="IG166" s="289"/>
      <c r="IH166" s="289"/>
      <c r="II166" s="289"/>
      <c r="IJ166" s="289"/>
      <c r="IK166" s="289"/>
      <c r="IL166" s="289"/>
      <c r="IM166" s="289"/>
      <c r="IN166" s="289"/>
      <c r="IO166" s="289"/>
      <c r="IP166" s="289"/>
      <c r="IQ166" s="289"/>
      <c r="IR166" s="289"/>
      <c r="IS166" s="289"/>
      <c r="IT166" s="289"/>
      <c r="IU166" s="289"/>
      <c r="IV166" s="289"/>
      <c r="IW166" s="289"/>
      <c r="IX166" s="289"/>
    </row>
    <row r="167" spans="1:258" s="21" customFormat="1">
      <c r="A167" s="289"/>
      <c r="B167" s="289"/>
      <c r="C167" s="289"/>
      <c r="D167" s="289"/>
      <c r="E167" s="289"/>
      <c r="F167" s="289"/>
      <c r="G167" s="289"/>
      <c r="H167" s="289"/>
      <c r="I167" s="289"/>
      <c r="J167" s="289"/>
      <c r="K167" s="289"/>
      <c r="L167" s="289"/>
      <c r="M167" s="289"/>
      <c r="N167" s="289"/>
      <c r="O167" s="289"/>
      <c r="P167" s="289"/>
      <c r="Q167" s="289"/>
      <c r="R167" s="289"/>
      <c r="S167" s="289"/>
      <c r="T167" s="289"/>
      <c r="U167" s="289"/>
      <c r="V167" s="575"/>
      <c r="W167" s="289"/>
      <c r="X167" s="289"/>
      <c r="Y167" s="289"/>
      <c r="Z167" s="289"/>
      <c r="AA167" s="289"/>
      <c r="AB167" s="289"/>
      <c r="AC167" s="289"/>
      <c r="AD167" s="289"/>
      <c r="AE167" s="289"/>
      <c r="AF167" s="289"/>
      <c r="AG167" s="289"/>
      <c r="AH167" s="289"/>
      <c r="AI167" s="289"/>
      <c r="AJ167" s="289"/>
      <c r="AK167" s="289"/>
      <c r="AL167" s="289"/>
      <c r="AM167" s="289"/>
      <c r="AN167" s="289"/>
      <c r="AO167" s="289"/>
      <c r="AP167" s="289"/>
      <c r="AQ167" s="289"/>
      <c r="AR167" s="289"/>
      <c r="AS167" s="289"/>
      <c r="AT167" s="289"/>
      <c r="AU167" s="289"/>
      <c r="AV167" s="289"/>
      <c r="AW167" s="289"/>
      <c r="AX167" s="289"/>
      <c r="AY167" s="289"/>
      <c r="AZ167" s="289"/>
      <c r="BA167" s="289"/>
      <c r="BB167" s="289"/>
      <c r="BC167" s="289"/>
      <c r="BD167" s="289"/>
      <c r="BE167" s="289"/>
      <c r="BF167" s="289"/>
      <c r="BG167" s="289"/>
      <c r="BH167" s="289"/>
      <c r="BI167" s="289"/>
      <c r="BJ167" s="289"/>
      <c r="BK167" s="289"/>
      <c r="BL167" s="289"/>
      <c r="BM167" s="289"/>
      <c r="BN167" s="289"/>
      <c r="BO167" s="289"/>
      <c r="BP167" s="289"/>
      <c r="BQ167" s="289"/>
      <c r="BR167" s="289"/>
      <c r="BS167" s="289"/>
      <c r="BT167" s="289"/>
      <c r="BU167" s="289"/>
      <c r="BV167" s="289"/>
      <c r="BW167" s="289"/>
      <c r="BX167" s="289"/>
      <c r="BY167" s="289"/>
      <c r="BZ167" s="289"/>
      <c r="CA167" s="289"/>
      <c r="CB167" s="289"/>
      <c r="CC167" s="289"/>
      <c r="CD167" s="289"/>
      <c r="CE167" s="289"/>
      <c r="CF167" s="289"/>
      <c r="CG167" s="289"/>
      <c r="CH167" s="289"/>
      <c r="CI167" s="289"/>
      <c r="CJ167" s="289"/>
      <c r="CK167" s="289"/>
      <c r="CL167" s="289"/>
      <c r="CM167" s="289"/>
      <c r="CN167" s="289"/>
      <c r="CO167" s="289"/>
      <c r="CP167" s="289"/>
      <c r="CQ167" s="289"/>
      <c r="CR167" s="289"/>
      <c r="CS167" s="289"/>
      <c r="CT167" s="289"/>
      <c r="CU167" s="289"/>
      <c r="CV167" s="289"/>
      <c r="CW167" s="289"/>
      <c r="CX167" s="289"/>
      <c r="CY167" s="289"/>
      <c r="CZ167" s="289"/>
      <c r="DA167" s="289"/>
      <c r="DB167" s="289"/>
      <c r="DC167" s="289"/>
      <c r="DD167" s="289"/>
      <c r="DE167" s="289"/>
      <c r="DF167" s="289"/>
      <c r="DG167" s="289"/>
      <c r="DH167" s="289"/>
      <c r="DI167" s="289"/>
      <c r="DJ167" s="289"/>
      <c r="DK167" s="289"/>
      <c r="DL167" s="289"/>
      <c r="DM167" s="289"/>
      <c r="DN167" s="289"/>
      <c r="DO167" s="289"/>
      <c r="DP167" s="289"/>
      <c r="DQ167" s="289"/>
      <c r="DR167" s="289"/>
      <c r="DS167" s="289"/>
      <c r="DT167" s="289"/>
      <c r="DU167" s="289"/>
      <c r="DV167" s="289"/>
      <c r="DW167" s="289"/>
      <c r="DX167" s="289"/>
      <c r="DY167" s="289"/>
      <c r="DZ167" s="289"/>
      <c r="EA167" s="289"/>
      <c r="EB167" s="289"/>
      <c r="EC167" s="289"/>
      <c r="ED167" s="289"/>
      <c r="EE167" s="289"/>
      <c r="EF167" s="289"/>
      <c r="EG167" s="289"/>
      <c r="EH167" s="289"/>
      <c r="EI167" s="289"/>
      <c r="EJ167" s="289"/>
      <c r="EK167" s="289"/>
      <c r="EL167" s="289"/>
      <c r="EM167" s="289"/>
      <c r="EN167" s="289"/>
      <c r="EO167" s="289"/>
      <c r="EP167" s="289"/>
      <c r="EQ167" s="289"/>
      <c r="ER167" s="289"/>
      <c r="ES167" s="289"/>
      <c r="ET167" s="289"/>
      <c r="EU167" s="289"/>
      <c r="EV167" s="289"/>
      <c r="EW167" s="289"/>
      <c r="EX167" s="289"/>
      <c r="EY167" s="289"/>
      <c r="EZ167" s="289"/>
      <c r="FA167" s="289"/>
      <c r="FB167" s="289"/>
      <c r="FC167" s="289"/>
      <c r="FD167" s="289"/>
      <c r="FE167" s="289"/>
      <c r="FF167" s="289"/>
      <c r="FG167" s="289"/>
      <c r="FH167" s="289"/>
      <c r="FI167" s="289"/>
      <c r="FJ167" s="289"/>
      <c r="FK167" s="289"/>
      <c r="FL167" s="289"/>
      <c r="FM167" s="289"/>
      <c r="FN167" s="289"/>
      <c r="FO167" s="289"/>
      <c r="FP167" s="289"/>
      <c r="FQ167" s="289"/>
      <c r="FR167" s="289"/>
      <c r="FS167" s="289"/>
      <c r="FT167" s="289"/>
      <c r="FU167" s="289"/>
      <c r="FV167" s="289"/>
      <c r="FW167" s="289"/>
      <c r="FX167" s="289"/>
      <c r="FY167" s="289"/>
      <c r="FZ167" s="289"/>
      <c r="GA167" s="289"/>
      <c r="GB167" s="289"/>
      <c r="GC167" s="289"/>
      <c r="GD167" s="289"/>
      <c r="GE167" s="289"/>
      <c r="GF167" s="289"/>
      <c r="GG167" s="289"/>
      <c r="GH167" s="289"/>
      <c r="GI167" s="289"/>
      <c r="GJ167" s="289"/>
      <c r="GK167" s="289"/>
      <c r="GL167" s="289"/>
      <c r="GM167" s="289"/>
      <c r="GN167" s="289"/>
      <c r="GO167" s="289"/>
      <c r="GP167" s="289"/>
      <c r="GQ167" s="289"/>
      <c r="GR167" s="289"/>
      <c r="GS167" s="289"/>
      <c r="GT167" s="289"/>
      <c r="GU167" s="289"/>
      <c r="GV167" s="289"/>
      <c r="GW167" s="289"/>
      <c r="GX167" s="289"/>
      <c r="GY167" s="289"/>
      <c r="GZ167" s="289"/>
      <c r="HA167" s="289"/>
      <c r="HB167" s="289"/>
      <c r="HC167" s="289"/>
      <c r="HD167" s="289"/>
      <c r="HE167" s="289"/>
      <c r="HF167" s="289"/>
      <c r="HG167" s="289"/>
      <c r="HH167" s="289"/>
      <c r="HI167" s="289"/>
      <c r="HJ167" s="289"/>
      <c r="HK167" s="289"/>
      <c r="HL167" s="289"/>
      <c r="HM167" s="289"/>
      <c r="HN167" s="289"/>
      <c r="HO167" s="289"/>
      <c r="HP167" s="289"/>
      <c r="HQ167" s="289"/>
      <c r="HR167" s="289"/>
      <c r="HS167" s="289"/>
      <c r="HT167" s="289"/>
      <c r="HU167" s="289"/>
      <c r="HV167" s="289"/>
      <c r="HW167" s="289"/>
      <c r="HX167" s="289"/>
      <c r="HY167" s="289"/>
      <c r="HZ167" s="289"/>
      <c r="IA167" s="289"/>
      <c r="IB167" s="289"/>
      <c r="IC167" s="289"/>
      <c r="ID167" s="289"/>
      <c r="IE167" s="289"/>
      <c r="IF167" s="289"/>
      <c r="IG167" s="289"/>
      <c r="IH167" s="289"/>
      <c r="II167" s="289"/>
      <c r="IJ167" s="289"/>
      <c r="IK167" s="289"/>
      <c r="IL167" s="289"/>
      <c r="IM167" s="289"/>
      <c r="IN167" s="289"/>
      <c r="IO167" s="289"/>
      <c r="IP167" s="289"/>
      <c r="IQ167" s="289"/>
      <c r="IR167" s="289"/>
      <c r="IS167" s="289"/>
      <c r="IT167" s="289"/>
      <c r="IU167" s="289"/>
      <c r="IV167" s="289"/>
      <c r="IW167" s="289"/>
      <c r="IX167" s="289"/>
    </row>
    <row r="168" spans="1:258" s="21" customFormat="1">
      <c r="A168" s="289"/>
      <c r="B168" s="289"/>
      <c r="C168" s="289"/>
      <c r="D168" s="289"/>
      <c r="E168" s="289"/>
      <c r="F168" s="289"/>
      <c r="G168" s="289"/>
      <c r="H168" s="289"/>
      <c r="I168" s="289"/>
      <c r="J168" s="289"/>
      <c r="K168" s="289"/>
      <c r="L168" s="289"/>
      <c r="M168" s="289"/>
      <c r="N168" s="289"/>
      <c r="O168" s="289"/>
      <c r="P168" s="289"/>
      <c r="Q168" s="289"/>
      <c r="R168" s="289"/>
      <c r="S168" s="289"/>
      <c r="T168" s="289"/>
      <c r="U168" s="289"/>
      <c r="V168" s="575"/>
      <c r="W168" s="289"/>
      <c r="X168" s="289"/>
      <c r="Y168" s="289"/>
      <c r="Z168" s="289"/>
      <c r="AA168" s="289"/>
      <c r="AB168" s="289"/>
      <c r="AC168" s="289"/>
      <c r="AD168" s="289"/>
      <c r="AE168" s="289"/>
      <c r="AF168" s="289"/>
      <c r="AG168" s="289"/>
      <c r="AH168" s="289"/>
      <c r="AI168" s="289"/>
      <c r="AJ168" s="289"/>
      <c r="AK168" s="289"/>
      <c r="AL168" s="289"/>
      <c r="AM168" s="289"/>
      <c r="AN168" s="289"/>
      <c r="AO168" s="289"/>
      <c r="AP168" s="289"/>
      <c r="AQ168" s="289"/>
      <c r="AR168" s="289"/>
      <c r="AS168" s="289"/>
      <c r="AT168" s="289"/>
      <c r="AU168" s="289"/>
      <c r="AV168" s="289"/>
      <c r="AW168" s="289"/>
      <c r="AX168" s="289"/>
      <c r="AY168" s="289"/>
      <c r="AZ168" s="289"/>
      <c r="BA168" s="289"/>
      <c r="BB168" s="289"/>
      <c r="BC168" s="289"/>
      <c r="BD168" s="289"/>
      <c r="BE168" s="289"/>
      <c r="BF168" s="289"/>
      <c r="BG168" s="289"/>
      <c r="BH168" s="289"/>
      <c r="BI168" s="289"/>
      <c r="BJ168" s="289"/>
      <c r="BK168" s="289"/>
      <c r="BL168" s="289"/>
      <c r="BM168" s="289"/>
      <c r="BN168" s="289"/>
      <c r="BO168" s="289"/>
      <c r="BP168" s="289"/>
      <c r="BQ168" s="289"/>
      <c r="BR168" s="289"/>
      <c r="BS168" s="289"/>
      <c r="BT168" s="289"/>
      <c r="BU168" s="289"/>
      <c r="BV168" s="289"/>
      <c r="BW168" s="289"/>
      <c r="BX168" s="289"/>
      <c r="BY168" s="289"/>
      <c r="BZ168" s="289"/>
      <c r="CA168" s="289"/>
      <c r="CB168" s="289"/>
      <c r="CC168" s="289"/>
      <c r="CD168" s="289"/>
      <c r="CE168" s="289"/>
      <c r="CF168" s="289"/>
      <c r="CG168" s="289"/>
      <c r="CH168" s="289"/>
      <c r="CI168" s="289"/>
      <c r="CJ168" s="289"/>
      <c r="CK168" s="289"/>
      <c r="CL168" s="289"/>
      <c r="CM168" s="289"/>
      <c r="CN168" s="289"/>
      <c r="CO168" s="289"/>
      <c r="CP168" s="289"/>
      <c r="CQ168" s="289"/>
      <c r="CR168" s="289"/>
      <c r="CS168" s="289"/>
      <c r="CT168" s="289"/>
      <c r="CU168" s="289"/>
      <c r="CV168" s="289"/>
      <c r="CW168" s="289"/>
      <c r="CX168" s="289"/>
      <c r="CY168" s="289"/>
      <c r="CZ168" s="289"/>
      <c r="DA168" s="289"/>
      <c r="DB168" s="289"/>
      <c r="DC168" s="289"/>
      <c r="DD168" s="289"/>
      <c r="DE168" s="289"/>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89"/>
      <c r="EB168" s="289"/>
      <c r="EC168" s="289"/>
      <c r="ED168" s="289"/>
      <c r="EE168" s="289"/>
      <c r="EF168" s="289"/>
      <c r="EG168" s="289"/>
      <c r="EH168" s="289"/>
      <c r="EI168" s="289"/>
      <c r="EJ168" s="289"/>
      <c r="EK168" s="289"/>
      <c r="EL168" s="289"/>
      <c r="EM168" s="289"/>
      <c r="EN168" s="289"/>
      <c r="EO168" s="289"/>
      <c r="EP168" s="289"/>
      <c r="EQ168" s="289"/>
      <c r="ER168" s="289"/>
      <c r="ES168" s="289"/>
      <c r="ET168" s="289"/>
      <c r="EU168" s="289"/>
      <c r="EV168" s="289"/>
      <c r="EW168" s="289"/>
      <c r="EX168" s="289"/>
      <c r="EY168" s="289"/>
      <c r="EZ168" s="289"/>
      <c r="FA168" s="289"/>
      <c r="FB168" s="289"/>
      <c r="FC168" s="289"/>
      <c r="FD168" s="289"/>
      <c r="FE168" s="289"/>
      <c r="FF168" s="289"/>
      <c r="FG168" s="289"/>
      <c r="FH168" s="289"/>
      <c r="FI168" s="289"/>
      <c r="FJ168" s="289"/>
      <c r="FK168" s="289"/>
      <c r="FL168" s="289"/>
      <c r="FM168" s="289"/>
      <c r="FN168" s="289"/>
      <c r="FO168" s="289"/>
      <c r="FP168" s="289"/>
      <c r="FQ168" s="289"/>
      <c r="FR168" s="289"/>
      <c r="FS168" s="289"/>
      <c r="FT168" s="289"/>
      <c r="FU168" s="289"/>
      <c r="FV168" s="289"/>
      <c r="FW168" s="289"/>
      <c r="FX168" s="289"/>
      <c r="FY168" s="289"/>
      <c r="FZ168" s="289"/>
      <c r="GA168" s="289"/>
      <c r="GB168" s="289"/>
      <c r="GC168" s="289"/>
      <c r="GD168" s="289"/>
      <c r="GE168" s="289"/>
      <c r="GF168" s="289"/>
      <c r="GG168" s="289"/>
      <c r="GH168" s="289"/>
      <c r="GI168" s="289"/>
      <c r="GJ168" s="289"/>
      <c r="GK168" s="289"/>
      <c r="GL168" s="289"/>
      <c r="GM168" s="289"/>
      <c r="GN168" s="289"/>
      <c r="GO168" s="289"/>
      <c r="GP168" s="289"/>
      <c r="GQ168" s="289"/>
      <c r="GR168" s="289"/>
      <c r="GS168" s="289"/>
      <c r="GT168" s="289"/>
      <c r="GU168" s="289"/>
      <c r="GV168" s="289"/>
      <c r="GW168" s="289"/>
      <c r="GX168" s="289"/>
      <c r="GY168" s="289"/>
      <c r="GZ168" s="289"/>
      <c r="HA168" s="289"/>
      <c r="HB168" s="289"/>
      <c r="HC168" s="289"/>
      <c r="HD168" s="289"/>
      <c r="HE168" s="289"/>
      <c r="HF168" s="289"/>
      <c r="HG168" s="289"/>
      <c r="HH168" s="289"/>
      <c r="HI168" s="289"/>
      <c r="HJ168" s="289"/>
      <c r="HK168" s="289"/>
      <c r="HL168" s="289"/>
      <c r="HM168" s="289"/>
      <c r="HN168" s="289"/>
      <c r="HO168" s="289"/>
      <c r="HP168" s="289"/>
      <c r="HQ168" s="289"/>
      <c r="HR168" s="289"/>
      <c r="HS168" s="289"/>
      <c r="HT168" s="289"/>
      <c r="HU168" s="289"/>
      <c r="HV168" s="289"/>
      <c r="HW168" s="289"/>
      <c r="HX168" s="289"/>
      <c r="HY168" s="289"/>
      <c r="HZ168" s="289"/>
      <c r="IA168" s="289"/>
      <c r="IB168" s="289"/>
      <c r="IC168" s="289"/>
      <c r="ID168" s="289"/>
      <c r="IE168" s="289"/>
      <c r="IF168" s="289"/>
      <c r="IG168" s="289"/>
      <c r="IH168" s="289"/>
      <c r="II168" s="289"/>
      <c r="IJ168" s="289"/>
      <c r="IK168" s="289"/>
      <c r="IL168" s="289"/>
      <c r="IM168" s="289"/>
      <c r="IN168" s="289"/>
      <c r="IO168" s="289"/>
      <c r="IP168" s="289"/>
      <c r="IQ168" s="289"/>
      <c r="IR168" s="289"/>
      <c r="IS168" s="289"/>
      <c r="IT168" s="289"/>
      <c r="IU168" s="289"/>
      <c r="IV168" s="289"/>
      <c r="IW168" s="289"/>
      <c r="IX168" s="289"/>
    </row>
    <row r="169" spans="1:258" s="21" customFormat="1">
      <c r="A169" s="289"/>
      <c r="B169" s="289"/>
      <c r="C169" s="289"/>
      <c r="D169" s="289"/>
      <c r="E169" s="289"/>
      <c r="F169" s="289"/>
      <c r="G169" s="289"/>
      <c r="H169" s="289"/>
      <c r="I169" s="289"/>
      <c r="J169" s="289"/>
      <c r="K169" s="289"/>
      <c r="L169" s="289"/>
      <c r="M169" s="289"/>
      <c r="N169" s="289"/>
      <c r="O169" s="289"/>
      <c r="P169" s="289"/>
      <c r="Q169" s="289"/>
      <c r="R169" s="289"/>
      <c r="S169" s="289"/>
      <c r="T169" s="289"/>
      <c r="U169" s="289"/>
      <c r="V169" s="575"/>
      <c r="W169" s="289"/>
      <c r="X169" s="289"/>
      <c r="Y169" s="289"/>
      <c r="Z169" s="289"/>
      <c r="AA169" s="289"/>
      <c r="AB169" s="289"/>
      <c r="AC169" s="289"/>
      <c r="AD169" s="289"/>
      <c r="AE169" s="289"/>
      <c r="AF169" s="289"/>
      <c r="AG169" s="289"/>
      <c r="AH169" s="289"/>
      <c r="AI169" s="289"/>
      <c r="AJ169" s="289"/>
      <c r="AK169" s="289"/>
      <c r="AL169" s="289"/>
      <c r="AM169" s="289"/>
      <c r="AN169" s="289"/>
      <c r="AO169" s="289"/>
      <c r="AP169" s="289"/>
      <c r="AQ169" s="289"/>
      <c r="AR169" s="289"/>
      <c r="AS169" s="289"/>
      <c r="AT169" s="289"/>
      <c r="AU169" s="289"/>
      <c r="AV169" s="289"/>
      <c r="AW169" s="289"/>
      <c r="AX169" s="289"/>
      <c r="AY169" s="289"/>
      <c r="AZ169" s="289"/>
      <c r="BA169" s="289"/>
      <c r="BB169" s="289"/>
      <c r="BC169" s="289"/>
      <c r="BD169" s="289"/>
      <c r="BE169" s="289"/>
      <c r="BF169" s="289"/>
      <c r="BG169" s="289"/>
      <c r="BH169" s="289"/>
      <c r="BI169" s="289"/>
      <c r="BJ169" s="289"/>
      <c r="BK169" s="289"/>
      <c r="BL169" s="289"/>
      <c r="BM169" s="289"/>
      <c r="BN169" s="289"/>
      <c r="BO169" s="289"/>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289"/>
      <c r="CT169" s="289"/>
      <c r="CU169" s="289"/>
      <c r="CV169" s="289"/>
      <c r="CW169" s="289"/>
      <c r="CX169" s="289"/>
      <c r="CY169" s="289"/>
      <c r="CZ169" s="289"/>
      <c r="DA169" s="289"/>
      <c r="DB169" s="289"/>
      <c r="DC169" s="289"/>
      <c r="DD169" s="289"/>
      <c r="DE169" s="289"/>
      <c r="DF169" s="289"/>
      <c r="DG169" s="289"/>
      <c r="DH169" s="289"/>
      <c r="DI169" s="289"/>
      <c r="DJ169" s="289"/>
      <c r="DK169" s="289"/>
      <c r="DL169" s="289"/>
      <c r="DM169" s="289"/>
      <c r="DN169" s="289"/>
      <c r="DO169" s="289"/>
      <c r="DP169" s="289"/>
      <c r="DQ169" s="289"/>
      <c r="DR169" s="289"/>
      <c r="DS169" s="289"/>
      <c r="DT169" s="289"/>
      <c r="DU169" s="289"/>
      <c r="DV169" s="289"/>
      <c r="DW169" s="289"/>
      <c r="DX169" s="289"/>
      <c r="DY169" s="289"/>
      <c r="DZ169" s="289"/>
      <c r="EA169" s="289"/>
      <c r="EB169" s="289"/>
      <c r="EC169" s="289"/>
      <c r="ED169" s="289"/>
      <c r="EE169" s="289"/>
      <c r="EF169" s="289"/>
      <c r="EG169" s="289"/>
      <c r="EH169" s="289"/>
      <c r="EI169" s="289"/>
      <c r="EJ169" s="289"/>
      <c r="EK169" s="289"/>
      <c r="EL169" s="289"/>
      <c r="EM169" s="289"/>
      <c r="EN169" s="289"/>
      <c r="EO169" s="289"/>
      <c r="EP169" s="289"/>
      <c r="EQ169" s="289"/>
      <c r="ER169" s="289"/>
      <c r="ES169" s="289"/>
      <c r="ET169" s="289"/>
      <c r="EU169" s="289"/>
      <c r="EV169" s="289"/>
      <c r="EW169" s="289"/>
      <c r="EX169" s="289"/>
      <c r="EY169" s="289"/>
      <c r="EZ169" s="289"/>
      <c r="FA169" s="289"/>
      <c r="FB169" s="289"/>
      <c r="FC169" s="289"/>
      <c r="FD169" s="289"/>
      <c r="FE169" s="289"/>
      <c r="FF169" s="289"/>
      <c r="FG169" s="289"/>
      <c r="FH169" s="289"/>
      <c r="FI169" s="289"/>
      <c r="FJ169" s="289"/>
      <c r="FK169" s="289"/>
      <c r="FL169" s="289"/>
      <c r="FM169" s="289"/>
      <c r="FN169" s="289"/>
      <c r="FO169" s="289"/>
      <c r="FP169" s="289"/>
      <c r="FQ169" s="289"/>
      <c r="FR169" s="289"/>
      <c r="FS169" s="289"/>
      <c r="FT169" s="289"/>
      <c r="FU169" s="289"/>
      <c r="FV169" s="289"/>
      <c r="FW169" s="289"/>
      <c r="FX169" s="289"/>
      <c r="FY169" s="289"/>
      <c r="FZ169" s="289"/>
      <c r="GA169" s="289"/>
      <c r="GB169" s="289"/>
      <c r="GC169" s="289"/>
      <c r="GD169" s="289"/>
      <c r="GE169" s="289"/>
      <c r="GF169" s="289"/>
      <c r="GG169" s="289"/>
      <c r="GH169" s="289"/>
      <c r="GI169" s="289"/>
      <c r="GJ169" s="289"/>
      <c r="GK169" s="289"/>
      <c r="GL169" s="289"/>
      <c r="GM169" s="289"/>
      <c r="GN169" s="289"/>
      <c r="GO169" s="289"/>
      <c r="GP169" s="289"/>
      <c r="GQ169" s="289"/>
      <c r="GR169" s="289"/>
      <c r="GS169" s="289"/>
      <c r="GT169" s="289"/>
      <c r="GU169" s="289"/>
      <c r="GV169" s="289"/>
      <c r="GW169" s="289"/>
      <c r="GX169" s="289"/>
      <c r="GY169" s="289"/>
      <c r="GZ169" s="289"/>
      <c r="HA169" s="289"/>
      <c r="HB169" s="289"/>
      <c r="HC169" s="289"/>
      <c r="HD169" s="289"/>
      <c r="HE169" s="289"/>
      <c r="HF169" s="289"/>
      <c r="HG169" s="289"/>
      <c r="HH169" s="289"/>
      <c r="HI169" s="289"/>
      <c r="HJ169" s="289"/>
      <c r="HK169" s="289"/>
      <c r="HL169" s="289"/>
      <c r="HM169" s="289"/>
      <c r="HN169" s="289"/>
      <c r="HO169" s="289"/>
      <c r="HP169" s="289"/>
      <c r="HQ169" s="289"/>
      <c r="HR169" s="289"/>
      <c r="HS169" s="289"/>
      <c r="HT169" s="289"/>
      <c r="HU169" s="289"/>
      <c r="HV169" s="289"/>
      <c r="HW169" s="289"/>
      <c r="HX169" s="289"/>
      <c r="HY169" s="289"/>
      <c r="HZ169" s="289"/>
      <c r="IA169" s="289"/>
      <c r="IB169" s="289"/>
      <c r="IC169" s="289"/>
      <c r="ID169" s="289"/>
      <c r="IE169" s="289"/>
      <c r="IF169" s="289"/>
      <c r="IG169" s="289"/>
      <c r="IH169" s="289"/>
      <c r="II169" s="289"/>
      <c r="IJ169" s="289"/>
      <c r="IK169" s="289"/>
      <c r="IL169" s="289"/>
      <c r="IM169" s="289"/>
      <c r="IN169" s="289"/>
      <c r="IO169" s="289"/>
      <c r="IP169" s="289"/>
      <c r="IQ169" s="289"/>
      <c r="IR169" s="289"/>
      <c r="IS169" s="289"/>
      <c r="IT169" s="289"/>
      <c r="IU169" s="289"/>
      <c r="IV169" s="289"/>
      <c r="IW169" s="289"/>
      <c r="IX169" s="289"/>
    </row>
    <row r="170" spans="1:258" s="21" customFormat="1">
      <c r="A170" s="289"/>
      <c r="B170" s="289"/>
      <c r="C170" s="289"/>
      <c r="D170" s="289"/>
      <c r="E170" s="289"/>
      <c r="F170" s="289"/>
      <c r="G170" s="289"/>
      <c r="H170" s="289"/>
      <c r="I170" s="289"/>
      <c r="J170" s="289"/>
      <c r="K170" s="289"/>
      <c r="L170" s="289"/>
      <c r="M170" s="289"/>
      <c r="N170" s="289"/>
      <c r="O170" s="289"/>
      <c r="P170" s="289"/>
      <c r="Q170" s="289"/>
      <c r="R170" s="289"/>
      <c r="S170" s="289"/>
      <c r="T170" s="289"/>
      <c r="U170" s="289"/>
      <c r="V170" s="575"/>
      <c r="W170" s="289"/>
      <c r="X170" s="289"/>
      <c r="Y170" s="289"/>
      <c r="Z170" s="289"/>
      <c r="AA170" s="289"/>
      <c r="AB170" s="289"/>
      <c r="AC170" s="289"/>
      <c r="AD170" s="289"/>
      <c r="AE170" s="289"/>
      <c r="AF170" s="289"/>
      <c r="AG170" s="289"/>
      <c r="AH170" s="289"/>
      <c r="AI170" s="289"/>
      <c r="AJ170" s="289"/>
      <c r="AK170" s="289"/>
      <c r="AL170" s="289"/>
      <c r="AM170" s="289"/>
      <c r="AN170" s="289"/>
      <c r="AO170" s="289"/>
      <c r="AP170" s="289"/>
      <c r="AQ170" s="289"/>
      <c r="AR170" s="289"/>
      <c r="AS170" s="289"/>
      <c r="AT170" s="289"/>
      <c r="AU170" s="289"/>
      <c r="AV170" s="289"/>
      <c r="AW170" s="289"/>
      <c r="AX170" s="289"/>
      <c r="AY170" s="289"/>
      <c r="AZ170" s="289"/>
      <c r="BA170" s="289"/>
      <c r="BB170" s="289"/>
      <c r="BC170" s="289"/>
      <c r="BD170" s="289"/>
      <c r="BE170" s="289"/>
      <c r="BF170" s="289"/>
      <c r="BG170" s="289"/>
      <c r="BH170" s="289"/>
      <c r="BI170" s="289"/>
      <c r="BJ170" s="289"/>
      <c r="BK170" s="289"/>
      <c r="BL170" s="289"/>
      <c r="BM170" s="289"/>
      <c r="BN170" s="289"/>
      <c r="BO170" s="289"/>
      <c r="BP170" s="289"/>
      <c r="BQ170" s="289"/>
      <c r="BR170" s="289"/>
      <c r="BS170" s="289"/>
      <c r="BT170" s="289"/>
      <c r="BU170" s="289"/>
      <c r="BV170" s="289"/>
      <c r="BW170" s="289"/>
      <c r="BX170" s="289"/>
      <c r="BY170" s="289"/>
      <c r="BZ170" s="289"/>
      <c r="CA170" s="289"/>
      <c r="CB170" s="289"/>
      <c r="CC170" s="289"/>
      <c r="CD170" s="289"/>
      <c r="CE170" s="289"/>
      <c r="CF170" s="289"/>
      <c r="CG170" s="289"/>
      <c r="CH170" s="289"/>
      <c r="CI170" s="289"/>
      <c r="CJ170" s="289"/>
      <c r="CK170" s="289"/>
      <c r="CL170" s="289"/>
      <c r="CM170" s="289"/>
      <c r="CN170" s="289"/>
      <c r="CO170" s="289"/>
      <c r="CP170" s="289"/>
      <c r="CQ170" s="289"/>
      <c r="CR170" s="289"/>
      <c r="CS170" s="289"/>
      <c r="CT170" s="289"/>
      <c r="CU170" s="289"/>
      <c r="CV170" s="289"/>
      <c r="CW170" s="289"/>
      <c r="CX170" s="289"/>
      <c r="CY170" s="289"/>
      <c r="CZ170" s="289"/>
      <c r="DA170" s="289"/>
      <c r="DB170" s="289"/>
      <c r="DC170" s="289"/>
      <c r="DD170" s="289"/>
      <c r="DE170" s="289"/>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289"/>
      <c r="EB170" s="289"/>
      <c r="EC170" s="289"/>
      <c r="ED170" s="289"/>
      <c r="EE170" s="289"/>
      <c r="EF170" s="289"/>
      <c r="EG170" s="289"/>
      <c r="EH170" s="289"/>
      <c r="EI170" s="289"/>
      <c r="EJ170" s="289"/>
      <c r="EK170" s="289"/>
      <c r="EL170" s="289"/>
      <c r="EM170" s="289"/>
      <c r="EN170" s="289"/>
      <c r="EO170" s="289"/>
      <c r="EP170" s="289"/>
      <c r="EQ170" s="289"/>
      <c r="ER170" s="289"/>
      <c r="ES170" s="289"/>
      <c r="ET170" s="289"/>
      <c r="EU170" s="289"/>
      <c r="EV170" s="289"/>
      <c r="EW170" s="289"/>
      <c r="EX170" s="289"/>
      <c r="EY170" s="289"/>
      <c r="EZ170" s="289"/>
      <c r="FA170" s="289"/>
      <c r="FB170" s="289"/>
      <c r="FC170" s="289"/>
      <c r="FD170" s="289"/>
      <c r="FE170" s="289"/>
      <c r="FF170" s="289"/>
      <c r="FG170" s="289"/>
      <c r="FH170" s="289"/>
      <c r="FI170" s="289"/>
      <c r="FJ170" s="289"/>
      <c r="FK170" s="289"/>
      <c r="FL170" s="289"/>
      <c r="FM170" s="289"/>
      <c r="FN170" s="289"/>
      <c r="FO170" s="289"/>
      <c r="FP170" s="289"/>
      <c r="FQ170" s="289"/>
      <c r="FR170" s="289"/>
      <c r="FS170" s="289"/>
      <c r="FT170" s="289"/>
      <c r="FU170" s="289"/>
      <c r="FV170" s="289"/>
      <c r="FW170" s="289"/>
      <c r="FX170" s="289"/>
      <c r="FY170" s="289"/>
      <c r="FZ170" s="289"/>
      <c r="GA170" s="289"/>
      <c r="GB170" s="289"/>
      <c r="GC170" s="289"/>
      <c r="GD170" s="289"/>
      <c r="GE170" s="289"/>
      <c r="GF170" s="289"/>
      <c r="GG170" s="289"/>
      <c r="GH170" s="289"/>
      <c r="GI170" s="289"/>
      <c r="GJ170" s="289"/>
      <c r="GK170" s="289"/>
      <c r="GL170" s="289"/>
      <c r="GM170" s="289"/>
      <c r="GN170" s="289"/>
      <c r="GO170" s="289"/>
      <c r="GP170" s="289"/>
      <c r="GQ170" s="289"/>
      <c r="GR170" s="289"/>
      <c r="GS170" s="289"/>
      <c r="GT170" s="289"/>
      <c r="GU170" s="289"/>
      <c r="GV170" s="289"/>
      <c r="GW170" s="289"/>
      <c r="GX170" s="289"/>
      <c r="GY170" s="289"/>
      <c r="GZ170" s="289"/>
      <c r="HA170" s="289"/>
      <c r="HB170" s="289"/>
      <c r="HC170" s="289"/>
      <c r="HD170" s="289"/>
      <c r="HE170" s="289"/>
      <c r="HF170" s="289"/>
      <c r="HG170" s="289"/>
      <c r="HH170" s="289"/>
      <c r="HI170" s="289"/>
      <c r="HJ170" s="289"/>
      <c r="HK170" s="289"/>
      <c r="HL170" s="289"/>
      <c r="HM170" s="289"/>
      <c r="HN170" s="289"/>
      <c r="HO170" s="289"/>
      <c r="HP170" s="289"/>
      <c r="HQ170" s="289"/>
      <c r="HR170" s="289"/>
      <c r="HS170" s="289"/>
      <c r="HT170" s="289"/>
      <c r="HU170" s="289"/>
      <c r="HV170" s="289"/>
      <c r="HW170" s="289"/>
      <c r="HX170" s="289"/>
      <c r="HY170" s="289"/>
      <c r="HZ170" s="289"/>
      <c r="IA170" s="289"/>
      <c r="IB170" s="289"/>
      <c r="IC170" s="289"/>
      <c r="ID170" s="289"/>
      <c r="IE170" s="289"/>
      <c r="IF170" s="289"/>
      <c r="IG170" s="289"/>
      <c r="IH170" s="289"/>
      <c r="II170" s="289"/>
      <c r="IJ170" s="289"/>
      <c r="IK170" s="289"/>
      <c r="IL170" s="289"/>
      <c r="IM170" s="289"/>
      <c r="IN170" s="289"/>
      <c r="IO170" s="289"/>
      <c r="IP170" s="289"/>
      <c r="IQ170" s="289"/>
      <c r="IR170" s="289"/>
      <c r="IS170" s="289"/>
      <c r="IT170" s="289"/>
      <c r="IU170" s="289"/>
      <c r="IV170" s="289"/>
      <c r="IW170" s="289"/>
      <c r="IX170" s="289"/>
    </row>
    <row r="171" spans="1:258" s="21" customFormat="1">
      <c r="A171" s="289"/>
      <c r="B171" s="289"/>
      <c r="C171" s="289"/>
      <c r="D171" s="289"/>
      <c r="E171" s="289"/>
      <c r="F171" s="289"/>
      <c r="G171" s="289"/>
      <c r="H171" s="289"/>
      <c r="I171" s="289"/>
      <c r="J171" s="289"/>
      <c r="K171" s="289"/>
      <c r="L171" s="289"/>
      <c r="M171" s="289"/>
      <c r="N171" s="289"/>
      <c r="O171" s="289"/>
      <c r="P171" s="289"/>
      <c r="Q171" s="289"/>
      <c r="R171" s="289"/>
      <c r="S171" s="289"/>
      <c r="T171" s="289"/>
      <c r="U171" s="289"/>
      <c r="V171" s="575"/>
      <c r="W171" s="289"/>
      <c r="X171" s="289"/>
      <c r="Y171" s="289"/>
      <c r="Z171" s="289"/>
      <c r="AA171" s="289"/>
      <c r="AB171" s="289"/>
      <c r="AC171" s="289"/>
      <c r="AD171" s="289"/>
      <c r="AE171" s="289"/>
      <c r="AF171" s="289"/>
      <c r="AG171" s="289"/>
      <c r="AH171" s="289"/>
      <c r="AI171" s="289"/>
      <c r="AJ171" s="289"/>
      <c r="AK171" s="289"/>
      <c r="AL171" s="289"/>
      <c r="AM171" s="289"/>
      <c r="AN171" s="289"/>
      <c r="AO171" s="289"/>
      <c r="AP171" s="289"/>
      <c r="AQ171" s="289"/>
      <c r="AR171" s="289"/>
      <c r="AS171" s="289"/>
      <c r="AT171" s="289"/>
      <c r="AU171" s="289"/>
      <c r="AV171" s="289"/>
      <c r="AW171" s="289"/>
      <c r="AX171" s="289"/>
      <c r="AY171" s="289"/>
      <c r="AZ171" s="289"/>
      <c r="BA171" s="289"/>
      <c r="BB171" s="289"/>
      <c r="BC171" s="289"/>
      <c r="BD171" s="289"/>
      <c r="BE171" s="289"/>
      <c r="BF171" s="289"/>
      <c r="BG171" s="289"/>
      <c r="BH171" s="289"/>
      <c r="BI171" s="289"/>
      <c r="BJ171" s="289"/>
      <c r="BK171" s="289"/>
      <c r="BL171" s="289"/>
      <c r="BM171" s="289"/>
      <c r="BN171" s="289"/>
      <c r="BO171" s="289"/>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289"/>
      <c r="CT171" s="289"/>
      <c r="CU171" s="289"/>
      <c r="CV171" s="289"/>
      <c r="CW171" s="289"/>
      <c r="CX171" s="289"/>
      <c r="CY171" s="289"/>
      <c r="CZ171" s="289"/>
      <c r="DA171" s="289"/>
      <c r="DB171" s="289"/>
      <c r="DC171" s="289"/>
      <c r="DD171" s="289"/>
      <c r="DE171" s="289"/>
      <c r="DF171" s="289"/>
      <c r="DG171" s="289"/>
      <c r="DH171" s="289"/>
      <c r="DI171" s="289"/>
      <c r="DJ171" s="289"/>
      <c r="DK171" s="289"/>
      <c r="DL171" s="289"/>
      <c r="DM171" s="289"/>
      <c r="DN171" s="289"/>
      <c r="DO171" s="289"/>
      <c r="DP171" s="289"/>
      <c r="DQ171" s="289"/>
      <c r="DR171" s="289"/>
      <c r="DS171" s="289"/>
      <c r="DT171" s="289"/>
      <c r="DU171" s="289"/>
      <c r="DV171" s="289"/>
      <c r="DW171" s="289"/>
      <c r="DX171" s="289"/>
      <c r="DY171" s="289"/>
      <c r="DZ171" s="289"/>
      <c r="EA171" s="289"/>
      <c r="EB171" s="289"/>
      <c r="EC171" s="289"/>
      <c r="ED171" s="289"/>
      <c r="EE171" s="289"/>
      <c r="EF171" s="289"/>
      <c r="EG171" s="289"/>
      <c r="EH171" s="289"/>
      <c r="EI171" s="289"/>
      <c r="EJ171" s="289"/>
      <c r="EK171" s="289"/>
      <c r="EL171" s="289"/>
      <c r="EM171" s="289"/>
      <c r="EN171" s="289"/>
      <c r="EO171" s="289"/>
      <c r="EP171" s="289"/>
      <c r="EQ171" s="289"/>
      <c r="ER171" s="289"/>
      <c r="ES171" s="289"/>
      <c r="ET171" s="289"/>
      <c r="EU171" s="289"/>
      <c r="EV171" s="289"/>
      <c r="EW171" s="289"/>
      <c r="EX171" s="289"/>
      <c r="EY171" s="289"/>
      <c r="EZ171" s="289"/>
      <c r="FA171" s="289"/>
      <c r="FB171" s="289"/>
      <c r="FC171" s="289"/>
      <c r="FD171" s="289"/>
      <c r="FE171" s="289"/>
      <c r="FF171" s="289"/>
      <c r="FG171" s="289"/>
      <c r="FH171" s="289"/>
      <c r="FI171" s="289"/>
      <c r="FJ171" s="289"/>
      <c r="FK171" s="289"/>
      <c r="FL171" s="289"/>
      <c r="FM171" s="289"/>
      <c r="FN171" s="289"/>
      <c r="FO171" s="289"/>
      <c r="FP171" s="289"/>
      <c r="FQ171" s="289"/>
      <c r="FR171" s="289"/>
      <c r="FS171" s="289"/>
      <c r="FT171" s="289"/>
      <c r="FU171" s="289"/>
      <c r="FV171" s="289"/>
      <c r="FW171" s="289"/>
      <c r="FX171" s="289"/>
      <c r="FY171" s="289"/>
      <c r="FZ171" s="289"/>
      <c r="GA171" s="289"/>
      <c r="GB171" s="289"/>
      <c r="GC171" s="289"/>
      <c r="GD171" s="289"/>
      <c r="GE171" s="289"/>
      <c r="GF171" s="289"/>
      <c r="GG171" s="289"/>
      <c r="GH171" s="289"/>
      <c r="GI171" s="289"/>
      <c r="GJ171" s="289"/>
      <c r="GK171" s="289"/>
      <c r="GL171" s="289"/>
      <c r="GM171" s="289"/>
      <c r="GN171" s="289"/>
      <c r="GO171" s="289"/>
      <c r="GP171" s="289"/>
      <c r="GQ171" s="289"/>
      <c r="GR171" s="289"/>
      <c r="GS171" s="289"/>
      <c r="GT171" s="289"/>
      <c r="GU171" s="289"/>
      <c r="GV171" s="289"/>
      <c r="GW171" s="289"/>
      <c r="GX171" s="289"/>
      <c r="GY171" s="289"/>
      <c r="GZ171" s="289"/>
      <c r="HA171" s="289"/>
      <c r="HB171" s="289"/>
      <c r="HC171" s="289"/>
      <c r="HD171" s="289"/>
      <c r="HE171" s="289"/>
      <c r="HF171" s="289"/>
      <c r="HG171" s="289"/>
      <c r="HH171" s="289"/>
      <c r="HI171" s="289"/>
      <c r="HJ171" s="289"/>
      <c r="HK171" s="289"/>
      <c r="HL171" s="289"/>
      <c r="HM171" s="289"/>
      <c r="HN171" s="289"/>
      <c r="HO171" s="289"/>
      <c r="HP171" s="289"/>
      <c r="HQ171" s="289"/>
      <c r="HR171" s="289"/>
      <c r="HS171" s="289"/>
      <c r="HT171" s="289"/>
      <c r="HU171" s="289"/>
      <c r="HV171" s="289"/>
      <c r="HW171" s="289"/>
      <c r="HX171" s="289"/>
      <c r="HY171" s="289"/>
      <c r="HZ171" s="289"/>
      <c r="IA171" s="289"/>
      <c r="IB171" s="289"/>
      <c r="IC171" s="289"/>
      <c r="ID171" s="289"/>
      <c r="IE171" s="289"/>
      <c r="IF171" s="289"/>
      <c r="IG171" s="289"/>
      <c r="IH171" s="289"/>
      <c r="II171" s="289"/>
      <c r="IJ171" s="289"/>
      <c r="IK171" s="289"/>
      <c r="IL171" s="289"/>
      <c r="IM171" s="289"/>
      <c r="IN171" s="289"/>
      <c r="IO171" s="289"/>
      <c r="IP171" s="289"/>
      <c r="IQ171" s="289"/>
      <c r="IR171" s="289"/>
      <c r="IS171" s="289"/>
      <c r="IT171" s="289"/>
      <c r="IU171" s="289"/>
      <c r="IV171" s="289"/>
      <c r="IW171" s="289"/>
      <c r="IX171" s="289"/>
    </row>
    <row r="172" spans="1:258" s="21" customFormat="1">
      <c r="A172" s="289"/>
      <c r="B172" s="289"/>
      <c r="C172" s="289"/>
      <c r="D172" s="289"/>
      <c r="E172" s="289"/>
      <c r="F172" s="289"/>
      <c r="G172" s="289"/>
      <c r="H172" s="289"/>
      <c r="I172" s="289"/>
      <c r="J172" s="289"/>
      <c r="K172" s="289"/>
      <c r="L172" s="289"/>
      <c r="M172" s="289"/>
      <c r="N172" s="289"/>
      <c r="O172" s="289"/>
      <c r="P172" s="289"/>
      <c r="Q172" s="289"/>
      <c r="R172" s="289"/>
      <c r="S172" s="289"/>
      <c r="T172" s="289"/>
      <c r="U172" s="289"/>
      <c r="V172" s="575"/>
      <c r="W172" s="289"/>
      <c r="X172" s="289"/>
      <c r="Y172" s="289"/>
      <c r="Z172" s="289"/>
      <c r="AA172" s="289"/>
      <c r="AB172" s="289"/>
      <c r="AC172" s="289"/>
      <c r="AD172" s="289"/>
      <c r="AE172" s="289"/>
      <c r="AF172" s="289"/>
      <c r="AG172" s="289"/>
      <c r="AH172" s="289"/>
      <c r="AI172" s="289"/>
      <c r="AJ172" s="289"/>
      <c r="AK172" s="289"/>
      <c r="AL172" s="289"/>
      <c r="AM172" s="289"/>
      <c r="AN172" s="289"/>
      <c r="AO172" s="289"/>
      <c r="AP172" s="289"/>
      <c r="AQ172" s="289"/>
      <c r="AR172" s="289"/>
      <c r="AS172" s="289"/>
      <c r="AT172" s="289"/>
      <c r="AU172" s="289"/>
      <c r="AV172" s="289"/>
      <c r="AW172" s="289"/>
      <c r="AX172" s="289"/>
      <c r="AY172" s="289"/>
      <c r="AZ172" s="289"/>
      <c r="BA172" s="289"/>
      <c r="BB172" s="289"/>
      <c r="BC172" s="289"/>
      <c r="BD172" s="289"/>
      <c r="BE172" s="289"/>
      <c r="BF172" s="289"/>
      <c r="BG172" s="289"/>
      <c r="BH172" s="289"/>
      <c r="BI172" s="289"/>
      <c r="BJ172" s="289"/>
      <c r="BK172" s="289"/>
      <c r="BL172" s="289"/>
      <c r="BM172" s="289"/>
      <c r="BN172" s="289"/>
      <c r="BO172" s="289"/>
      <c r="BP172" s="289"/>
      <c r="BQ172" s="289"/>
      <c r="BR172" s="289"/>
      <c r="BS172" s="289"/>
      <c r="BT172" s="289"/>
      <c r="BU172" s="289"/>
      <c r="BV172" s="289"/>
      <c r="BW172" s="289"/>
      <c r="BX172" s="289"/>
      <c r="BY172" s="289"/>
      <c r="BZ172" s="289"/>
      <c r="CA172" s="289"/>
      <c r="CB172" s="289"/>
      <c r="CC172" s="289"/>
      <c r="CD172" s="289"/>
      <c r="CE172" s="289"/>
      <c r="CF172" s="289"/>
      <c r="CG172" s="289"/>
      <c r="CH172" s="289"/>
      <c r="CI172" s="289"/>
      <c r="CJ172" s="289"/>
      <c r="CK172" s="289"/>
      <c r="CL172" s="289"/>
      <c r="CM172" s="289"/>
      <c r="CN172" s="289"/>
      <c r="CO172" s="289"/>
      <c r="CP172" s="289"/>
      <c r="CQ172" s="289"/>
      <c r="CR172" s="289"/>
      <c r="CS172" s="289"/>
      <c r="CT172" s="289"/>
      <c r="CU172" s="289"/>
      <c r="CV172" s="289"/>
      <c r="CW172" s="289"/>
      <c r="CX172" s="289"/>
      <c r="CY172" s="289"/>
      <c r="CZ172" s="289"/>
      <c r="DA172" s="289"/>
      <c r="DB172" s="289"/>
      <c r="DC172" s="289"/>
      <c r="DD172" s="289"/>
      <c r="DE172" s="289"/>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289"/>
      <c r="EB172" s="289"/>
      <c r="EC172" s="289"/>
      <c r="ED172" s="289"/>
      <c r="EE172" s="289"/>
      <c r="EF172" s="289"/>
      <c r="EG172" s="289"/>
      <c r="EH172" s="289"/>
      <c r="EI172" s="289"/>
      <c r="EJ172" s="289"/>
      <c r="EK172" s="289"/>
      <c r="EL172" s="289"/>
      <c r="EM172" s="289"/>
      <c r="EN172" s="289"/>
      <c r="EO172" s="289"/>
      <c r="EP172" s="289"/>
      <c r="EQ172" s="289"/>
      <c r="ER172" s="289"/>
      <c r="ES172" s="289"/>
      <c r="ET172" s="289"/>
      <c r="EU172" s="289"/>
      <c r="EV172" s="289"/>
      <c r="EW172" s="289"/>
      <c r="EX172" s="289"/>
      <c r="EY172" s="289"/>
      <c r="EZ172" s="289"/>
      <c r="FA172" s="289"/>
      <c r="FB172" s="289"/>
      <c r="FC172" s="289"/>
      <c r="FD172" s="289"/>
      <c r="FE172" s="289"/>
      <c r="FF172" s="289"/>
      <c r="FG172" s="289"/>
      <c r="FH172" s="289"/>
      <c r="FI172" s="289"/>
      <c r="FJ172" s="289"/>
      <c r="FK172" s="289"/>
      <c r="FL172" s="289"/>
      <c r="FM172" s="289"/>
      <c r="FN172" s="289"/>
      <c r="FO172" s="289"/>
      <c r="FP172" s="289"/>
      <c r="FQ172" s="289"/>
      <c r="FR172" s="289"/>
      <c r="FS172" s="289"/>
      <c r="FT172" s="289"/>
      <c r="FU172" s="289"/>
      <c r="FV172" s="289"/>
      <c r="FW172" s="289"/>
      <c r="FX172" s="289"/>
      <c r="FY172" s="289"/>
      <c r="FZ172" s="289"/>
      <c r="GA172" s="289"/>
      <c r="GB172" s="289"/>
      <c r="GC172" s="289"/>
      <c r="GD172" s="289"/>
      <c r="GE172" s="289"/>
      <c r="GF172" s="289"/>
      <c r="GG172" s="289"/>
      <c r="GH172" s="289"/>
      <c r="GI172" s="289"/>
      <c r="GJ172" s="289"/>
      <c r="GK172" s="289"/>
      <c r="GL172" s="289"/>
      <c r="GM172" s="289"/>
      <c r="GN172" s="289"/>
      <c r="GO172" s="289"/>
      <c r="GP172" s="289"/>
      <c r="GQ172" s="289"/>
      <c r="GR172" s="289"/>
      <c r="GS172" s="289"/>
      <c r="GT172" s="289"/>
      <c r="GU172" s="289"/>
      <c r="GV172" s="289"/>
      <c r="GW172" s="289"/>
      <c r="GX172" s="289"/>
      <c r="GY172" s="289"/>
      <c r="GZ172" s="289"/>
      <c r="HA172" s="289"/>
      <c r="HB172" s="289"/>
      <c r="HC172" s="289"/>
      <c r="HD172" s="289"/>
      <c r="HE172" s="289"/>
      <c r="HF172" s="289"/>
      <c r="HG172" s="289"/>
      <c r="HH172" s="289"/>
      <c r="HI172" s="289"/>
      <c r="HJ172" s="289"/>
      <c r="HK172" s="289"/>
      <c r="HL172" s="289"/>
      <c r="HM172" s="289"/>
      <c r="HN172" s="289"/>
      <c r="HO172" s="289"/>
      <c r="HP172" s="289"/>
      <c r="HQ172" s="289"/>
      <c r="HR172" s="289"/>
      <c r="HS172" s="289"/>
      <c r="HT172" s="289"/>
      <c r="HU172" s="289"/>
      <c r="HV172" s="289"/>
      <c r="HW172" s="289"/>
      <c r="HX172" s="289"/>
      <c r="HY172" s="289"/>
      <c r="HZ172" s="289"/>
      <c r="IA172" s="289"/>
      <c r="IB172" s="289"/>
      <c r="IC172" s="289"/>
      <c r="ID172" s="289"/>
      <c r="IE172" s="289"/>
      <c r="IF172" s="289"/>
      <c r="IG172" s="289"/>
      <c r="IH172" s="289"/>
      <c r="II172" s="289"/>
      <c r="IJ172" s="289"/>
      <c r="IK172" s="289"/>
      <c r="IL172" s="289"/>
      <c r="IM172" s="289"/>
      <c r="IN172" s="289"/>
      <c r="IO172" s="289"/>
      <c r="IP172" s="289"/>
      <c r="IQ172" s="289"/>
      <c r="IR172" s="289"/>
      <c r="IS172" s="289"/>
      <c r="IT172" s="289"/>
      <c r="IU172" s="289"/>
      <c r="IV172" s="289"/>
      <c r="IW172" s="289"/>
      <c r="IX172" s="289"/>
    </row>
    <row r="173" spans="1:258" s="21" customFormat="1">
      <c r="A173" s="289"/>
      <c r="B173" s="289"/>
      <c r="C173" s="289"/>
      <c r="D173" s="289"/>
      <c r="E173" s="289"/>
      <c r="F173" s="289"/>
      <c r="G173" s="289"/>
      <c r="H173" s="289"/>
      <c r="I173" s="289"/>
      <c r="J173" s="289"/>
      <c r="K173" s="289"/>
      <c r="L173" s="289"/>
      <c r="M173" s="289"/>
      <c r="N173" s="289"/>
      <c r="O173" s="289"/>
      <c r="P173" s="289"/>
      <c r="Q173" s="289"/>
      <c r="R173" s="289"/>
      <c r="S173" s="289"/>
      <c r="T173" s="289"/>
      <c r="U173" s="289"/>
      <c r="V173" s="575"/>
      <c r="W173" s="289"/>
      <c r="X173" s="289"/>
      <c r="Y173" s="289"/>
      <c r="Z173" s="289"/>
      <c r="AA173" s="289"/>
      <c r="AB173" s="289"/>
      <c r="AC173" s="289"/>
      <c r="AD173" s="289"/>
      <c r="AE173" s="289"/>
      <c r="AF173" s="289"/>
      <c r="AG173" s="289"/>
      <c r="AH173" s="289"/>
      <c r="AI173" s="289"/>
      <c r="AJ173" s="289"/>
      <c r="AK173" s="289"/>
      <c r="AL173" s="289"/>
      <c r="AM173" s="289"/>
      <c r="AN173" s="289"/>
      <c r="AO173" s="289"/>
      <c r="AP173" s="289"/>
      <c r="AQ173" s="289"/>
      <c r="AR173" s="289"/>
      <c r="AS173" s="289"/>
      <c r="AT173" s="289"/>
      <c r="AU173" s="289"/>
      <c r="AV173" s="289"/>
      <c r="AW173" s="289"/>
      <c r="AX173" s="289"/>
      <c r="AY173" s="289"/>
      <c r="AZ173" s="289"/>
      <c r="BA173" s="289"/>
      <c r="BB173" s="289"/>
      <c r="BC173" s="289"/>
      <c r="BD173" s="289"/>
      <c r="BE173" s="289"/>
      <c r="BF173" s="289"/>
      <c r="BG173" s="289"/>
      <c r="BH173" s="289"/>
      <c r="BI173" s="289"/>
      <c r="BJ173" s="289"/>
      <c r="BK173" s="289"/>
      <c r="BL173" s="289"/>
      <c r="BM173" s="289"/>
      <c r="BN173" s="289"/>
      <c r="BO173" s="289"/>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289"/>
      <c r="CT173" s="289"/>
      <c r="CU173" s="289"/>
      <c r="CV173" s="289"/>
      <c r="CW173" s="289"/>
      <c r="CX173" s="289"/>
      <c r="CY173" s="289"/>
      <c r="CZ173" s="289"/>
      <c r="DA173" s="289"/>
      <c r="DB173" s="289"/>
      <c r="DC173" s="289"/>
      <c r="DD173" s="289"/>
      <c r="DE173" s="289"/>
      <c r="DF173" s="289"/>
      <c r="DG173" s="289"/>
      <c r="DH173" s="289"/>
      <c r="DI173" s="289"/>
      <c r="DJ173" s="289"/>
      <c r="DK173" s="289"/>
      <c r="DL173" s="289"/>
      <c r="DM173" s="289"/>
      <c r="DN173" s="289"/>
      <c r="DO173" s="289"/>
      <c r="DP173" s="289"/>
      <c r="DQ173" s="289"/>
      <c r="DR173" s="289"/>
      <c r="DS173" s="289"/>
      <c r="DT173" s="289"/>
      <c r="DU173" s="289"/>
      <c r="DV173" s="289"/>
      <c r="DW173" s="289"/>
      <c r="DX173" s="289"/>
      <c r="DY173" s="289"/>
      <c r="DZ173" s="289"/>
      <c r="EA173" s="289"/>
      <c r="EB173" s="289"/>
      <c r="EC173" s="289"/>
      <c r="ED173" s="289"/>
      <c r="EE173" s="289"/>
      <c r="EF173" s="289"/>
      <c r="EG173" s="289"/>
      <c r="EH173" s="289"/>
      <c r="EI173" s="289"/>
      <c r="EJ173" s="289"/>
      <c r="EK173" s="289"/>
      <c r="EL173" s="289"/>
      <c r="EM173" s="289"/>
      <c r="EN173" s="289"/>
      <c r="EO173" s="289"/>
      <c r="EP173" s="289"/>
      <c r="EQ173" s="289"/>
      <c r="ER173" s="289"/>
      <c r="ES173" s="289"/>
      <c r="ET173" s="289"/>
      <c r="EU173" s="289"/>
      <c r="EV173" s="289"/>
      <c r="EW173" s="289"/>
      <c r="EX173" s="289"/>
      <c r="EY173" s="289"/>
      <c r="EZ173" s="289"/>
      <c r="FA173" s="289"/>
      <c r="FB173" s="289"/>
      <c r="FC173" s="289"/>
      <c r="FD173" s="289"/>
      <c r="FE173" s="289"/>
      <c r="FF173" s="289"/>
      <c r="FG173" s="289"/>
      <c r="FH173" s="289"/>
      <c r="FI173" s="289"/>
      <c r="FJ173" s="289"/>
      <c r="FK173" s="289"/>
      <c r="FL173" s="289"/>
      <c r="FM173" s="289"/>
      <c r="FN173" s="289"/>
      <c r="FO173" s="289"/>
      <c r="FP173" s="289"/>
      <c r="FQ173" s="289"/>
      <c r="FR173" s="289"/>
      <c r="FS173" s="289"/>
      <c r="FT173" s="289"/>
      <c r="FU173" s="289"/>
      <c r="FV173" s="289"/>
      <c r="FW173" s="289"/>
      <c r="FX173" s="289"/>
      <c r="FY173" s="289"/>
      <c r="FZ173" s="289"/>
      <c r="GA173" s="289"/>
      <c r="GB173" s="289"/>
      <c r="GC173" s="289"/>
      <c r="GD173" s="289"/>
      <c r="GE173" s="289"/>
      <c r="GF173" s="289"/>
      <c r="GG173" s="289"/>
      <c r="GH173" s="289"/>
      <c r="GI173" s="289"/>
      <c r="GJ173" s="289"/>
      <c r="GK173" s="289"/>
      <c r="GL173" s="289"/>
      <c r="GM173" s="289"/>
      <c r="GN173" s="289"/>
      <c r="GO173" s="289"/>
      <c r="GP173" s="289"/>
      <c r="GQ173" s="289"/>
      <c r="GR173" s="289"/>
      <c r="GS173" s="289"/>
      <c r="GT173" s="289"/>
      <c r="GU173" s="289"/>
      <c r="GV173" s="289"/>
      <c r="GW173" s="289"/>
      <c r="GX173" s="289"/>
      <c r="GY173" s="289"/>
      <c r="GZ173" s="289"/>
      <c r="HA173" s="289"/>
      <c r="HB173" s="289"/>
      <c r="HC173" s="289"/>
      <c r="HD173" s="289"/>
      <c r="HE173" s="289"/>
      <c r="HF173" s="289"/>
      <c r="HG173" s="289"/>
      <c r="HH173" s="289"/>
      <c r="HI173" s="289"/>
      <c r="HJ173" s="289"/>
      <c r="HK173" s="289"/>
      <c r="HL173" s="289"/>
      <c r="HM173" s="289"/>
      <c r="HN173" s="289"/>
      <c r="HO173" s="289"/>
      <c r="HP173" s="289"/>
      <c r="HQ173" s="289"/>
      <c r="HR173" s="289"/>
      <c r="HS173" s="289"/>
      <c r="HT173" s="289"/>
      <c r="HU173" s="289"/>
      <c r="HV173" s="289"/>
      <c r="HW173" s="289"/>
      <c r="HX173" s="289"/>
      <c r="HY173" s="289"/>
      <c r="HZ173" s="289"/>
      <c r="IA173" s="289"/>
      <c r="IB173" s="289"/>
      <c r="IC173" s="289"/>
      <c r="ID173" s="289"/>
      <c r="IE173" s="289"/>
      <c r="IF173" s="289"/>
      <c r="IG173" s="289"/>
      <c r="IH173" s="289"/>
      <c r="II173" s="289"/>
      <c r="IJ173" s="289"/>
      <c r="IK173" s="289"/>
      <c r="IL173" s="289"/>
      <c r="IM173" s="289"/>
      <c r="IN173" s="289"/>
      <c r="IO173" s="289"/>
      <c r="IP173" s="289"/>
      <c r="IQ173" s="289"/>
      <c r="IR173" s="289"/>
      <c r="IS173" s="289"/>
      <c r="IT173" s="289"/>
      <c r="IU173" s="289"/>
      <c r="IV173" s="289"/>
      <c r="IW173" s="289"/>
      <c r="IX173" s="289"/>
    </row>
    <row r="174" spans="1:258" s="21" customFormat="1">
      <c r="A174" s="289"/>
      <c r="B174" s="289"/>
      <c r="C174" s="289"/>
      <c r="D174" s="289"/>
      <c r="E174" s="289"/>
      <c r="F174" s="289"/>
      <c r="G174" s="289"/>
      <c r="H174" s="289"/>
      <c r="I174" s="289"/>
      <c r="J174" s="289"/>
      <c r="K174" s="289"/>
      <c r="L174" s="289"/>
      <c r="M174" s="289"/>
      <c r="N174" s="289"/>
      <c r="O174" s="289"/>
      <c r="P174" s="289"/>
      <c r="Q174" s="289"/>
      <c r="R174" s="289"/>
      <c r="S174" s="289"/>
      <c r="T174" s="289"/>
      <c r="U174" s="289"/>
      <c r="V174" s="575"/>
      <c r="W174" s="289"/>
      <c r="X174" s="289"/>
      <c r="Y174" s="289"/>
      <c r="Z174" s="289"/>
      <c r="AA174" s="289"/>
      <c r="AB174" s="289"/>
      <c r="AC174" s="289"/>
      <c r="AD174" s="289"/>
      <c r="AE174" s="289"/>
      <c r="AF174" s="289"/>
      <c r="AG174" s="289"/>
      <c r="AH174" s="289"/>
      <c r="AI174" s="289"/>
      <c r="AJ174" s="289"/>
      <c r="AK174" s="289"/>
      <c r="AL174" s="289"/>
      <c r="AM174" s="289"/>
      <c r="AN174" s="289"/>
      <c r="AO174" s="289"/>
      <c r="AP174" s="289"/>
      <c r="AQ174" s="289"/>
      <c r="AR174" s="289"/>
      <c r="AS174" s="289"/>
      <c r="AT174" s="289"/>
      <c r="AU174" s="289"/>
      <c r="AV174" s="289"/>
      <c r="AW174" s="289"/>
      <c r="AX174" s="289"/>
      <c r="AY174" s="289"/>
      <c r="AZ174" s="289"/>
      <c r="BA174" s="289"/>
      <c r="BB174" s="289"/>
      <c r="BC174" s="289"/>
      <c r="BD174" s="289"/>
      <c r="BE174" s="289"/>
      <c r="BF174" s="289"/>
      <c r="BG174" s="289"/>
      <c r="BH174" s="289"/>
      <c r="BI174" s="289"/>
      <c r="BJ174" s="289"/>
      <c r="BK174" s="289"/>
      <c r="BL174" s="289"/>
      <c r="BM174" s="289"/>
      <c r="BN174" s="289"/>
      <c r="BO174" s="289"/>
      <c r="BP174" s="289"/>
      <c r="BQ174" s="289"/>
      <c r="BR174" s="289"/>
      <c r="BS174" s="289"/>
      <c r="BT174" s="289"/>
      <c r="BU174" s="289"/>
      <c r="BV174" s="289"/>
      <c r="BW174" s="289"/>
      <c r="BX174" s="289"/>
      <c r="BY174" s="289"/>
      <c r="BZ174" s="289"/>
      <c r="CA174" s="289"/>
      <c r="CB174" s="289"/>
      <c r="CC174" s="289"/>
      <c r="CD174" s="289"/>
      <c r="CE174" s="289"/>
      <c r="CF174" s="289"/>
      <c r="CG174" s="289"/>
      <c r="CH174" s="289"/>
      <c r="CI174" s="289"/>
      <c r="CJ174" s="289"/>
      <c r="CK174" s="289"/>
      <c r="CL174" s="289"/>
      <c r="CM174" s="289"/>
      <c r="CN174" s="289"/>
      <c r="CO174" s="289"/>
      <c r="CP174" s="289"/>
      <c r="CQ174" s="289"/>
      <c r="CR174" s="289"/>
      <c r="CS174" s="289"/>
      <c r="CT174" s="289"/>
      <c r="CU174" s="289"/>
      <c r="CV174" s="289"/>
      <c r="CW174" s="289"/>
      <c r="CX174" s="289"/>
      <c r="CY174" s="289"/>
      <c r="CZ174" s="289"/>
      <c r="DA174" s="289"/>
      <c r="DB174" s="289"/>
      <c r="DC174" s="289"/>
      <c r="DD174" s="289"/>
      <c r="DE174" s="289"/>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289"/>
      <c r="EB174" s="289"/>
      <c r="EC174" s="289"/>
      <c r="ED174" s="289"/>
      <c r="EE174" s="289"/>
      <c r="EF174" s="289"/>
      <c r="EG174" s="289"/>
      <c r="EH174" s="289"/>
      <c r="EI174" s="289"/>
      <c r="EJ174" s="289"/>
      <c r="EK174" s="289"/>
      <c r="EL174" s="289"/>
      <c r="EM174" s="289"/>
      <c r="EN174" s="289"/>
      <c r="EO174" s="289"/>
      <c r="EP174" s="289"/>
      <c r="EQ174" s="289"/>
      <c r="ER174" s="289"/>
      <c r="ES174" s="289"/>
      <c r="ET174" s="289"/>
      <c r="EU174" s="289"/>
      <c r="EV174" s="289"/>
      <c r="EW174" s="289"/>
      <c r="EX174" s="289"/>
      <c r="EY174" s="289"/>
      <c r="EZ174" s="289"/>
      <c r="FA174" s="289"/>
      <c r="FB174" s="289"/>
      <c r="FC174" s="289"/>
      <c r="FD174" s="289"/>
      <c r="FE174" s="289"/>
      <c r="FF174" s="289"/>
      <c r="FG174" s="289"/>
      <c r="FH174" s="289"/>
      <c r="FI174" s="289"/>
      <c r="FJ174" s="289"/>
      <c r="FK174" s="289"/>
      <c r="FL174" s="289"/>
      <c r="FM174" s="289"/>
      <c r="FN174" s="289"/>
      <c r="FO174" s="289"/>
      <c r="FP174" s="289"/>
      <c r="FQ174" s="289"/>
      <c r="FR174" s="289"/>
      <c r="FS174" s="289"/>
      <c r="FT174" s="289"/>
      <c r="FU174" s="289"/>
      <c r="FV174" s="289"/>
      <c r="FW174" s="289"/>
      <c r="FX174" s="289"/>
      <c r="FY174" s="289"/>
      <c r="FZ174" s="289"/>
      <c r="GA174" s="289"/>
      <c r="GB174" s="289"/>
      <c r="GC174" s="289"/>
      <c r="GD174" s="289"/>
      <c r="GE174" s="289"/>
      <c r="GF174" s="289"/>
      <c r="GG174" s="289"/>
      <c r="GH174" s="289"/>
      <c r="GI174" s="289"/>
      <c r="GJ174" s="289"/>
      <c r="GK174" s="289"/>
      <c r="GL174" s="289"/>
      <c r="GM174" s="289"/>
      <c r="GN174" s="289"/>
      <c r="GO174" s="289"/>
      <c r="GP174" s="289"/>
      <c r="GQ174" s="289"/>
      <c r="GR174" s="289"/>
      <c r="GS174" s="289"/>
      <c r="GT174" s="289"/>
      <c r="GU174" s="289"/>
      <c r="GV174" s="289"/>
      <c r="GW174" s="289"/>
      <c r="GX174" s="289"/>
      <c r="GY174" s="289"/>
      <c r="GZ174" s="289"/>
      <c r="HA174" s="289"/>
      <c r="HB174" s="289"/>
      <c r="HC174" s="289"/>
      <c r="HD174" s="289"/>
      <c r="HE174" s="289"/>
      <c r="HF174" s="289"/>
      <c r="HG174" s="289"/>
      <c r="HH174" s="289"/>
      <c r="HI174" s="289"/>
      <c r="HJ174" s="289"/>
      <c r="HK174" s="289"/>
      <c r="HL174" s="289"/>
      <c r="HM174" s="289"/>
      <c r="HN174" s="289"/>
      <c r="HO174" s="289"/>
      <c r="HP174" s="289"/>
      <c r="HQ174" s="289"/>
      <c r="HR174" s="289"/>
      <c r="HS174" s="289"/>
      <c r="HT174" s="289"/>
      <c r="HU174" s="289"/>
      <c r="HV174" s="289"/>
      <c r="HW174" s="289"/>
      <c r="HX174" s="289"/>
      <c r="HY174" s="289"/>
      <c r="HZ174" s="289"/>
      <c r="IA174" s="289"/>
      <c r="IB174" s="289"/>
      <c r="IC174" s="289"/>
      <c r="ID174" s="289"/>
      <c r="IE174" s="289"/>
      <c r="IF174" s="289"/>
      <c r="IG174" s="289"/>
      <c r="IH174" s="289"/>
      <c r="II174" s="289"/>
      <c r="IJ174" s="289"/>
      <c r="IK174" s="289"/>
      <c r="IL174" s="289"/>
      <c r="IM174" s="289"/>
      <c r="IN174" s="289"/>
      <c r="IO174" s="289"/>
      <c r="IP174" s="289"/>
      <c r="IQ174" s="289"/>
      <c r="IR174" s="289"/>
      <c r="IS174" s="289"/>
      <c r="IT174" s="289"/>
      <c r="IU174" s="289"/>
      <c r="IV174" s="289"/>
      <c r="IW174" s="289"/>
      <c r="IX174" s="289"/>
    </row>
    <row r="175" spans="1:258" s="21" customFormat="1">
      <c r="A175" s="289"/>
      <c r="B175" s="289"/>
      <c r="C175" s="289"/>
      <c r="D175" s="289"/>
      <c r="E175" s="289"/>
      <c r="F175" s="289"/>
      <c r="G175" s="289"/>
      <c r="H175" s="289"/>
      <c r="I175" s="289"/>
      <c r="J175" s="289"/>
      <c r="K175" s="289"/>
      <c r="L175" s="289"/>
      <c r="M175" s="289"/>
      <c r="N175" s="289"/>
      <c r="O175" s="289"/>
      <c r="P175" s="289"/>
      <c r="Q175" s="289"/>
      <c r="R175" s="289"/>
      <c r="S175" s="289"/>
      <c r="T175" s="289"/>
      <c r="U175" s="289"/>
      <c r="V175" s="575"/>
      <c r="W175" s="289"/>
      <c r="X175" s="289"/>
      <c r="Y175" s="289"/>
      <c r="Z175" s="289"/>
      <c r="AA175" s="289"/>
      <c r="AB175" s="289"/>
      <c r="AC175" s="289"/>
      <c r="AD175" s="289"/>
      <c r="AE175" s="289"/>
      <c r="AF175" s="289"/>
      <c r="AG175" s="289"/>
      <c r="AH175" s="289"/>
      <c r="AI175" s="289"/>
      <c r="AJ175" s="289"/>
      <c r="AK175" s="289"/>
      <c r="AL175" s="289"/>
      <c r="AM175" s="289"/>
      <c r="AN175" s="289"/>
      <c r="AO175" s="289"/>
      <c r="AP175" s="289"/>
      <c r="AQ175" s="289"/>
      <c r="AR175" s="289"/>
      <c r="AS175" s="289"/>
      <c r="AT175" s="289"/>
      <c r="AU175" s="289"/>
      <c r="AV175" s="289"/>
      <c r="AW175" s="577"/>
      <c r="AX175" s="577"/>
      <c r="AY175" s="289"/>
      <c r="AZ175" s="289"/>
      <c r="BA175" s="289"/>
      <c r="BB175" s="289"/>
      <c r="BC175" s="289"/>
      <c r="BD175" s="289"/>
      <c r="BE175" s="289"/>
      <c r="BF175" s="289"/>
      <c r="BG175" s="289"/>
      <c r="BH175" s="289"/>
      <c r="BI175" s="289"/>
      <c r="BJ175" s="289"/>
      <c r="BK175" s="289"/>
      <c r="BL175" s="289"/>
      <c r="BM175" s="289"/>
      <c r="BN175" s="289"/>
      <c r="BO175" s="289"/>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289"/>
      <c r="CT175" s="289"/>
      <c r="CU175" s="289"/>
      <c r="CV175" s="289"/>
      <c r="CW175" s="289"/>
      <c r="CX175" s="289"/>
      <c r="CY175" s="289"/>
      <c r="CZ175" s="289"/>
      <c r="DA175" s="289"/>
      <c r="DB175" s="289"/>
      <c r="DC175" s="289"/>
      <c r="DD175" s="289"/>
      <c r="DE175" s="289"/>
      <c r="DF175" s="289"/>
      <c r="DG175" s="289"/>
      <c r="DH175" s="289"/>
      <c r="DI175" s="289"/>
      <c r="DJ175" s="289"/>
      <c r="DK175" s="289"/>
      <c r="DL175" s="289"/>
      <c r="DM175" s="289"/>
      <c r="DN175" s="289"/>
      <c r="DO175" s="289"/>
      <c r="DP175" s="289"/>
      <c r="DQ175" s="289"/>
      <c r="DR175" s="289"/>
      <c r="DS175" s="289"/>
      <c r="DT175" s="289"/>
      <c r="DU175" s="289"/>
      <c r="DV175" s="289"/>
      <c r="DW175" s="289"/>
      <c r="DX175" s="289"/>
      <c r="DY175" s="289"/>
      <c r="DZ175" s="289"/>
      <c r="EA175" s="289"/>
      <c r="EB175" s="289"/>
      <c r="EC175" s="289"/>
      <c r="ED175" s="289"/>
      <c r="EE175" s="289"/>
      <c r="EF175" s="289"/>
      <c r="EG175" s="289"/>
      <c r="EH175" s="289"/>
      <c r="EI175" s="289"/>
      <c r="EJ175" s="289"/>
      <c r="EK175" s="289"/>
      <c r="EL175" s="289"/>
      <c r="EM175" s="289"/>
      <c r="EN175" s="289"/>
      <c r="EO175" s="289"/>
      <c r="EP175" s="289"/>
      <c r="EQ175" s="289"/>
      <c r="ER175" s="289"/>
      <c r="ES175" s="289"/>
      <c r="ET175" s="289"/>
      <c r="EU175" s="289"/>
      <c r="EV175" s="289"/>
      <c r="EW175" s="289"/>
      <c r="EX175" s="289"/>
      <c r="EY175" s="289"/>
      <c r="EZ175" s="289"/>
      <c r="FA175" s="289"/>
      <c r="FB175" s="289"/>
      <c r="FC175" s="289"/>
      <c r="FD175" s="289"/>
      <c r="FE175" s="289"/>
      <c r="FF175" s="289"/>
      <c r="FG175" s="289"/>
      <c r="FH175" s="289"/>
      <c r="FI175" s="289"/>
      <c r="FJ175" s="289"/>
      <c r="FK175" s="289"/>
      <c r="FL175" s="289"/>
      <c r="FM175" s="289"/>
      <c r="FN175" s="289"/>
      <c r="FO175" s="289"/>
      <c r="FP175" s="289"/>
      <c r="FQ175" s="289"/>
      <c r="FR175" s="289"/>
      <c r="FS175" s="289"/>
      <c r="FT175" s="289"/>
      <c r="FU175" s="289"/>
      <c r="FV175" s="289"/>
      <c r="FW175" s="289"/>
      <c r="FX175" s="289"/>
      <c r="FY175" s="289"/>
      <c r="FZ175" s="289"/>
      <c r="GA175" s="289"/>
      <c r="GB175" s="289"/>
      <c r="GC175" s="289"/>
      <c r="GD175" s="289"/>
      <c r="GE175" s="289"/>
      <c r="GF175" s="289"/>
      <c r="GG175" s="289"/>
      <c r="GH175" s="289"/>
      <c r="GI175" s="289"/>
      <c r="GJ175" s="289"/>
      <c r="GK175" s="289"/>
      <c r="GL175" s="289"/>
      <c r="GM175" s="289"/>
      <c r="GN175" s="289"/>
      <c r="GO175" s="289"/>
      <c r="GP175" s="289"/>
      <c r="GQ175" s="289"/>
      <c r="GR175" s="289"/>
      <c r="GS175" s="289"/>
      <c r="GT175" s="289"/>
      <c r="GU175" s="289"/>
      <c r="GV175" s="289"/>
      <c r="GW175" s="289"/>
      <c r="GX175" s="289"/>
      <c r="GY175" s="289"/>
      <c r="GZ175" s="289"/>
      <c r="HA175" s="289"/>
      <c r="HB175" s="289"/>
      <c r="HC175" s="289"/>
      <c r="HD175" s="289"/>
      <c r="HE175" s="289"/>
      <c r="HF175" s="289"/>
      <c r="HG175" s="289"/>
      <c r="HH175" s="289"/>
      <c r="HI175" s="289"/>
      <c r="HJ175" s="289"/>
      <c r="HK175" s="289"/>
      <c r="HL175" s="289"/>
      <c r="HM175" s="289"/>
      <c r="HN175" s="289"/>
      <c r="HO175" s="289"/>
      <c r="HP175" s="289"/>
      <c r="HQ175" s="289"/>
      <c r="HR175" s="289"/>
      <c r="HS175" s="289"/>
      <c r="HT175" s="289"/>
      <c r="HU175" s="289"/>
      <c r="HV175" s="289"/>
      <c r="HW175" s="289"/>
      <c r="HX175" s="289"/>
      <c r="HY175" s="289"/>
      <c r="HZ175" s="289"/>
      <c r="IA175" s="289"/>
      <c r="IB175" s="289"/>
      <c r="IC175" s="289"/>
      <c r="ID175" s="289"/>
      <c r="IE175" s="289"/>
      <c r="IF175" s="289"/>
      <c r="IG175" s="289"/>
      <c r="IH175" s="289"/>
      <c r="II175" s="289"/>
      <c r="IJ175" s="289"/>
      <c r="IK175" s="289"/>
      <c r="IL175" s="289"/>
      <c r="IM175" s="289"/>
      <c r="IN175" s="289"/>
      <c r="IO175" s="289"/>
      <c r="IP175" s="289"/>
      <c r="IQ175" s="289"/>
      <c r="IR175" s="289"/>
      <c r="IS175" s="289"/>
      <c r="IT175" s="289"/>
      <c r="IU175" s="289"/>
      <c r="IV175" s="289"/>
      <c r="IW175" s="289"/>
      <c r="IX175" s="289"/>
    </row>
    <row r="176" spans="1:258" s="21" customFormat="1">
      <c r="A176" s="289"/>
      <c r="B176" s="289"/>
      <c r="C176" s="289"/>
      <c r="D176" s="289"/>
      <c r="E176" s="289"/>
      <c r="F176" s="289"/>
      <c r="G176" s="289"/>
      <c r="H176" s="289"/>
      <c r="I176" s="289"/>
      <c r="J176" s="289"/>
      <c r="K176" s="289"/>
      <c r="L176" s="289"/>
      <c r="M176" s="289"/>
      <c r="N176" s="289"/>
      <c r="O176" s="289"/>
      <c r="P176" s="289"/>
      <c r="Q176" s="289"/>
      <c r="R176" s="289"/>
      <c r="S176" s="289"/>
      <c r="T176" s="289"/>
      <c r="U176" s="289"/>
      <c r="V176" s="575"/>
      <c r="W176" s="289"/>
      <c r="X176" s="289"/>
      <c r="Y176" s="289"/>
      <c r="Z176" s="289"/>
      <c r="AA176" s="289"/>
      <c r="AB176" s="289"/>
      <c r="AC176" s="289"/>
      <c r="AD176" s="289"/>
      <c r="AE176" s="289"/>
      <c r="AF176" s="289"/>
      <c r="AG176" s="289"/>
      <c r="AH176" s="289"/>
      <c r="AI176" s="289"/>
      <c r="AJ176" s="289"/>
      <c r="AK176" s="289"/>
      <c r="AL176" s="289"/>
      <c r="AM176" s="289"/>
      <c r="AN176" s="289"/>
      <c r="AO176" s="289"/>
      <c r="AP176" s="289"/>
      <c r="AQ176" s="289"/>
      <c r="AR176" s="289"/>
      <c r="AS176" s="289"/>
      <c r="AT176" s="289"/>
      <c r="AU176" s="289"/>
      <c r="AV176" s="289"/>
      <c r="AW176" s="577"/>
      <c r="AX176" s="577"/>
      <c r="AY176" s="289"/>
      <c r="AZ176" s="289"/>
      <c r="BA176" s="289"/>
      <c r="BB176" s="289"/>
      <c r="BC176" s="289"/>
      <c r="BD176" s="289"/>
      <c r="BE176" s="289"/>
      <c r="BF176" s="289"/>
      <c r="BG176" s="289"/>
      <c r="BH176" s="289"/>
      <c r="BI176" s="289"/>
      <c r="BJ176" s="289"/>
      <c r="BK176" s="289"/>
      <c r="BL176" s="289"/>
      <c r="BM176" s="289"/>
      <c r="BN176" s="289"/>
      <c r="BO176" s="289"/>
      <c r="BP176" s="289"/>
      <c r="BQ176" s="289"/>
      <c r="BR176" s="289"/>
      <c r="BS176" s="289"/>
      <c r="BT176" s="289"/>
      <c r="BU176" s="289"/>
      <c r="BV176" s="289"/>
      <c r="BW176" s="289"/>
      <c r="BX176" s="289"/>
      <c r="BY176" s="289"/>
      <c r="BZ176" s="289"/>
      <c r="CA176" s="289"/>
      <c r="CB176" s="289"/>
      <c r="CC176" s="289"/>
      <c r="CD176" s="289"/>
      <c r="CE176" s="289"/>
      <c r="CF176" s="289"/>
      <c r="CG176" s="289"/>
      <c r="CH176" s="289"/>
      <c r="CI176" s="289"/>
      <c r="CJ176" s="289"/>
      <c r="CK176" s="289"/>
      <c r="CL176" s="289"/>
      <c r="CM176" s="289"/>
      <c r="CN176" s="289"/>
      <c r="CO176" s="289"/>
      <c r="CP176" s="289"/>
      <c r="CQ176" s="289"/>
      <c r="CR176" s="289"/>
      <c r="CS176" s="289"/>
      <c r="CT176" s="289"/>
      <c r="CU176" s="289"/>
      <c r="CV176" s="289"/>
      <c r="CW176" s="289"/>
      <c r="CX176" s="289"/>
      <c r="CY176" s="289"/>
      <c r="CZ176" s="289"/>
      <c r="DA176" s="289"/>
      <c r="DB176" s="289"/>
      <c r="DC176" s="289"/>
      <c r="DD176" s="289"/>
      <c r="DE176" s="289"/>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289"/>
      <c r="EB176" s="289"/>
      <c r="EC176" s="289"/>
      <c r="ED176" s="289"/>
      <c r="EE176" s="289"/>
      <c r="EF176" s="289"/>
      <c r="EG176" s="289"/>
      <c r="EH176" s="289"/>
      <c r="EI176" s="289"/>
      <c r="EJ176" s="289"/>
      <c r="EK176" s="289"/>
      <c r="EL176" s="289"/>
      <c r="EM176" s="289"/>
      <c r="EN176" s="289"/>
      <c r="EO176" s="289"/>
      <c r="EP176" s="289"/>
      <c r="EQ176" s="289"/>
      <c r="ER176" s="289"/>
      <c r="ES176" s="289"/>
      <c r="ET176" s="289"/>
      <c r="EU176" s="289"/>
      <c r="EV176" s="289"/>
      <c r="EW176" s="289"/>
      <c r="EX176" s="289"/>
      <c r="EY176" s="289"/>
      <c r="EZ176" s="289"/>
      <c r="FA176" s="289"/>
      <c r="FB176" s="289"/>
      <c r="FC176" s="289"/>
      <c r="FD176" s="289"/>
      <c r="FE176" s="289"/>
      <c r="FF176" s="289"/>
      <c r="FG176" s="289"/>
      <c r="FH176" s="289"/>
      <c r="FI176" s="289"/>
      <c r="FJ176" s="289"/>
      <c r="FK176" s="289"/>
      <c r="FL176" s="289"/>
      <c r="FM176" s="289"/>
      <c r="FN176" s="289"/>
      <c r="FO176" s="289"/>
      <c r="FP176" s="289"/>
      <c r="FQ176" s="289"/>
      <c r="FR176" s="289"/>
      <c r="FS176" s="289"/>
      <c r="FT176" s="289"/>
      <c r="FU176" s="289"/>
      <c r="FV176" s="289"/>
      <c r="FW176" s="289"/>
      <c r="FX176" s="289"/>
      <c r="FY176" s="289"/>
      <c r="FZ176" s="289"/>
      <c r="GA176" s="289"/>
      <c r="GB176" s="289"/>
      <c r="GC176" s="289"/>
      <c r="GD176" s="289"/>
      <c r="GE176" s="289"/>
      <c r="GF176" s="289"/>
      <c r="GG176" s="289"/>
      <c r="GH176" s="289"/>
      <c r="GI176" s="289"/>
      <c r="GJ176" s="289"/>
      <c r="GK176" s="289"/>
      <c r="GL176" s="289"/>
      <c r="GM176" s="289"/>
      <c r="GN176" s="289"/>
      <c r="GO176" s="289"/>
      <c r="GP176" s="289"/>
      <c r="GQ176" s="289"/>
      <c r="GR176" s="289"/>
      <c r="GS176" s="289"/>
      <c r="GT176" s="289"/>
      <c r="GU176" s="289"/>
      <c r="GV176" s="289"/>
      <c r="GW176" s="289"/>
      <c r="GX176" s="289"/>
      <c r="GY176" s="289"/>
      <c r="GZ176" s="289"/>
      <c r="HA176" s="289"/>
      <c r="HB176" s="289"/>
      <c r="HC176" s="289"/>
      <c r="HD176" s="289"/>
      <c r="HE176" s="289"/>
      <c r="HF176" s="289"/>
      <c r="HG176" s="289"/>
      <c r="HH176" s="289"/>
      <c r="HI176" s="289"/>
      <c r="HJ176" s="289"/>
      <c r="HK176" s="289"/>
      <c r="HL176" s="289"/>
      <c r="HM176" s="289"/>
      <c r="HN176" s="289"/>
      <c r="HO176" s="289"/>
      <c r="HP176" s="289"/>
      <c r="HQ176" s="289"/>
      <c r="HR176" s="289"/>
      <c r="HS176" s="289"/>
      <c r="HT176" s="289"/>
      <c r="HU176" s="289"/>
      <c r="HV176" s="289"/>
      <c r="HW176" s="289"/>
      <c r="HX176" s="289"/>
      <c r="HY176" s="289"/>
      <c r="HZ176" s="289"/>
      <c r="IA176" s="289"/>
      <c r="IB176" s="289"/>
      <c r="IC176" s="289"/>
      <c r="ID176" s="289"/>
      <c r="IE176" s="289"/>
      <c r="IF176" s="289"/>
      <c r="IG176" s="289"/>
      <c r="IH176" s="289"/>
      <c r="II176" s="289"/>
      <c r="IJ176" s="289"/>
      <c r="IK176" s="289"/>
      <c r="IL176" s="289"/>
      <c r="IM176" s="289"/>
      <c r="IN176" s="289"/>
      <c r="IO176" s="289"/>
      <c r="IP176" s="289"/>
      <c r="IQ176" s="289"/>
      <c r="IR176" s="289"/>
      <c r="IS176" s="289"/>
      <c r="IT176" s="289"/>
      <c r="IU176" s="289"/>
      <c r="IV176" s="289"/>
      <c r="IW176" s="289"/>
      <c r="IX176" s="289"/>
    </row>
    <row r="177" spans="1:258" s="21" customFormat="1">
      <c r="A177" s="289"/>
      <c r="B177" s="289"/>
      <c r="C177" s="289"/>
      <c r="D177" s="289"/>
      <c r="E177" s="289"/>
      <c r="F177" s="289"/>
      <c r="G177" s="289"/>
      <c r="H177" s="289"/>
      <c r="I177" s="289"/>
      <c r="J177" s="289"/>
      <c r="K177" s="289"/>
      <c r="L177" s="289"/>
      <c r="M177" s="289"/>
      <c r="N177" s="289"/>
      <c r="O177" s="289"/>
      <c r="P177" s="289"/>
      <c r="Q177" s="289"/>
      <c r="R177" s="289"/>
      <c r="S177" s="289"/>
      <c r="T177" s="289"/>
      <c r="U177" s="289"/>
      <c r="V177" s="575"/>
      <c r="W177" s="289"/>
      <c r="X177" s="289"/>
      <c r="Y177" s="289"/>
      <c r="Z177" s="289"/>
      <c r="AA177" s="289"/>
      <c r="AB177" s="289"/>
      <c r="AC177" s="289"/>
      <c r="AD177" s="289"/>
      <c r="AE177" s="289"/>
      <c r="AF177" s="289"/>
      <c r="AG177" s="289"/>
      <c r="AH177" s="289"/>
      <c r="AI177" s="289"/>
      <c r="AJ177" s="289"/>
      <c r="AK177" s="289"/>
      <c r="AL177" s="289"/>
      <c r="AM177" s="289"/>
      <c r="AN177" s="289"/>
      <c r="AO177" s="289"/>
      <c r="AP177" s="289"/>
      <c r="AQ177" s="289"/>
      <c r="AR177" s="289"/>
      <c r="AS177" s="289"/>
      <c r="AT177" s="289"/>
      <c r="AU177" s="289"/>
      <c r="AV177" s="289"/>
      <c r="AW177" s="577"/>
      <c r="AX177" s="577"/>
      <c r="AY177" s="289"/>
      <c r="AZ177" s="289"/>
      <c r="BA177" s="289"/>
      <c r="BB177" s="289"/>
      <c r="BC177" s="289"/>
      <c r="BD177" s="289"/>
      <c r="BE177" s="289"/>
      <c r="BF177" s="289"/>
      <c r="BG177" s="289"/>
      <c r="BH177" s="289"/>
      <c r="BI177" s="289"/>
      <c r="BJ177" s="289"/>
      <c r="BK177" s="289"/>
      <c r="BL177" s="289"/>
      <c r="BM177" s="289"/>
      <c r="BN177" s="289"/>
      <c r="BO177" s="289"/>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289"/>
      <c r="CT177" s="289"/>
      <c r="CU177" s="289"/>
      <c r="CV177" s="289"/>
      <c r="CW177" s="289"/>
      <c r="CX177" s="289"/>
      <c r="CY177" s="289"/>
      <c r="CZ177" s="289"/>
      <c r="DA177" s="289"/>
      <c r="DB177" s="289"/>
      <c r="DC177" s="289"/>
      <c r="DD177" s="289"/>
      <c r="DE177" s="289"/>
      <c r="DF177" s="289"/>
      <c r="DG177" s="289"/>
      <c r="DH177" s="289"/>
      <c r="DI177" s="289"/>
      <c r="DJ177" s="289"/>
      <c r="DK177" s="289"/>
      <c r="DL177" s="289"/>
      <c r="DM177" s="289"/>
      <c r="DN177" s="289"/>
      <c r="DO177" s="289"/>
      <c r="DP177" s="289"/>
      <c r="DQ177" s="289"/>
      <c r="DR177" s="289"/>
      <c r="DS177" s="289"/>
      <c r="DT177" s="289"/>
      <c r="DU177" s="289"/>
      <c r="DV177" s="289"/>
      <c r="DW177" s="289"/>
      <c r="DX177" s="289"/>
      <c r="DY177" s="289"/>
      <c r="DZ177" s="289"/>
      <c r="EA177" s="289"/>
      <c r="EB177" s="289"/>
      <c r="EC177" s="289"/>
      <c r="ED177" s="289"/>
      <c r="EE177" s="289"/>
      <c r="EF177" s="289"/>
      <c r="EG177" s="289"/>
      <c r="EH177" s="289"/>
      <c r="EI177" s="289"/>
      <c r="EJ177" s="289"/>
      <c r="EK177" s="289"/>
      <c r="EL177" s="289"/>
      <c r="EM177" s="289"/>
      <c r="EN177" s="289"/>
      <c r="EO177" s="289"/>
      <c r="EP177" s="289"/>
      <c r="EQ177" s="289"/>
      <c r="ER177" s="289"/>
      <c r="ES177" s="289"/>
      <c r="ET177" s="289"/>
      <c r="EU177" s="289"/>
      <c r="EV177" s="289"/>
      <c r="EW177" s="289"/>
      <c r="EX177" s="289"/>
      <c r="EY177" s="289"/>
      <c r="EZ177" s="289"/>
      <c r="FA177" s="289"/>
      <c r="FB177" s="289"/>
      <c r="FC177" s="289"/>
      <c r="FD177" s="289"/>
      <c r="FE177" s="289"/>
      <c r="FF177" s="289"/>
      <c r="FG177" s="289"/>
      <c r="FH177" s="289"/>
      <c r="FI177" s="289"/>
      <c r="FJ177" s="289"/>
      <c r="FK177" s="289"/>
      <c r="FL177" s="289"/>
      <c r="FM177" s="289"/>
      <c r="FN177" s="289"/>
      <c r="FO177" s="289"/>
      <c r="FP177" s="289"/>
      <c r="FQ177" s="289"/>
      <c r="FR177" s="289"/>
      <c r="FS177" s="289"/>
      <c r="FT177" s="289"/>
      <c r="FU177" s="289"/>
      <c r="FV177" s="289"/>
      <c r="FW177" s="289"/>
      <c r="FX177" s="289"/>
      <c r="FY177" s="289"/>
      <c r="FZ177" s="289"/>
      <c r="GA177" s="289"/>
      <c r="GB177" s="289"/>
      <c r="GC177" s="289"/>
      <c r="GD177" s="289"/>
      <c r="GE177" s="289"/>
      <c r="GF177" s="289"/>
      <c r="GG177" s="289"/>
      <c r="GH177" s="289"/>
      <c r="GI177" s="289"/>
      <c r="GJ177" s="289"/>
      <c r="GK177" s="289"/>
      <c r="GL177" s="289"/>
      <c r="GM177" s="289"/>
      <c r="GN177" s="289"/>
      <c r="GO177" s="289"/>
      <c r="GP177" s="289"/>
      <c r="GQ177" s="289"/>
      <c r="GR177" s="289"/>
      <c r="GS177" s="289"/>
      <c r="GT177" s="289"/>
      <c r="GU177" s="289"/>
      <c r="GV177" s="289"/>
      <c r="GW177" s="289"/>
      <c r="GX177" s="289"/>
      <c r="GY177" s="289"/>
      <c r="GZ177" s="289"/>
      <c r="HA177" s="289"/>
      <c r="HB177" s="289"/>
      <c r="HC177" s="289"/>
      <c r="HD177" s="289"/>
      <c r="HE177" s="289"/>
      <c r="HF177" s="289"/>
      <c r="HG177" s="289"/>
      <c r="HH177" s="289"/>
      <c r="HI177" s="289"/>
      <c r="HJ177" s="289"/>
      <c r="HK177" s="289"/>
      <c r="HL177" s="289"/>
      <c r="HM177" s="289"/>
      <c r="HN177" s="289"/>
      <c r="HO177" s="289"/>
      <c r="HP177" s="289"/>
      <c r="HQ177" s="289"/>
      <c r="HR177" s="289"/>
      <c r="HS177" s="289"/>
      <c r="HT177" s="289"/>
      <c r="HU177" s="289"/>
      <c r="HV177" s="289"/>
      <c r="HW177" s="289"/>
      <c r="HX177" s="289"/>
      <c r="HY177" s="289"/>
      <c r="HZ177" s="289"/>
      <c r="IA177" s="289"/>
      <c r="IB177" s="289"/>
      <c r="IC177" s="289"/>
      <c r="ID177" s="289"/>
      <c r="IE177" s="289"/>
      <c r="IF177" s="289"/>
      <c r="IG177" s="289"/>
      <c r="IH177" s="289"/>
      <c r="II177" s="289"/>
      <c r="IJ177" s="289"/>
      <c r="IK177" s="289"/>
      <c r="IL177" s="289"/>
      <c r="IM177" s="289"/>
      <c r="IN177" s="289"/>
      <c r="IO177" s="289"/>
      <c r="IP177" s="289"/>
      <c r="IQ177" s="289"/>
      <c r="IR177" s="289"/>
      <c r="IS177" s="289"/>
      <c r="IT177" s="289"/>
      <c r="IU177" s="289"/>
      <c r="IV177" s="289"/>
      <c r="IW177" s="289"/>
      <c r="IX177" s="289"/>
    </row>
    <row r="178" spans="1:258" s="21" customFormat="1">
      <c r="A178" s="289"/>
      <c r="B178" s="289"/>
      <c r="C178" s="289"/>
      <c r="D178" s="289"/>
      <c r="E178" s="289"/>
      <c r="F178" s="289"/>
      <c r="G178" s="289"/>
      <c r="H178" s="289"/>
      <c r="I178" s="289"/>
      <c r="J178" s="289"/>
      <c r="K178" s="289"/>
      <c r="L178" s="289"/>
      <c r="M178" s="289"/>
      <c r="N178" s="289"/>
      <c r="O178" s="289"/>
      <c r="P178" s="289"/>
      <c r="Q178" s="289"/>
      <c r="R178" s="289"/>
      <c r="S178" s="289"/>
      <c r="T178" s="289"/>
      <c r="U178" s="289"/>
      <c r="V178" s="575"/>
      <c r="W178" s="289"/>
      <c r="X178" s="289"/>
      <c r="Y178" s="289"/>
      <c r="Z178" s="289"/>
      <c r="AA178" s="289"/>
      <c r="AB178" s="289"/>
      <c r="AC178" s="289"/>
      <c r="AD178" s="289"/>
      <c r="AE178" s="289"/>
      <c r="AF178" s="289"/>
      <c r="AG178" s="289"/>
      <c r="AH178" s="289"/>
      <c r="AI178" s="289"/>
      <c r="AJ178" s="289"/>
      <c r="AK178" s="289"/>
      <c r="AL178" s="289"/>
      <c r="AM178" s="289"/>
      <c r="AN178" s="289"/>
      <c r="AO178" s="289"/>
      <c r="AP178" s="289"/>
      <c r="AQ178" s="289"/>
      <c r="AR178" s="289"/>
      <c r="AS178" s="289"/>
      <c r="AT178" s="289"/>
      <c r="AU178" s="289"/>
      <c r="AV178" s="289"/>
      <c r="AW178" s="577"/>
      <c r="AX178" s="577"/>
      <c r="AY178" s="289"/>
      <c r="AZ178" s="289"/>
      <c r="BA178" s="289"/>
      <c r="BB178" s="289"/>
      <c r="BC178" s="289"/>
      <c r="BD178" s="289"/>
      <c r="BE178" s="289"/>
      <c r="BF178" s="289"/>
      <c r="BG178" s="289"/>
      <c r="BH178" s="289"/>
      <c r="BI178" s="289"/>
      <c r="BJ178" s="289"/>
      <c r="BK178" s="289"/>
      <c r="BL178" s="289"/>
      <c r="BM178" s="289"/>
      <c r="BN178" s="289"/>
      <c r="BO178" s="289"/>
      <c r="BP178" s="289"/>
      <c r="BQ178" s="289"/>
      <c r="BR178" s="289"/>
      <c r="BS178" s="289"/>
      <c r="BT178" s="289"/>
      <c r="BU178" s="289"/>
      <c r="BV178" s="289"/>
      <c r="BW178" s="289"/>
      <c r="BX178" s="289"/>
      <c r="BY178" s="289"/>
      <c r="BZ178" s="289"/>
      <c r="CA178" s="289"/>
      <c r="CB178" s="289"/>
      <c r="CC178" s="289"/>
      <c r="CD178" s="289"/>
      <c r="CE178" s="289"/>
      <c r="CF178" s="289"/>
      <c r="CG178" s="289"/>
      <c r="CH178" s="289"/>
      <c r="CI178" s="289"/>
      <c r="CJ178" s="289"/>
      <c r="CK178" s="289"/>
      <c r="CL178" s="289"/>
      <c r="CM178" s="289"/>
      <c r="CN178" s="289"/>
      <c r="CO178" s="289"/>
      <c r="CP178" s="289"/>
      <c r="CQ178" s="289"/>
      <c r="CR178" s="289"/>
      <c r="CS178" s="289"/>
      <c r="CT178" s="289"/>
      <c r="CU178" s="289"/>
      <c r="CV178" s="289"/>
      <c r="CW178" s="289"/>
      <c r="CX178" s="289"/>
      <c r="CY178" s="289"/>
      <c r="CZ178" s="289"/>
      <c r="DA178" s="289"/>
      <c r="DB178" s="289"/>
      <c r="DC178" s="289"/>
      <c r="DD178" s="289"/>
      <c r="DE178" s="289"/>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289"/>
      <c r="EB178" s="289"/>
      <c r="EC178" s="289"/>
      <c r="ED178" s="289"/>
      <c r="EE178" s="289"/>
      <c r="EF178" s="289"/>
      <c r="EG178" s="289"/>
      <c r="EH178" s="289"/>
      <c r="EI178" s="289"/>
      <c r="EJ178" s="289"/>
      <c r="EK178" s="289"/>
      <c r="EL178" s="289"/>
      <c r="EM178" s="289"/>
      <c r="EN178" s="289"/>
      <c r="EO178" s="289"/>
      <c r="EP178" s="289"/>
      <c r="EQ178" s="289"/>
      <c r="ER178" s="289"/>
      <c r="ES178" s="289"/>
      <c r="ET178" s="289"/>
      <c r="EU178" s="289"/>
      <c r="EV178" s="289"/>
      <c r="EW178" s="289"/>
      <c r="EX178" s="289"/>
      <c r="EY178" s="289"/>
      <c r="EZ178" s="289"/>
      <c r="FA178" s="289"/>
      <c r="FB178" s="289"/>
      <c r="FC178" s="289"/>
      <c r="FD178" s="289"/>
      <c r="FE178" s="289"/>
      <c r="FF178" s="289"/>
      <c r="FG178" s="289"/>
      <c r="FH178" s="289"/>
      <c r="FI178" s="289"/>
      <c r="FJ178" s="289"/>
      <c r="FK178" s="289"/>
      <c r="FL178" s="289"/>
      <c r="FM178" s="289"/>
      <c r="FN178" s="289"/>
      <c r="FO178" s="289"/>
      <c r="FP178" s="289"/>
      <c r="FQ178" s="289"/>
      <c r="FR178" s="289"/>
      <c r="FS178" s="289"/>
      <c r="FT178" s="289"/>
      <c r="FU178" s="289"/>
      <c r="FV178" s="289"/>
      <c r="FW178" s="289"/>
      <c r="FX178" s="289"/>
      <c r="FY178" s="289"/>
      <c r="FZ178" s="289"/>
      <c r="GA178" s="289"/>
      <c r="GB178" s="289"/>
      <c r="GC178" s="289"/>
      <c r="GD178" s="289"/>
      <c r="GE178" s="289"/>
      <c r="GF178" s="289"/>
      <c r="GG178" s="289"/>
      <c r="GH178" s="289"/>
      <c r="GI178" s="289"/>
      <c r="GJ178" s="289"/>
      <c r="GK178" s="289"/>
      <c r="GL178" s="289"/>
      <c r="GM178" s="289"/>
      <c r="GN178" s="289"/>
      <c r="GO178" s="289"/>
      <c r="GP178" s="289"/>
      <c r="GQ178" s="289"/>
      <c r="GR178" s="289"/>
      <c r="GS178" s="289"/>
      <c r="GT178" s="289"/>
      <c r="GU178" s="289"/>
      <c r="GV178" s="289"/>
      <c r="GW178" s="289"/>
      <c r="GX178" s="289"/>
      <c r="GY178" s="289"/>
      <c r="GZ178" s="289"/>
      <c r="HA178" s="289"/>
      <c r="HB178" s="289"/>
      <c r="HC178" s="289"/>
      <c r="HD178" s="289"/>
      <c r="HE178" s="289"/>
      <c r="HF178" s="289"/>
      <c r="HG178" s="289"/>
      <c r="HH178" s="289"/>
      <c r="HI178" s="289"/>
      <c r="HJ178" s="289"/>
      <c r="HK178" s="289"/>
      <c r="HL178" s="289"/>
      <c r="HM178" s="289"/>
      <c r="HN178" s="289"/>
      <c r="HO178" s="289"/>
      <c r="HP178" s="289"/>
      <c r="HQ178" s="289"/>
      <c r="HR178" s="289"/>
      <c r="HS178" s="289"/>
      <c r="HT178" s="289"/>
      <c r="HU178" s="289"/>
      <c r="HV178" s="289"/>
      <c r="HW178" s="289"/>
      <c r="HX178" s="289"/>
      <c r="HY178" s="289"/>
      <c r="HZ178" s="289"/>
      <c r="IA178" s="289"/>
      <c r="IB178" s="289"/>
      <c r="IC178" s="289"/>
      <c r="ID178" s="289"/>
      <c r="IE178" s="289"/>
      <c r="IF178" s="289"/>
      <c r="IG178" s="289"/>
      <c r="IH178" s="289"/>
      <c r="II178" s="289"/>
      <c r="IJ178" s="289"/>
      <c r="IK178" s="289"/>
      <c r="IL178" s="289"/>
      <c r="IM178" s="289"/>
      <c r="IN178" s="289"/>
      <c r="IO178" s="289"/>
      <c r="IP178" s="289"/>
      <c r="IQ178" s="289"/>
      <c r="IR178" s="289"/>
      <c r="IS178" s="289"/>
      <c r="IT178" s="289"/>
      <c r="IU178" s="289"/>
      <c r="IV178" s="289"/>
      <c r="IW178" s="289"/>
      <c r="IX178" s="289"/>
    </row>
    <row r="179" spans="1:258" s="21" customFormat="1">
      <c r="A179" s="289"/>
      <c r="B179" s="289"/>
      <c r="C179" s="289"/>
      <c r="D179" s="289"/>
      <c r="E179" s="289"/>
      <c r="F179" s="289"/>
      <c r="G179" s="289"/>
      <c r="H179" s="289"/>
      <c r="I179" s="289"/>
      <c r="J179" s="289"/>
      <c r="K179" s="289"/>
      <c r="L179" s="289"/>
      <c r="M179" s="289"/>
      <c r="N179" s="289"/>
      <c r="O179" s="289"/>
      <c r="P179" s="289"/>
      <c r="Q179" s="289"/>
      <c r="R179" s="289"/>
      <c r="S179" s="289"/>
      <c r="T179" s="289"/>
      <c r="U179" s="289"/>
      <c r="V179" s="575"/>
      <c r="W179" s="289"/>
      <c r="X179" s="289"/>
      <c r="Y179" s="289"/>
      <c r="Z179" s="289"/>
      <c r="AA179" s="289"/>
      <c r="AB179" s="289"/>
      <c r="AC179" s="289"/>
      <c r="AD179" s="289"/>
      <c r="AE179" s="289"/>
      <c r="AF179" s="289"/>
      <c r="AG179" s="289"/>
      <c r="AH179" s="289"/>
      <c r="AI179" s="289"/>
      <c r="AJ179" s="289"/>
      <c r="AK179" s="289"/>
      <c r="AL179" s="289"/>
      <c r="AM179" s="289"/>
      <c r="AN179" s="289"/>
      <c r="AO179" s="289"/>
      <c r="AP179" s="289"/>
      <c r="AQ179" s="289"/>
      <c r="AR179" s="289"/>
      <c r="AS179" s="289"/>
      <c r="AT179" s="289"/>
      <c r="AU179" s="289"/>
      <c r="AV179" s="289"/>
      <c r="AW179" s="577"/>
      <c r="AX179" s="577"/>
      <c r="AY179" s="289"/>
      <c r="AZ179" s="289"/>
      <c r="BA179" s="289"/>
      <c r="BB179" s="289"/>
      <c r="BC179" s="289"/>
      <c r="BD179" s="289"/>
      <c r="BE179" s="289"/>
      <c r="BF179" s="289"/>
      <c r="BG179" s="289"/>
      <c r="BH179" s="289"/>
      <c r="BI179" s="289"/>
      <c r="BJ179" s="289"/>
      <c r="BK179" s="289"/>
      <c r="BL179" s="289"/>
      <c r="BM179" s="289"/>
      <c r="BN179" s="289"/>
      <c r="BO179" s="289"/>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289"/>
      <c r="CT179" s="289"/>
      <c r="CU179" s="289"/>
      <c r="CV179" s="289"/>
      <c r="CW179" s="289"/>
      <c r="CX179" s="289"/>
      <c r="CY179" s="289"/>
      <c r="CZ179" s="289"/>
      <c r="DA179" s="289"/>
      <c r="DB179" s="289"/>
      <c r="DC179" s="289"/>
      <c r="DD179" s="289"/>
      <c r="DE179" s="289"/>
      <c r="DF179" s="289"/>
      <c r="DG179" s="289"/>
      <c r="DH179" s="289"/>
      <c r="DI179" s="289"/>
      <c r="DJ179" s="289"/>
      <c r="DK179" s="289"/>
      <c r="DL179" s="289"/>
      <c r="DM179" s="289"/>
      <c r="DN179" s="289"/>
      <c r="DO179" s="289"/>
      <c r="DP179" s="289"/>
      <c r="DQ179" s="289"/>
      <c r="DR179" s="289"/>
      <c r="DS179" s="289"/>
      <c r="DT179" s="289"/>
      <c r="DU179" s="289"/>
      <c r="DV179" s="289"/>
      <c r="DW179" s="289"/>
      <c r="DX179" s="289"/>
      <c r="DY179" s="289"/>
      <c r="DZ179" s="289"/>
      <c r="EA179" s="289"/>
      <c r="EB179" s="289"/>
      <c r="EC179" s="289"/>
      <c r="ED179" s="289"/>
      <c r="EE179" s="289"/>
      <c r="EF179" s="289"/>
      <c r="EG179" s="289"/>
      <c r="EH179" s="289"/>
      <c r="EI179" s="289"/>
      <c r="EJ179" s="289"/>
      <c r="EK179" s="289"/>
      <c r="EL179" s="289"/>
      <c r="EM179" s="289"/>
      <c r="EN179" s="289"/>
      <c r="EO179" s="289"/>
      <c r="EP179" s="289"/>
      <c r="EQ179" s="289"/>
      <c r="ER179" s="289"/>
      <c r="ES179" s="289"/>
      <c r="ET179" s="289"/>
      <c r="EU179" s="289"/>
      <c r="EV179" s="289"/>
      <c r="EW179" s="289"/>
      <c r="EX179" s="289"/>
      <c r="EY179" s="289"/>
      <c r="EZ179" s="289"/>
      <c r="FA179" s="289"/>
      <c r="FB179" s="289"/>
      <c r="FC179" s="289"/>
      <c r="FD179" s="289"/>
      <c r="FE179" s="289"/>
      <c r="FF179" s="289"/>
      <c r="FG179" s="289"/>
      <c r="FH179" s="289"/>
      <c r="FI179" s="289"/>
      <c r="FJ179" s="289"/>
      <c r="FK179" s="289"/>
      <c r="FL179" s="289"/>
      <c r="FM179" s="289"/>
      <c r="FN179" s="289"/>
      <c r="FO179" s="289"/>
      <c r="FP179" s="289"/>
      <c r="FQ179" s="289"/>
      <c r="FR179" s="289"/>
      <c r="FS179" s="289"/>
      <c r="FT179" s="289"/>
      <c r="FU179" s="289"/>
      <c r="FV179" s="289"/>
      <c r="FW179" s="289"/>
      <c r="FX179" s="289"/>
      <c r="FY179" s="289"/>
      <c r="FZ179" s="289"/>
      <c r="GA179" s="289"/>
      <c r="GB179" s="289"/>
      <c r="GC179" s="289"/>
      <c r="GD179" s="289"/>
      <c r="GE179" s="289"/>
      <c r="GF179" s="289"/>
      <c r="GG179" s="289"/>
      <c r="GH179" s="289"/>
      <c r="GI179" s="289"/>
      <c r="GJ179" s="289"/>
      <c r="GK179" s="289"/>
      <c r="GL179" s="289"/>
      <c r="GM179" s="289"/>
      <c r="GN179" s="289"/>
      <c r="GO179" s="289"/>
      <c r="GP179" s="289"/>
      <c r="GQ179" s="289"/>
      <c r="GR179" s="289"/>
      <c r="GS179" s="289"/>
      <c r="GT179" s="289"/>
      <c r="GU179" s="289"/>
      <c r="GV179" s="289"/>
      <c r="GW179" s="289"/>
      <c r="GX179" s="289"/>
      <c r="GY179" s="289"/>
      <c r="GZ179" s="289"/>
      <c r="HA179" s="289"/>
      <c r="HB179" s="289"/>
      <c r="HC179" s="289"/>
      <c r="HD179" s="289"/>
      <c r="HE179" s="289"/>
      <c r="HF179" s="289"/>
      <c r="HG179" s="289"/>
      <c r="HH179" s="289"/>
      <c r="HI179" s="289"/>
      <c r="HJ179" s="289"/>
      <c r="HK179" s="289"/>
      <c r="HL179" s="289"/>
      <c r="HM179" s="289"/>
      <c r="HN179" s="289"/>
      <c r="HO179" s="289"/>
      <c r="HP179" s="289"/>
      <c r="HQ179" s="289"/>
      <c r="HR179" s="289"/>
      <c r="HS179" s="289"/>
      <c r="HT179" s="289"/>
      <c r="HU179" s="289"/>
      <c r="HV179" s="289"/>
      <c r="HW179" s="289"/>
      <c r="HX179" s="289"/>
      <c r="HY179" s="289"/>
      <c r="HZ179" s="289"/>
      <c r="IA179" s="289"/>
      <c r="IB179" s="289"/>
      <c r="IC179" s="289"/>
      <c r="ID179" s="289"/>
      <c r="IE179" s="289"/>
      <c r="IF179" s="289"/>
      <c r="IG179" s="289"/>
      <c r="IH179" s="289"/>
      <c r="II179" s="289"/>
      <c r="IJ179" s="289"/>
      <c r="IK179" s="289"/>
      <c r="IL179" s="289"/>
      <c r="IM179" s="289"/>
      <c r="IN179" s="289"/>
      <c r="IO179" s="289"/>
      <c r="IP179" s="289"/>
      <c r="IQ179" s="289"/>
      <c r="IR179" s="289"/>
      <c r="IS179" s="289"/>
      <c r="IT179" s="289"/>
      <c r="IU179" s="289"/>
      <c r="IV179" s="289"/>
      <c r="IW179" s="289"/>
      <c r="IX179" s="289"/>
    </row>
    <row r="180" spans="1:258" s="21" customFormat="1">
      <c r="A180" s="289"/>
      <c r="B180" s="289"/>
      <c r="C180" s="289"/>
      <c r="D180" s="289"/>
      <c r="E180" s="289"/>
      <c r="F180" s="289"/>
      <c r="G180" s="289"/>
      <c r="H180" s="289"/>
      <c r="I180" s="289"/>
      <c r="J180" s="289"/>
      <c r="K180" s="289"/>
      <c r="L180" s="289"/>
      <c r="M180" s="289"/>
      <c r="N180" s="289"/>
      <c r="O180" s="289"/>
      <c r="P180" s="289"/>
      <c r="Q180" s="289"/>
      <c r="R180" s="289"/>
      <c r="S180" s="289"/>
      <c r="T180" s="289"/>
      <c r="U180" s="289"/>
      <c r="V180" s="575"/>
      <c r="W180" s="289"/>
      <c r="X180" s="289"/>
      <c r="Y180" s="289"/>
      <c r="Z180" s="289"/>
      <c r="AA180" s="289"/>
      <c r="AB180" s="289"/>
      <c r="AC180" s="289"/>
      <c r="AD180" s="289"/>
      <c r="AE180" s="289"/>
      <c r="AF180" s="289"/>
      <c r="AG180" s="289"/>
      <c r="AH180" s="289"/>
      <c r="AI180" s="289"/>
      <c r="AJ180" s="289"/>
      <c r="AK180" s="289"/>
      <c r="AL180" s="289"/>
      <c r="AM180" s="289"/>
      <c r="AN180" s="289"/>
      <c r="AO180" s="289"/>
      <c r="AP180" s="289"/>
      <c r="AQ180" s="289"/>
      <c r="AR180" s="289"/>
      <c r="AS180" s="289"/>
      <c r="AT180" s="289"/>
      <c r="AU180" s="289"/>
      <c r="AV180" s="289"/>
      <c r="AW180" s="577"/>
      <c r="AX180" s="577"/>
      <c r="AY180" s="289"/>
      <c r="AZ180" s="289"/>
      <c r="BA180" s="289"/>
      <c r="BB180" s="289"/>
      <c r="BC180" s="289"/>
      <c r="BD180" s="289"/>
      <c r="BE180" s="289"/>
      <c r="BF180" s="289"/>
      <c r="BG180" s="289"/>
      <c r="BH180" s="289"/>
      <c r="BI180" s="289"/>
      <c r="BJ180" s="289"/>
      <c r="BK180" s="289"/>
      <c r="BL180" s="289"/>
      <c r="BM180" s="289"/>
      <c r="BN180" s="289"/>
      <c r="BO180" s="289"/>
      <c r="BP180" s="289"/>
      <c r="BQ180" s="289"/>
      <c r="BR180" s="289"/>
      <c r="BS180" s="289"/>
      <c r="BT180" s="289"/>
      <c r="BU180" s="289"/>
      <c r="BV180" s="289"/>
      <c r="BW180" s="289"/>
      <c r="BX180" s="289"/>
      <c r="BY180" s="289"/>
      <c r="BZ180" s="289"/>
      <c r="CA180" s="289"/>
      <c r="CB180" s="289"/>
      <c r="CC180" s="289"/>
      <c r="CD180" s="289"/>
      <c r="CE180" s="289"/>
      <c r="CF180" s="289"/>
      <c r="CG180" s="289"/>
      <c r="CH180" s="289"/>
      <c r="CI180" s="289"/>
      <c r="CJ180" s="289"/>
      <c r="CK180" s="289"/>
      <c r="CL180" s="289"/>
      <c r="CM180" s="289"/>
      <c r="CN180" s="289"/>
      <c r="CO180" s="289"/>
      <c r="CP180" s="289"/>
      <c r="CQ180" s="289"/>
      <c r="CR180" s="289"/>
      <c r="CS180" s="289"/>
      <c r="CT180" s="289"/>
      <c r="CU180" s="289"/>
      <c r="CV180" s="289"/>
      <c r="CW180" s="289"/>
      <c r="CX180" s="289"/>
      <c r="CY180" s="289"/>
      <c r="CZ180" s="289"/>
      <c r="DA180" s="289"/>
      <c r="DB180" s="289"/>
      <c r="DC180" s="289"/>
      <c r="DD180" s="289"/>
      <c r="DE180" s="289"/>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289"/>
      <c r="EB180" s="289"/>
      <c r="EC180" s="289"/>
      <c r="ED180" s="289"/>
      <c r="EE180" s="289"/>
      <c r="EF180" s="289"/>
      <c r="EG180" s="289"/>
      <c r="EH180" s="289"/>
      <c r="EI180" s="289"/>
      <c r="EJ180" s="289"/>
      <c r="EK180" s="289"/>
      <c r="EL180" s="289"/>
      <c r="EM180" s="289"/>
      <c r="EN180" s="289"/>
      <c r="EO180" s="289"/>
      <c r="EP180" s="289"/>
      <c r="EQ180" s="289"/>
      <c r="ER180" s="289"/>
      <c r="ES180" s="289"/>
      <c r="ET180" s="289"/>
      <c r="EU180" s="289"/>
      <c r="EV180" s="289"/>
      <c r="EW180" s="289"/>
      <c r="EX180" s="289"/>
      <c r="EY180" s="289"/>
      <c r="EZ180" s="289"/>
      <c r="FA180" s="289"/>
      <c r="FB180" s="289"/>
      <c r="FC180" s="289"/>
      <c r="FD180" s="289"/>
      <c r="FE180" s="289"/>
      <c r="FF180" s="289"/>
      <c r="FG180" s="289"/>
      <c r="FH180" s="289"/>
      <c r="FI180" s="289"/>
      <c r="FJ180" s="289"/>
      <c r="FK180" s="289"/>
      <c r="FL180" s="289"/>
      <c r="FM180" s="289"/>
      <c r="FN180" s="289"/>
      <c r="FO180" s="289"/>
      <c r="FP180" s="289"/>
      <c r="FQ180" s="289"/>
      <c r="FR180" s="289"/>
      <c r="FS180" s="289"/>
      <c r="FT180" s="289"/>
      <c r="FU180" s="289"/>
      <c r="FV180" s="289"/>
      <c r="FW180" s="289"/>
      <c r="FX180" s="289"/>
      <c r="FY180" s="289"/>
      <c r="FZ180" s="289"/>
      <c r="GA180" s="289"/>
      <c r="GB180" s="289"/>
      <c r="GC180" s="289"/>
      <c r="GD180" s="289"/>
      <c r="GE180" s="289"/>
      <c r="GF180" s="289"/>
      <c r="GG180" s="289"/>
      <c r="GH180" s="289"/>
      <c r="GI180" s="289"/>
      <c r="GJ180" s="289"/>
      <c r="GK180" s="289"/>
      <c r="GL180" s="289"/>
      <c r="GM180" s="289"/>
      <c r="GN180" s="289"/>
      <c r="GO180" s="289"/>
      <c r="GP180" s="289"/>
      <c r="GQ180" s="289"/>
      <c r="GR180" s="289"/>
      <c r="GS180" s="289"/>
      <c r="GT180" s="289"/>
      <c r="GU180" s="289"/>
      <c r="GV180" s="289"/>
      <c r="GW180" s="289"/>
      <c r="GX180" s="289"/>
      <c r="GY180" s="289"/>
      <c r="GZ180" s="289"/>
      <c r="HA180" s="289"/>
      <c r="HB180" s="289"/>
      <c r="HC180" s="289"/>
      <c r="HD180" s="289"/>
      <c r="HE180" s="289"/>
      <c r="HF180" s="289"/>
      <c r="HG180" s="289"/>
      <c r="HH180" s="289"/>
      <c r="HI180" s="289"/>
      <c r="HJ180" s="289"/>
      <c r="HK180" s="289"/>
      <c r="HL180" s="289"/>
      <c r="HM180" s="289"/>
      <c r="HN180" s="289"/>
      <c r="HO180" s="289"/>
      <c r="HP180" s="289"/>
      <c r="HQ180" s="289"/>
      <c r="HR180" s="289"/>
      <c r="HS180" s="289"/>
      <c r="HT180" s="289"/>
      <c r="HU180" s="289"/>
      <c r="HV180" s="289"/>
      <c r="HW180" s="289"/>
      <c r="HX180" s="289"/>
      <c r="HY180" s="289"/>
      <c r="HZ180" s="289"/>
      <c r="IA180" s="289"/>
      <c r="IB180" s="289"/>
      <c r="IC180" s="289"/>
      <c r="ID180" s="289"/>
      <c r="IE180" s="289"/>
      <c r="IF180" s="289"/>
      <c r="IG180" s="289"/>
      <c r="IH180" s="289"/>
      <c r="II180" s="289"/>
      <c r="IJ180" s="289"/>
      <c r="IK180" s="289"/>
      <c r="IL180" s="289"/>
      <c r="IM180" s="289"/>
      <c r="IN180" s="289"/>
      <c r="IO180" s="289"/>
      <c r="IP180" s="289"/>
      <c r="IQ180" s="289"/>
      <c r="IR180" s="289"/>
      <c r="IS180" s="289"/>
      <c r="IT180" s="289"/>
      <c r="IU180" s="289"/>
      <c r="IV180" s="289"/>
      <c r="IW180" s="289"/>
      <c r="IX180" s="289"/>
    </row>
    <row r="181" spans="1:258" s="21" customFormat="1">
      <c r="A181" s="289"/>
      <c r="B181" s="289"/>
      <c r="C181" s="289"/>
      <c r="D181" s="289"/>
      <c r="E181" s="289"/>
      <c r="F181" s="289"/>
      <c r="G181" s="289"/>
      <c r="H181" s="289"/>
      <c r="I181" s="289"/>
      <c r="J181" s="289"/>
      <c r="K181" s="289"/>
      <c r="L181" s="289"/>
      <c r="M181" s="289"/>
      <c r="N181" s="289"/>
      <c r="O181" s="289"/>
      <c r="P181" s="289"/>
      <c r="Q181" s="289"/>
      <c r="R181" s="289"/>
      <c r="S181" s="289"/>
      <c r="T181" s="289"/>
      <c r="U181" s="289"/>
      <c r="V181" s="575"/>
      <c r="W181" s="289"/>
      <c r="X181" s="289"/>
      <c r="Y181" s="289"/>
      <c r="Z181" s="289"/>
      <c r="AA181" s="289"/>
      <c r="AB181" s="289"/>
      <c r="AC181" s="289"/>
      <c r="AD181" s="289"/>
      <c r="AE181" s="289"/>
      <c r="AF181" s="289"/>
      <c r="AG181" s="289"/>
      <c r="AH181" s="289"/>
      <c r="AI181" s="289"/>
      <c r="AJ181" s="289"/>
      <c r="AK181" s="289"/>
      <c r="AL181" s="289"/>
      <c r="AM181" s="289"/>
      <c r="AN181" s="289"/>
      <c r="AO181" s="289"/>
      <c r="AP181" s="289"/>
      <c r="AQ181" s="289"/>
      <c r="AR181" s="289"/>
      <c r="AS181" s="289"/>
      <c r="AT181" s="289"/>
      <c r="AU181" s="289"/>
      <c r="AV181" s="577"/>
      <c r="AW181" s="577"/>
      <c r="AX181" s="577"/>
      <c r="AY181" s="289"/>
      <c r="AZ181" s="289"/>
      <c r="BA181" s="289"/>
      <c r="BB181" s="289"/>
      <c r="BC181" s="289"/>
      <c r="BD181" s="289"/>
      <c r="BE181" s="289"/>
      <c r="BF181" s="289"/>
      <c r="BG181" s="289"/>
      <c r="BH181" s="289"/>
      <c r="BI181" s="289"/>
      <c r="BJ181" s="289"/>
      <c r="BK181" s="289"/>
      <c r="BL181" s="289"/>
      <c r="BM181" s="289"/>
      <c r="BN181" s="289"/>
      <c r="BO181" s="289"/>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289"/>
      <c r="CT181" s="289"/>
      <c r="CU181" s="289"/>
      <c r="CV181" s="289"/>
      <c r="CW181" s="289"/>
      <c r="CX181" s="289"/>
      <c r="CY181" s="289"/>
      <c r="CZ181" s="289"/>
      <c r="DA181" s="289"/>
      <c r="DB181" s="289"/>
      <c r="DC181" s="289"/>
      <c r="DD181" s="289"/>
      <c r="DE181" s="289"/>
      <c r="DF181" s="289"/>
      <c r="DG181" s="289"/>
      <c r="DH181" s="289"/>
      <c r="DI181" s="289"/>
      <c r="DJ181" s="289"/>
      <c r="DK181" s="289"/>
      <c r="DL181" s="289"/>
      <c r="DM181" s="289"/>
      <c r="DN181" s="289"/>
      <c r="DO181" s="289"/>
      <c r="DP181" s="289"/>
      <c r="DQ181" s="289"/>
      <c r="DR181" s="289"/>
      <c r="DS181" s="289"/>
      <c r="DT181" s="289"/>
      <c r="DU181" s="289"/>
      <c r="DV181" s="289"/>
      <c r="DW181" s="289"/>
      <c r="DX181" s="289"/>
      <c r="DY181" s="289"/>
      <c r="DZ181" s="289"/>
      <c r="EA181" s="289"/>
      <c r="EB181" s="289"/>
      <c r="EC181" s="289"/>
      <c r="ED181" s="289"/>
      <c r="EE181" s="289"/>
      <c r="EF181" s="289"/>
      <c r="EG181" s="289"/>
      <c r="EH181" s="289"/>
      <c r="EI181" s="289"/>
      <c r="EJ181" s="289"/>
      <c r="EK181" s="289"/>
      <c r="EL181" s="289"/>
      <c r="EM181" s="289"/>
      <c r="EN181" s="289"/>
      <c r="EO181" s="289"/>
      <c r="EP181" s="289"/>
      <c r="EQ181" s="289"/>
      <c r="ER181" s="289"/>
      <c r="ES181" s="289"/>
      <c r="ET181" s="289"/>
      <c r="EU181" s="289"/>
      <c r="EV181" s="289"/>
      <c r="EW181" s="289"/>
      <c r="EX181" s="289"/>
      <c r="EY181" s="289"/>
      <c r="EZ181" s="289"/>
      <c r="FA181" s="289"/>
      <c r="FB181" s="289"/>
      <c r="FC181" s="289"/>
      <c r="FD181" s="289"/>
      <c r="FE181" s="289"/>
      <c r="FF181" s="289"/>
      <c r="FG181" s="289"/>
      <c r="FH181" s="289"/>
      <c r="FI181" s="289"/>
      <c r="FJ181" s="289"/>
      <c r="FK181" s="289"/>
      <c r="FL181" s="289"/>
      <c r="FM181" s="289"/>
      <c r="FN181" s="289"/>
      <c r="FO181" s="289"/>
      <c r="FP181" s="289"/>
      <c r="FQ181" s="289"/>
      <c r="FR181" s="289"/>
      <c r="FS181" s="289"/>
      <c r="FT181" s="289"/>
      <c r="FU181" s="289"/>
      <c r="FV181" s="289"/>
      <c r="FW181" s="289"/>
      <c r="FX181" s="289"/>
      <c r="FY181" s="289"/>
      <c r="FZ181" s="289"/>
      <c r="GA181" s="289"/>
      <c r="GB181" s="289"/>
      <c r="GC181" s="289"/>
      <c r="GD181" s="289"/>
      <c r="GE181" s="289"/>
      <c r="GF181" s="289"/>
      <c r="GG181" s="289"/>
      <c r="GH181" s="289"/>
      <c r="GI181" s="289"/>
      <c r="GJ181" s="289"/>
      <c r="GK181" s="289"/>
      <c r="GL181" s="289"/>
      <c r="GM181" s="289"/>
      <c r="GN181" s="289"/>
      <c r="GO181" s="289"/>
      <c r="GP181" s="289"/>
      <c r="GQ181" s="289"/>
      <c r="GR181" s="289"/>
      <c r="GS181" s="289"/>
      <c r="GT181" s="289"/>
      <c r="GU181" s="289"/>
      <c r="GV181" s="289"/>
      <c r="GW181" s="289"/>
      <c r="GX181" s="289"/>
      <c r="GY181" s="289"/>
      <c r="GZ181" s="289"/>
      <c r="HA181" s="289"/>
      <c r="HB181" s="289"/>
      <c r="HC181" s="289"/>
      <c r="HD181" s="289"/>
      <c r="HE181" s="289"/>
      <c r="HF181" s="289"/>
      <c r="HG181" s="289"/>
      <c r="HH181" s="289"/>
      <c r="HI181" s="289"/>
      <c r="HJ181" s="289"/>
      <c r="HK181" s="289"/>
      <c r="HL181" s="289"/>
      <c r="HM181" s="289"/>
      <c r="HN181" s="289"/>
      <c r="HO181" s="289"/>
      <c r="HP181" s="289"/>
      <c r="HQ181" s="289"/>
      <c r="HR181" s="289"/>
      <c r="HS181" s="289"/>
      <c r="HT181" s="289"/>
      <c r="HU181" s="289"/>
      <c r="HV181" s="289"/>
      <c r="HW181" s="289"/>
      <c r="HX181" s="289"/>
      <c r="HY181" s="289"/>
      <c r="HZ181" s="289"/>
      <c r="IA181" s="289"/>
      <c r="IB181" s="289"/>
      <c r="IC181" s="289"/>
      <c r="ID181" s="289"/>
      <c r="IE181" s="289"/>
      <c r="IF181" s="289"/>
      <c r="IG181" s="289"/>
      <c r="IH181" s="289"/>
      <c r="II181" s="289"/>
      <c r="IJ181" s="289"/>
      <c r="IK181" s="289"/>
      <c r="IL181" s="289"/>
      <c r="IM181" s="289"/>
      <c r="IN181" s="289"/>
      <c r="IO181" s="289"/>
      <c r="IP181" s="289"/>
      <c r="IQ181" s="289"/>
      <c r="IR181" s="289"/>
      <c r="IS181" s="289"/>
      <c r="IT181" s="289"/>
      <c r="IU181" s="289"/>
      <c r="IV181" s="289"/>
      <c r="IW181" s="289"/>
      <c r="IX181" s="289"/>
    </row>
    <row r="182" spans="1:258" s="21" customFormat="1">
      <c r="A182" s="289"/>
      <c r="B182" s="289"/>
      <c r="C182" s="289"/>
      <c r="D182" s="289"/>
      <c r="E182" s="289"/>
      <c r="F182" s="289"/>
      <c r="G182" s="289"/>
      <c r="H182" s="289"/>
      <c r="I182" s="289"/>
      <c r="J182" s="289"/>
      <c r="K182" s="289"/>
      <c r="L182" s="289"/>
      <c r="M182" s="289"/>
      <c r="N182" s="289"/>
      <c r="O182" s="289"/>
      <c r="P182" s="289"/>
      <c r="Q182" s="289"/>
      <c r="R182" s="289"/>
      <c r="S182" s="289"/>
      <c r="T182" s="289"/>
      <c r="U182" s="289"/>
      <c r="V182" s="575"/>
      <c r="W182" s="289"/>
      <c r="X182" s="289"/>
      <c r="Y182" s="289"/>
      <c r="Z182" s="289"/>
      <c r="AA182" s="289"/>
      <c r="AB182" s="289"/>
      <c r="AC182" s="289"/>
      <c r="AD182" s="289"/>
      <c r="AE182" s="289"/>
      <c r="AF182" s="289"/>
      <c r="AG182" s="289"/>
      <c r="AH182" s="289"/>
      <c r="AI182" s="289"/>
      <c r="AJ182" s="289"/>
      <c r="AK182" s="289"/>
      <c r="AL182" s="289"/>
      <c r="AM182" s="289"/>
      <c r="AN182" s="289"/>
      <c r="AO182" s="289"/>
      <c r="AP182" s="289"/>
      <c r="AQ182" s="289"/>
      <c r="AR182" s="289"/>
      <c r="AS182" s="289"/>
      <c r="AT182" s="289"/>
      <c r="AU182" s="289"/>
      <c r="AV182" s="577"/>
      <c r="AW182" s="577"/>
      <c r="AX182" s="577"/>
      <c r="AY182" s="289"/>
      <c r="AZ182" s="289"/>
      <c r="BA182" s="289"/>
      <c r="BB182" s="289"/>
      <c r="BC182" s="289"/>
      <c r="BD182" s="289"/>
      <c r="BE182" s="289"/>
      <c r="BF182" s="289"/>
      <c r="BG182" s="289"/>
      <c r="BH182" s="289"/>
      <c r="BI182" s="289"/>
      <c r="BJ182" s="289"/>
      <c r="BK182" s="289"/>
      <c r="BL182" s="289"/>
      <c r="BM182" s="289"/>
      <c r="BN182" s="289"/>
      <c r="BO182" s="289"/>
      <c r="BP182" s="289"/>
      <c r="BQ182" s="289"/>
      <c r="BR182" s="289"/>
      <c r="BS182" s="289"/>
      <c r="BT182" s="289"/>
      <c r="BU182" s="289"/>
      <c r="BV182" s="289"/>
      <c r="BW182" s="289"/>
      <c r="BX182" s="289"/>
      <c r="BY182" s="289"/>
      <c r="BZ182" s="289"/>
      <c r="CA182" s="289"/>
      <c r="CB182" s="289"/>
      <c r="CC182" s="289"/>
      <c r="CD182" s="289"/>
      <c r="CE182" s="289"/>
      <c r="CF182" s="289"/>
      <c r="CG182" s="289"/>
      <c r="CH182" s="289"/>
      <c r="CI182" s="289"/>
      <c r="CJ182" s="289"/>
      <c r="CK182" s="289"/>
      <c r="CL182" s="289"/>
      <c r="CM182" s="289"/>
      <c r="CN182" s="289"/>
      <c r="CO182" s="289"/>
      <c r="CP182" s="289"/>
      <c r="CQ182" s="289"/>
      <c r="CR182" s="289"/>
      <c r="CS182" s="289"/>
      <c r="CT182" s="289"/>
      <c r="CU182" s="289"/>
      <c r="CV182" s="289"/>
      <c r="CW182" s="289"/>
      <c r="CX182" s="289"/>
      <c r="CY182" s="289"/>
      <c r="CZ182" s="289"/>
      <c r="DA182" s="289"/>
      <c r="DB182" s="289"/>
      <c r="DC182" s="289"/>
      <c r="DD182" s="289"/>
      <c r="DE182" s="289"/>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289"/>
      <c r="EB182" s="289"/>
      <c r="EC182" s="289"/>
      <c r="ED182" s="289"/>
      <c r="EE182" s="289"/>
      <c r="EF182" s="289"/>
      <c r="EG182" s="289"/>
      <c r="EH182" s="289"/>
      <c r="EI182" s="289"/>
      <c r="EJ182" s="289"/>
      <c r="EK182" s="289"/>
      <c r="EL182" s="289"/>
      <c r="EM182" s="289"/>
      <c r="EN182" s="289"/>
      <c r="EO182" s="289"/>
      <c r="EP182" s="289"/>
      <c r="EQ182" s="289"/>
      <c r="ER182" s="289"/>
      <c r="ES182" s="289"/>
      <c r="ET182" s="289"/>
      <c r="EU182" s="289"/>
      <c r="EV182" s="289"/>
      <c r="EW182" s="289"/>
      <c r="EX182" s="289"/>
      <c r="EY182" s="289"/>
      <c r="EZ182" s="289"/>
      <c r="FA182" s="289"/>
      <c r="FB182" s="289"/>
      <c r="FC182" s="289"/>
      <c r="FD182" s="289"/>
      <c r="FE182" s="289"/>
      <c r="FF182" s="289"/>
      <c r="FG182" s="289"/>
      <c r="FH182" s="289"/>
      <c r="FI182" s="289"/>
      <c r="FJ182" s="289"/>
      <c r="FK182" s="289"/>
      <c r="FL182" s="289"/>
      <c r="FM182" s="289"/>
      <c r="FN182" s="289"/>
      <c r="FO182" s="289"/>
      <c r="FP182" s="289"/>
      <c r="FQ182" s="289"/>
      <c r="FR182" s="289"/>
      <c r="FS182" s="289"/>
      <c r="FT182" s="289"/>
      <c r="FU182" s="289"/>
      <c r="FV182" s="289"/>
      <c r="FW182" s="289"/>
      <c r="FX182" s="289"/>
      <c r="FY182" s="289"/>
      <c r="FZ182" s="289"/>
      <c r="GA182" s="289"/>
      <c r="GB182" s="289"/>
      <c r="GC182" s="289"/>
      <c r="GD182" s="289"/>
      <c r="GE182" s="289"/>
      <c r="GF182" s="289"/>
      <c r="GG182" s="289"/>
      <c r="GH182" s="289"/>
      <c r="GI182" s="289"/>
      <c r="GJ182" s="289"/>
      <c r="GK182" s="289"/>
      <c r="GL182" s="289"/>
      <c r="GM182" s="289"/>
      <c r="GN182" s="289"/>
      <c r="GO182" s="289"/>
      <c r="GP182" s="289"/>
      <c r="GQ182" s="289"/>
      <c r="GR182" s="289"/>
      <c r="GS182" s="289"/>
      <c r="GT182" s="289"/>
      <c r="GU182" s="289"/>
      <c r="GV182" s="289"/>
      <c r="GW182" s="289"/>
      <c r="GX182" s="289"/>
      <c r="GY182" s="289"/>
      <c r="GZ182" s="289"/>
      <c r="HA182" s="289"/>
      <c r="HB182" s="289"/>
      <c r="HC182" s="289"/>
      <c r="HD182" s="289"/>
      <c r="HE182" s="289"/>
      <c r="HF182" s="289"/>
      <c r="HG182" s="289"/>
      <c r="HH182" s="289"/>
      <c r="HI182" s="289"/>
      <c r="HJ182" s="289"/>
      <c r="HK182" s="289"/>
      <c r="HL182" s="289"/>
      <c r="HM182" s="289"/>
      <c r="HN182" s="289"/>
      <c r="HO182" s="289"/>
      <c r="HP182" s="289"/>
      <c r="HQ182" s="289"/>
      <c r="HR182" s="289"/>
      <c r="HS182" s="289"/>
      <c r="HT182" s="289"/>
      <c r="HU182" s="289"/>
      <c r="HV182" s="289"/>
      <c r="HW182" s="289"/>
      <c r="HX182" s="289"/>
      <c r="HY182" s="289"/>
      <c r="HZ182" s="289"/>
      <c r="IA182" s="289"/>
      <c r="IB182" s="289"/>
      <c r="IC182" s="289"/>
      <c r="ID182" s="289"/>
      <c r="IE182" s="289"/>
      <c r="IF182" s="289"/>
      <c r="IG182" s="289"/>
      <c r="IH182" s="289"/>
      <c r="II182" s="289"/>
      <c r="IJ182" s="289"/>
      <c r="IK182" s="289"/>
      <c r="IL182" s="289"/>
      <c r="IM182" s="289"/>
      <c r="IN182" s="289"/>
      <c r="IO182" s="289"/>
      <c r="IP182" s="289"/>
      <c r="IQ182" s="289"/>
      <c r="IR182" s="289"/>
      <c r="IS182" s="289"/>
      <c r="IT182" s="289"/>
      <c r="IU182" s="289"/>
      <c r="IV182" s="289"/>
      <c r="IW182" s="289"/>
      <c r="IX182" s="289"/>
    </row>
  </sheetData>
  <mergeCells count="13">
    <mergeCell ref="AD8:AE8"/>
    <mergeCell ref="AD9:AE9"/>
    <mergeCell ref="AD10:AE10"/>
    <mergeCell ref="AF8:AG8"/>
    <mergeCell ref="AF9:AG9"/>
    <mergeCell ref="AF10:AG10"/>
    <mergeCell ref="AF42:AG42"/>
    <mergeCell ref="AF43:AG43"/>
    <mergeCell ref="J46:N46"/>
    <mergeCell ref="R51:S51"/>
    <mergeCell ref="T51:U51"/>
    <mergeCell ref="Q55:Q56"/>
    <mergeCell ref="AK52:AK54"/>
  </mergeCells>
  <phoneticPr fontId="41" type="noConversion"/>
  <printOptions horizontalCentered="1" verticalCentered="1"/>
  <pageMargins left="0.5" right="0.33333333333333331" top="0.5" bottom="0.45" header="0" footer="0"/>
  <pageSetup scale="1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3:AZ41"/>
  <sheetViews>
    <sheetView showGridLines="0" defaultGridColor="0" topLeftCell="A6" colorId="59" zoomScale="70" zoomScaleNormal="70" workbookViewId="0">
      <selection activeCell="T35" sqref="T35"/>
    </sheetView>
  </sheetViews>
  <sheetFormatPr defaultColWidth="9.6328125" defaultRowHeight="15.6"/>
  <cols>
    <col min="1" max="1" width="9.6328125" style="2237" customWidth="1"/>
    <col min="2" max="2" width="7.6328125" style="2237" customWidth="1"/>
    <col min="3" max="3" width="9.6328125" style="2237" customWidth="1"/>
    <col min="4" max="4" width="8.6328125" style="2237" customWidth="1"/>
    <col min="5" max="5" width="9.6328125" style="2237" customWidth="1"/>
    <col min="6" max="8" width="8.6328125" style="2237" customWidth="1"/>
    <col min="9" max="9" width="9.6328125" style="2237" customWidth="1"/>
    <col min="10" max="10" width="8" style="2237" customWidth="1"/>
    <col min="11" max="11" width="8.6328125" style="2237" customWidth="1"/>
    <col min="12" max="12" width="9.6328125" style="2237" customWidth="1"/>
    <col min="13" max="13" width="7.6328125" style="2237" customWidth="1"/>
    <col min="14" max="14" width="9.6328125" style="2237" customWidth="1"/>
    <col min="15" max="15" width="7.6328125" style="2237" customWidth="1"/>
    <col min="16" max="18" width="9.6328125" style="2237" customWidth="1"/>
    <col min="19" max="19" width="6.6328125" style="2237" customWidth="1"/>
    <col min="20" max="20" width="7.6328125" style="2237" customWidth="1"/>
    <col min="21" max="22" width="9.6328125" style="2237" customWidth="1"/>
    <col min="23" max="23" width="8.6328125" style="2237" customWidth="1"/>
    <col min="24" max="24" width="9.6328125" style="2237" customWidth="1"/>
    <col min="25" max="25" width="7.6328125" style="2237" customWidth="1"/>
    <col min="26" max="28" width="6.6328125" style="2237" customWidth="1"/>
    <col min="29" max="29" width="4.6328125" style="2237" customWidth="1"/>
    <col min="30" max="44" width="9.6328125" style="2237" customWidth="1"/>
    <col min="45" max="45" width="34.6328125" style="2237" customWidth="1"/>
    <col min="46" max="46" width="5.6328125" style="2237" customWidth="1"/>
    <col min="47" max="16384" width="9.6328125" style="2237"/>
  </cols>
  <sheetData>
    <row r="3" spans="2:52" ht="16.2" thickBot="1"/>
    <row r="4" spans="2:52" ht="24.9" customHeight="1" thickTop="1" thickBot="1">
      <c r="AS4" s="2238" t="s">
        <v>863</v>
      </c>
      <c r="AT4" s="2239"/>
      <c r="AU4" s="2238" t="s">
        <v>886</v>
      </c>
      <c r="AV4" s="2239"/>
      <c r="AW4" s="2238" t="s">
        <v>888</v>
      </c>
      <c r="AX4" s="2239"/>
      <c r="AY4" s="2238" t="s">
        <v>889</v>
      </c>
      <c r="AZ4" s="2240"/>
    </row>
    <row r="5" spans="2:52" ht="24.9" customHeight="1">
      <c r="B5" s="2241" t="s">
        <v>811</v>
      </c>
      <c r="C5" s="2242"/>
      <c r="D5" s="2242"/>
      <c r="E5" s="2242"/>
      <c r="F5" s="2242"/>
      <c r="G5" s="2242"/>
      <c r="H5" s="2242"/>
      <c r="I5" s="2920">
        <f>DMREZ!I5</f>
        <v>42370</v>
      </c>
      <c r="J5" s="2920"/>
      <c r="K5" s="2242"/>
      <c r="L5" s="2243">
        <f>+DMREZ!Y5</f>
        <v>2016</v>
      </c>
      <c r="M5" s="2244" t="s">
        <v>972</v>
      </c>
      <c r="N5" s="2242"/>
      <c r="O5" s="2242"/>
      <c r="P5" s="2242"/>
      <c r="Q5" s="2242"/>
      <c r="R5" s="2242"/>
      <c r="S5" s="2242"/>
      <c r="T5" s="2242"/>
      <c r="U5" s="2242"/>
      <c r="V5" s="2245" t="str">
        <f>IF(AQ19=1,"        FLOWS USING MONTHLY AVERAGES","          FLOWS USING MONTHLY TOTALS")</f>
        <v xml:space="preserve">          FLOWS USING MONTHLY TOTALS</v>
      </c>
      <c r="W5" s="2246"/>
      <c r="X5" s="2242"/>
      <c r="Y5" s="2246"/>
      <c r="Z5" s="2246"/>
      <c r="AA5" s="2242"/>
      <c r="AB5" s="2242"/>
      <c r="AC5" s="2242"/>
      <c r="AD5" s="2242"/>
      <c r="AE5" s="2247"/>
      <c r="AS5" s="2248" t="s">
        <v>864</v>
      </c>
      <c r="AT5" s="2249"/>
      <c r="AU5" s="2250" t="s">
        <v>807</v>
      </c>
      <c r="AV5" s="2251" t="s">
        <v>840</v>
      </c>
      <c r="AW5" s="2250" t="s">
        <v>807</v>
      </c>
      <c r="AX5" s="2251" t="s">
        <v>840</v>
      </c>
      <c r="AY5" s="2248" t="s">
        <v>890</v>
      </c>
      <c r="AZ5" s="2240"/>
    </row>
    <row r="6" spans="2:52" ht="24.9" customHeight="1" thickBot="1">
      <c r="B6" s="2252"/>
      <c r="C6" s="2253"/>
      <c r="D6" s="2253"/>
      <c r="E6" s="2253"/>
      <c r="F6" s="2253"/>
      <c r="G6" s="2253"/>
      <c r="H6" s="2253"/>
      <c r="I6" s="2253"/>
      <c r="J6" s="2253"/>
      <c r="K6" s="2253"/>
      <c r="L6" s="2253"/>
      <c r="M6" s="2253"/>
      <c r="N6" s="2253"/>
      <c r="O6" s="2253"/>
      <c r="P6" s="2253"/>
      <c r="Q6" s="2253"/>
      <c r="R6" s="2253"/>
      <c r="S6" s="2253"/>
      <c r="T6" s="2253"/>
      <c r="U6" s="2253"/>
      <c r="V6" s="2253"/>
      <c r="W6" s="2253"/>
      <c r="X6" s="2253"/>
      <c r="Y6" s="2253"/>
      <c r="Z6" s="2253"/>
      <c r="AA6" s="2253"/>
      <c r="AB6" s="2253"/>
      <c r="AC6" s="2253"/>
      <c r="AD6" s="2253"/>
      <c r="AE6" s="2247"/>
      <c r="AS6" s="2248" t="e">
        <f>#REF!&amp;" 19"&amp;#REF!</f>
        <v>#REF!</v>
      </c>
      <c r="AT6" s="2249"/>
      <c r="AU6" s="2248" t="s">
        <v>887</v>
      </c>
      <c r="AV6" s="2254" t="s">
        <v>887</v>
      </c>
      <c r="AW6" s="2248" t="s">
        <v>887</v>
      </c>
      <c r="AX6" s="2254" t="s">
        <v>887</v>
      </c>
      <c r="AY6" s="2248" t="s">
        <v>891</v>
      </c>
      <c r="AZ6" s="2240"/>
    </row>
    <row r="7" spans="2:52" ht="24.9" customHeight="1" thickTop="1" thickBot="1">
      <c r="B7" s="2255" t="s">
        <v>812</v>
      </c>
      <c r="C7" s="2256"/>
      <c r="D7" s="2257">
        <f ca="1">NOW()</f>
        <v>42454.589864814814</v>
      </c>
      <c r="E7" s="2258">
        <f ca="1">NOW()</f>
        <v>42454.589864814814</v>
      </c>
      <c r="F7" s="2259"/>
      <c r="G7" s="2260"/>
      <c r="H7" s="2261"/>
      <c r="I7" s="2261"/>
      <c r="J7" s="2261"/>
      <c r="K7" s="2261"/>
      <c r="L7" s="2261"/>
      <c r="M7" s="2261"/>
      <c r="N7" s="2261"/>
      <c r="O7" s="2261"/>
      <c r="P7" s="2261"/>
      <c r="Q7" s="2261"/>
      <c r="R7" s="2261"/>
      <c r="S7" s="2261"/>
      <c r="T7" s="2261"/>
      <c r="U7" s="2261"/>
      <c r="V7" s="2260"/>
      <c r="W7" s="2262" t="s">
        <v>858</v>
      </c>
      <c r="X7" s="2261"/>
      <c r="Y7" s="2261"/>
      <c r="Z7" s="2260"/>
      <c r="AA7" s="2261"/>
      <c r="AB7" s="2261"/>
      <c r="AC7" s="2261"/>
      <c r="AD7" s="2263"/>
      <c r="AE7" s="2247"/>
      <c r="AS7" s="2238" t="s">
        <v>865</v>
      </c>
      <c r="AT7" s="2239"/>
      <c r="AU7" s="2239"/>
      <c r="AV7" s="2239"/>
      <c r="AW7" s="2239"/>
      <c r="AX7" s="2239"/>
      <c r="AY7" s="2264">
        <f>(AX22-(AX28+AX29+AV23+AV27))/AX22*100</f>
        <v>99.78347091524455</v>
      </c>
      <c r="AZ7" s="2240"/>
    </row>
    <row r="8" spans="2:52" ht="24.9" customHeight="1" thickTop="1">
      <c r="B8" s="2252"/>
      <c r="C8" s="2259"/>
      <c r="D8" s="2259"/>
      <c r="E8" s="2259"/>
      <c r="F8" s="2259"/>
      <c r="G8" s="2263"/>
      <c r="H8" s="2259"/>
      <c r="I8" s="2259"/>
      <c r="J8" s="2259"/>
      <c r="K8" s="2259"/>
      <c r="L8" s="2259"/>
      <c r="M8" s="2259"/>
      <c r="N8" s="2259"/>
      <c r="O8" s="2259"/>
      <c r="P8" s="2265" t="s">
        <v>844</v>
      </c>
      <c r="Q8" s="2259"/>
      <c r="R8" s="2259"/>
      <c r="S8" s="2259"/>
      <c r="T8" s="2259"/>
      <c r="U8" s="2259"/>
      <c r="V8" s="2261"/>
      <c r="W8" s="2262"/>
      <c r="X8" s="2261"/>
      <c r="Y8" s="2261"/>
      <c r="Z8" s="2259"/>
      <c r="AA8" s="2259"/>
      <c r="AB8" s="2259"/>
      <c r="AC8" s="2259"/>
      <c r="AD8" s="2263"/>
      <c r="AE8" s="2247"/>
      <c r="AS8" s="2266" t="s">
        <v>866</v>
      </c>
      <c r="AT8" s="2267"/>
      <c r="AU8" s="2268"/>
      <c r="AV8" s="2269"/>
      <c r="AW8" s="2266" t="str">
        <f>AT_!DS42</f>
        <v/>
      </c>
      <c r="AX8" s="2270">
        <f>AT_!DT42</f>
        <v>0</v>
      </c>
      <c r="AY8" s="2269"/>
      <c r="AZ8" s="2240"/>
    </row>
    <row r="9" spans="2:52" ht="24.9" customHeight="1">
      <c r="B9" s="2252"/>
      <c r="C9" s="2259"/>
      <c r="D9" s="2259"/>
      <c r="E9" s="2259"/>
      <c r="F9" s="2259"/>
      <c r="G9" s="2271" t="s">
        <v>832</v>
      </c>
      <c r="H9" s="2259"/>
      <c r="I9" s="2259"/>
      <c r="J9" s="2259"/>
      <c r="K9" s="2259"/>
      <c r="L9" s="2260"/>
      <c r="M9" s="2261"/>
      <c r="N9" s="2261"/>
      <c r="O9" s="2261"/>
      <c r="P9" s="2261"/>
      <c r="Q9" s="2261"/>
      <c r="R9" s="2261"/>
      <c r="S9" s="2261"/>
      <c r="T9" s="2261"/>
      <c r="U9" s="2261"/>
      <c r="V9" s="2261"/>
      <c r="W9" s="2262"/>
      <c r="X9" s="2261"/>
      <c r="Y9" s="2263"/>
      <c r="Z9" s="2259"/>
      <c r="AA9" s="2259"/>
      <c r="AB9" s="2259"/>
      <c r="AC9" s="2259"/>
      <c r="AD9" s="2263"/>
      <c r="AE9" s="2247"/>
      <c r="AS9" s="2272" t="s">
        <v>867</v>
      </c>
      <c r="AT9" s="2273"/>
      <c r="AU9" s="2274"/>
      <c r="AV9" s="2275"/>
      <c r="AW9" s="2272">
        <f>AT_!DZ42</f>
        <v>0</v>
      </c>
      <c r="AX9" s="2276">
        <f>+AT_!DH54</f>
        <v>1485297</v>
      </c>
      <c r="AY9" s="2275"/>
      <c r="AZ9" s="2240"/>
    </row>
    <row r="10" spans="2:52" ht="24.9" customHeight="1">
      <c r="B10" s="2252"/>
      <c r="C10" s="2259"/>
      <c r="D10" s="2259"/>
      <c r="E10" s="2259"/>
      <c r="F10" s="2259"/>
      <c r="G10" s="2277" t="s">
        <v>814</v>
      </c>
      <c r="H10" s="2278">
        <f>N30</f>
        <v>11.326459763084504</v>
      </c>
      <c r="I10" s="2279" t="s">
        <v>940</v>
      </c>
      <c r="J10" s="2259"/>
      <c r="K10" s="2280" t="s">
        <v>814</v>
      </c>
      <c r="L10" s="2281" t="e">
        <f>DF_!DX41</f>
        <v>#DIV/0!</v>
      </c>
      <c r="M10" s="2279" t="s">
        <v>940</v>
      </c>
      <c r="N10" s="2282" t="s">
        <v>78</v>
      </c>
      <c r="O10" s="2261"/>
      <c r="P10" s="2261"/>
      <c r="Q10" s="2261"/>
      <c r="R10" s="2261"/>
      <c r="S10" s="2263"/>
      <c r="T10" s="2282" t="s">
        <v>850</v>
      </c>
      <c r="U10" s="2261"/>
      <c r="V10" s="2261"/>
      <c r="W10" s="2283"/>
      <c r="X10" s="2259"/>
      <c r="Y10" s="2263"/>
      <c r="Z10" s="2259"/>
      <c r="AA10" s="2259"/>
      <c r="AB10" s="2259"/>
      <c r="AC10" s="2259"/>
      <c r="AD10" s="2263"/>
      <c r="AE10" s="2247"/>
      <c r="AS10" s="2272" t="s">
        <v>868</v>
      </c>
      <c r="AT10" s="2273"/>
      <c r="AU10" s="2272"/>
      <c r="AV10" s="2284"/>
      <c r="AW10" s="2274"/>
      <c r="AX10" s="2275"/>
      <c r="AY10" s="2274"/>
      <c r="AZ10" s="2240"/>
    </row>
    <row r="11" spans="2:52" ht="24.9" customHeight="1">
      <c r="B11" s="2252"/>
      <c r="C11" s="2259"/>
      <c r="D11" s="2259"/>
      <c r="E11" s="2259"/>
      <c r="F11" s="2259"/>
      <c r="G11" s="2277" t="s">
        <v>815</v>
      </c>
      <c r="H11" s="2285">
        <f>AT_!$L$42</f>
        <v>173</v>
      </c>
      <c r="I11" s="2259" t="s">
        <v>821</v>
      </c>
      <c r="J11" s="2259"/>
      <c r="K11" s="2286" t="s">
        <v>815</v>
      </c>
      <c r="L11" s="2287">
        <f>L17</f>
        <v>72.749999999999986</v>
      </c>
      <c r="M11" s="2259" t="s">
        <v>821</v>
      </c>
      <c r="N11" s="2277" t="s">
        <v>814</v>
      </c>
      <c r="O11" s="2278">
        <f>+PT_!BL42</f>
        <v>61.329032258064522</v>
      </c>
      <c r="P11" s="2288" t="s">
        <v>816</v>
      </c>
      <c r="Q11" s="2289">
        <f>O12*O11*8.34</f>
        <v>2493485.1290322584</v>
      </c>
      <c r="R11" s="2259" t="s">
        <v>822</v>
      </c>
      <c r="S11" s="2263"/>
      <c r="T11" s="2277" t="s">
        <v>814</v>
      </c>
      <c r="U11" s="2278">
        <f>AT_!CJ49</f>
        <v>0</v>
      </c>
      <c r="V11" s="2259" t="s">
        <v>852</v>
      </c>
      <c r="W11" s="2283"/>
      <c r="X11" s="2259"/>
      <c r="Y11" s="2263"/>
      <c r="Z11" s="2259"/>
      <c r="AA11" s="2259"/>
      <c r="AB11" s="2259"/>
      <c r="AC11" s="2259"/>
      <c r="AD11" s="2263"/>
      <c r="AE11" s="2247"/>
      <c r="AS11" s="2272" t="s">
        <v>868</v>
      </c>
      <c r="AT11" s="2273"/>
      <c r="AU11" s="2272"/>
      <c r="AV11" s="2284"/>
      <c r="AW11" s="2274"/>
      <c r="AX11" s="2275"/>
      <c r="AY11" s="2274"/>
      <c r="AZ11" s="2240"/>
    </row>
    <row r="12" spans="2:52" ht="24.9" customHeight="1">
      <c r="B12" s="2252"/>
      <c r="C12" s="2259"/>
      <c r="D12" s="2259"/>
      <c r="E12" s="2259"/>
      <c r="F12" s="2259"/>
      <c r="G12" s="2277" t="s">
        <v>816</v>
      </c>
      <c r="H12" s="2290">
        <f>$H$11*$H$10*8.34</f>
        <v>16342.042675373585</v>
      </c>
      <c r="I12" s="2279" t="s">
        <v>822</v>
      </c>
      <c r="J12" s="2259"/>
      <c r="K12" s="2280" t="s">
        <v>816</v>
      </c>
      <c r="L12" s="2287" t="e">
        <f>L10*L11*8.34</f>
        <v>#DIV/0!</v>
      </c>
      <c r="M12" s="2279" t="s">
        <v>822</v>
      </c>
      <c r="N12" s="2277" t="s">
        <v>815</v>
      </c>
      <c r="O12" s="2290">
        <f>AT_!Q42*0.75+AT_!S42*0.25</f>
        <v>4875</v>
      </c>
      <c r="P12" s="2259" t="s">
        <v>821</v>
      </c>
      <c r="Q12" s="2261"/>
      <c r="R12" s="2259"/>
      <c r="S12" s="2263"/>
      <c r="T12" s="2277" t="s">
        <v>815</v>
      </c>
      <c r="U12" s="2285">
        <f>AT_!CK49</f>
        <v>60</v>
      </c>
      <c r="V12" s="2259" t="s">
        <v>453</v>
      </c>
      <c r="W12" s="2283"/>
      <c r="X12" s="2259"/>
      <c r="Y12" s="2263"/>
      <c r="Z12" s="2259"/>
      <c r="AA12" s="2259"/>
      <c r="AB12" s="2259"/>
      <c r="AC12" s="2259"/>
      <c r="AD12" s="2263"/>
      <c r="AE12" s="2247"/>
      <c r="AS12" s="2272" t="s">
        <v>869</v>
      </c>
      <c r="AT12" s="2273"/>
      <c r="AU12" s="2272"/>
      <c r="AV12" s="2284"/>
      <c r="AW12" s="2274"/>
      <c r="AX12" s="2275"/>
      <c r="AY12" s="2274"/>
      <c r="AZ12" s="2240"/>
    </row>
    <row r="13" spans="2:52" ht="24.9" customHeight="1">
      <c r="B13" s="2252"/>
      <c r="C13" s="2259"/>
      <c r="D13" s="2259"/>
      <c r="E13" s="2259"/>
      <c r="F13" s="2259"/>
      <c r="G13" s="2263"/>
      <c r="H13" s="2261"/>
      <c r="I13" s="2259"/>
      <c r="J13" s="2259"/>
      <c r="K13" s="2259"/>
      <c r="L13" s="2260"/>
      <c r="M13" s="2259"/>
      <c r="N13" s="2263"/>
      <c r="O13" s="2261"/>
      <c r="P13" s="2259"/>
      <c r="Q13" s="2259"/>
      <c r="R13" s="2259"/>
      <c r="S13" s="2263"/>
      <c r="T13" s="2277" t="s">
        <v>816</v>
      </c>
      <c r="U13" s="2285">
        <f>ROUND(+U11*27,-2)</f>
        <v>0</v>
      </c>
      <c r="V13" s="2259" t="s">
        <v>853</v>
      </c>
      <c r="W13" s="2259"/>
      <c r="X13" s="2259"/>
      <c r="Y13" s="2263"/>
      <c r="Z13" s="2259"/>
      <c r="AA13" s="2259"/>
      <c r="AB13" s="2259"/>
      <c r="AC13" s="2259"/>
      <c r="AD13" s="2263"/>
      <c r="AE13" s="2247"/>
      <c r="AS13" s="2272" t="s">
        <v>869</v>
      </c>
      <c r="AT13" s="2273"/>
      <c r="AU13" s="2272"/>
      <c r="AV13" s="2284"/>
      <c r="AW13" s="2274"/>
      <c r="AX13" s="2275"/>
      <c r="AY13" s="2274"/>
      <c r="AZ13" s="2240"/>
    </row>
    <row r="14" spans="2:52" ht="24.9" customHeight="1">
      <c r="B14" s="2252"/>
      <c r="C14" s="2259"/>
      <c r="D14" s="2291" t="s">
        <v>819</v>
      </c>
      <c r="E14" s="2292"/>
      <c r="F14" s="2263"/>
      <c r="G14" s="2263"/>
      <c r="H14" s="2291" t="s">
        <v>559</v>
      </c>
      <c r="I14" s="2292"/>
      <c r="J14" s="2292"/>
      <c r="K14" s="2263"/>
      <c r="L14" s="2263"/>
      <c r="M14" s="2293" t="s">
        <v>839</v>
      </c>
      <c r="N14" s="2294"/>
      <c r="O14" s="2294"/>
      <c r="P14" s="2263"/>
      <c r="Q14" s="2259"/>
      <c r="R14" s="2295" t="s">
        <v>845</v>
      </c>
      <c r="S14" s="2296"/>
      <c r="T14" s="2296"/>
      <c r="U14" s="2260"/>
      <c r="V14" s="2259"/>
      <c r="W14" s="2297" t="s">
        <v>859</v>
      </c>
      <c r="X14" s="2298"/>
      <c r="Y14" s="2298"/>
      <c r="Z14" s="2263"/>
      <c r="AA14" s="2259"/>
      <c r="AB14" s="2259"/>
      <c r="AC14" s="2259"/>
      <c r="AD14" s="2263"/>
      <c r="AE14" s="2247"/>
      <c r="AS14" s="2272" t="s">
        <v>870</v>
      </c>
      <c r="AT14" s="2273"/>
      <c r="AU14" s="2274"/>
      <c r="AV14" s="2275"/>
      <c r="AW14" s="2299">
        <f>DW_!R42/1000</f>
        <v>172.297</v>
      </c>
      <c r="AX14" s="2300">
        <f>AW14*63</f>
        <v>10854.710999999999</v>
      </c>
      <c r="AY14" s="2275"/>
      <c r="AZ14" s="2240"/>
    </row>
    <row r="15" spans="2:52" ht="24.9" customHeight="1">
      <c r="B15" s="2301" t="s">
        <v>813</v>
      </c>
      <c r="C15" s="2262"/>
      <c r="D15" s="2302" t="s">
        <v>820</v>
      </c>
      <c r="E15" s="2303"/>
      <c r="F15" s="2304" t="s">
        <v>830</v>
      </c>
      <c r="G15" s="2262"/>
      <c r="H15" s="2302" t="s">
        <v>826</v>
      </c>
      <c r="I15" s="2303"/>
      <c r="J15" s="2303"/>
      <c r="K15" s="2304" t="s">
        <v>837</v>
      </c>
      <c r="L15" s="2262"/>
      <c r="M15" s="2305" t="s">
        <v>826</v>
      </c>
      <c r="N15" s="2306"/>
      <c r="O15" s="2306"/>
      <c r="P15" s="2304" t="s">
        <v>1341</v>
      </c>
      <c r="Q15" s="2262"/>
      <c r="R15" s="2307" t="s">
        <v>826</v>
      </c>
      <c r="S15" s="2308"/>
      <c r="T15" s="2308"/>
      <c r="U15" s="2309" t="s">
        <v>972</v>
      </c>
      <c r="V15" s="2262"/>
      <c r="W15" s="2310" t="s">
        <v>860</v>
      </c>
      <c r="X15" s="2311"/>
      <c r="Y15" s="2311"/>
      <c r="Z15" s="2304" t="s">
        <v>861</v>
      </c>
      <c r="AA15" s="2262"/>
      <c r="AB15" s="2265"/>
      <c r="AC15" s="2259"/>
      <c r="AD15" s="2263"/>
      <c r="AE15" s="2247"/>
      <c r="AS15" s="2272" t="s">
        <v>871</v>
      </c>
      <c r="AT15" s="2273"/>
      <c r="AU15" s="2274"/>
      <c r="AV15" s="2275"/>
      <c r="AW15" s="2274"/>
      <c r="AX15" s="2300">
        <f>+DW_!I42</f>
        <v>3140</v>
      </c>
      <c r="AY15" s="2274"/>
      <c r="AZ15" s="2240"/>
    </row>
    <row r="16" spans="2:52" ht="24.9" customHeight="1">
      <c r="B16" s="2312" t="s">
        <v>814</v>
      </c>
      <c r="C16" s="2278">
        <f>+DMR!$D$20</f>
        <v>103</v>
      </c>
      <c r="D16" s="2261" t="s">
        <v>940</v>
      </c>
      <c r="E16" s="2261"/>
      <c r="F16" s="2288" t="s">
        <v>814</v>
      </c>
      <c r="G16" s="2278">
        <f>$C$16+$H$10</f>
        <v>114.3264597630845</v>
      </c>
      <c r="H16" s="2313" t="s">
        <v>940</v>
      </c>
      <c r="I16" s="2314"/>
      <c r="J16" s="2313"/>
      <c r="K16" s="2280" t="s">
        <v>814</v>
      </c>
      <c r="L16" s="2278">
        <f>G16</f>
        <v>114.3264597630845</v>
      </c>
      <c r="M16" s="2261" t="s">
        <v>940</v>
      </c>
      <c r="N16" s="2315" t="s">
        <v>1342</v>
      </c>
      <c r="O16" s="2316"/>
      <c r="P16" s="2280" t="s">
        <v>814</v>
      </c>
      <c r="Q16" s="2278">
        <f>AT_!CJ43+O11</f>
        <v>164.65161290322581</v>
      </c>
      <c r="R16" s="2261"/>
      <c r="S16" s="2304" t="s">
        <v>79</v>
      </c>
      <c r="T16" s="2317"/>
      <c r="U16" s="2280"/>
      <c r="V16" s="2278"/>
      <c r="W16" s="2261"/>
      <c r="X16" s="2262"/>
      <c r="Y16" s="2317"/>
      <c r="Z16" s="2280" t="s">
        <v>814</v>
      </c>
      <c r="AA16" s="2278">
        <f>+DMR!$D$20</f>
        <v>103</v>
      </c>
      <c r="AB16" s="2259" t="s">
        <v>940</v>
      </c>
      <c r="AC16" s="2259"/>
      <c r="AD16" s="2263"/>
      <c r="AE16" s="2247"/>
      <c r="AS16" s="2272" t="s">
        <v>872</v>
      </c>
      <c r="AT16" s="2273"/>
      <c r="AU16" s="2274"/>
      <c r="AV16" s="2275"/>
      <c r="AW16" s="2274"/>
      <c r="AX16" s="2318">
        <f>DW_!AE42</f>
        <v>76.099999999999994</v>
      </c>
      <c r="AY16" s="2274"/>
      <c r="AZ16" s="2240"/>
    </row>
    <row r="17" spans="2:52" ht="24.9" customHeight="1">
      <c r="B17" s="2312" t="s">
        <v>815</v>
      </c>
      <c r="C17" s="2285">
        <f>+DMR!$D$12</f>
        <v>139</v>
      </c>
      <c r="D17" s="2259" t="s">
        <v>821</v>
      </c>
      <c r="E17" s="2259"/>
      <c r="F17" s="2288" t="s">
        <v>815</v>
      </c>
      <c r="G17" s="2285">
        <f>(C16*C17+H10*H11)/(C16+H10)</f>
        <v>142.36842086025322</v>
      </c>
      <c r="H17" s="2278" t="s">
        <v>821</v>
      </c>
      <c r="I17" s="2281"/>
      <c r="J17" s="2278"/>
      <c r="K17" s="2286" t="s">
        <v>815</v>
      </c>
      <c r="L17" s="2285">
        <f>((+AT_!I42*AT_!CF43*0.75)+(AT_!J42*AT_!CF43*0.25))/(AT_!CF43)</f>
        <v>72.749999999999986</v>
      </c>
      <c r="M17" s="2259" t="s">
        <v>821</v>
      </c>
      <c r="N17" s="2319" t="s">
        <v>814</v>
      </c>
      <c r="O17" s="2279">
        <f>+PT_!BM42+PT_!BN42-MASS!T17</f>
        <v>1.4486499648136097</v>
      </c>
      <c r="P17" s="2280" t="s">
        <v>815</v>
      </c>
      <c r="Q17" s="2285">
        <f>AT_!$M$42*0.75+AT_!$N$42*0.25</f>
        <v>2600</v>
      </c>
      <c r="R17" s="2259"/>
      <c r="S17" s="2277" t="s">
        <v>814</v>
      </c>
      <c r="T17" s="2279">
        <v>0.8</v>
      </c>
      <c r="U17" s="2279" t="s">
        <v>940</v>
      </c>
      <c r="V17" s="2278"/>
      <c r="W17" s="2259"/>
      <c r="X17" s="2288"/>
      <c r="Y17" s="2279"/>
      <c r="Z17" s="2280" t="s">
        <v>815</v>
      </c>
      <c r="AA17" s="2285">
        <f>+DMR!$D$13</f>
        <v>16</v>
      </c>
      <c r="AB17" s="2259" t="s">
        <v>821</v>
      </c>
      <c r="AC17" s="2259"/>
      <c r="AD17" s="2263"/>
      <c r="AE17" s="2247"/>
      <c r="AS17" s="2272" t="s">
        <v>873</v>
      </c>
      <c r="AT17" s="2273"/>
      <c r="AU17" s="2272">
        <f>AV17/50</f>
        <v>0</v>
      </c>
      <c r="AV17" s="2318"/>
      <c r="AW17" s="2274"/>
      <c r="AX17" s="2275"/>
      <c r="AY17" s="2274"/>
      <c r="AZ17" s="2240"/>
    </row>
    <row r="18" spans="2:52" ht="24.9" customHeight="1">
      <c r="B18" s="2312" t="s">
        <v>816</v>
      </c>
      <c r="C18" s="2290">
        <f>$C$16*$C$17*8.34</f>
        <v>119403.78</v>
      </c>
      <c r="D18" s="2259" t="s">
        <v>822</v>
      </c>
      <c r="E18" s="2259"/>
      <c r="F18" s="2288" t="s">
        <v>816</v>
      </c>
      <c r="G18" s="2290">
        <f>$G$16*$G$17*8.34</f>
        <v>135745.82267537358</v>
      </c>
      <c r="H18" s="2279" t="s">
        <v>822</v>
      </c>
      <c r="I18" s="2320"/>
      <c r="J18" s="2279"/>
      <c r="K18" s="2280" t="s">
        <v>816</v>
      </c>
      <c r="L18" s="2290">
        <f>L16*L17*8.34</f>
        <v>69365.864564355055</v>
      </c>
      <c r="M18" s="2259" t="s">
        <v>840</v>
      </c>
      <c r="N18" s="2319" t="s">
        <v>815</v>
      </c>
      <c r="O18" s="2290">
        <f>+O19/8.34/O17</f>
        <v>5093.3335137791364</v>
      </c>
      <c r="P18" s="2280" t="s">
        <v>816</v>
      </c>
      <c r="Q18" s="2290">
        <f>Q17*Q16*8.34</f>
        <v>3570305.5741935484</v>
      </c>
      <c r="R18" s="2259"/>
      <c r="S18" s="2277" t="s">
        <v>815</v>
      </c>
      <c r="T18" s="2290">
        <f>+AT_!Q42</f>
        <v>4200</v>
      </c>
      <c r="U18" s="2279" t="s">
        <v>821</v>
      </c>
      <c r="V18" s="2278"/>
      <c r="W18" s="2259"/>
      <c r="X18" s="2288"/>
      <c r="Y18" s="2278"/>
      <c r="Z18" s="2280" t="s">
        <v>816</v>
      </c>
      <c r="AA18" s="2290">
        <f>AA17*AA16*8.34</f>
        <v>13744.32</v>
      </c>
      <c r="AB18" s="2259" t="s">
        <v>822</v>
      </c>
      <c r="AC18" s="2259"/>
      <c r="AD18" s="2263"/>
      <c r="AE18" s="2247"/>
      <c r="AS18" s="2272" t="s">
        <v>874</v>
      </c>
      <c r="AT18" s="2273"/>
      <c r="AU18" s="2272">
        <f>+AT_!DF53/1000</f>
        <v>107.7</v>
      </c>
      <c r="AV18" s="2318"/>
      <c r="AW18" s="2274"/>
      <c r="AX18" s="2275"/>
      <c r="AY18" s="2274"/>
      <c r="AZ18" s="2240"/>
    </row>
    <row r="19" spans="2:52" ht="24.9" customHeight="1">
      <c r="B19" s="2252"/>
      <c r="C19" s="2321">
        <f>C18/2000</f>
        <v>59.701889999999999</v>
      </c>
      <c r="D19" s="2259" t="s">
        <v>823</v>
      </c>
      <c r="E19" s="2259"/>
      <c r="F19" s="2259"/>
      <c r="G19" s="2261"/>
      <c r="H19" s="2259"/>
      <c r="I19" s="2263"/>
      <c r="J19" s="2259"/>
      <c r="K19" s="2259"/>
      <c r="L19" s="2261"/>
      <c r="M19" s="2259"/>
      <c r="N19" s="2319" t="s">
        <v>816</v>
      </c>
      <c r="O19" s="2290">
        <f>+(PT_!BM42-MASS!T17)*8.34*AT_!Q42+AT_!S42*8.34*PT_!BN42</f>
        <v>61536.334845437843</v>
      </c>
      <c r="P19" s="2259" t="s">
        <v>822</v>
      </c>
      <c r="Q19" s="2313"/>
      <c r="R19" s="2259"/>
      <c r="S19" s="2277" t="s">
        <v>816</v>
      </c>
      <c r="T19" s="2290">
        <f>T18*T17*8.34</f>
        <v>28022.399999999998</v>
      </c>
      <c r="U19" s="2259" t="s">
        <v>822</v>
      </c>
      <c r="V19" s="2279"/>
      <c r="W19" s="2259"/>
      <c r="X19" s="2288"/>
      <c r="Y19" s="2278"/>
      <c r="Z19" s="2279"/>
      <c r="AA19" s="2313"/>
      <c r="AB19" s="2259"/>
      <c r="AC19" s="2259"/>
      <c r="AD19" s="2263"/>
      <c r="AE19" s="2247"/>
      <c r="AS19" s="2272" t="s">
        <v>875</v>
      </c>
      <c r="AT19" s="2273"/>
      <c r="AU19" s="2272">
        <f>AV19/50</f>
        <v>0</v>
      </c>
      <c r="AV19" s="2318"/>
      <c r="AW19" s="2274"/>
      <c r="AX19" s="2275"/>
      <c r="AY19" s="2274"/>
      <c r="AZ19" s="2240"/>
    </row>
    <row r="20" spans="2:52" ht="24.9" customHeight="1" thickBot="1">
      <c r="B20" s="2252"/>
      <c r="C20" s="2259"/>
      <c r="D20" s="2259"/>
      <c r="E20" s="2259"/>
      <c r="F20" s="2259"/>
      <c r="G20" s="2259"/>
      <c r="H20" s="2259"/>
      <c r="I20" s="2263"/>
      <c r="J20" s="2259"/>
      <c r="K20" s="2259"/>
      <c r="L20" s="2259"/>
      <c r="M20" s="2259"/>
      <c r="N20" s="2263"/>
      <c r="O20" s="2261"/>
      <c r="P20" s="2259"/>
      <c r="Q20" s="2259"/>
      <c r="R20" s="2259"/>
      <c r="S20" s="2263"/>
      <c r="T20" s="2261"/>
      <c r="U20" s="2259"/>
      <c r="V20" s="2259"/>
      <c r="W20" s="2259"/>
      <c r="X20" s="2259"/>
      <c r="Y20" s="2259"/>
      <c r="Z20" s="2259"/>
      <c r="AA20" s="2259"/>
      <c r="AB20" s="2259"/>
      <c r="AC20" s="2259"/>
      <c r="AD20" s="2263"/>
      <c r="AE20" s="2247"/>
      <c r="AS20" s="2272" t="s">
        <v>876</v>
      </c>
      <c r="AT20" s="2273"/>
      <c r="AU20" s="2272">
        <f>+AT_!DF54/1000</f>
        <v>296.65908645000002</v>
      </c>
      <c r="AV20" s="2318"/>
      <c r="AW20" s="2274"/>
      <c r="AX20" s="2275"/>
      <c r="AY20" s="2274"/>
      <c r="AZ20" s="2240"/>
    </row>
    <row r="21" spans="2:52" ht="24.9" customHeight="1" thickTop="1" thickBot="1">
      <c r="B21" s="2252"/>
      <c r="C21" s="2259"/>
      <c r="D21" s="2259"/>
      <c r="E21" s="2259"/>
      <c r="F21" s="2259"/>
      <c r="G21" s="2259"/>
      <c r="H21" s="2259"/>
      <c r="I21" s="2262" t="s">
        <v>835</v>
      </c>
      <c r="J21" s="2322"/>
      <c r="K21" s="2261"/>
      <c r="L21" s="2261"/>
      <c r="M21" s="2263"/>
      <c r="N21" s="2263"/>
      <c r="O21" s="2259"/>
      <c r="P21" s="2323" t="s">
        <v>1183</v>
      </c>
      <c r="Q21" s="2324"/>
      <c r="R21" s="2324"/>
      <c r="S21" s="2324"/>
      <c r="T21" s="2325"/>
      <c r="U21" s="2326" t="s">
        <v>972</v>
      </c>
      <c r="V21" s="2253" t="s">
        <v>854</v>
      </c>
      <c r="W21" s="2327"/>
      <c r="X21" s="2327"/>
      <c r="Y21" s="2253"/>
      <c r="Z21" s="2253"/>
      <c r="AA21" s="2259"/>
      <c r="AB21" s="2259"/>
      <c r="AC21" s="2259"/>
      <c r="AD21" s="2263"/>
      <c r="AE21" s="2247"/>
      <c r="AS21" s="2238" t="s">
        <v>877</v>
      </c>
      <c r="AT21" s="2239"/>
      <c r="AU21" s="2239"/>
      <c r="AV21" s="2239"/>
      <c r="AW21" s="2239"/>
      <c r="AX21" s="2239"/>
      <c r="AY21" s="2264">
        <f>(AX22-(AX24+AV23))/AX22*100</f>
        <v>99.269189192464552</v>
      </c>
      <c r="AZ21" s="2240"/>
    </row>
    <row r="22" spans="2:52" ht="24.9" customHeight="1" thickTop="1">
      <c r="B22" s="2301" t="s">
        <v>817</v>
      </c>
      <c r="C22" s="2283"/>
      <c r="D22" s="2259"/>
      <c r="E22" s="2259"/>
      <c r="F22" s="2259"/>
      <c r="G22" s="2259"/>
      <c r="H22" s="2259"/>
      <c r="I22" s="2288" t="s">
        <v>814</v>
      </c>
      <c r="J22" s="2279">
        <f>0.648414985590778*AT_!HC42</f>
        <v>9.0778097982708932</v>
      </c>
      <c r="K22" s="2259" t="s">
        <v>940</v>
      </c>
      <c r="L22" s="2259"/>
      <c r="M22" s="2263"/>
      <c r="N22" s="2261"/>
      <c r="O22" s="2261"/>
      <c r="P22" s="2328" t="s">
        <v>846</v>
      </c>
      <c r="Q22" s="2329"/>
      <c r="R22" s="2329"/>
      <c r="S22" s="2329"/>
      <c r="T22" s="2330"/>
      <c r="U22" s="2331" t="s">
        <v>972</v>
      </c>
      <c r="V22" s="2332"/>
      <c r="W22" s="2327"/>
      <c r="X22" s="2327"/>
      <c r="Y22" s="2283"/>
      <c r="Z22" s="2253"/>
      <c r="AA22" s="2259"/>
      <c r="AB22" s="2259"/>
      <c r="AC22" s="2259"/>
      <c r="AD22" s="2263"/>
      <c r="AE22" s="2247"/>
      <c r="AS22" s="2266" t="s">
        <v>878</v>
      </c>
      <c r="AT22" s="2267"/>
      <c r="AU22" s="2268"/>
      <c r="AV22" s="2269"/>
      <c r="AW22" s="2264" t="e">
        <f>AW8+AW9</f>
        <v>#VALUE!</v>
      </c>
      <c r="AX22" s="2333">
        <f>AX8+AX9</f>
        <v>1485297</v>
      </c>
      <c r="AY22" s="2268"/>
      <c r="AZ22" s="2240"/>
    </row>
    <row r="23" spans="2:52" ht="24.9" customHeight="1">
      <c r="B23" s="2312" t="s">
        <v>814</v>
      </c>
      <c r="C23" s="2289">
        <f>DW_!$R$43</f>
        <v>57432</v>
      </c>
      <c r="D23" s="2259" t="s">
        <v>824</v>
      </c>
      <c r="E23" s="2259"/>
      <c r="F23" s="2259"/>
      <c r="G23" s="2259"/>
      <c r="H23" s="2259"/>
      <c r="I23" s="2288" t="s">
        <v>815</v>
      </c>
      <c r="J23" s="2285">
        <f>(J24/J22)/8.34</f>
        <v>876.77840449634311</v>
      </c>
      <c r="K23" s="2259" t="s">
        <v>821</v>
      </c>
      <c r="L23" s="2259"/>
      <c r="M23" s="2261"/>
      <c r="N23" s="2261"/>
      <c r="O23" s="2262" t="s">
        <v>842</v>
      </c>
      <c r="P23" s="2322"/>
      <c r="Q23" s="2261"/>
      <c r="R23" s="2260"/>
      <c r="S23" s="2261"/>
      <c r="T23" s="2261"/>
      <c r="U23" s="2288"/>
      <c r="V23" s="2332" t="s">
        <v>855</v>
      </c>
      <c r="W23" s="2334">
        <f>C18+F39</f>
        <v>123568.28985578676</v>
      </c>
      <c r="X23" s="2259"/>
      <c r="Y23" s="2288"/>
      <c r="Z23" s="2279"/>
      <c r="AA23" s="2259"/>
      <c r="AB23" s="2259"/>
      <c r="AC23" s="2259"/>
      <c r="AD23" s="2263"/>
      <c r="AE23" s="2247"/>
      <c r="AS23" s="2272" t="s">
        <v>879</v>
      </c>
      <c r="AT23" s="2273"/>
      <c r="AU23" s="2335">
        <f>AU12+AU13-AU10-AU11</f>
        <v>0</v>
      </c>
      <c r="AV23" s="2284">
        <f>AV12+AV13-AV10-AV11</f>
        <v>0</v>
      </c>
      <c r="AW23" s="2274"/>
      <c r="AX23" s="2275"/>
      <c r="AY23" s="2274"/>
      <c r="AZ23" s="2240"/>
    </row>
    <row r="24" spans="2:52" ht="24.9" customHeight="1" thickBot="1">
      <c r="B24" s="2312" t="s">
        <v>818</v>
      </c>
      <c r="C24" s="2313">
        <f>DW_!$C$42</f>
        <v>1.7</v>
      </c>
      <c r="D24" s="2259"/>
      <c r="E24" s="2259"/>
      <c r="F24" s="2259"/>
      <c r="G24" s="2259"/>
      <c r="H24" s="2259"/>
      <c r="I24" s="2288" t="s">
        <v>816</v>
      </c>
      <c r="J24" s="2290">
        <f>G18-L18</f>
        <v>66379.958111018525</v>
      </c>
      <c r="K24" s="2259" t="s">
        <v>822</v>
      </c>
      <c r="L24" s="2259"/>
      <c r="M24" s="2259"/>
      <c r="N24" s="2259"/>
      <c r="O24" s="2288" t="s">
        <v>814</v>
      </c>
      <c r="P24" s="2279">
        <f>J22+T17+O17</f>
        <v>11.326459763084504</v>
      </c>
      <c r="Q24" s="2259" t="s">
        <v>940</v>
      </c>
      <c r="R24" s="2263"/>
      <c r="S24" s="2259"/>
      <c r="T24" s="2259"/>
      <c r="U24" s="2288"/>
      <c r="V24" s="2278" t="s">
        <v>856</v>
      </c>
      <c r="W24" s="2289">
        <f ca="1">AA18+K31</f>
        <v>134782.35870967741</v>
      </c>
      <c r="X24" s="2259"/>
      <c r="Y24" s="2288" t="s">
        <v>1184</v>
      </c>
      <c r="Z24" s="2278"/>
      <c r="AA24" s="2259"/>
      <c r="AB24" s="2259"/>
      <c r="AC24" s="2259"/>
      <c r="AD24" s="2263"/>
      <c r="AE24" s="2247"/>
      <c r="AS24" s="2272" t="s">
        <v>880</v>
      </c>
      <c r="AT24" s="2273"/>
      <c r="AU24" s="2274"/>
      <c r="AV24" s="2275"/>
      <c r="AW24" s="2335">
        <f>AW14</f>
        <v>172.297</v>
      </c>
      <c r="AX24" s="2284">
        <f>AX14</f>
        <v>10854.710999999999</v>
      </c>
      <c r="AY24" s="2274"/>
      <c r="AZ24" s="2240"/>
    </row>
    <row r="25" spans="2:52" ht="24.9" customHeight="1" thickTop="1" thickBot="1">
      <c r="B25" s="2312" t="s">
        <v>816</v>
      </c>
      <c r="C25" s="2290">
        <f>$C$23*63*$C$24/100</f>
        <v>61509.671999999999</v>
      </c>
      <c r="D25" s="2259" t="s">
        <v>822</v>
      </c>
      <c r="E25" s="2259"/>
      <c r="F25" s="2259"/>
      <c r="G25" s="2259"/>
      <c r="H25" s="2259"/>
      <c r="I25" s="2259"/>
      <c r="J25" s="2261"/>
      <c r="K25" s="2259"/>
      <c r="L25" s="2259"/>
      <c r="M25" s="2259"/>
      <c r="N25" s="2259"/>
      <c r="O25" s="2288" t="s">
        <v>815</v>
      </c>
      <c r="P25" s="2290">
        <f>AT_!AG42</f>
        <v>1898.75</v>
      </c>
      <c r="Q25" s="2288" t="s">
        <v>1175</v>
      </c>
      <c r="R25" s="2263"/>
      <c r="S25" s="2259"/>
      <c r="T25" s="2259"/>
      <c r="U25" s="2288"/>
      <c r="V25" s="2285" t="s">
        <v>857</v>
      </c>
      <c r="W25" s="2290">
        <f ca="1">W23-W24</f>
        <v>-11214.068853890654</v>
      </c>
      <c r="X25" s="2259" t="s">
        <v>822</v>
      </c>
      <c r="Y25" s="2279">
        <f ca="1">W25/8.34</f>
        <v>-1344.6125724089513</v>
      </c>
      <c r="Z25" s="2278" t="s">
        <v>862</v>
      </c>
      <c r="AA25" s="2259"/>
      <c r="AB25" s="2259"/>
      <c r="AC25" s="2259"/>
      <c r="AD25" s="2263"/>
      <c r="AE25" s="2247"/>
      <c r="AS25" s="2238" t="s">
        <v>881</v>
      </c>
      <c r="AT25" s="2239"/>
      <c r="AU25" s="2239"/>
      <c r="AV25" s="2239"/>
      <c r="AW25" s="2239"/>
      <c r="AX25" s="2239"/>
      <c r="AY25" s="2264">
        <f>(AX26-(AX28+AX29+AV27))/AX26*100</f>
        <v>70.371389896976524</v>
      </c>
      <c r="AZ25" s="2240"/>
    </row>
    <row r="26" spans="2:52" ht="24.9" customHeight="1" thickTop="1">
      <c r="B26" s="2312"/>
      <c r="C26" s="2336">
        <f>$C$25/2000</f>
        <v>30.754836000000001</v>
      </c>
      <c r="D26" s="2259" t="s">
        <v>823</v>
      </c>
      <c r="E26" s="2259"/>
      <c r="F26" s="2259"/>
      <c r="G26" s="2259"/>
      <c r="H26" s="2259"/>
      <c r="I26" s="2259"/>
      <c r="J26" s="2259"/>
      <c r="K26" s="2259"/>
      <c r="L26" s="2259"/>
      <c r="M26" s="2259"/>
      <c r="N26" s="2259"/>
      <c r="O26" s="2288" t="s">
        <v>816</v>
      </c>
      <c r="P26" s="2290">
        <f>P24*P25*8.34</f>
        <v>179361.00306280688</v>
      </c>
      <c r="Q26" s="2259" t="s">
        <v>822</v>
      </c>
      <c r="R26" s="2263"/>
      <c r="S26" s="2259"/>
      <c r="T26" s="2259"/>
      <c r="U26" s="2259" t="s">
        <v>851</v>
      </c>
      <c r="V26" s="2259"/>
      <c r="W26" s="2337">
        <f ca="1">(+W23-W24)/W23</f>
        <v>-9.0751995248767245E-2</v>
      </c>
      <c r="X26" s="2259"/>
      <c r="Y26" s="2289">
        <f ca="1">W25/63</f>
        <v>-178.00109291889927</v>
      </c>
      <c r="Z26" s="2259" t="s">
        <v>824</v>
      </c>
      <c r="AA26" s="2259"/>
      <c r="AB26" s="2259"/>
      <c r="AC26" s="2259"/>
      <c r="AD26" s="2263"/>
      <c r="AE26" s="2247"/>
      <c r="AS26" s="2266" t="s">
        <v>880</v>
      </c>
      <c r="AT26" s="2267"/>
      <c r="AU26" s="2268"/>
      <c r="AV26" s="2269"/>
      <c r="AW26" s="2264">
        <f>AW14</f>
        <v>172.297</v>
      </c>
      <c r="AX26" s="2333">
        <f>AX14</f>
        <v>10854.710999999999</v>
      </c>
      <c r="AY26" s="2268"/>
      <c r="AZ26" s="2240"/>
    </row>
    <row r="27" spans="2:52" ht="24.9" customHeight="1">
      <c r="B27" s="2252"/>
      <c r="C27" s="2259"/>
      <c r="D27" s="2338" t="s">
        <v>825</v>
      </c>
      <c r="E27" s="2339"/>
      <c r="F27" s="2263" t="s">
        <v>831</v>
      </c>
      <c r="G27" s="2259"/>
      <c r="H27" s="2340" t="s">
        <v>833</v>
      </c>
      <c r="I27" s="2341"/>
      <c r="J27" s="2263" t="s">
        <v>836</v>
      </c>
      <c r="K27" s="2259"/>
      <c r="L27" s="2921" t="s">
        <v>838</v>
      </c>
      <c r="M27" s="2922"/>
      <c r="N27" s="2263"/>
      <c r="O27" s="2259" t="s">
        <v>843</v>
      </c>
      <c r="P27" s="2261"/>
      <c r="Q27" s="2259"/>
      <c r="R27" s="2263"/>
      <c r="S27" s="2259"/>
      <c r="T27" s="2259"/>
      <c r="U27" s="2259"/>
      <c r="V27" s="2259"/>
      <c r="W27" s="2259"/>
      <c r="X27" s="2259"/>
      <c r="Y27" s="2259"/>
      <c r="Z27" s="2259"/>
      <c r="AA27" s="2259"/>
      <c r="AB27" s="2259"/>
      <c r="AC27" s="2259"/>
      <c r="AD27" s="2263"/>
      <c r="AE27" s="2247"/>
      <c r="AS27" s="2272" t="s">
        <v>882</v>
      </c>
      <c r="AT27" s="2273"/>
      <c r="AU27" s="2335">
        <f>AU19+AU20-AU17-AU18</f>
        <v>188.95908645000003</v>
      </c>
      <c r="AV27" s="2284">
        <f>AV19+AV20-AV17-AV18</f>
        <v>0</v>
      </c>
      <c r="AW27" s="2274"/>
      <c r="AX27" s="2275"/>
      <c r="AY27" s="2274"/>
      <c r="AZ27" s="2240"/>
    </row>
    <row r="28" spans="2:52" ht="24.9" customHeight="1">
      <c r="B28" s="2301"/>
      <c r="C28" s="2304"/>
      <c r="D28" s="2342" t="s">
        <v>826</v>
      </c>
      <c r="E28" s="2343"/>
      <c r="F28" s="2309" t="s">
        <v>972</v>
      </c>
      <c r="G28" s="2262"/>
      <c r="H28" s="2344" t="s">
        <v>826</v>
      </c>
      <c r="I28" s="2345"/>
      <c r="J28" s="2309" t="s">
        <v>972</v>
      </c>
      <c r="K28" s="2262"/>
      <c r="L28" s="2923" t="s">
        <v>826</v>
      </c>
      <c r="M28" s="2924"/>
      <c r="N28" s="2304"/>
      <c r="O28" s="2261"/>
      <c r="P28" s="2290"/>
      <c r="Q28" s="2261"/>
      <c r="R28" s="2259"/>
      <c r="S28" s="2265"/>
      <c r="T28" s="2259"/>
      <c r="U28" s="2259"/>
      <c r="V28" s="2259"/>
      <c r="W28" s="2259"/>
      <c r="X28" s="2259"/>
      <c r="Y28" s="2259"/>
      <c r="Z28" s="2259"/>
      <c r="AA28" s="2259"/>
      <c r="AB28" s="2259"/>
      <c r="AC28" s="2259"/>
      <c r="AD28" s="2263"/>
      <c r="AE28" s="2247"/>
      <c r="AS28" s="2272" t="s">
        <v>883</v>
      </c>
      <c r="AT28" s="2273"/>
      <c r="AU28" s="2274"/>
      <c r="AV28" s="2275"/>
      <c r="AW28" s="2274"/>
      <c r="AX28" s="2284">
        <f>AX15</f>
        <v>3140</v>
      </c>
      <c r="AY28" s="2274"/>
      <c r="AZ28" s="2240"/>
    </row>
    <row r="29" spans="2:52" ht="24.9" customHeight="1" thickBot="1">
      <c r="B29" s="2312"/>
      <c r="C29" s="2346"/>
      <c r="D29" s="2261"/>
      <c r="E29" s="2261"/>
      <c r="F29" s="2288" t="s">
        <v>814</v>
      </c>
      <c r="G29" s="2289">
        <f ca="1">K29</f>
        <v>58219.354838709674</v>
      </c>
      <c r="H29" s="2261" t="s">
        <v>824</v>
      </c>
      <c r="I29" s="2261"/>
      <c r="J29" s="2288" t="s">
        <v>814</v>
      </c>
      <c r="K29" s="2289">
        <f ca="1">AT_!DJ43*1000</f>
        <v>58219.354838709674</v>
      </c>
      <c r="L29" s="2261" t="s">
        <v>824</v>
      </c>
      <c r="M29" s="2282" t="s">
        <v>841</v>
      </c>
      <c r="N29" s="2259"/>
      <c r="O29" s="2259"/>
      <c r="P29" s="2259"/>
      <c r="Q29" s="2259"/>
      <c r="R29" s="2289"/>
      <c r="S29" s="2288"/>
      <c r="T29" s="2278"/>
      <c r="U29" s="2259"/>
      <c r="V29" s="2259"/>
      <c r="W29" s="2259"/>
      <c r="X29" s="2259"/>
      <c r="Y29" s="2259"/>
      <c r="Z29" s="2259"/>
      <c r="AA29" s="2259"/>
      <c r="AB29" s="2259"/>
      <c r="AC29" s="2259"/>
      <c r="AD29" s="2263"/>
      <c r="AE29" s="2247"/>
      <c r="AS29" s="2272" t="s">
        <v>884</v>
      </c>
      <c r="AT29" s="2273"/>
      <c r="AU29" s="2274"/>
      <c r="AV29" s="2275"/>
      <c r="AW29" s="2274"/>
      <c r="AX29" s="2284">
        <f>AX16</f>
        <v>76.099999999999994</v>
      </c>
      <c r="AY29" s="2274"/>
      <c r="AZ29" s="2240"/>
    </row>
    <row r="30" spans="2:52" ht="24.9" customHeight="1" thickTop="1">
      <c r="B30" s="2312"/>
      <c r="C30" s="2320"/>
      <c r="D30" s="2259"/>
      <c r="E30" s="2259"/>
      <c r="F30" s="2288" t="s">
        <v>818</v>
      </c>
      <c r="G30" s="2313">
        <f>AT_!AJ42</f>
        <v>1.7</v>
      </c>
      <c r="H30" s="2259"/>
      <c r="I30" s="2259"/>
      <c r="J30" s="2288" t="s">
        <v>818</v>
      </c>
      <c r="K30" s="2321">
        <f>AT_!AH42</f>
        <v>3.3</v>
      </c>
      <c r="L30" s="2259"/>
      <c r="M30" s="2277" t="s">
        <v>814</v>
      </c>
      <c r="N30" s="2279">
        <f>P24</f>
        <v>11.326459763084504</v>
      </c>
      <c r="O30" s="2259" t="s">
        <v>940</v>
      </c>
      <c r="P30" s="2259"/>
      <c r="Q30" s="2259"/>
      <c r="R30" s="2259"/>
      <c r="S30" s="2288"/>
      <c r="T30" s="2278"/>
      <c r="U30" s="2259"/>
      <c r="V30" s="2259"/>
      <c r="W30" s="2259"/>
      <c r="X30" s="2259"/>
      <c r="Y30" s="2259"/>
      <c r="Z30" s="2259"/>
      <c r="AA30" s="2259"/>
      <c r="AB30" s="2259"/>
      <c r="AC30" s="2259"/>
      <c r="AD30" s="2263"/>
      <c r="AE30" s="2247"/>
      <c r="AS30" s="2267"/>
      <c r="AT30" s="2267"/>
      <c r="AU30" s="2267"/>
      <c r="AV30" s="2267"/>
      <c r="AW30" s="2267"/>
      <c r="AX30" s="2267"/>
      <c r="AY30" s="2267"/>
    </row>
    <row r="31" spans="2:52" ht="24.9" customHeight="1">
      <c r="B31" s="2312"/>
      <c r="C31" s="2346"/>
      <c r="D31" s="2259"/>
      <c r="E31" s="2259"/>
      <c r="F31" s="2288" t="s">
        <v>816</v>
      </c>
      <c r="G31" s="2290">
        <f ca="1">G29*63*G30/100</f>
        <v>62352.929032258056</v>
      </c>
      <c r="H31" s="2259" t="s">
        <v>822</v>
      </c>
      <c r="I31" s="2259"/>
      <c r="J31" s="2288" t="s">
        <v>816</v>
      </c>
      <c r="K31" s="2290">
        <f ca="1">K29*63*K30/100</f>
        <v>121038.03870967741</v>
      </c>
      <c r="L31" s="2259" t="s">
        <v>822</v>
      </c>
      <c r="M31" s="2277" t="s">
        <v>815</v>
      </c>
      <c r="N31" s="2285">
        <f>AT_!L42</f>
        <v>173</v>
      </c>
      <c r="O31" s="2259" t="s">
        <v>821</v>
      </c>
      <c r="P31" s="2259"/>
      <c r="Q31" s="2259"/>
      <c r="R31" s="2259"/>
      <c r="S31" s="2288"/>
      <c r="T31" s="2259"/>
      <c r="U31" s="2259"/>
      <c r="V31" s="2259"/>
      <c r="W31" s="2259"/>
      <c r="X31" s="2259"/>
      <c r="Y31" s="2259"/>
      <c r="Z31" s="2259"/>
      <c r="AA31" s="2259"/>
      <c r="AB31" s="2259"/>
      <c r="AC31" s="2259"/>
      <c r="AD31" s="2263"/>
      <c r="AE31" s="2247"/>
      <c r="AS31" s="2347" t="s">
        <v>848</v>
      </c>
      <c r="AT31" s="2347"/>
      <c r="AU31" s="2347"/>
      <c r="AV31" s="2347"/>
      <c r="AW31" s="2347"/>
      <c r="AX31" s="2347"/>
      <c r="AY31" s="2347"/>
    </row>
    <row r="32" spans="2:52" ht="24.9" customHeight="1">
      <c r="B32" s="2312"/>
      <c r="C32" s="2348"/>
      <c r="D32" s="2259"/>
      <c r="E32" s="2259"/>
      <c r="F32" s="2288"/>
      <c r="G32" s="2261"/>
      <c r="H32" s="2259"/>
      <c r="I32" s="2259"/>
      <c r="J32" s="2259"/>
      <c r="K32" s="2261"/>
      <c r="L32" s="2259"/>
      <c r="M32" s="2277" t="s">
        <v>816</v>
      </c>
      <c r="N32" s="2290">
        <f>N31*N30*8.34</f>
        <v>16342.042675373585</v>
      </c>
      <c r="O32" s="2259" t="s">
        <v>840</v>
      </c>
      <c r="P32" s="2259"/>
      <c r="Q32" s="2259"/>
      <c r="R32" s="2259"/>
      <c r="S32" s="2288"/>
      <c r="T32" s="2259"/>
      <c r="U32" s="2259"/>
      <c r="V32" s="2259"/>
      <c r="W32" s="2259"/>
      <c r="X32" s="2259"/>
      <c r="Y32" s="2259"/>
      <c r="Z32" s="2259"/>
      <c r="AA32" s="2259"/>
      <c r="AB32" s="2259"/>
      <c r="AC32" s="2259"/>
      <c r="AD32" s="2263"/>
      <c r="AE32" s="2247"/>
      <c r="AS32" s="2347" t="s">
        <v>849</v>
      </c>
      <c r="AT32" s="2347"/>
      <c r="AU32" s="2347"/>
      <c r="AV32" s="2347"/>
      <c r="AW32" s="2347"/>
      <c r="AX32" s="2347"/>
      <c r="AY32" s="2347"/>
    </row>
    <row r="33" spans="2:51" ht="24.9" customHeight="1">
      <c r="B33" s="2252"/>
      <c r="C33" s="2263"/>
      <c r="D33" s="2259"/>
      <c r="E33" s="2259"/>
      <c r="F33" s="2259"/>
      <c r="G33" s="2259"/>
      <c r="H33" s="2265" t="s">
        <v>834</v>
      </c>
      <c r="I33" s="2259"/>
      <c r="J33" s="2259"/>
      <c r="K33" s="2259"/>
      <c r="L33" s="2259"/>
      <c r="M33" s="2261"/>
      <c r="N33" s="2290"/>
      <c r="O33" s="2261"/>
      <c r="P33" s="2261"/>
      <c r="Q33" s="2261"/>
      <c r="R33" s="2261"/>
      <c r="S33" s="2261"/>
      <c r="T33" s="2261"/>
      <c r="U33" s="2261"/>
      <c r="V33" s="2261"/>
      <c r="W33" s="2261"/>
      <c r="X33" s="2261"/>
      <c r="Y33" s="2261"/>
      <c r="Z33" s="2261"/>
      <c r="AA33" s="2261"/>
      <c r="AB33" s="2261"/>
      <c r="AC33" s="2261"/>
      <c r="AD33" s="2259"/>
      <c r="AE33" s="2247"/>
      <c r="AS33" s="2347"/>
      <c r="AT33" s="2347"/>
      <c r="AU33" s="2347"/>
      <c r="AV33" s="2347"/>
      <c r="AW33" s="2347"/>
      <c r="AX33" s="2347"/>
      <c r="AY33" s="2347"/>
    </row>
    <row r="34" spans="2:51" ht="24.9" customHeight="1">
      <c r="B34" s="2252"/>
      <c r="C34" s="2263"/>
      <c r="D34" s="2349" t="s">
        <v>827</v>
      </c>
      <c r="E34" s="2350"/>
      <c r="F34" s="2263"/>
      <c r="G34" s="2288"/>
      <c r="H34" s="2288" t="s">
        <v>818</v>
      </c>
      <c r="I34" s="2279">
        <f>DW_!E42</f>
        <v>23.2</v>
      </c>
      <c r="J34" s="2288"/>
      <c r="K34" s="2259"/>
      <c r="L34" s="2259"/>
      <c r="M34" s="2259"/>
      <c r="N34" s="2289"/>
      <c r="O34" s="2259"/>
      <c r="P34" s="2259"/>
      <c r="Q34" s="2259"/>
      <c r="R34" s="2259"/>
      <c r="S34" s="2259"/>
      <c r="T34" s="2259"/>
      <c r="U34" s="2259"/>
      <c r="V34" s="2259"/>
      <c r="W34" s="2259"/>
      <c r="X34" s="2259"/>
      <c r="Y34" s="2259"/>
      <c r="Z34" s="2259"/>
      <c r="AA34" s="2259"/>
      <c r="AB34" s="2259"/>
      <c r="AC34" s="2259"/>
      <c r="AD34" s="2259"/>
      <c r="AE34" s="2247"/>
      <c r="AS34" s="2351" t="s">
        <v>885</v>
      </c>
      <c r="AT34" s="2351">
        <v>1.6</v>
      </c>
      <c r="AU34" s="2347"/>
      <c r="AV34" s="2347"/>
      <c r="AW34" s="2347"/>
      <c r="AX34" s="2347"/>
      <c r="AY34" s="2347"/>
    </row>
    <row r="35" spans="2:51" ht="24.9" customHeight="1">
      <c r="B35" s="2252"/>
      <c r="C35" s="2261"/>
      <c r="D35" s="2352" t="s">
        <v>828</v>
      </c>
      <c r="E35" s="2353"/>
      <c r="F35" s="2260"/>
      <c r="G35" s="2354"/>
      <c r="H35" s="2288" t="s">
        <v>816</v>
      </c>
      <c r="I35" s="2290">
        <f>C25-F39</f>
        <v>57345.162144213238</v>
      </c>
      <c r="J35" s="2259" t="s">
        <v>822</v>
      </c>
      <c r="K35" s="2259"/>
      <c r="L35" s="2259"/>
      <c r="M35" s="2259"/>
      <c r="N35" s="2259">
        <f>0.6484*1000000/1440</f>
        <v>450.27777777777777</v>
      </c>
      <c r="O35" s="2259"/>
      <c r="P35" s="2259"/>
      <c r="Q35" s="2259"/>
      <c r="R35" s="2259"/>
      <c r="S35" s="2259"/>
      <c r="T35" s="2259"/>
      <c r="U35" s="2259"/>
      <c r="V35" s="2259"/>
      <c r="W35" s="2259"/>
      <c r="X35" s="2259"/>
      <c r="Y35" s="2259"/>
      <c r="Z35" s="2259"/>
      <c r="AA35" s="2259"/>
      <c r="AB35" s="2259"/>
      <c r="AC35" s="2259"/>
      <c r="AD35" s="2259"/>
      <c r="AE35" s="2247"/>
      <c r="AS35" s="2351" t="s">
        <v>885</v>
      </c>
      <c r="AT35" s="2351">
        <v>2.2000000000000002</v>
      </c>
      <c r="AU35" s="2347"/>
      <c r="AV35" s="2347"/>
      <c r="AW35" s="2347"/>
      <c r="AX35" s="2347"/>
      <c r="AY35" s="2347"/>
    </row>
    <row r="36" spans="2:51" ht="24.9" customHeight="1">
      <c r="B36" s="2312"/>
      <c r="C36" s="2288"/>
      <c r="D36" s="2261"/>
      <c r="E36" s="2282" t="s">
        <v>1343</v>
      </c>
      <c r="F36" s="2259"/>
      <c r="G36" s="2288"/>
      <c r="H36" s="2288" t="s">
        <v>829</v>
      </c>
      <c r="I36" s="2313">
        <f>I35/2000</f>
        <v>28.67258107210662</v>
      </c>
      <c r="J36" s="2259"/>
      <c r="K36" s="2259"/>
      <c r="L36" s="2259"/>
      <c r="M36" s="2259"/>
      <c r="N36" s="2259"/>
      <c r="O36" s="2259"/>
      <c r="P36" s="2259"/>
      <c r="Q36" s="2259"/>
      <c r="R36" s="2259"/>
      <c r="S36" s="2259"/>
      <c r="T36" s="2259"/>
      <c r="U36" s="2259"/>
      <c r="V36" s="2259"/>
      <c r="W36" s="2259"/>
      <c r="X36" s="2259"/>
      <c r="Y36" s="2259"/>
      <c r="Z36" s="2259"/>
      <c r="AA36" s="2259"/>
      <c r="AB36" s="2259"/>
      <c r="AC36" s="2259"/>
      <c r="AD36" s="2259"/>
      <c r="AE36" s="2247"/>
    </row>
    <row r="37" spans="2:51" ht="24.9" customHeight="1">
      <c r="B37" s="2312"/>
      <c r="C37" s="2288"/>
      <c r="D37" s="2259"/>
      <c r="E37" s="2277" t="s">
        <v>814</v>
      </c>
      <c r="F37" s="2355">
        <f>+PT_!BP48</f>
        <v>0.1590260220786465</v>
      </c>
      <c r="G37" s="2259" t="s">
        <v>940</v>
      </c>
      <c r="H37" s="2259"/>
      <c r="I37" s="2261"/>
      <c r="J37" s="2259"/>
      <c r="K37" s="2259"/>
      <c r="L37" s="2259"/>
      <c r="M37" s="2259"/>
      <c r="N37" s="2259"/>
      <c r="O37" s="2259"/>
      <c r="P37" s="2259"/>
      <c r="Q37" s="2259"/>
      <c r="R37" s="2259"/>
      <c r="S37" s="2259"/>
      <c r="T37" s="2259"/>
      <c r="U37" s="2259"/>
      <c r="V37" s="2259"/>
      <c r="W37" s="2259"/>
      <c r="X37" s="2259"/>
      <c r="Y37" s="2259"/>
      <c r="Z37" s="2259"/>
      <c r="AA37" s="2259"/>
      <c r="AB37" s="2259"/>
      <c r="AC37" s="2259"/>
      <c r="AD37" s="2259"/>
      <c r="AE37" s="2247"/>
    </row>
    <row r="38" spans="2:51" ht="24.9" customHeight="1">
      <c r="B38" s="2312"/>
      <c r="C38" s="2288"/>
      <c r="D38" s="2259"/>
      <c r="E38" s="2288" t="s">
        <v>1176</v>
      </c>
      <c r="F38" s="2285">
        <f>+DW_!I42</f>
        <v>3140</v>
      </c>
      <c r="G38" s="2259" t="s">
        <v>1175</v>
      </c>
      <c r="H38" s="2259" t="s">
        <v>829</v>
      </c>
      <c r="I38" s="2356">
        <f>+DW_!AE43</f>
        <v>15.2</v>
      </c>
      <c r="J38" s="2259" t="s">
        <v>1177</v>
      </c>
      <c r="K38" s="2259"/>
      <c r="L38" s="2259"/>
      <c r="M38" s="2259"/>
      <c r="N38" s="2259"/>
      <c r="O38" s="2259"/>
      <c r="P38" s="2259"/>
      <c r="Q38" s="2259"/>
      <c r="R38" s="2259"/>
      <c r="S38" s="2259"/>
      <c r="T38" s="2259"/>
      <c r="U38" s="2259"/>
      <c r="V38" s="2259"/>
      <c r="W38" s="2259"/>
      <c r="X38" s="2259"/>
      <c r="Y38" s="2259"/>
      <c r="Z38" s="2259"/>
      <c r="AA38" s="2259"/>
      <c r="AB38" s="2259"/>
      <c r="AC38" s="2259"/>
      <c r="AD38" s="2259"/>
      <c r="AE38" s="2247"/>
    </row>
    <row r="39" spans="2:51" ht="24.9" customHeight="1">
      <c r="B39" s="2252"/>
      <c r="C39" s="2259"/>
      <c r="D39" s="2259"/>
      <c r="E39" s="2288" t="s">
        <v>816</v>
      </c>
      <c r="F39" s="2290">
        <f>+F38*F37*8.34</f>
        <v>4164.5098557867623</v>
      </c>
      <c r="G39" s="2259" t="s">
        <v>822</v>
      </c>
      <c r="H39" s="2259"/>
      <c r="I39" s="2259"/>
      <c r="J39" s="2259"/>
      <c r="K39" s="2259"/>
      <c r="L39" s="2259"/>
      <c r="M39" s="2259"/>
      <c r="N39" s="2259"/>
      <c r="O39" s="2259"/>
      <c r="P39" s="2259"/>
      <c r="Q39" s="2259"/>
      <c r="R39" s="2259" t="s">
        <v>847</v>
      </c>
      <c r="S39" s="2288"/>
      <c r="T39" s="2259"/>
      <c r="U39" s="2259"/>
      <c r="V39" s="2259"/>
      <c r="W39" s="2259"/>
      <c r="X39" s="2259"/>
      <c r="Y39" s="2259"/>
      <c r="Z39" s="2259"/>
      <c r="AA39" s="2259"/>
      <c r="AB39" s="2259"/>
      <c r="AC39" s="2259"/>
      <c r="AD39" s="2259"/>
      <c r="AE39" s="2247"/>
    </row>
    <row r="40" spans="2:51" ht="21.9" customHeight="1">
      <c r="B40" s="2252"/>
      <c r="C40" s="2259"/>
      <c r="D40" s="2259"/>
      <c r="E40" s="2288" t="s">
        <v>829</v>
      </c>
      <c r="F40" s="2313">
        <f>F39/2000</f>
        <v>2.0822549278933811</v>
      </c>
      <c r="G40" s="2259"/>
      <c r="H40" s="2259"/>
      <c r="I40" s="2259"/>
      <c r="J40" s="2259"/>
      <c r="K40" s="2259"/>
      <c r="L40" s="2259"/>
      <c r="M40" s="2259"/>
      <c r="N40" s="2259"/>
      <c r="O40" s="2259"/>
      <c r="P40" s="2259"/>
      <c r="Q40" s="2259"/>
      <c r="R40" s="2259" t="s">
        <v>848</v>
      </c>
      <c r="S40" s="2288"/>
      <c r="T40" s="2259"/>
      <c r="U40" s="2259"/>
      <c r="V40" s="2259"/>
      <c r="W40" s="2259"/>
      <c r="X40" s="2259"/>
      <c r="Y40" s="2259"/>
      <c r="Z40" s="2259"/>
      <c r="AA40" s="2259"/>
      <c r="AB40" s="2259"/>
      <c r="AC40" s="2259"/>
      <c r="AD40" s="2259"/>
      <c r="AE40" s="2247"/>
    </row>
    <row r="41" spans="2:51">
      <c r="B41" s="2252"/>
      <c r="C41" s="2259"/>
      <c r="D41" s="2259"/>
      <c r="E41" s="2288"/>
      <c r="F41" s="2354"/>
      <c r="G41" s="2259"/>
      <c r="H41" s="2259"/>
      <c r="I41" s="2259"/>
      <c r="J41" s="2259"/>
      <c r="K41" s="2259"/>
      <c r="L41" s="2259"/>
      <c r="M41" s="2259"/>
      <c r="N41" s="2259"/>
      <c r="O41" s="2259"/>
      <c r="P41" s="2259"/>
      <c r="Q41" s="2259"/>
      <c r="R41" s="2259" t="s">
        <v>849</v>
      </c>
      <c r="S41" s="2288"/>
      <c r="T41" s="2259"/>
      <c r="U41" s="2259"/>
      <c r="V41" s="2259"/>
      <c r="W41" s="2259"/>
      <c r="X41" s="2259"/>
      <c r="Y41" s="2259"/>
      <c r="Z41" s="2259"/>
      <c r="AA41" s="2259"/>
      <c r="AB41" s="2259"/>
      <c r="AC41" s="2259"/>
      <c r="AD41" s="2259"/>
      <c r="AE41" s="2247"/>
    </row>
  </sheetData>
  <mergeCells count="3">
    <mergeCell ref="I5:J5"/>
    <mergeCell ref="L27:M27"/>
    <mergeCell ref="L28:M28"/>
  </mergeCells>
  <printOptions horizontalCentered="1" verticalCentered="1"/>
  <pageMargins left="0.17" right="0.17" top="0.5" bottom="0.45" header="0" footer="0"/>
  <pageSetup scale="46" orientation="landscape" r:id="rId1"/>
  <headerFooter alignWithMargins="0"/>
  <colBreaks count="1" manualBreakCount="1">
    <brk id="30" max="40"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BA46"/>
  <sheetViews>
    <sheetView showGridLines="0" defaultGridColor="0" colorId="59" zoomScale="75" zoomScaleNormal="75" workbookViewId="0">
      <selection activeCell="H34" sqref="H34"/>
    </sheetView>
  </sheetViews>
  <sheetFormatPr defaultColWidth="9.6328125" defaultRowHeight="15"/>
  <cols>
    <col min="1" max="1" width="13.6328125" style="21" customWidth="1"/>
    <col min="2" max="16384" width="9.6328125" style="21"/>
  </cols>
  <sheetData>
    <row r="2" spans="1:53" ht="15.6">
      <c r="A2" s="53" t="s">
        <v>774</v>
      </c>
    </row>
    <row r="3" spans="1:53" ht="17.399999999999999">
      <c r="A3" s="60" t="s">
        <v>944</v>
      </c>
      <c r="B3" s="61"/>
      <c r="C3" s="62"/>
      <c r="D3" s="62"/>
      <c r="E3" s="62" t="s">
        <v>788</v>
      </c>
      <c r="F3" s="62"/>
      <c r="G3" s="62"/>
      <c r="H3" s="62"/>
      <c r="I3" s="62"/>
      <c r="J3" s="62"/>
      <c r="K3" s="62"/>
      <c r="L3" s="62"/>
      <c r="M3" s="62"/>
      <c r="N3" s="62"/>
      <c r="O3" s="62"/>
      <c r="P3" s="62"/>
      <c r="Q3" s="62"/>
      <c r="R3" s="62"/>
      <c r="S3" s="62"/>
      <c r="T3" s="62"/>
      <c r="U3" s="62"/>
      <c r="V3" s="62"/>
      <c r="W3" s="61"/>
      <c r="X3" s="62"/>
      <c r="Y3" s="62"/>
      <c r="Z3" s="62"/>
      <c r="AA3" s="62"/>
      <c r="AB3" s="62" t="s">
        <v>800</v>
      </c>
      <c r="AC3" s="62"/>
      <c r="AD3" s="62"/>
      <c r="AE3" s="62"/>
      <c r="AF3" s="62"/>
      <c r="AG3" s="62"/>
      <c r="AH3" s="62"/>
      <c r="AI3" s="62"/>
      <c r="AJ3" s="62"/>
      <c r="AK3" s="62"/>
      <c r="AL3" s="62"/>
      <c r="AM3" s="62"/>
      <c r="AN3" s="62"/>
      <c r="AO3" s="62"/>
      <c r="AP3" s="62"/>
      <c r="AQ3" s="62"/>
      <c r="AR3" s="63"/>
      <c r="AS3" s="2"/>
      <c r="AT3" s="2"/>
      <c r="AU3" s="2"/>
      <c r="AV3" s="2"/>
      <c r="AW3" s="2"/>
      <c r="AX3" s="2"/>
      <c r="AY3" s="2"/>
      <c r="AZ3" s="2"/>
    </row>
    <row r="4" spans="1:53" ht="17.399999999999999">
      <c r="A4" s="64" t="s">
        <v>775</v>
      </c>
      <c r="B4" s="65"/>
      <c r="C4" s="66"/>
      <c r="D4" s="66"/>
      <c r="E4" s="66"/>
      <c r="F4" s="66"/>
      <c r="G4" s="66"/>
      <c r="H4" s="66"/>
      <c r="I4" s="66" t="s">
        <v>792</v>
      </c>
      <c r="J4" s="66"/>
      <c r="K4" s="66"/>
      <c r="L4" s="66"/>
      <c r="M4" s="66"/>
      <c r="N4" s="66"/>
      <c r="O4" s="66"/>
      <c r="P4" s="66"/>
      <c r="Q4" s="66"/>
      <c r="R4" s="66"/>
      <c r="S4" s="66"/>
      <c r="T4" s="66"/>
      <c r="U4" s="66"/>
      <c r="V4" s="66"/>
      <c r="W4" s="65"/>
      <c r="X4" s="66"/>
      <c r="Y4" s="66"/>
      <c r="Z4" s="66"/>
      <c r="AA4" s="66"/>
      <c r="AB4" s="66"/>
      <c r="AC4" s="66"/>
      <c r="AD4" s="66"/>
      <c r="AE4" s="66"/>
      <c r="AF4" s="66"/>
      <c r="AG4" s="66"/>
      <c r="AH4" s="66"/>
      <c r="AI4" s="66"/>
      <c r="AJ4" s="66"/>
      <c r="AK4" s="66"/>
      <c r="AL4" s="66"/>
      <c r="AM4" s="66"/>
      <c r="AN4" s="66"/>
      <c r="AO4" s="66"/>
      <c r="AP4" s="66"/>
      <c r="AQ4" s="66"/>
      <c r="AR4" s="63"/>
      <c r="AS4" s="73" t="s">
        <v>804</v>
      </c>
      <c r="AT4" s="74"/>
      <c r="AU4" s="74"/>
      <c r="AV4" s="74"/>
      <c r="AW4" s="74"/>
      <c r="AX4" s="74"/>
      <c r="AY4" s="74"/>
      <c r="AZ4" s="74"/>
    </row>
    <row r="5" spans="1:53" ht="17.399999999999999">
      <c r="A5" s="188">
        <f>DMREZ!I5</f>
        <v>42370</v>
      </c>
      <c r="B5" s="75"/>
      <c r="C5" s="76" t="s">
        <v>783</v>
      </c>
      <c r="D5" s="62"/>
      <c r="E5" s="62"/>
      <c r="F5" s="62"/>
      <c r="G5" s="77"/>
      <c r="H5" s="78" t="s">
        <v>791</v>
      </c>
      <c r="I5" s="62"/>
      <c r="J5" s="78"/>
      <c r="K5" s="78"/>
      <c r="L5" s="77"/>
      <c r="M5" s="78"/>
      <c r="N5" s="78" t="s">
        <v>793</v>
      </c>
      <c r="O5" s="78"/>
      <c r="P5" s="78"/>
      <c r="Q5" s="78"/>
      <c r="R5" s="79"/>
      <c r="S5" s="76" t="s">
        <v>796</v>
      </c>
      <c r="T5" s="76"/>
      <c r="U5" s="76"/>
      <c r="V5" s="76"/>
      <c r="W5" s="61"/>
      <c r="X5" s="62"/>
      <c r="Y5" s="62" t="s">
        <v>797</v>
      </c>
      <c r="Z5" s="62"/>
      <c r="AA5" s="62"/>
      <c r="AB5" s="80"/>
      <c r="AC5" s="62" t="s">
        <v>801</v>
      </c>
      <c r="AD5" s="62"/>
      <c r="AE5" s="62"/>
      <c r="AF5" s="62"/>
      <c r="AG5" s="80"/>
      <c r="AH5" s="62"/>
      <c r="AI5" s="62" t="s">
        <v>802</v>
      </c>
      <c r="AJ5" s="62"/>
      <c r="AK5" s="62"/>
      <c r="AL5" s="81"/>
      <c r="AM5" s="80" t="s">
        <v>803</v>
      </c>
      <c r="AN5" s="62"/>
      <c r="AO5" s="62"/>
      <c r="AP5" s="62"/>
      <c r="AQ5" s="62"/>
      <c r="AR5" s="63"/>
      <c r="AS5" s="74"/>
      <c r="AT5" s="74"/>
      <c r="AU5" s="74"/>
      <c r="AV5" s="74"/>
      <c r="AW5" s="74"/>
      <c r="AX5" s="74"/>
      <c r="AY5" s="82" t="s">
        <v>810</v>
      </c>
      <c r="AZ5" s="82"/>
      <c r="BA5" s="46"/>
    </row>
    <row r="6" spans="1:53" ht="17.399999999999999">
      <c r="A6" s="83" t="s">
        <v>975</v>
      </c>
      <c r="B6" s="84" t="s">
        <v>782</v>
      </c>
      <c r="C6" s="85" t="s">
        <v>784</v>
      </c>
      <c r="D6" s="85" t="s">
        <v>787</v>
      </c>
      <c r="E6" s="85" t="s">
        <v>789</v>
      </c>
      <c r="F6" s="85" t="s">
        <v>790</v>
      </c>
      <c r="G6" s="86" t="s">
        <v>782</v>
      </c>
      <c r="H6" s="85" t="s">
        <v>784</v>
      </c>
      <c r="I6" s="85" t="s">
        <v>787</v>
      </c>
      <c r="J6" s="85" t="s">
        <v>789</v>
      </c>
      <c r="K6" s="85" t="s">
        <v>790</v>
      </c>
      <c r="L6" s="86" t="s">
        <v>782</v>
      </c>
      <c r="M6" s="85" t="s">
        <v>784</v>
      </c>
      <c r="N6" s="85" t="s">
        <v>787</v>
      </c>
      <c r="O6" s="85" t="s">
        <v>789</v>
      </c>
      <c r="P6" s="85" t="s">
        <v>790</v>
      </c>
      <c r="Q6" s="85" t="s">
        <v>794</v>
      </c>
      <c r="R6" s="85" t="s">
        <v>795</v>
      </c>
      <c r="S6" s="85" t="s">
        <v>784</v>
      </c>
      <c r="T6" s="85" t="s">
        <v>787</v>
      </c>
      <c r="U6" s="85" t="s">
        <v>789</v>
      </c>
      <c r="V6" s="85" t="s">
        <v>790</v>
      </c>
      <c r="W6" s="84" t="s">
        <v>795</v>
      </c>
      <c r="X6" s="85" t="s">
        <v>784</v>
      </c>
      <c r="Y6" s="85" t="s">
        <v>787</v>
      </c>
      <c r="Z6" s="85" t="s">
        <v>789</v>
      </c>
      <c r="AA6" s="85" t="s">
        <v>790</v>
      </c>
      <c r="AB6" s="86" t="s">
        <v>795</v>
      </c>
      <c r="AC6" s="85" t="s">
        <v>784</v>
      </c>
      <c r="AD6" s="85" t="s">
        <v>787</v>
      </c>
      <c r="AE6" s="85" t="s">
        <v>789</v>
      </c>
      <c r="AF6" s="85" t="s">
        <v>790</v>
      </c>
      <c r="AG6" s="86" t="s">
        <v>795</v>
      </c>
      <c r="AH6" s="85" t="s">
        <v>784</v>
      </c>
      <c r="AI6" s="85" t="s">
        <v>787</v>
      </c>
      <c r="AJ6" s="85" t="s">
        <v>789</v>
      </c>
      <c r="AK6" s="85" t="s">
        <v>790</v>
      </c>
      <c r="AL6" s="85" t="s">
        <v>794</v>
      </c>
      <c r="AM6" s="86" t="s">
        <v>795</v>
      </c>
      <c r="AN6" s="85" t="s">
        <v>784</v>
      </c>
      <c r="AO6" s="85" t="s">
        <v>787</v>
      </c>
      <c r="AP6" s="85" t="s">
        <v>789</v>
      </c>
      <c r="AQ6" s="85" t="s">
        <v>790</v>
      </c>
      <c r="AR6" s="63"/>
      <c r="AS6" s="87" t="s">
        <v>805</v>
      </c>
      <c r="AT6" s="88"/>
      <c r="AU6" s="87" t="s">
        <v>797</v>
      </c>
      <c r="AV6" s="88"/>
      <c r="AW6" s="87" t="s">
        <v>808</v>
      </c>
      <c r="AX6" s="88"/>
      <c r="AY6" s="82" t="s">
        <v>801</v>
      </c>
      <c r="AZ6" s="82"/>
      <c r="BA6" s="46"/>
    </row>
    <row r="7" spans="1:53" ht="18" thickBot="1">
      <c r="A7" s="65"/>
      <c r="B7" s="65">
        <v>6</v>
      </c>
      <c r="C7" s="89">
        <v>10</v>
      </c>
      <c r="D7" s="89">
        <v>15</v>
      </c>
      <c r="E7" s="89">
        <v>20</v>
      </c>
      <c r="F7" s="89">
        <v>26</v>
      </c>
      <c r="G7" s="90">
        <v>6</v>
      </c>
      <c r="H7" s="89">
        <v>10</v>
      </c>
      <c r="I7" s="89">
        <v>15</v>
      </c>
      <c r="J7" s="89">
        <v>20</v>
      </c>
      <c r="K7" s="89">
        <v>26</v>
      </c>
      <c r="L7" s="90">
        <v>6</v>
      </c>
      <c r="M7" s="89">
        <v>10</v>
      </c>
      <c r="N7" s="89">
        <v>15</v>
      </c>
      <c r="O7" s="89">
        <v>20</v>
      </c>
      <c r="P7" s="89">
        <v>26</v>
      </c>
      <c r="Q7" s="89">
        <v>28</v>
      </c>
      <c r="R7" s="90">
        <v>6</v>
      </c>
      <c r="S7" s="89">
        <v>10</v>
      </c>
      <c r="T7" s="89">
        <v>15</v>
      </c>
      <c r="U7" s="89">
        <v>20</v>
      </c>
      <c r="V7" s="89">
        <v>26</v>
      </c>
      <c r="W7" s="65">
        <v>6</v>
      </c>
      <c r="X7" s="89">
        <v>10</v>
      </c>
      <c r="Y7" s="91">
        <v>15</v>
      </c>
      <c r="Z7" s="91">
        <v>20</v>
      </c>
      <c r="AA7" s="91">
        <v>26</v>
      </c>
      <c r="AB7" s="90">
        <v>6</v>
      </c>
      <c r="AC7" s="89">
        <v>10</v>
      </c>
      <c r="AD7" s="91">
        <v>15</v>
      </c>
      <c r="AE7" s="91">
        <v>20</v>
      </c>
      <c r="AF7" s="91">
        <v>26</v>
      </c>
      <c r="AG7" s="90">
        <v>6</v>
      </c>
      <c r="AH7" s="89">
        <v>10</v>
      </c>
      <c r="AI7" s="91">
        <v>15</v>
      </c>
      <c r="AJ7" s="91">
        <v>20</v>
      </c>
      <c r="AK7" s="91">
        <v>26</v>
      </c>
      <c r="AL7" s="91">
        <v>28</v>
      </c>
      <c r="AM7" s="90">
        <v>6</v>
      </c>
      <c r="AN7" s="89">
        <v>10</v>
      </c>
      <c r="AO7" s="91">
        <v>15</v>
      </c>
      <c r="AP7" s="91">
        <v>20</v>
      </c>
      <c r="AQ7" s="91">
        <v>26</v>
      </c>
      <c r="AR7" s="63"/>
      <c r="AS7" s="87" t="s">
        <v>806</v>
      </c>
      <c r="AT7" s="87" t="s">
        <v>807</v>
      </c>
      <c r="AU7" s="87" t="s">
        <v>806</v>
      </c>
      <c r="AV7" s="87" t="s">
        <v>807</v>
      </c>
      <c r="AW7" s="87" t="s">
        <v>806</v>
      </c>
      <c r="AX7" s="87" t="s">
        <v>807</v>
      </c>
      <c r="AY7" s="87" t="s">
        <v>806</v>
      </c>
      <c r="AZ7" s="87" t="s">
        <v>807</v>
      </c>
      <c r="BA7" s="46"/>
    </row>
    <row r="8" spans="1:53" ht="18" thickTop="1">
      <c r="A8" s="92">
        <f>DMREZ!D11</f>
        <v>42370</v>
      </c>
      <c r="B8" s="2209">
        <v>2</v>
      </c>
      <c r="C8" s="2231"/>
      <c r="D8" s="94"/>
      <c r="E8" s="94"/>
      <c r="F8" s="94"/>
      <c r="G8" s="2213">
        <v>3</v>
      </c>
      <c r="H8" s="2210"/>
      <c r="I8" s="94"/>
      <c r="J8" s="94"/>
      <c r="K8" s="94"/>
      <c r="L8" s="95"/>
      <c r="M8" s="94"/>
      <c r="N8" s="94"/>
      <c r="O8" s="94"/>
      <c r="P8" s="94"/>
      <c r="Q8" s="94"/>
      <c r="R8" s="2358"/>
      <c r="S8" s="94"/>
      <c r="T8" s="94"/>
      <c r="U8" s="94"/>
      <c r="V8" s="94"/>
      <c r="W8" s="93"/>
      <c r="X8" s="94"/>
      <c r="Y8" s="94"/>
      <c r="Z8" s="94"/>
      <c r="AA8" s="94"/>
      <c r="AB8" s="95"/>
      <c r="AC8" s="94"/>
      <c r="AD8" s="94"/>
      <c r="AE8" s="94"/>
      <c r="AF8" s="94"/>
      <c r="AG8" s="95"/>
      <c r="AH8" s="94"/>
      <c r="AI8" s="94"/>
      <c r="AJ8" s="94"/>
      <c r="AK8" s="94"/>
      <c r="AL8" s="94"/>
      <c r="AM8" s="95"/>
      <c r="AN8" s="94"/>
      <c r="AO8" s="94"/>
      <c r="AP8" s="94"/>
      <c r="AQ8" s="94"/>
      <c r="AR8" s="63"/>
      <c r="AS8" s="26">
        <f t="shared" ref="AS8:AS38" si="0">G8*6+H8*10+I8*15+J8*20+K8*26+AB8*6+AC8*10+AD8*15+AE8*20+AF8*26+0.5*AY8</f>
        <v>18</v>
      </c>
      <c r="AT8" s="26">
        <f t="shared" ref="AT8:AT38" si="1">AS8*27</f>
        <v>486</v>
      </c>
      <c r="AU8" s="26">
        <f t="shared" ref="AU8:AU38" si="2">B8*6+C8*10+D8*15+E8*20+F8*26+W8*6+X8*10+Y8*15+Z8*20+AA8*26+0.5*AY8</f>
        <v>12</v>
      </c>
      <c r="AV8" s="26">
        <f t="shared" ref="AV8:AV38" si="3">AU8*27</f>
        <v>324</v>
      </c>
      <c r="AW8" s="26">
        <f t="shared" ref="AW8:AW38" si="4">R8*6+S8*10+T8*15+U8*20+V8*26+AM8*6+AN8*10+AO8*15+AP8*20+AQ8*26</f>
        <v>0</v>
      </c>
      <c r="AX8" s="26">
        <f t="shared" ref="AX8:AX38" si="5">AW8*27</f>
        <v>0</v>
      </c>
      <c r="AY8" s="26">
        <f t="shared" ref="AY8:AY38" si="6">L8*6+M8*10+N8*15+O8*20+P8*26+AG8*6+AH8*10+AI8*15+AJ8*20+AK8*26</f>
        <v>0</v>
      </c>
      <c r="AZ8" s="1753">
        <f>+AY8*27</f>
        <v>0</v>
      </c>
      <c r="BA8" s="1321"/>
    </row>
    <row r="9" spans="1:53" ht="17.399999999999999">
      <c r="A9" s="92">
        <f>DMREZ!D12</f>
        <v>42371</v>
      </c>
      <c r="B9" s="2211"/>
      <c r="C9" s="2232"/>
      <c r="D9" s="97"/>
      <c r="E9" s="97"/>
      <c r="F9" s="97"/>
      <c r="G9" s="2214"/>
      <c r="H9" s="2212"/>
      <c r="I9" s="97"/>
      <c r="J9" s="97"/>
      <c r="K9" s="97"/>
      <c r="L9" s="98"/>
      <c r="M9" s="97"/>
      <c r="N9" s="97"/>
      <c r="O9" s="97"/>
      <c r="P9" s="97"/>
      <c r="Q9" s="97"/>
      <c r="R9" s="2359"/>
      <c r="S9" s="97"/>
      <c r="T9" s="97"/>
      <c r="U9" s="97"/>
      <c r="V9" s="97"/>
      <c r="W9" s="96"/>
      <c r="X9" s="97"/>
      <c r="Y9" s="97"/>
      <c r="Z9" s="97"/>
      <c r="AA9" s="97"/>
      <c r="AB9" s="98"/>
      <c r="AC9" s="97"/>
      <c r="AD9" s="97"/>
      <c r="AE9" s="97"/>
      <c r="AF9" s="97"/>
      <c r="AG9" s="98"/>
      <c r="AH9" s="97"/>
      <c r="AI9" s="97"/>
      <c r="AJ9" s="97"/>
      <c r="AK9" s="97"/>
      <c r="AL9" s="97"/>
      <c r="AM9" s="98"/>
      <c r="AN9" s="97"/>
      <c r="AO9" s="97"/>
      <c r="AP9" s="97"/>
      <c r="AQ9" s="97"/>
      <c r="AR9" s="63"/>
      <c r="AS9" s="26">
        <f t="shared" si="0"/>
        <v>0</v>
      </c>
      <c r="AT9" s="24">
        <f t="shared" si="1"/>
        <v>0</v>
      </c>
      <c r="AU9" s="26">
        <f t="shared" si="2"/>
        <v>0</v>
      </c>
      <c r="AV9" s="24">
        <f t="shared" si="3"/>
        <v>0</v>
      </c>
      <c r="AW9" s="26">
        <f t="shared" si="4"/>
        <v>0</v>
      </c>
      <c r="AX9" s="24">
        <f t="shared" si="5"/>
        <v>0</v>
      </c>
      <c r="AY9" s="26">
        <f t="shared" si="6"/>
        <v>0</v>
      </c>
      <c r="AZ9" s="1754">
        <f t="shared" ref="AZ9:AZ38" si="7">+AY9*27</f>
        <v>0</v>
      </c>
      <c r="BA9" s="1321"/>
    </row>
    <row r="10" spans="1:53" ht="17.399999999999999">
      <c r="A10" s="92">
        <f>DMREZ!D13</f>
        <v>42372</v>
      </c>
      <c r="B10" s="2211"/>
      <c r="C10" s="2232"/>
      <c r="D10" s="97"/>
      <c r="E10" s="97"/>
      <c r="F10" s="97"/>
      <c r="G10" s="2214"/>
      <c r="H10" s="2212"/>
      <c r="I10" s="97"/>
      <c r="J10" s="97"/>
      <c r="K10" s="97"/>
      <c r="L10" s="98"/>
      <c r="M10" s="97"/>
      <c r="N10" s="97"/>
      <c r="O10" s="97"/>
      <c r="P10" s="97"/>
      <c r="Q10" s="97"/>
      <c r="R10" s="2359"/>
      <c r="S10" s="97"/>
      <c r="T10" s="97"/>
      <c r="U10" s="97"/>
      <c r="V10" s="97"/>
      <c r="W10" s="96"/>
      <c r="X10" s="97"/>
      <c r="Y10" s="97"/>
      <c r="Z10" s="97"/>
      <c r="AA10" s="97"/>
      <c r="AB10" s="98"/>
      <c r="AC10" s="97"/>
      <c r="AD10" s="97"/>
      <c r="AE10" s="97"/>
      <c r="AF10" s="97"/>
      <c r="AG10" s="98"/>
      <c r="AH10" s="97"/>
      <c r="AI10" s="97"/>
      <c r="AJ10" s="97"/>
      <c r="AK10" s="97"/>
      <c r="AL10" s="97"/>
      <c r="AM10" s="98"/>
      <c r="AN10" s="97"/>
      <c r="AO10" s="97"/>
      <c r="AP10" s="97"/>
      <c r="AQ10" s="97"/>
      <c r="AR10" s="63"/>
      <c r="AS10" s="26">
        <f t="shared" si="0"/>
        <v>0</v>
      </c>
      <c r="AT10" s="24">
        <f t="shared" si="1"/>
        <v>0</v>
      </c>
      <c r="AU10" s="26">
        <f t="shared" si="2"/>
        <v>0</v>
      </c>
      <c r="AV10" s="24">
        <f t="shared" si="3"/>
        <v>0</v>
      </c>
      <c r="AW10" s="26">
        <f t="shared" si="4"/>
        <v>0</v>
      </c>
      <c r="AX10" s="24">
        <f t="shared" si="5"/>
        <v>0</v>
      </c>
      <c r="AY10" s="26">
        <f t="shared" si="6"/>
        <v>0</v>
      </c>
      <c r="AZ10" s="1754">
        <f t="shared" si="7"/>
        <v>0</v>
      </c>
      <c r="BA10" s="1321"/>
    </row>
    <row r="11" spans="1:53" ht="17.399999999999999">
      <c r="A11" s="92">
        <f>DMREZ!D14</f>
        <v>42373</v>
      </c>
      <c r="B11" s="2211"/>
      <c r="C11" s="2232"/>
      <c r="D11" s="97"/>
      <c r="E11" s="97"/>
      <c r="F11" s="97"/>
      <c r="G11" s="2214"/>
      <c r="H11" s="2212"/>
      <c r="I11" s="97"/>
      <c r="J11" s="97"/>
      <c r="K11" s="97"/>
      <c r="L11" s="98"/>
      <c r="M11" s="97"/>
      <c r="N11" s="97"/>
      <c r="O11" s="97"/>
      <c r="P11" s="97"/>
      <c r="Q11" s="97"/>
      <c r="R11" s="2359"/>
      <c r="S11" s="97"/>
      <c r="T11" s="97"/>
      <c r="U11" s="97"/>
      <c r="V11" s="97"/>
      <c r="W11" s="96"/>
      <c r="X11" s="97"/>
      <c r="Y11" s="97"/>
      <c r="Z11" s="97"/>
      <c r="AA11" s="97"/>
      <c r="AB11" s="98"/>
      <c r="AC11" s="97"/>
      <c r="AD11" s="97"/>
      <c r="AE11" s="97"/>
      <c r="AF11" s="97"/>
      <c r="AG11" s="98"/>
      <c r="AH11" s="97"/>
      <c r="AI11" s="97"/>
      <c r="AJ11" s="97"/>
      <c r="AK11" s="97"/>
      <c r="AL11" s="97"/>
      <c r="AM11" s="98"/>
      <c r="AN11" s="97"/>
      <c r="AO11" s="97"/>
      <c r="AP11" s="97"/>
      <c r="AQ11" s="97"/>
      <c r="AR11" s="63"/>
      <c r="AS11" s="26">
        <f t="shared" si="0"/>
        <v>0</v>
      </c>
      <c r="AT11" s="24">
        <f t="shared" si="1"/>
        <v>0</v>
      </c>
      <c r="AU11" s="26">
        <f t="shared" si="2"/>
        <v>0</v>
      </c>
      <c r="AV11" s="24">
        <f t="shared" si="3"/>
        <v>0</v>
      </c>
      <c r="AW11" s="26">
        <f t="shared" si="4"/>
        <v>0</v>
      </c>
      <c r="AX11" s="24">
        <f t="shared" si="5"/>
        <v>0</v>
      </c>
      <c r="AY11" s="26">
        <f t="shared" si="6"/>
        <v>0</v>
      </c>
      <c r="AZ11" s="1754">
        <f t="shared" si="7"/>
        <v>0</v>
      </c>
      <c r="BA11" s="1321"/>
    </row>
    <row r="12" spans="1:53" ht="17.399999999999999">
      <c r="A12" s="92">
        <f>DMREZ!D15</f>
        <v>42374</v>
      </c>
      <c r="B12" s="2211">
        <v>1</v>
      </c>
      <c r="C12" s="2232"/>
      <c r="D12" s="97"/>
      <c r="E12" s="97"/>
      <c r="F12" s="97"/>
      <c r="G12" s="2214">
        <v>1</v>
      </c>
      <c r="H12" s="2212"/>
      <c r="I12" s="97"/>
      <c r="J12" s="97"/>
      <c r="K12" s="97"/>
      <c r="L12" s="98"/>
      <c r="M12" s="97"/>
      <c r="N12" s="97"/>
      <c r="O12" s="97"/>
      <c r="P12" s="97"/>
      <c r="Q12" s="97"/>
      <c r="R12" s="2359"/>
      <c r="S12" s="97"/>
      <c r="T12" s="97"/>
      <c r="U12" s="97"/>
      <c r="V12" s="97"/>
      <c r="W12" s="96"/>
      <c r="X12" s="97"/>
      <c r="Y12" s="97"/>
      <c r="Z12" s="97"/>
      <c r="AA12" s="97"/>
      <c r="AB12" s="98"/>
      <c r="AC12" s="97"/>
      <c r="AD12" s="97"/>
      <c r="AE12" s="97"/>
      <c r="AF12" s="97"/>
      <c r="AG12" s="98"/>
      <c r="AH12" s="97"/>
      <c r="AI12" s="97"/>
      <c r="AJ12" s="97"/>
      <c r="AK12" s="97"/>
      <c r="AL12" s="97"/>
      <c r="AM12" s="98"/>
      <c r="AN12" s="97"/>
      <c r="AO12" s="97"/>
      <c r="AP12" s="97"/>
      <c r="AQ12" s="97"/>
      <c r="AR12" s="63"/>
      <c r="AS12" s="26">
        <f t="shared" si="0"/>
        <v>6</v>
      </c>
      <c r="AT12" s="24">
        <f t="shared" si="1"/>
        <v>162</v>
      </c>
      <c r="AU12" s="26">
        <f t="shared" si="2"/>
        <v>6</v>
      </c>
      <c r="AV12" s="24">
        <f t="shared" si="3"/>
        <v>162</v>
      </c>
      <c r="AW12" s="26">
        <f t="shared" si="4"/>
        <v>0</v>
      </c>
      <c r="AX12" s="24">
        <f t="shared" si="5"/>
        <v>0</v>
      </c>
      <c r="AY12" s="26">
        <f t="shared" si="6"/>
        <v>0</v>
      </c>
      <c r="AZ12" s="1754">
        <f t="shared" si="7"/>
        <v>0</v>
      </c>
      <c r="BA12" s="1321"/>
    </row>
    <row r="13" spans="1:53" ht="17.399999999999999">
      <c r="A13" s="92">
        <f>DMREZ!D16</f>
        <v>42375</v>
      </c>
      <c r="B13" s="2211"/>
      <c r="C13" s="2232"/>
      <c r="D13" s="97"/>
      <c r="E13" s="97"/>
      <c r="F13" s="97"/>
      <c r="G13" s="2214">
        <v>1</v>
      </c>
      <c r="H13" s="2212">
        <v>1</v>
      </c>
      <c r="I13" s="97"/>
      <c r="J13" s="97"/>
      <c r="K13" s="97"/>
      <c r="L13" s="98"/>
      <c r="M13" s="97"/>
      <c r="N13" s="97"/>
      <c r="O13" s="97"/>
      <c r="P13" s="97"/>
      <c r="Q13" s="97"/>
      <c r="R13" s="2359"/>
      <c r="S13" s="97"/>
      <c r="T13" s="97"/>
      <c r="U13" s="97"/>
      <c r="V13" s="97"/>
      <c r="W13" s="96"/>
      <c r="X13" s="97"/>
      <c r="Y13" s="97"/>
      <c r="Z13" s="97"/>
      <c r="AA13" s="97"/>
      <c r="AB13" s="98"/>
      <c r="AC13" s="97"/>
      <c r="AD13" s="97"/>
      <c r="AE13" s="97"/>
      <c r="AF13" s="97"/>
      <c r="AG13" s="98"/>
      <c r="AH13" s="97"/>
      <c r="AI13" s="97"/>
      <c r="AJ13" s="97"/>
      <c r="AK13" s="97"/>
      <c r="AL13" s="97"/>
      <c r="AM13" s="98"/>
      <c r="AN13" s="97"/>
      <c r="AO13" s="97"/>
      <c r="AP13" s="97"/>
      <c r="AQ13" s="97"/>
      <c r="AR13" s="63"/>
      <c r="AS13" s="26">
        <f t="shared" si="0"/>
        <v>16</v>
      </c>
      <c r="AT13" s="24">
        <f t="shared" si="1"/>
        <v>432</v>
      </c>
      <c r="AU13" s="26">
        <f t="shared" si="2"/>
        <v>0</v>
      </c>
      <c r="AV13" s="24">
        <f t="shared" si="3"/>
        <v>0</v>
      </c>
      <c r="AW13" s="26">
        <f t="shared" si="4"/>
        <v>0</v>
      </c>
      <c r="AX13" s="24">
        <f t="shared" si="5"/>
        <v>0</v>
      </c>
      <c r="AY13" s="26">
        <f t="shared" si="6"/>
        <v>0</v>
      </c>
      <c r="AZ13" s="1754">
        <f t="shared" si="7"/>
        <v>0</v>
      </c>
      <c r="BA13" s="1321"/>
    </row>
    <row r="14" spans="1:53" ht="17.399999999999999">
      <c r="A14" s="92">
        <f>DMREZ!D17</f>
        <v>42376</v>
      </c>
      <c r="B14" s="2211">
        <v>2</v>
      </c>
      <c r="C14" s="2232"/>
      <c r="D14" s="97"/>
      <c r="E14" s="97"/>
      <c r="F14" s="97"/>
      <c r="G14" s="2214"/>
      <c r="H14" s="2212"/>
      <c r="I14" s="97"/>
      <c r="J14" s="97"/>
      <c r="K14" s="97"/>
      <c r="L14" s="98"/>
      <c r="M14" s="97"/>
      <c r="N14" s="97"/>
      <c r="O14" s="97"/>
      <c r="P14" s="97"/>
      <c r="Q14" s="97"/>
      <c r="R14" s="2359"/>
      <c r="S14" s="97"/>
      <c r="T14" s="97"/>
      <c r="U14" s="97"/>
      <c r="V14" s="97"/>
      <c r="W14" s="96"/>
      <c r="X14" s="97"/>
      <c r="Y14" s="97"/>
      <c r="Z14" s="97"/>
      <c r="AA14" s="97"/>
      <c r="AB14" s="98"/>
      <c r="AC14" s="97"/>
      <c r="AD14" s="97"/>
      <c r="AE14" s="97"/>
      <c r="AF14" s="97"/>
      <c r="AG14" s="98"/>
      <c r="AH14" s="97"/>
      <c r="AI14" s="97"/>
      <c r="AJ14" s="97"/>
      <c r="AK14" s="97"/>
      <c r="AL14" s="97"/>
      <c r="AM14" s="98"/>
      <c r="AN14" s="97"/>
      <c r="AO14" s="97"/>
      <c r="AP14" s="97"/>
      <c r="AQ14" s="97"/>
      <c r="AR14" s="63"/>
      <c r="AS14" s="26">
        <f t="shared" si="0"/>
        <v>0</v>
      </c>
      <c r="AT14" s="24">
        <f t="shared" si="1"/>
        <v>0</v>
      </c>
      <c r="AU14" s="26">
        <f t="shared" si="2"/>
        <v>12</v>
      </c>
      <c r="AV14" s="24">
        <f t="shared" si="3"/>
        <v>324</v>
      </c>
      <c r="AW14" s="26">
        <f t="shared" si="4"/>
        <v>0</v>
      </c>
      <c r="AX14" s="24">
        <f t="shared" si="5"/>
        <v>0</v>
      </c>
      <c r="AY14" s="26">
        <f t="shared" si="6"/>
        <v>0</v>
      </c>
      <c r="AZ14" s="1754">
        <f t="shared" si="7"/>
        <v>0</v>
      </c>
      <c r="BA14" s="1321"/>
    </row>
    <row r="15" spans="1:53" ht="17.399999999999999">
      <c r="A15" s="92">
        <f>DMREZ!D18</f>
        <v>42377</v>
      </c>
      <c r="B15" s="2211">
        <v>2</v>
      </c>
      <c r="C15" s="2232"/>
      <c r="D15" s="97"/>
      <c r="E15" s="97"/>
      <c r="F15" s="97"/>
      <c r="G15" s="2214"/>
      <c r="H15" s="2212"/>
      <c r="I15" s="97"/>
      <c r="J15" s="97"/>
      <c r="K15" s="97"/>
      <c r="L15" s="98"/>
      <c r="M15" s="97"/>
      <c r="N15" s="97"/>
      <c r="O15" s="97"/>
      <c r="P15" s="97"/>
      <c r="Q15" s="97"/>
      <c r="R15" s="2359"/>
      <c r="S15" s="97"/>
      <c r="T15" s="97"/>
      <c r="U15" s="97"/>
      <c r="V15" s="97"/>
      <c r="W15" s="96"/>
      <c r="X15" s="97"/>
      <c r="Y15" s="97"/>
      <c r="Z15" s="97"/>
      <c r="AA15" s="97"/>
      <c r="AB15" s="98"/>
      <c r="AC15" s="97"/>
      <c r="AD15" s="97"/>
      <c r="AE15" s="97"/>
      <c r="AF15" s="97"/>
      <c r="AG15" s="98"/>
      <c r="AH15" s="97"/>
      <c r="AI15" s="97"/>
      <c r="AJ15" s="97"/>
      <c r="AK15" s="97"/>
      <c r="AL15" s="97"/>
      <c r="AM15" s="98"/>
      <c r="AN15" s="97"/>
      <c r="AO15" s="97"/>
      <c r="AP15" s="97"/>
      <c r="AQ15" s="97"/>
      <c r="AR15" s="63"/>
      <c r="AS15" s="26">
        <f t="shared" si="0"/>
        <v>0</v>
      </c>
      <c r="AT15" s="24">
        <f t="shared" si="1"/>
        <v>0</v>
      </c>
      <c r="AU15" s="26">
        <f t="shared" si="2"/>
        <v>12</v>
      </c>
      <c r="AV15" s="24">
        <f t="shared" si="3"/>
        <v>324</v>
      </c>
      <c r="AW15" s="26">
        <f t="shared" si="4"/>
        <v>0</v>
      </c>
      <c r="AX15" s="24">
        <f t="shared" si="5"/>
        <v>0</v>
      </c>
      <c r="AY15" s="26">
        <f t="shared" si="6"/>
        <v>0</v>
      </c>
      <c r="AZ15" s="1754">
        <f t="shared" si="7"/>
        <v>0</v>
      </c>
      <c r="BA15" s="1321"/>
    </row>
    <row r="16" spans="1:53" ht="17.399999999999999">
      <c r="A16" s="92">
        <f>DMREZ!D19</f>
        <v>42378</v>
      </c>
      <c r="B16" s="2211">
        <v>1</v>
      </c>
      <c r="C16" s="2232"/>
      <c r="D16" s="97"/>
      <c r="E16" s="97"/>
      <c r="F16" s="97"/>
      <c r="G16" s="2214"/>
      <c r="H16" s="2212"/>
      <c r="I16" s="97"/>
      <c r="J16" s="97"/>
      <c r="K16" s="97"/>
      <c r="L16" s="98"/>
      <c r="M16" s="97"/>
      <c r="N16" s="97"/>
      <c r="O16" s="97"/>
      <c r="P16" s="97"/>
      <c r="Q16" s="97"/>
      <c r="R16" s="2359"/>
      <c r="S16" s="97"/>
      <c r="T16" s="97"/>
      <c r="U16" s="97"/>
      <c r="V16" s="97"/>
      <c r="W16" s="96"/>
      <c r="X16" s="97"/>
      <c r="Y16" s="97"/>
      <c r="Z16" s="97"/>
      <c r="AA16" s="97"/>
      <c r="AB16" s="98"/>
      <c r="AC16" s="97"/>
      <c r="AD16" s="97"/>
      <c r="AE16" s="97"/>
      <c r="AF16" s="97"/>
      <c r="AG16" s="98"/>
      <c r="AH16" s="97"/>
      <c r="AI16" s="97"/>
      <c r="AJ16" s="97"/>
      <c r="AK16" s="97"/>
      <c r="AL16" s="97"/>
      <c r="AM16" s="98"/>
      <c r="AN16" s="97"/>
      <c r="AO16" s="97"/>
      <c r="AP16" s="97"/>
      <c r="AQ16" s="97"/>
      <c r="AR16" s="63"/>
      <c r="AS16" s="26">
        <f t="shared" si="0"/>
        <v>0</v>
      </c>
      <c r="AT16" s="24">
        <f t="shared" si="1"/>
        <v>0</v>
      </c>
      <c r="AU16" s="26">
        <f t="shared" si="2"/>
        <v>6</v>
      </c>
      <c r="AV16" s="24">
        <f t="shared" si="3"/>
        <v>162</v>
      </c>
      <c r="AW16" s="26">
        <f t="shared" si="4"/>
        <v>0</v>
      </c>
      <c r="AX16" s="24">
        <f t="shared" si="5"/>
        <v>0</v>
      </c>
      <c r="AY16" s="26">
        <f t="shared" si="6"/>
        <v>0</v>
      </c>
      <c r="AZ16" s="1754">
        <f t="shared" si="7"/>
        <v>0</v>
      </c>
      <c r="BA16" s="1321"/>
    </row>
    <row r="17" spans="1:53" ht="18" thickBot="1">
      <c r="A17" s="2223">
        <f>DMREZ!D20</f>
        <v>42379</v>
      </c>
      <c r="B17" s="2224">
        <v>5</v>
      </c>
      <c r="C17" s="2233"/>
      <c r="D17" s="2226"/>
      <c r="E17" s="2226"/>
      <c r="F17" s="2226"/>
      <c r="G17" s="2227">
        <v>1</v>
      </c>
      <c r="H17" s="2225"/>
      <c r="I17" s="2226"/>
      <c r="J17" s="2226"/>
      <c r="K17" s="2226"/>
      <c r="L17" s="2228"/>
      <c r="M17" s="2226"/>
      <c r="N17" s="2226"/>
      <c r="O17" s="2226"/>
      <c r="P17" s="2226"/>
      <c r="Q17" s="2226"/>
      <c r="R17" s="2360"/>
      <c r="S17" s="2226"/>
      <c r="T17" s="2226"/>
      <c r="U17" s="2226"/>
      <c r="V17" s="2226"/>
      <c r="W17" s="2229"/>
      <c r="X17" s="2226"/>
      <c r="Y17" s="2226"/>
      <c r="Z17" s="2226"/>
      <c r="AA17" s="2226"/>
      <c r="AB17" s="2228"/>
      <c r="AC17" s="2226"/>
      <c r="AD17" s="2226"/>
      <c r="AE17" s="2226"/>
      <c r="AF17" s="2226"/>
      <c r="AG17" s="2228"/>
      <c r="AH17" s="2226"/>
      <c r="AI17" s="2226"/>
      <c r="AJ17" s="2226"/>
      <c r="AK17" s="2226"/>
      <c r="AL17" s="2226"/>
      <c r="AM17" s="2228"/>
      <c r="AN17" s="2226"/>
      <c r="AO17" s="2226"/>
      <c r="AP17" s="2226"/>
      <c r="AQ17" s="2230"/>
      <c r="AR17" s="63"/>
      <c r="AS17" s="26">
        <f t="shared" si="0"/>
        <v>6</v>
      </c>
      <c r="AT17" s="24">
        <f t="shared" si="1"/>
        <v>162</v>
      </c>
      <c r="AU17" s="26">
        <f t="shared" si="2"/>
        <v>30</v>
      </c>
      <c r="AV17" s="24">
        <f t="shared" si="3"/>
        <v>810</v>
      </c>
      <c r="AW17" s="26">
        <f t="shared" si="4"/>
        <v>0</v>
      </c>
      <c r="AX17" s="24">
        <f t="shared" si="5"/>
        <v>0</v>
      </c>
      <c r="AY17" s="26">
        <f t="shared" si="6"/>
        <v>0</v>
      </c>
      <c r="AZ17" s="1754">
        <f t="shared" si="7"/>
        <v>0</v>
      </c>
      <c r="BA17" s="1321"/>
    </row>
    <row r="18" spans="1:53" ht="18" thickTop="1">
      <c r="A18" s="2216">
        <f>DMREZ!D21</f>
        <v>42380</v>
      </c>
      <c r="B18" s="2217">
        <v>9</v>
      </c>
      <c r="C18" s="2234"/>
      <c r="D18" s="2219"/>
      <c r="E18" s="2219"/>
      <c r="F18" s="2219"/>
      <c r="G18" s="2220"/>
      <c r="H18" s="2218"/>
      <c r="I18" s="2219"/>
      <c r="J18" s="2219"/>
      <c r="K18" s="2219"/>
      <c r="L18" s="2221"/>
      <c r="M18" s="2219"/>
      <c r="N18" s="2219"/>
      <c r="O18" s="2219"/>
      <c r="P18" s="2219"/>
      <c r="Q18" s="2219"/>
      <c r="R18" s="2361"/>
      <c r="S18" s="2219"/>
      <c r="T18" s="2219"/>
      <c r="U18" s="2219"/>
      <c r="V18" s="2219"/>
      <c r="W18" s="2222"/>
      <c r="X18" s="2219"/>
      <c r="Y18" s="2219"/>
      <c r="Z18" s="2219"/>
      <c r="AA18" s="2219"/>
      <c r="AB18" s="2221"/>
      <c r="AC18" s="2219"/>
      <c r="AD18" s="2219"/>
      <c r="AE18" s="2219"/>
      <c r="AF18" s="2219"/>
      <c r="AG18" s="2221"/>
      <c r="AH18" s="2219"/>
      <c r="AI18" s="2219"/>
      <c r="AJ18" s="2219"/>
      <c r="AK18" s="2219"/>
      <c r="AL18" s="2219"/>
      <c r="AM18" s="2221"/>
      <c r="AN18" s="2219"/>
      <c r="AO18" s="2219"/>
      <c r="AP18" s="2219"/>
      <c r="AQ18" s="2219"/>
      <c r="AR18" s="63"/>
      <c r="AS18" s="26">
        <f t="shared" si="0"/>
        <v>0</v>
      </c>
      <c r="AT18" s="24">
        <f t="shared" si="1"/>
        <v>0</v>
      </c>
      <c r="AU18" s="26">
        <f t="shared" si="2"/>
        <v>54</v>
      </c>
      <c r="AV18" s="24">
        <f t="shared" si="3"/>
        <v>1458</v>
      </c>
      <c r="AW18" s="26">
        <f t="shared" si="4"/>
        <v>0</v>
      </c>
      <c r="AX18" s="24">
        <f t="shared" si="5"/>
        <v>0</v>
      </c>
      <c r="AY18" s="26">
        <f t="shared" si="6"/>
        <v>0</v>
      </c>
      <c r="AZ18" s="1754">
        <f t="shared" si="7"/>
        <v>0</v>
      </c>
      <c r="BA18" s="1321"/>
    </row>
    <row r="19" spans="1:53" ht="17.399999999999999">
      <c r="A19" s="92">
        <f>DMREZ!D22</f>
        <v>42381</v>
      </c>
      <c r="B19" s="2211">
        <v>1</v>
      </c>
      <c r="C19" s="2232"/>
      <c r="D19" s="97"/>
      <c r="E19" s="97"/>
      <c r="F19" s="97"/>
      <c r="G19" s="2214">
        <v>1</v>
      </c>
      <c r="H19" s="2212"/>
      <c r="I19" s="97"/>
      <c r="J19" s="97"/>
      <c r="K19" s="97"/>
      <c r="L19" s="98"/>
      <c r="M19" s="97"/>
      <c r="N19" s="97"/>
      <c r="O19" s="97"/>
      <c r="P19" s="97"/>
      <c r="Q19" s="97"/>
      <c r="R19" s="2359"/>
      <c r="S19" s="97"/>
      <c r="T19" s="97"/>
      <c r="U19" s="97"/>
      <c r="V19" s="97"/>
      <c r="W19" s="96"/>
      <c r="X19" s="97"/>
      <c r="Y19" s="97"/>
      <c r="Z19" s="97"/>
      <c r="AA19" s="97"/>
      <c r="AB19" s="98"/>
      <c r="AC19" s="97"/>
      <c r="AD19" s="97"/>
      <c r="AE19" s="97"/>
      <c r="AF19" s="97"/>
      <c r="AG19" s="98"/>
      <c r="AH19" s="97"/>
      <c r="AI19" s="97"/>
      <c r="AJ19" s="97"/>
      <c r="AK19" s="97"/>
      <c r="AL19" s="97"/>
      <c r="AM19" s="98"/>
      <c r="AN19" s="97"/>
      <c r="AO19" s="97"/>
      <c r="AP19" s="97"/>
      <c r="AQ19" s="97"/>
      <c r="AR19" s="63"/>
      <c r="AS19" s="26">
        <f t="shared" si="0"/>
        <v>6</v>
      </c>
      <c r="AT19" s="24">
        <f t="shared" si="1"/>
        <v>162</v>
      </c>
      <c r="AU19" s="26">
        <f t="shared" si="2"/>
        <v>6</v>
      </c>
      <c r="AV19" s="24">
        <f t="shared" si="3"/>
        <v>162</v>
      </c>
      <c r="AW19" s="26">
        <f t="shared" si="4"/>
        <v>0</v>
      </c>
      <c r="AX19" s="24">
        <f t="shared" si="5"/>
        <v>0</v>
      </c>
      <c r="AY19" s="26">
        <f t="shared" si="6"/>
        <v>0</v>
      </c>
      <c r="AZ19" s="1754">
        <f t="shared" si="7"/>
        <v>0</v>
      </c>
      <c r="BA19" s="1321"/>
    </row>
    <row r="20" spans="1:53" ht="17.399999999999999">
      <c r="A20" s="92">
        <f>DMREZ!D23</f>
        <v>42382</v>
      </c>
      <c r="B20" s="2211">
        <v>3</v>
      </c>
      <c r="C20" s="2232"/>
      <c r="D20" s="97"/>
      <c r="E20" s="97"/>
      <c r="F20" s="97"/>
      <c r="G20" s="2214">
        <v>1</v>
      </c>
      <c r="H20" s="2212">
        <v>1</v>
      </c>
      <c r="I20" s="97"/>
      <c r="J20" s="97"/>
      <c r="K20" s="97"/>
      <c r="L20" s="98"/>
      <c r="M20" s="97"/>
      <c r="N20" s="97"/>
      <c r="O20" s="97"/>
      <c r="P20" s="97"/>
      <c r="Q20" s="97"/>
      <c r="R20" s="2359"/>
      <c r="S20" s="97"/>
      <c r="T20" s="97"/>
      <c r="U20" s="97"/>
      <c r="V20" s="97"/>
      <c r="W20" s="96"/>
      <c r="X20" s="97"/>
      <c r="Y20" s="97"/>
      <c r="Z20" s="97"/>
      <c r="AA20" s="97"/>
      <c r="AB20" s="98"/>
      <c r="AC20" s="97"/>
      <c r="AD20" s="97"/>
      <c r="AE20" s="97"/>
      <c r="AF20" s="97"/>
      <c r="AG20" s="98"/>
      <c r="AH20" s="97"/>
      <c r="AI20" s="97"/>
      <c r="AJ20" s="97"/>
      <c r="AK20" s="97"/>
      <c r="AL20" s="97"/>
      <c r="AM20" s="98"/>
      <c r="AN20" s="97"/>
      <c r="AO20" s="97"/>
      <c r="AP20" s="97"/>
      <c r="AQ20" s="97"/>
      <c r="AR20" s="63"/>
      <c r="AS20" s="26">
        <f t="shared" si="0"/>
        <v>16</v>
      </c>
      <c r="AT20" s="24">
        <f t="shared" si="1"/>
        <v>432</v>
      </c>
      <c r="AU20" s="26">
        <f t="shared" si="2"/>
        <v>18</v>
      </c>
      <c r="AV20" s="24">
        <f t="shared" si="3"/>
        <v>486</v>
      </c>
      <c r="AW20" s="26">
        <f t="shared" si="4"/>
        <v>0</v>
      </c>
      <c r="AX20" s="24">
        <f t="shared" si="5"/>
        <v>0</v>
      </c>
      <c r="AY20" s="26">
        <f t="shared" si="6"/>
        <v>0</v>
      </c>
      <c r="AZ20" s="1754">
        <f t="shared" si="7"/>
        <v>0</v>
      </c>
      <c r="BA20" s="1321"/>
    </row>
    <row r="21" spans="1:53" ht="17.399999999999999">
      <c r="A21" s="92">
        <f>DMREZ!D24</f>
        <v>42383</v>
      </c>
      <c r="B21" s="2211"/>
      <c r="C21" s="2232"/>
      <c r="D21" s="97"/>
      <c r="E21" s="97"/>
      <c r="F21" s="97"/>
      <c r="G21" s="2214">
        <v>1</v>
      </c>
      <c r="H21" s="2212">
        <v>1</v>
      </c>
      <c r="I21" s="97"/>
      <c r="J21" s="97"/>
      <c r="K21" s="97"/>
      <c r="L21" s="98"/>
      <c r="M21" s="97"/>
      <c r="N21" s="97"/>
      <c r="O21" s="97"/>
      <c r="P21" s="97"/>
      <c r="Q21" s="97"/>
      <c r="R21" s="2359"/>
      <c r="S21" s="97"/>
      <c r="T21" s="97"/>
      <c r="U21" s="97"/>
      <c r="V21" s="97"/>
      <c r="W21" s="96"/>
      <c r="X21" s="97"/>
      <c r="Y21" s="97"/>
      <c r="Z21" s="97"/>
      <c r="AA21" s="97"/>
      <c r="AB21" s="98"/>
      <c r="AC21" s="97"/>
      <c r="AD21" s="97"/>
      <c r="AE21" s="97"/>
      <c r="AF21" s="97"/>
      <c r="AG21" s="98"/>
      <c r="AH21" s="97"/>
      <c r="AI21" s="97"/>
      <c r="AJ21" s="97"/>
      <c r="AK21" s="97"/>
      <c r="AL21" s="97"/>
      <c r="AM21" s="98"/>
      <c r="AN21" s="97"/>
      <c r="AO21" s="97"/>
      <c r="AP21" s="97"/>
      <c r="AQ21" s="97"/>
      <c r="AR21" s="63"/>
      <c r="AS21" s="26">
        <f t="shared" si="0"/>
        <v>16</v>
      </c>
      <c r="AT21" s="24">
        <f t="shared" si="1"/>
        <v>432</v>
      </c>
      <c r="AU21" s="26">
        <f t="shared" si="2"/>
        <v>0</v>
      </c>
      <c r="AV21" s="24">
        <f t="shared" si="3"/>
        <v>0</v>
      </c>
      <c r="AW21" s="26">
        <f t="shared" si="4"/>
        <v>0</v>
      </c>
      <c r="AX21" s="24">
        <f t="shared" si="5"/>
        <v>0</v>
      </c>
      <c r="AY21" s="26">
        <f t="shared" si="6"/>
        <v>0</v>
      </c>
      <c r="AZ21" s="1754">
        <f t="shared" si="7"/>
        <v>0</v>
      </c>
      <c r="BA21" s="1321"/>
    </row>
    <row r="22" spans="1:53" ht="17.399999999999999">
      <c r="A22" s="92">
        <f>DMREZ!D25</f>
        <v>42384</v>
      </c>
      <c r="B22" s="2211"/>
      <c r="C22" s="2232"/>
      <c r="D22" s="97"/>
      <c r="E22" s="97"/>
      <c r="F22" s="97"/>
      <c r="G22" s="2214"/>
      <c r="H22" s="2212"/>
      <c r="I22" s="97"/>
      <c r="J22" s="97"/>
      <c r="K22" s="97"/>
      <c r="L22" s="98"/>
      <c r="M22" s="97"/>
      <c r="N22" s="97"/>
      <c r="O22" s="97"/>
      <c r="P22" s="97"/>
      <c r="Q22" s="97"/>
      <c r="R22" s="2359"/>
      <c r="S22" s="97"/>
      <c r="T22" s="97"/>
      <c r="U22" s="97"/>
      <c r="V22" s="97"/>
      <c r="W22" s="96"/>
      <c r="X22" s="97"/>
      <c r="Y22" s="97"/>
      <c r="Z22" s="97"/>
      <c r="AA22" s="97"/>
      <c r="AB22" s="98"/>
      <c r="AC22" s="97"/>
      <c r="AD22" s="97"/>
      <c r="AE22" s="97"/>
      <c r="AF22" s="97"/>
      <c r="AG22" s="98"/>
      <c r="AH22" s="97"/>
      <c r="AI22" s="97"/>
      <c r="AJ22" s="97"/>
      <c r="AK22" s="97"/>
      <c r="AL22" s="97"/>
      <c r="AM22" s="98"/>
      <c r="AN22" s="97"/>
      <c r="AO22" s="97"/>
      <c r="AP22" s="97"/>
      <c r="AQ22" s="97"/>
      <c r="AR22" s="63"/>
      <c r="AS22" s="26">
        <f t="shared" si="0"/>
        <v>0</v>
      </c>
      <c r="AT22" s="24">
        <f t="shared" si="1"/>
        <v>0</v>
      </c>
      <c r="AU22" s="26">
        <f t="shared" si="2"/>
        <v>0</v>
      </c>
      <c r="AV22" s="24">
        <f t="shared" si="3"/>
        <v>0</v>
      </c>
      <c r="AW22" s="26">
        <f t="shared" si="4"/>
        <v>0</v>
      </c>
      <c r="AX22" s="24">
        <f t="shared" si="5"/>
        <v>0</v>
      </c>
      <c r="AY22" s="26">
        <f t="shared" si="6"/>
        <v>0</v>
      </c>
      <c r="AZ22" s="1754">
        <f t="shared" si="7"/>
        <v>0</v>
      </c>
      <c r="BA22" s="1321"/>
    </row>
    <row r="23" spans="1:53" ht="17.399999999999999">
      <c r="A23" s="92">
        <f>DMREZ!D26</f>
        <v>42385</v>
      </c>
      <c r="B23" s="2211">
        <v>2</v>
      </c>
      <c r="C23" s="2232"/>
      <c r="D23" s="97"/>
      <c r="E23" s="97"/>
      <c r="F23" s="97"/>
      <c r="G23" s="2214"/>
      <c r="H23" s="2212"/>
      <c r="I23" s="97"/>
      <c r="J23" s="97"/>
      <c r="K23" s="97"/>
      <c r="L23" s="98"/>
      <c r="M23" s="97"/>
      <c r="N23" s="97"/>
      <c r="O23" s="97"/>
      <c r="P23" s="97"/>
      <c r="Q23" s="97"/>
      <c r="R23" s="2359"/>
      <c r="S23" s="97"/>
      <c r="T23" s="97"/>
      <c r="U23" s="97"/>
      <c r="V23" s="97"/>
      <c r="W23" s="96"/>
      <c r="X23" s="97"/>
      <c r="Y23" s="97"/>
      <c r="Z23" s="97"/>
      <c r="AA23" s="97"/>
      <c r="AB23" s="98"/>
      <c r="AC23" s="97"/>
      <c r="AD23" s="97"/>
      <c r="AE23" s="97"/>
      <c r="AF23" s="97"/>
      <c r="AG23" s="98"/>
      <c r="AH23" s="97"/>
      <c r="AI23" s="97"/>
      <c r="AJ23" s="97"/>
      <c r="AK23" s="97"/>
      <c r="AL23" s="97"/>
      <c r="AM23" s="98"/>
      <c r="AN23" s="97"/>
      <c r="AO23" s="97"/>
      <c r="AP23" s="97"/>
      <c r="AQ23" s="97"/>
      <c r="AR23" s="63"/>
      <c r="AS23" s="26">
        <f t="shared" si="0"/>
        <v>0</v>
      </c>
      <c r="AT23" s="24">
        <f t="shared" si="1"/>
        <v>0</v>
      </c>
      <c r="AU23" s="26">
        <f t="shared" si="2"/>
        <v>12</v>
      </c>
      <c r="AV23" s="24">
        <f t="shared" si="3"/>
        <v>324</v>
      </c>
      <c r="AW23" s="26">
        <f t="shared" si="4"/>
        <v>0</v>
      </c>
      <c r="AX23" s="24">
        <f t="shared" si="5"/>
        <v>0</v>
      </c>
      <c r="AY23" s="26">
        <f t="shared" si="6"/>
        <v>0</v>
      </c>
      <c r="AZ23" s="1754">
        <f t="shared" si="7"/>
        <v>0</v>
      </c>
      <c r="BA23" s="1321"/>
    </row>
    <row r="24" spans="1:53" ht="17.399999999999999">
      <c r="A24" s="92">
        <f>DMREZ!D27</f>
        <v>42386</v>
      </c>
      <c r="B24" s="2211">
        <v>3</v>
      </c>
      <c r="C24" s="2232"/>
      <c r="D24" s="97"/>
      <c r="E24" s="97"/>
      <c r="F24" s="97"/>
      <c r="G24" s="2214"/>
      <c r="H24" s="2212"/>
      <c r="I24" s="97"/>
      <c r="J24" s="97"/>
      <c r="K24" s="97"/>
      <c r="L24" s="98"/>
      <c r="M24" s="97"/>
      <c r="N24" s="97"/>
      <c r="O24" s="97"/>
      <c r="P24" s="97"/>
      <c r="Q24" s="97"/>
      <c r="R24" s="2359"/>
      <c r="S24" s="97"/>
      <c r="T24" s="97"/>
      <c r="U24" s="97"/>
      <c r="V24" s="97"/>
      <c r="W24" s="96"/>
      <c r="X24" s="97"/>
      <c r="Y24" s="97"/>
      <c r="Z24" s="97"/>
      <c r="AA24" s="97"/>
      <c r="AB24" s="98"/>
      <c r="AC24" s="97"/>
      <c r="AD24" s="97"/>
      <c r="AE24" s="97"/>
      <c r="AF24" s="97"/>
      <c r="AG24" s="98"/>
      <c r="AH24" s="97"/>
      <c r="AI24" s="97"/>
      <c r="AJ24" s="97"/>
      <c r="AK24" s="97"/>
      <c r="AL24" s="97"/>
      <c r="AM24" s="98"/>
      <c r="AN24" s="97"/>
      <c r="AO24" s="97"/>
      <c r="AP24" s="97"/>
      <c r="AQ24" s="97"/>
      <c r="AR24" s="63"/>
      <c r="AS24" s="26">
        <f t="shared" ref="AS24:AS36" si="8">G24*6+H24*10+I24*15+J24*20+K24*26+AB24*6+AC24*10+AD24*15+AE24*20+AF24*26+0.5*AY24</f>
        <v>0</v>
      </c>
      <c r="AT24" s="24">
        <f t="shared" si="1"/>
        <v>0</v>
      </c>
      <c r="AU24" s="26">
        <f t="shared" si="2"/>
        <v>18</v>
      </c>
      <c r="AV24" s="24">
        <f t="shared" si="3"/>
        <v>486</v>
      </c>
      <c r="AW24" s="26">
        <f t="shared" si="4"/>
        <v>0</v>
      </c>
      <c r="AX24" s="24">
        <f t="shared" si="5"/>
        <v>0</v>
      </c>
      <c r="AY24" s="26">
        <f t="shared" si="6"/>
        <v>0</v>
      </c>
      <c r="AZ24" s="1754">
        <f t="shared" si="7"/>
        <v>0</v>
      </c>
      <c r="BA24" s="1321"/>
    </row>
    <row r="25" spans="1:53" ht="17.399999999999999">
      <c r="A25" s="92">
        <f>DMREZ!D28</f>
        <v>42387</v>
      </c>
      <c r="B25" s="2211">
        <v>2</v>
      </c>
      <c r="C25" s="2232"/>
      <c r="D25" s="97"/>
      <c r="E25" s="97"/>
      <c r="F25" s="97"/>
      <c r="G25" s="2214"/>
      <c r="H25" s="2212"/>
      <c r="I25" s="97"/>
      <c r="J25" s="97"/>
      <c r="K25" s="97"/>
      <c r="L25" s="98"/>
      <c r="M25" s="97"/>
      <c r="N25" s="97"/>
      <c r="O25" s="97"/>
      <c r="P25" s="97"/>
      <c r="Q25" s="97"/>
      <c r="R25" s="2359"/>
      <c r="S25" s="97"/>
      <c r="T25" s="97"/>
      <c r="U25" s="97"/>
      <c r="V25" s="97"/>
      <c r="W25" s="96"/>
      <c r="X25" s="97"/>
      <c r="Y25" s="97"/>
      <c r="Z25" s="97"/>
      <c r="AA25" s="97"/>
      <c r="AB25" s="98"/>
      <c r="AC25" s="97"/>
      <c r="AD25" s="97"/>
      <c r="AE25" s="97"/>
      <c r="AF25" s="97"/>
      <c r="AG25" s="98"/>
      <c r="AH25" s="97"/>
      <c r="AI25" s="97"/>
      <c r="AJ25" s="97"/>
      <c r="AK25" s="97"/>
      <c r="AL25" s="97"/>
      <c r="AM25" s="98"/>
      <c r="AN25" s="97"/>
      <c r="AO25" s="97"/>
      <c r="AP25" s="97"/>
      <c r="AQ25" s="97"/>
      <c r="AR25" s="63"/>
      <c r="AS25" s="26">
        <f t="shared" si="8"/>
        <v>0</v>
      </c>
      <c r="AT25" s="24">
        <f t="shared" si="1"/>
        <v>0</v>
      </c>
      <c r="AU25" s="26">
        <f t="shared" si="2"/>
        <v>12</v>
      </c>
      <c r="AV25" s="24">
        <f t="shared" si="3"/>
        <v>324</v>
      </c>
      <c r="AW25" s="26">
        <f t="shared" si="4"/>
        <v>0</v>
      </c>
      <c r="AX25" s="24">
        <f t="shared" si="5"/>
        <v>0</v>
      </c>
      <c r="AY25" s="26">
        <f t="shared" si="6"/>
        <v>0</v>
      </c>
      <c r="AZ25" s="1754">
        <f t="shared" si="7"/>
        <v>0</v>
      </c>
      <c r="BA25" s="1321"/>
    </row>
    <row r="26" spans="1:53" ht="17.399999999999999">
      <c r="A26" s="92">
        <f>DMREZ!D29</f>
        <v>42388</v>
      </c>
      <c r="B26" s="2211"/>
      <c r="C26" s="2232"/>
      <c r="D26" s="97"/>
      <c r="E26" s="97"/>
      <c r="F26" s="97"/>
      <c r="G26" s="2214">
        <v>1</v>
      </c>
      <c r="H26" s="2212">
        <v>1</v>
      </c>
      <c r="I26" s="97"/>
      <c r="J26" s="97"/>
      <c r="K26" s="97"/>
      <c r="L26" s="98"/>
      <c r="M26" s="97"/>
      <c r="N26" s="97"/>
      <c r="O26" s="97"/>
      <c r="P26" s="97"/>
      <c r="Q26" s="97"/>
      <c r="R26" s="2359"/>
      <c r="S26" s="97"/>
      <c r="T26" s="97"/>
      <c r="U26" s="97"/>
      <c r="V26" s="97"/>
      <c r="W26" s="96"/>
      <c r="X26" s="97"/>
      <c r="Y26" s="97"/>
      <c r="Z26" s="97"/>
      <c r="AA26" s="97"/>
      <c r="AB26" s="98"/>
      <c r="AC26" s="97"/>
      <c r="AD26" s="97"/>
      <c r="AE26" s="97"/>
      <c r="AF26" s="97"/>
      <c r="AG26" s="98"/>
      <c r="AH26" s="97"/>
      <c r="AI26" s="97"/>
      <c r="AJ26" s="97"/>
      <c r="AK26" s="97"/>
      <c r="AL26" s="97"/>
      <c r="AM26" s="98"/>
      <c r="AN26" s="97"/>
      <c r="AO26" s="97"/>
      <c r="AP26" s="97"/>
      <c r="AQ26" s="97"/>
      <c r="AR26" s="63"/>
      <c r="AS26" s="26">
        <f t="shared" si="8"/>
        <v>16</v>
      </c>
      <c r="AT26" s="24">
        <f t="shared" si="1"/>
        <v>432</v>
      </c>
      <c r="AU26" s="26">
        <f t="shared" si="2"/>
        <v>0</v>
      </c>
      <c r="AV26" s="24">
        <f t="shared" si="3"/>
        <v>0</v>
      </c>
      <c r="AW26" s="26">
        <f t="shared" si="4"/>
        <v>0</v>
      </c>
      <c r="AX26" s="24">
        <f t="shared" si="5"/>
        <v>0</v>
      </c>
      <c r="AY26" s="26">
        <f t="shared" si="6"/>
        <v>0</v>
      </c>
      <c r="AZ26" s="1754">
        <f t="shared" si="7"/>
        <v>0</v>
      </c>
      <c r="BA26" s="1321"/>
    </row>
    <row r="27" spans="1:53" ht="18" thickBot="1">
      <c r="A27" s="2223">
        <f>DMREZ!D30</f>
        <v>42389</v>
      </c>
      <c r="B27" s="2224">
        <v>1</v>
      </c>
      <c r="C27" s="2233"/>
      <c r="D27" s="2226"/>
      <c r="E27" s="2226"/>
      <c r="F27" s="2226"/>
      <c r="G27" s="2227">
        <v>2</v>
      </c>
      <c r="H27" s="2225"/>
      <c r="I27" s="2226"/>
      <c r="J27" s="2226"/>
      <c r="K27" s="2226"/>
      <c r="L27" s="2228"/>
      <c r="M27" s="2226"/>
      <c r="N27" s="2226"/>
      <c r="O27" s="2226"/>
      <c r="P27" s="2226"/>
      <c r="Q27" s="2226"/>
      <c r="R27" s="2360"/>
      <c r="S27" s="2226"/>
      <c r="T27" s="2226"/>
      <c r="U27" s="2226"/>
      <c r="V27" s="2226"/>
      <c r="W27" s="2229"/>
      <c r="X27" s="2226"/>
      <c r="Y27" s="2226"/>
      <c r="Z27" s="2226"/>
      <c r="AA27" s="2226"/>
      <c r="AB27" s="2228"/>
      <c r="AC27" s="2226"/>
      <c r="AD27" s="2226"/>
      <c r="AE27" s="2226"/>
      <c r="AF27" s="2226"/>
      <c r="AG27" s="2228"/>
      <c r="AH27" s="2226"/>
      <c r="AI27" s="2226"/>
      <c r="AJ27" s="2226"/>
      <c r="AK27" s="2226"/>
      <c r="AL27" s="2226"/>
      <c r="AM27" s="2228"/>
      <c r="AN27" s="2226"/>
      <c r="AO27" s="2226"/>
      <c r="AP27" s="2226"/>
      <c r="AQ27" s="2230"/>
      <c r="AR27" s="63"/>
      <c r="AS27" s="26">
        <f t="shared" si="8"/>
        <v>12</v>
      </c>
      <c r="AT27" s="24">
        <f t="shared" si="1"/>
        <v>324</v>
      </c>
      <c r="AU27" s="26">
        <f t="shared" si="2"/>
        <v>6</v>
      </c>
      <c r="AV27" s="24">
        <f t="shared" si="3"/>
        <v>162</v>
      </c>
      <c r="AW27" s="26">
        <f t="shared" si="4"/>
        <v>0</v>
      </c>
      <c r="AX27" s="24">
        <f t="shared" si="5"/>
        <v>0</v>
      </c>
      <c r="AY27" s="26">
        <f t="shared" si="6"/>
        <v>0</v>
      </c>
      <c r="AZ27" s="1754">
        <f t="shared" si="7"/>
        <v>0</v>
      </c>
      <c r="BA27" s="1321"/>
    </row>
    <row r="28" spans="1:53" ht="18" thickTop="1">
      <c r="A28" s="2216">
        <f>DMREZ!D31</f>
        <v>42390</v>
      </c>
      <c r="B28" s="2217">
        <v>1</v>
      </c>
      <c r="C28" s="2234"/>
      <c r="D28" s="2219"/>
      <c r="E28" s="2219"/>
      <c r="F28" s="2219"/>
      <c r="G28" s="2220">
        <v>1</v>
      </c>
      <c r="H28" s="2218"/>
      <c r="I28" s="2219"/>
      <c r="J28" s="2219"/>
      <c r="K28" s="2219"/>
      <c r="L28" s="2221"/>
      <c r="M28" s="2219"/>
      <c r="N28" s="2219"/>
      <c r="O28" s="2219"/>
      <c r="P28" s="2219"/>
      <c r="Q28" s="2219"/>
      <c r="R28" s="2361"/>
      <c r="S28" s="2219"/>
      <c r="T28" s="2219"/>
      <c r="U28" s="2219"/>
      <c r="V28" s="2219"/>
      <c r="W28" s="2222"/>
      <c r="X28" s="2219"/>
      <c r="Y28" s="2219"/>
      <c r="Z28" s="2219"/>
      <c r="AA28" s="2219"/>
      <c r="AB28" s="2221"/>
      <c r="AC28" s="2219"/>
      <c r="AD28" s="2219"/>
      <c r="AE28" s="2219"/>
      <c r="AF28" s="2219"/>
      <c r="AG28" s="2221"/>
      <c r="AH28" s="2219"/>
      <c r="AI28" s="2219"/>
      <c r="AJ28" s="2219"/>
      <c r="AK28" s="2219"/>
      <c r="AL28" s="2219"/>
      <c r="AM28" s="2221"/>
      <c r="AN28" s="2219"/>
      <c r="AO28" s="2219"/>
      <c r="AP28" s="2219"/>
      <c r="AQ28" s="2219"/>
      <c r="AR28" s="63"/>
      <c r="AS28" s="26">
        <f t="shared" si="8"/>
        <v>6</v>
      </c>
      <c r="AT28" s="24">
        <f t="shared" si="1"/>
        <v>162</v>
      </c>
      <c r="AU28" s="26">
        <f t="shared" si="2"/>
        <v>6</v>
      </c>
      <c r="AV28" s="24">
        <f t="shared" si="3"/>
        <v>162</v>
      </c>
      <c r="AW28" s="26">
        <f t="shared" si="4"/>
        <v>0</v>
      </c>
      <c r="AX28" s="24">
        <f t="shared" si="5"/>
        <v>0</v>
      </c>
      <c r="AY28" s="26">
        <f t="shared" si="6"/>
        <v>0</v>
      </c>
      <c r="AZ28" s="1754">
        <f t="shared" si="7"/>
        <v>0</v>
      </c>
      <c r="BA28" s="1321"/>
    </row>
    <row r="29" spans="1:53" ht="17.399999999999999">
      <c r="A29" s="92">
        <f>DMREZ!D32</f>
        <v>42391</v>
      </c>
      <c r="B29" s="2211">
        <v>2</v>
      </c>
      <c r="C29" s="2232"/>
      <c r="D29" s="97"/>
      <c r="E29" s="97"/>
      <c r="F29" s="97"/>
      <c r="G29" s="2214">
        <v>4</v>
      </c>
      <c r="H29" s="2212"/>
      <c r="I29" s="97"/>
      <c r="J29" s="97"/>
      <c r="K29" s="97"/>
      <c r="L29" s="98"/>
      <c r="M29" s="97"/>
      <c r="N29" s="97"/>
      <c r="O29" s="97"/>
      <c r="P29" s="97"/>
      <c r="Q29" s="97"/>
      <c r="R29" s="2359"/>
      <c r="S29" s="97"/>
      <c r="T29" s="97"/>
      <c r="U29" s="97"/>
      <c r="V29" s="97"/>
      <c r="W29" s="96"/>
      <c r="X29" s="97"/>
      <c r="Y29" s="97"/>
      <c r="Z29" s="97"/>
      <c r="AA29" s="97"/>
      <c r="AB29" s="98"/>
      <c r="AC29" s="97"/>
      <c r="AD29" s="97"/>
      <c r="AE29" s="97"/>
      <c r="AF29" s="97"/>
      <c r="AG29" s="98"/>
      <c r="AH29" s="97"/>
      <c r="AI29" s="97"/>
      <c r="AJ29" s="97"/>
      <c r="AK29" s="97"/>
      <c r="AL29" s="97"/>
      <c r="AM29" s="98"/>
      <c r="AN29" s="97"/>
      <c r="AO29" s="97"/>
      <c r="AP29" s="97"/>
      <c r="AQ29" s="97"/>
      <c r="AR29" s="63"/>
      <c r="AS29" s="26">
        <f t="shared" si="8"/>
        <v>24</v>
      </c>
      <c r="AT29" s="24">
        <f t="shared" si="1"/>
        <v>648</v>
      </c>
      <c r="AU29" s="26">
        <f t="shared" si="2"/>
        <v>12</v>
      </c>
      <c r="AV29" s="24">
        <f t="shared" si="3"/>
        <v>324</v>
      </c>
      <c r="AW29" s="26">
        <f t="shared" si="4"/>
        <v>0</v>
      </c>
      <c r="AX29" s="24">
        <f t="shared" si="5"/>
        <v>0</v>
      </c>
      <c r="AY29" s="26">
        <f t="shared" si="6"/>
        <v>0</v>
      </c>
      <c r="AZ29" s="1754">
        <f t="shared" si="7"/>
        <v>0</v>
      </c>
      <c r="BA29" s="1321"/>
    </row>
    <row r="30" spans="1:53" ht="17.399999999999999">
      <c r="A30" s="92">
        <f>DMREZ!D33</f>
        <v>42392</v>
      </c>
      <c r="B30" s="2211">
        <v>1</v>
      </c>
      <c r="C30" s="2232"/>
      <c r="D30" s="97"/>
      <c r="E30" s="97"/>
      <c r="F30" s="97"/>
      <c r="G30" s="2214">
        <v>1</v>
      </c>
      <c r="H30" s="2212"/>
      <c r="I30" s="97"/>
      <c r="J30" s="97"/>
      <c r="K30" s="97"/>
      <c r="L30" s="98"/>
      <c r="M30" s="97"/>
      <c r="N30" s="97"/>
      <c r="O30" s="97"/>
      <c r="P30" s="97"/>
      <c r="Q30" s="97"/>
      <c r="R30" s="2359"/>
      <c r="S30" s="97"/>
      <c r="T30" s="97"/>
      <c r="U30" s="97"/>
      <c r="V30" s="97"/>
      <c r="W30" s="96"/>
      <c r="X30" s="97"/>
      <c r="Y30" s="97"/>
      <c r="Z30" s="97"/>
      <c r="AA30" s="97"/>
      <c r="AB30" s="98"/>
      <c r="AC30" s="97"/>
      <c r="AD30" s="97"/>
      <c r="AE30" s="97"/>
      <c r="AF30" s="97"/>
      <c r="AG30" s="98"/>
      <c r="AH30" s="97"/>
      <c r="AI30" s="97"/>
      <c r="AJ30" s="97"/>
      <c r="AK30" s="97"/>
      <c r="AL30" s="97"/>
      <c r="AM30" s="98"/>
      <c r="AN30" s="97"/>
      <c r="AO30" s="97"/>
      <c r="AP30" s="97"/>
      <c r="AQ30" s="97"/>
      <c r="AR30" s="63"/>
      <c r="AS30" s="26">
        <f t="shared" si="8"/>
        <v>6</v>
      </c>
      <c r="AT30" s="24">
        <f t="shared" si="1"/>
        <v>162</v>
      </c>
      <c r="AU30" s="26">
        <f t="shared" si="2"/>
        <v>6</v>
      </c>
      <c r="AV30" s="24">
        <f t="shared" si="3"/>
        <v>162</v>
      </c>
      <c r="AW30" s="26">
        <f t="shared" si="4"/>
        <v>0</v>
      </c>
      <c r="AX30" s="24">
        <f t="shared" si="5"/>
        <v>0</v>
      </c>
      <c r="AY30" s="26">
        <f t="shared" si="6"/>
        <v>0</v>
      </c>
      <c r="AZ30" s="1754">
        <f t="shared" si="7"/>
        <v>0</v>
      </c>
      <c r="BA30" s="1321"/>
    </row>
    <row r="31" spans="1:53" ht="17.399999999999999">
      <c r="A31" s="92">
        <f>DMREZ!D34</f>
        <v>42393</v>
      </c>
      <c r="B31" s="2211">
        <v>3</v>
      </c>
      <c r="C31" s="2232"/>
      <c r="D31" s="97"/>
      <c r="E31" s="97"/>
      <c r="F31" s="97"/>
      <c r="G31" s="2214">
        <v>1</v>
      </c>
      <c r="H31" s="2212"/>
      <c r="I31" s="97"/>
      <c r="J31" s="97"/>
      <c r="K31" s="97"/>
      <c r="L31" s="98"/>
      <c r="M31" s="97"/>
      <c r="N31" s="97"/>
      <c r="O31" s="97"/>
      <c r="P31" s="97"/>
      <c r="Q31" s="97"/>
      <c r="R31" s="2359"/>
      <c r="S31" s="97"/>
      <c r="T31" s="97"/>
      <c r="U31" s="97"/>
      <c r="V31" s="97"/>
      <c r="W31" s="96"/>
      <c r="X31" s="97"/>
      <c r="Y31" s="97"/>
      <c r="Z31" s="97"/>
      <c r="AA31" s="97"/>
      <c r="AB31" s="98"/>
      <c r="AC31" s="97"/>
      <c r="AD31" s="97"/>
      <c r="AE31" s="97"/>
      <c r="AF31" s="97"/>
      <c r="AG31" s="98"/>
      <c r="AH31" s="97"/>
      <c r="AI31" s="97"/>
      <c r="AJ31" s="97"/>
      <c r="AK31" s="97"/>
      <c r="AL31" s="97"/>
      <c r="AM31" s="98"/>
      <c r="AN31" s="97"/>
      <c r="AO31" s="97"/>
      <c r="AP31" s="97"/>
      <c r="AQ31" s="97"/>
      <c r="AR31" s="63"/>
      <c r="AS31" s="26">
        <f t="shared" si="8"/>
        <v>6</v>
      </c>
      <c r="AT31" s="24">
        <f t="shared" si="1"/>
        <v>162</v>
      </c>
      <c r="AU31" s="26">
        <f t="shared" si="2"/>
        <v>18</v>
      </c>
      <c r="AV31" s="24">
        <f t="shared" si="3"/>
        <v>486</v>
      </c>
      <c r="AW31" s="26">
        <f t="shared" si="4"/>
        <v>0</v>
      </c>
      <c r="AX31" s="24">
        <f t="shared" si="5"/>
        <v>0</v>
      </c>
      <c r="AY31" s="26">
        <f t="shared" si="6"/>
        <v>0</v>
      </c>
      <c r="AZ31" s="1754">
        <f t="shared" si="7"/>
        <v>0</v>
      </c>
      <c r="BA31" s="1321"/>
    </row>
    <row r="32" spans="1:53" ht="17.399999999999999">
      <c r="A32" s="92">
        <f>DMREZ!D35</f>
        <v>42394</v>
      </c>
      <c r="B32" s="2211"/>
      <c r="C32" s="2232"/>
      <c r="D32" s="97"/>
      <c r="E32" s="97"/>
      <c r="F32" s="97"/>
      <c r="G32" s="2214"/>
      <c r="H32" s="2212">
        <v>1</v>
      </c>
      <c r="I32" s="97"/>
      <c r="J32" s="97"/>
      <c r="K32" s="97"/>
      <c r="L32" s="98"/>
      <c r="M32" s="97"/>
      <c r="N32" s="97"/>
      <c r="O32" s="97"/>
      <c r="P32" s="97"/>
      <c r="Q32" s="97"/>
      <c r="R32" s="2359"/>
      <c r="S32" s="97"/>
      <c r="T32" s="97"/>
      <c r="U32" s="97"/>
      <c r="V32" s="97"/>
      <c r="W32" s="96"/>
      <c r="X32" s="97"/>
      <c r="Y32" s="97"/>
      <c r="Z32" s="97"/>
      <c r="AA32" s="97"/>
      <c r="AB32" s="98"/>
      <c r="AC32" s="97"/>
      <c r="AD32" s="97"/>
      <c r="AE32" s="97"/>
      <c r="AF32" s="97"/>
      <c r="AG32" s="98"/>
      <c r="AH32" s="97"/>
      <c r="AI32" s="97"/>
      <c r="AJ32" s="97"/>
      <c r="AK32" s="97"/>
      <c r="AL32" s="97"/>
      <c r="AM32" s="98"/>
      <c r="AN32" s="97"/>
      <c r="AO32" s="97"/>
      <c r="AP32" s="97"/>
      <c r="AQ32" s="97"/>
      <c r="AR32" s="63"/>
      <c r="AS32" s="26">
        <f t="shared" si="8"/>
        <v>10</v>
      </c>
      <c r="AT32" s="24">
        <f t="shared" si="1"/>
        <v>270</v>
      </c>
      <c r="AU32" s="26">
        <f t="shared" si="2"/>
        <v>0</v>
      </c>
      <c r="AV32" s="24">
        <f t="shared" si="3"/>
        <v>0</v>
      </c>
      <c r="AW32" s="26">
        <f t="shared" si="4"/>
        <v>0</v>
      </c>
      <c r="AX32" s="24">
        <f t="shared" si="5"/>
        <v>0</v>
      </c>
      <c r="AY32" s="26">
        <f t="shared" si="6"/>
        <v>0</v>
      </c>
      <c r="AZ32" s="1754">
        <f t="shared" si="7"/>
        <v>0</v>
      </c>
      <c r="BA32" s="1321"/>
    </row>
    <row r="33" spans="1:53" ht="17.399999999999999">
      <c r="A33" s="92">
        <f>DMREZ!D36</f>
        <v>42395</v>
      </c>
      <c r="B33" s="2211"/>
      <c r="C33" s="2232"/>
      <c r="D33" s="97"/>
      <c r="E33" s="97"/>
      <c r="F33" s="97"/>
      <c r="G33" s="2214">
        <v>2</v>
      </c>
      <c r="H33" s="2212">
        <v>1</v>
      </c>
      <c r="I33" s="97"/>
      <c r="J33" s="97"/>
      <c r="K33" s="97"/>
      <c r="L33" s="98"/>
      <c r="M33" s="97"/>
      <c r="N33" s="97"/>
      <c r="O33" s="97"/>
      <c r="P33" s="97"/>
      <c r="Q33" s="97"/>
      <c r="R33" s="2359"/>
      <c r="S33" s="97"/>
      <c r="T33" s="97"/>
      <c r="U33" s="97"/>
      <c r="V33" s="97"/>
      <c r="W33" s="96"/>
      <c r="X33" s="97"/>
      <c r="Y33" s="97"/>
      <c r="Z33" s="97"/>
      <c r="AA33" s="97"/>
      <c r="AB33" s="98"/>
      <c r="AC33" s="97"/>
      <c r="AD33" s="97"/>
      <c r="AE33" s="97"/>
      <c r="AF33" s="97"/>
      <c r="AG33" s="98"/>
      <c r="AH33" s="97"/>
      <c r="AI33" s="97"/>
      <c r="AJ33" s="97"/>
      <c r="AK33" s="97"/>
      <c r="AL33" s="97"/>
      <c r="AM33" s="98"/>
      <c r="AN33" s="97"/>
      <c r="AO33" s="97"/>
      <c r="AP33" s="97"/>
      <c r="AQ33" s="97"/>
      <c r="AR33" s="63"/>
      <c r="AS33" s="26">
        <f t="shared" si="8"/>
        <v>22</v>
      </c>
      <c r="AT33" s="24">
        <f t="shared" si="1"/>
        <v>594</v>
      </c>
      <c r="AU33" s="26">
        <f t="shared" si="2"/>
        <v>0</v>
      </c>
      <c r="AV33" s="24">
        <f t="shared" si="3"/>
        <v>0</v>
      </c>
      <c r="AW33" s="26">
        <f t="shared" si="4"/>
        <v>0</v>
      </c>
      <c r="AX33" s="24">
        <f t="shared" si="5"/>
        <v>0</v>
      </c>
      <c r="AY33" s="26">
        <f t="shared" si="6"/>
        <v>0</v>
      </c>
      <c r="AZ33" s="1754">
        <f t="shared" si="7"/>
        <v>0</v>
      </c>
      <c r="BA33" s="1321"/>
    </row>
    <row r="34" spans="1:53" ht="17.399999999999999">
      <c r="A34" s="92">
        <f>DMREZ!D37</f>
        <v>42396</v>
      </c>
      <c r="B34" s="2211">
        <v>1</v>
      </c>
      <c r="C34" s="2232"/>
      <c r="D34" s="97"/>
      <c r="E34" s="97"/>
      <c r="F34" s="97"/>
      <c r="G34" s="2214"/>
      <c r="H34" s="2212"/>
      <c r="I34" s="97"/>
      <c r="J34" s="97"/>
      <c r="K34" s="97"/>
      <c r="L34" s="98"/>
      <c r="M34" s="97"/>
      <c r="N34" s="97"/>
      <c r="O34" s="97"/>
      <c r="P34" s="97"/>
      <c r="Q34" s="97"/>
      <c r="R34" s="2359"/>
      <c r="S34" s="97"/>
      <c r="T34" s="97"/>
      <c r="U34" s="97"/>
      <c r="V34" s="97"/>
      <c r="W34" s="96"/>
      <c r="X34" s="97"/>
      <c r="Y34" s="97"/>
      <c r="Z34" s="97"/>
      <c r="AA34" s="97"/>
      <c r="AB34" s="98"/>
      <c r="AC34" s="97"/>
      <c r="AD34" s="97"/>
      <c r="AE34" s="97"/>
      <c r="AF34" s="97"/>
      <c r="AG34" s="98"/>
      <c r="AH34" s="97"/>
      <c r="AI34" s="97"/>
      <c r="AJ34" s="97"/>
      <c r="AK34" s="97"/>
      <c r="AL34" s="97"/>
      <c r="AM34" s="98"/>
      <c r="AN34" s="97"/>
      <c r="AO34" s="97"/>
      <c r="AP34" s="97"/>
      <c r="AQ34" s="97"/>
      <c r="AR34" s="63"/>
      <c r="AS34" s="26">
        <f t="shared" si="8"/>
        <v>0</v>
      </c>
      <c r="AT34" s="24">
        <f t="shared" si="1"/>
        <v>0</v>
      </c>
      <c r="AU34" s="26">
        <f t="shared" si="2"/>
        <v>6</v>
      </c>
      <c r="AV34" s="24">
        <f t="shared" si="3"/>
        <v>162</v>
      </c>
      <c r="AW34" s="26">
        <f t="shared" si="4"/>
        <v>0</v>
      </c>
      <c r="AX34" s="24">
        <f t="shared" si="5"/>
        <v>0</v>
      </c>
      <c r="AY34" s="26">
        <f t="shared" si="6"/>
        <v>0</v>
      </c>
      <c r="AZ34" s="1754">
        <f t="shared" si="7"/>
        <v>0</v>
      </c>
      <c r="BA34" s="1321"/>
    </row>
    <row r="35" spans="1:53" ht="17.399999999999999">
      <c r="A35" s="92">
        <f>DMREZ!D38</f>
        <v>42397</v>
      </c>
      <c r="B35" s="2211">
        <v>5</v>
      </c>
      <c r="C35" s="2232"/>
      <c r="D35" s="97"/>
      <c r="E35" s="97"/>
      <c r="F35" s="97"/>
      <c r="G35" s="2214"/>
      <c r="H35" s="2212"/>
      <c r="I35" s="97"/>
      <c r="J35" s="97"/>
      <c r="K35" s="97"/>
      <c r="L35" s="98"/>
      <c r="M35" s="97"/>
      <c r="N35" s="97"/>
      <c r="O35" s="97"/>
      <c r="P35" s="97"/>
      <c r="Q35" s="97"/>
      <c r="R35" s="2359"/>
      <c r="S35" s="97"/>
      <c r="T35" s="97"/>
      <c r="U35" s="97"/>
      <c r="V35" s="97"/>
      <c r="W35" s="96"/>
      <c r="X35" s="97"/>
      <c r="Y35" s="97"/>
      <c r="Z35" s="97"/>
      <c r="AA35" s="97"/>
      <c r="AB35" s="98"/>
      <c r="AC35" s="97"/>
      <c r="AD35" s="97"/>
      <c r="AE35" s="97"/>
      <c r="AF35" s="97"/>
      <c r="AG35" s="98"/>
      <c r="AH35" s="97"/>
      <c r="AI35" s="97"/>
      <c r="AJ35" s="97"/>
      <c r="AK35" s="97"/>
      <c r="AL35" s="97"/>
      <c r="AM35" s="98"/>
      <c r="AN35" s="97"/>
      <c r="AO35" s="97"/>
      <c r="AP35" s="97"/>
      <c r="AQ35" s="97"/>
      <c r="AR35" s="63"/>
      <c r="AS35" s="26">
        <f t="shared" si="8"/>
        <v>0</v>
      </c>
      <c r="AT35" s="24">
        <f t="shared" si="1"/>
        <v>0</v>
      </c>
      <c r="AU35" s="26">
        <f t="shared" si="2"/>
        <v>30</v>
      </c>
      <c r="AV35" s="24">
        <f t="shared" si="3"/>
        <v>810</v>
      </c>
      <c r="AW35" s="26">
        <f t="shared" si="4"/>
        <v>0</v>
      </c>
      <c r="AX35" s="24">
        <f t="shared" si="5"/>
        <v>0</v>
      </c>
      <c r="AY35" s="26">
        <f t="shared" si="6"/>
        <v>0</v>
      </c>
      <c r="AZ35" s="1754">
        <f t="shared" si="7"/>
        <v>0</v>
      </c>
      <c r="BA35" s="1321"/>
    </row>
    <row r="36" spans="1:53" ht="17.399999999999999">
      <c r="A36" s="92">
        <f>DMREZ!D39</f>
        <v>42398</v>
      </c>
      <c r="B36" s="2211"/>
      <c r="C36" s="2232"/>
      <c r="D36" s="97"/>
      <c r="E36" s="97"/>
      <c r="F36" s="97"/>
      <c r="G36" s="2214"/>
      <c r="H36" s="2212"/>
      <c r="I36" s="97"/>
      <c r="J36" s="97"/>
      <c r="K36" s="97"/>
      <c r="L36" s="98"/>
      <c r="M36" s="97"/>
      <c r="N36" s="97"/>
      <c r="O36" s="97"/>
      <c r="P36" s="97"/>
      <c r="Q36" s="97"/>
      <c r="R36" s="2359"/>
      <c r="S36" s="97"/>
      <c r="T36" s="97"/>
      <c r="U36" s="97"/>
      <c r="V36" s="97"/>
      <c r="W36" s="96"/>
      <c r="X36" s="97"/>
      <c r="Y36" s="97"/>
      <c r="Z36" s="97"/>
      <c r="AA36" s="97"/>
      <c r="AB36" s="98"/>
      <c r="AC36" s="97"/>
      <c r="AD36" s="97"/>
      <c r="AE36" s="97"/>
      <c r="AF36" s="97"/>
      <c r="AG36" s="98"/>
      <c r="AH36" s="97"/>
      <c r="AI36" s="97"/>
      <c r="AJ36" s="97"/>
      <c r="AK36" s="97"/>
      <c r="AL36" s="97"/>
      <c r="AM36" s="98"/>
      <c r="AN36" s="97"/>
      <c r="AO36" s="97"/>
      <c r="AP36" s="97"/>
      <c r="AQ36" s="97"/>
      <c r="AR36" s="63"/>
      <c r="AS36" s="26">
        <f t="shared" si="8"/>
        <v>0</v>
      </c>
      <c r="AT36" s="24">
        <f t="shared" si="1"/>
        <v>0</v>
      </c>
      <c r="AU36" s="26">
        <f t="shared" si="2"/>
        <v>0</v>
      </c>
      <c r="AV36" s="24">
        <f t="shared" si="3"/>
        <v>0</v>
      </c>
      <c r="AW36" s="26">
        <f t="shared" si="4"/>
        <v>0</v>
      </c>
      <c r="AX36" s="24">
        <f t="shared" si="5"/>
        <v>0</v>
      </c>
      <c r="AY36" s="26">
        <f t="shared" si="6"/>
        <v>0</v>
      </c>
      <c r="AZ36" s="1754">
        <f t="shared" si="7"/>
        <v>0</v>
      </c>
      <c r="BA36" s="1321"/>
    </row>
    <row r="37" spans="1:53" ht="17.399999999999999">
      <c r="A37" s="92">
        <f>DMREZ!D40</f>
        <v>42399</v>
      </c>
      <c r="B37" s="2211">
        <v>2</v>
      </c>
      <c r="C37" s="2232"/>
      <c r="D37" s="97"/>
      <c r="E37" s="97"/>
      <c r="F37" s="97"/>
      <c r="G37" s="2214"/>
      <c r="H37" s="2212"/>
      <c r="I37" s="97"/>
      <c r="J37" s="97"/>
      <c r="K37" s="97"/>
      <c r="L37" s="98"/>
      <c r="M37" s="97"/>
      <c r="N37" s="97"/>
      <c r="O37" s="97"/>
      <c r="P37" s="97"/>
      <c r="Q37" s="97"/>
      <c r="R37" s="2359"/>
      <c r="S37" s="97"/>
      <c r="T37" s="97"/>
      <c r="U37" s="97"/>
      <c r="V37" s="97"/>
      <c r="W37" s="96"/>
      <c r="X37" s="97"/>
      <c r="Y37" s="97"/>
      <c r="Z37" s="97"/>
      <c r="AA37" s="97"/>
      <c r="AB37" s="98"/>
      <c r="AC37" s="97"/>
      <c r="AD37" s="97"/>
      <c r="AE37" s="97"/>
      <c r="AF37" s="97"/>
      <c r="AG37" s="98"/>
      <c r="AH37" s="97"/>
      <c r="AI37" s="97"/>
      <c r="AJ37" s="97"/>
      <c r="AK37" s="97"/>
      <c r="AL37" s="97"/>
      <c r="AM37" s="98"/>
      <c r="AN37" s="97"/>
      <c r="AO37" s="97"/>
      <c r="AP37" s="97"/>
      <c r="AQ37" s="97"/>
      <c r="AR37" s="63"/>
      <c r="AS37" s="26">
        <f t="shared" si="0"/>
        <v>0</v>
      </c>
      <c r="AT37" s="24">
        <f t="shared" si="1"/>
        <v>0</v>
      </c>
      <c r="AU37" s="26">
        <f t="shared" si="2"/>
        <v>12</v>
      </c>
      <c r="AV37" s="24">
        <f t="shared" si="3"/>
        <v>324</v>
      </c>
      <c r="AW37" s="26">
        <f t="shared" si="4"/>
        <v>0</v>
      </c>
      <c r="AX37" s="24">
        <f t="shared" si="5"/>
        <v>0</v>
      </c>
      <c r="AY37" s="26">
        <f t="shared" si="6"/>
        <v>0</v>
      </c>
      <c r="AZ37" s="1754">
        <f t="shared" si="7"/>
        <v>0</v>
      </c>
      <c r="BA37" s="1321"/>
    </row>
    <row r="38" spans="1:53" ht="17.399999999999999">
      <c r="A38" s="92">
        <f>DMREZ!D41</f>
        <v>42400</v>
      </c>
      <c r="B38" s="2211"/>
      <c r="C38" s="2232"/>
      <c r="D38" s="97"/>
      <c r="E38" s="97"/>
      <c r="F38" s="97"/>
      <c r="G38" s="2214"/>
      <c r="H38" s="2212"/>
      <c r="I38" s="97"/>
      <c r="J38" s="97"/>
      <c r="K38" s="97"/>
      <c r="L38" s="98"/>
      <c r="M38" s="97"/>
      <c r="N38" s="97"/>
      <c r="O38" s="97"/>
      <c r="P38" s="97"/>
      <c r="Q38" s="97"/>
      <c r="R38" s="2359"/>
      <c r="S38" s="97"/>
      <c r="T38" s="97"/>
      <c r="U38" s="97"/>
      <c r="V38" s="97"/>
      <c r="W38" s="96"/>
      <c r="X38" s="97"/>
      <c r="Y38" s="97"/>
      <c r="Z38" s="97"/>
      <c r="AA38" s="97"/>
      <c r="AB38" s="98"/>
      <c r="AC38" s="97"/>
      <c r="AD38" s="97"/>
      <c r="AE38" s="97"/>
      <c r="AF38" s="97"/>
      <c r="AG38" s="98"/>
      <c r="AH38" s="97"/>
      <c r="AI38" s="97"/>
      <c r="AJ38" s="97"/>
      <c r="AK38" s="97"/>
      <c r="AL38" s="97"/>
      <c r="AM38" s="98"/>
      <c r="AN38" s="97"/>
      <c r="AO38" s="97"/>
      <c r="AP38" s="97"/>
      <c r="AQ38" s="97"/>
      <c r="AR38" s="63"/>
      <c r="AS38" s="26">
        <f t="shared" si="0"/>
        <v>0</v>
      </c>
      <c r="AT38" s="24">
        <f t="shared" si="1"/>
        <v>0</v>
      </c>
      <c r="AU38" s="26">
        <f t="shared" si="2"/>
        <v>0</v>
      </c>
      <c r="AV38" s="24">
        <f t="shared" si="3"/>
        <v>0</v>
      </c>
      <c r="AW38" s="26">
        <f t="shared" si="4"/>
        <v>0</v>
      </c>
      <c r="AX38" s="24">
        <f t="shared" si="5"/>
        <v>0</v>
      </c>
      <c r="AY38" s="26">
        <f t="shared" si="6"/>
        <v>0</v>
      </c>
      <c r="AZ38" s="1755">
        <f t="shared" si="7"/>
        <v>0</v>
      </c>
      <c r="BA38" s="1321"/>
    </row>
    <row r="39" spans="1:53" ht="18" thickTop="1">
      <c r="A39" s="99" t="s">
        <v>776</v>
      </c>
      <c r="B39" s="100">
        <f>+SUM(B8:B38)</f>
        <v>49</v>
      </c>
      <c r="C39" s="2235">
        <f t="shared" ref="C39:V39" si="9">+SUM(C8:C38)</f>
        <v>0</v>
      </c>
      <c r="D39" s="101">
        <f t="shared" si="9"/>
        <v>0</v>
      </c>
      <c r="E39" s="101">
        <f t="shared" si="9"/>
        <v>0</v>
      </c>
      <c r="F39" s="101">
        <f t="shared" si="9"/>
        <v>0</v>
      </c>
      <c r="G39" s="25">
        <f t="shared" si="9"/>
        <v>21</v>
      </c>
      <c r="H39" s="101">
        <f t="shared" si="9"/>
        <v>6</v>
      </c>
      <c r="I39" s="101">
        <f t="shared" si="9"/>
        <v>0</v>
      </c>
      <c r="J39" s="101">
        <f t="shared" si="9"/>
        <v>0</v>
      </c>
      <c r="K39" s="101">
        <f t="shared" si="9"/>
        <v>0</v>
      </c>
      <c r="L39" s="25">
        <f t="shared" si="9"/>
        <v>0</v>
      </c>
      <c r="M39" s="101">
        <f t="shared" si="9"/>
        <v>0</v>
      </c>
      <c r="N39" s="101">
        <f t="shared" si="9"/>
        <v>0</v>
      </c>
      <c r="O39" s="101">
        <f t="shared" si="9"/>
        <v>0</v>
      </c>
      <c r="P39" s="101">
        <f t="shared" si="9"/>
        <v>0</v>
      </c>
      <c r="Q39" s="101">
        <f t="shared" si="9"/>
        <v>0</v>
      </c>
      <c r="R39" s="25">
        <f t="shared" si="9"/>
        <v>0</v>
      </c>
      <c r="S39" s="101">
        <f t="shared" si="9"/>
        <v>0</v>
      </c>
      <c r="T39" s="101">
        <f t="shared" si="9"/>
        <v>0</v>
      </c>
      <c r="U39" s="101">
        <f t="shared" si="9"/>
        <v>0</v>
      </c>
      <c r="V39" s="101">
        <f t="shared" si="9"/>
        <v>0</v>
      </c>
      <c r="W39" s="111">
        <f t="shared" ref="W39:AQ39" si="10">+SUM(W8:W38)</f>
        <v>0</v>
      </c>
      <c r="X39" s="112">
        <f t="shared" si="10"/>
        <v>0</v>
      </c>
      <c r="Y39" s="112">
        <f t="shared" si="10"/>
        <v>0</v>
      </c>
      <c r="Z39" s="112">
        <f t="shared" si="10"/>
        <v>0</v>
      </c>
      <c r="AA39" s="112">
        <f t="shared" si="10"/>
        <v>0</v>
      </c>
      <c r="AB39" s="113">
        <f t="shared" si="10"/>
        <v>0</v>
      </c>
      <c r="AC39" s="112">
        <f t="shared" si="10"/>
        <v>0</v>
      </c>
      <c r="AD39" s="112">
        <f t="shared" si="10"/>
        <v>0</v>
      </c>
      <c r="AE39" s="112">
        <f t="shared" si="10"/>
        <v>0</v>
      </c>
      <c r="AF39" s="112">
        <f t="shared" si="10"/>
        <v>0</v>
      </c>
      <c r="AG39" s="113">
        <f t="shared" si="10"/>
        <v>0</v>
      </c>
      <c r="AH39" s="112">
        <f t="shared" si="10"/>
        <v>0</v>
      </c>
      <c r="AI39" s="112">
        <f t="shared" si="10"/>
        <v>0</v>
      </c>
      <c r="AJ39" s="112">
        <f t="shared" si="10"/>
        <v>0</v>
      </c>
      <c r="AK39" s="112">
        <f t="shared" si="10"/>
        <v>0</v>
      </c>
      <c r="AL39" s="112">
        <f t="shared" si="10"/>
        <v>0</v>
      </c>
      <c r="AM39" s="113">
        <f t="shared" si="10"/>
        <v>0</v>
      </c>
      <c r="AN39" s="112">
        <f t="shared" si="10"/>
        <v>0</v>
      </c>
      <c r="AO39" s="112">
        <f t="shared" si="10"/>
        <v>0</v>
      </c>
      <c r="AP39" s="112">
        <f t="shared" si="10"/>
        <v>0</v>
      </c>
      <c r="AQ39" s="112">
        <f t="shared" si="10"/>
        <v>0</v>
      </c>
      <c r="AR39" s="63"/>
      <c r="AS39" s="2"/>
      <c r="AT39" s="2"/>
      <c r="AU39" s="23"/>
      <c r="AV39" s="23"/>
      <c r="AW39" s="23"/>
      <c r="AX39" s="114" t="s">
        <v>203</v>
      </c>
      <c r="AY39" s="26">
        <f>SUM(AY8:AY38)</f>
        <v>0</v>
      </c>
      <c r="AZ39" s="24"/>
      <c r="BA39" s="46"/>
    </row>
    <row r="40" spans="1:53" ht="17.399999999999999">
      <c r="A40" s="65"/>
      <c r="B40" s="115">
        <f>SUM(B39:F39)</f>
        <v>49</v>
      </c>
      <c r="C40" s="23"/>
      <c r="D40" s="23"/>
      <c r="E40" s="23"/>
      <c r="F40" s="23"/>
      <c r="G40" s="26">
        <f>SUM(G39:K39)</f>
        <v>27</v>
      </c>
      <c r="H40" s="23"/>
      <c r="I40" s="23"/>
      <c r="J40" s="23"/>
      <c r="K40" s="23"/>
      <c r="L40" s="26">
        <f>SUM(L39:Q39)</f>
        <v>0</v>
      </c>
      <c r="M40" s="23"/>
      <c r="N40" s="23"/>
      <c r="O40" s="23"/>
      <c r="P40" s="23"/>
      <c r="Q40" s="23"/>
      <c r="R40" s="26">
        <f>SUM(R39:V39)</f>
        <v>0</v>
      </c>
      <c r="S40" s="23"/>
      <c r="T40" s="23"/>
      <c r="U40" s="23"/>
      <c r="V40" s="23"/>
      <c r="W40" s="116">
        <f>SUM(W39:AA39)</f>
        <v>0</v>
      </c>
      <c r="X40" s="117"/>
      <c r="Y40" s="117"/>
      <c r="Z40" s="117"/>
      <c r="AA40" s="117"/>
      <c r="AB40" s="118">
        <f>SUM(AB39:AF39)</f>
        <v>0</v>
      </c>
      <c r="AC40" s="117"/>
      <c r="AD40" s="117"/>
      <c r="AE40" s="117"/>
      <c r="AF40" s="117"/>
      <c r="AG40" s="118">
        <f>SUM(AG39:AL39)</f>
        <v>0</v>
      </c>
      <c r="AH40" s="117"/>
      <c r="AI40" s="117"/>
      <c r="AJ40" s="117"/>
      <c r="AK40" s="117"/>
      <c r="AL40" s="117"/>
      <c r="AM40" s="118">
        <f>SUM(AM39:AQ39)</f>
        <v>0</v>
      </c>
      <c r="AN40" s="117"/>
      <c r="AO40" s="117"/>
      <c r="AP40" s="117"/>
      <c r="AQ40" s="117"/>
      <c r="AR40" s="63"/>
      <c r="AS40" s="2"/>
      <c r="AT40" s="2"/>
      <c r="AU40" s="2"/>
      <c r="AV40" s="2"/>
      <c r="AW40" s="2"/>
      <c r="AX40" s="26" t="s">
        <v>809</v>
      </c>
      <c r="AY40" s="119">
        <v>0.5</v>
      </c>
      <c r="AZ40" s="119"/>
      <c r="BA40" s="46"/>
    </row>
    <row r="41" spans="1:53" ht="18" thickBot="1">
      <c r="A41" s="99" t="s">
        <v>777</v>
      </c>
      <c r="B41" s="115">
        <f>SUM(B39:AQ39)</f>
        <v>76</v>
      </c>
      <c r="C41" s="23"/>
      <c r="D41" s="23"/>
      <c r="E41" s="23"/>
      <c r="F41" s="23"/>
      <c r="G41" s="23"/>
      <c r="H41" s="23"/>
      <c r="I41" s="23"/>
      <c r="J41" s="23"/>
      <c r="K41" s="23"/>
      <c r="L41" s="23"/>
      <c r="M41" s="23"/>
      <c r="N41" s="23"/>
      <c r="O41" s="23"/>
      <c r="P41" s="23"/>
      <c r="Q41" s="23"/>
      <c r="R41" s="23"/>
      <c r="S41" s="23"/>
      <c r="T41" s="23"/>
      <c r="U41" s="23"/>
      <c r="V41" s="23"/>
      <c r="W41" s="116">
        <v>0</v>
      </c>
      <c r="X41" s="117"/>
      <c r="Y41" s="117"/>
      <c r="Z41" s="117" t="s">
        <v>798</v>
      </c>
      <c r="AA41" s="117"/>
      <c r="AB41" s="117"/>
      <c r="AC41" s="117"/>
      <c r="AD41" s="117"/>
      <c r="AE41" s="117"/>
      <c r="AF41" s="117"/>
      <c r="AG41" s="117"/>
      <c r="AH41" s="117"/>
      <c r="AI41" s="117"/>
      <c r="AJ41" s="117"/>
      <c r="AK41" s="117"/>
      <c r="AL41" s="117"/>
      <c r="AM41" s="117"/>
      <c r="AN41" s="117"/>
      <c r="AO41" s="117"/>
      <c r="AP41" s="117"/>
      <c r="AQ41" s="117"/>
      <c r="AR41" s="55"/>
      <c r="AS41" s="54"/>
      <c r="AT41" s="54"/>
      <c r="AU41" s="54"/>
      <c r="AV41" s="54"/>
      <c r="AW41" s="54"/>
      <c r="AX41" s="120"/>
      <c r="AY41" s="120"/>
      <c r="AZ41" s="120"/>
    </row>
    <row r="42" spans="1:53" ht="18" thickTop="1">
      <c r="A42" s="121" t="s">
        <v>778</v>
      </c>
      <c r="B42" s="100">
        <f>SUM(B39*B7)</f>
        <v>294</v>
      </c>
      <c r="C42" s="101">
        <f t="shared" ref="C42:AQ42" si="11">SUM(C39*C7)</f>
        <v>0</v>
      </c>
      <c r="D42" s="101">
        <f t="shared" si="11"/>
        <v>0</v>
      </c>
      <c r="E42" s="101">
        <f t="shared" si="11"/>
        <v>0</v>
      </c>
      <c r="F42" s="101">
        <f t="shared" si="11"/>
        <v>0</v>
      </c>
      <c r="G42" s="25">
        <f t="shared" si="11"/>
        <v>126</v>
      </c>
      <c r="H42" s="101">
        <f t="shared" si="11"/>
        <v>60</v>
      </c>
      <c r="I42" s="101">
        <f t="shared" si="11"/>
        <v>0</v>
      </c>
      <c r="J42" s="101">
        <f t="shared" si="11"/>
        <v>0</v>
      </c>
      <c r="K42" s="101">
        <f t="shared" si="11"/>
        <v>0</v>
      </c>
      <c r="L42" s="25">
        <f t="shared" si="11"/>
        <v>0</v>
      </c>
      <c r="M42" s="101">
        <f t="shared" si="11"/>
        <v>0</v>
      </c>
      <c r="N42" s="101">
        <f t="shared" si="11"/>
        <v>0</v>
      </c>
      <c r="O42" s="101">
        <f t="shared" si="11"/>
        <v>0</v>
      </c>
      <c r="P42" s="101">
        <f t="shared" si="11"/>
        <v>0</v>
      </c>
      <c r="Q42" s="101">
        <f t="shared" si="11"/>
        <v>0</v>
      </c>
      <c r="R42" s="25">
        <f t="shared" si="11"/>
        <v>0</v>
      </c>
      <c r="S42" s="101">
        <f t="shared" si="11"/>
        <v>0</v>
      </c>
      <c r="T42" s="101">
        <f t="shared" si="11"/>
        <v>0</v>
      </c>
      <c r="U42" s="101">
        <f t="shared" si="11"/>
        <v>0</v>
      </c>
      <c r="V42" s="101">
        <f t="shared" si="11"/>
        <v>0</v>
      </c>
      <c r="W42" s="111">
        <f t="shared" si="11"/>
        <v>0</v>
      </c>
      <c r="X42" s="112">
        <f t="shared" si="11"/>
        <v>0</v>
      </c>
      <c r="Y42" s="112">
        <f t="shared" si="11"/>
        <v>0</v>
      </c>
      <c r="Z42" s="112">
        <f t="shared" si="11"/>
        <v>0</v>
      </c>
      <c r="AA42" s="112">
        <f t="shared" si="11"/>
        <v>0</v>
      </c>
      <c r="AB42" s="113">
        <f t="shared" si="11"/>
        <v>0</v>
      </c>
      <c r="AC42" s="112">
        <f t="shared" si="11"/>
        <v>0</v>
      </c>
      <c r="AD42" s="112">
        <f t="shared" si="11"/>
        <v>0</v>
      </c>
      <c r="AE42" s="112">
        <f t="shared" si="11"/>
        <v>0</v>
      </c>
      <c r="AF42" s="112">
        <f t="shared" si="11"/>
        <v>0</v>
      </c>
      <c r="AG42" s="113">
        <f t="shared" si="11"/>
        <v>0</v>
      </c>
      <c r="AH42" s="112">
        <f t="shared" si="11"/>
        <v>0</v>
      </c>
      <c r="AI42" s="112">
        <f t="shared" si="11"/>
        <v>0</v>
      </c>
      <c r="AJ42" s="112">
        <f t="shared" si="11"/>
        <v>0</v>
      </c>
      <c r="AK42" s="112">
        <f t="shared" si="11"/>
        <v>0</v>
      </c>
      <c r="AL42" s="112">
        <f t="shared" si="11"/>
        <v>0</v>
      </c>
      <c r="AM42" s="113">
        <f t="shared" si="11"/>
        <v>0</v>
      </c>
      <c r="AN42" s="112">
        <f t="shared" si="11"/>
        <v>0</v>
      </c>
      <c r="AO42" s="112">
        <f t="shared" si="11"/>
        <v>0</v>
      </c>
      <c r="AP42" s="112">
        <f t="shared" si="11"/>
        <v>0</v>
      </c>
      <c r="AQ42" s="112">
        <f t="shared" si="11"/>
        <v>0</v>
      </c>
      <c r="AR42" s="55"/>
      <c r="AS42" s="54"/>
      <c r="AT42" s="54"/>
      <c r="AU42" s="54"/>
      <c r="AV42" s="54"/>
      <c r="AW42" s="54"/>
      <c r="AX42" s="54"/>
      <c r="AY42" s="54"/>
      <c r="AZ42" s="54"/>
    </row>
    <row r="43" spans="1:53" ht="17.399999999999999">
      <c r="A43" s="83" t="s">
        <v>779</v>
      </c>
      <c r="B43" s="115">
        <f>SUM(B42:F42)</f>
        <v>294</v>
      </c>
      <c r="C43" s="23"/>
      <c r="D43" s="23"/>
      <c r="E43" s="23"/>
      <c r="F43" s="23"/>
      <c r="G43" s="26">
        <f>SUM(G42:K42)</f>
        <v>186</v>
      </c>
      <c r="H43" s="23"/>
      <c r="I43" s="23"/>
      <c r="J43" s="23"/>
      <c r="K43" s="23"/>
      <c r="L43" s="26">
        <f>SUM(L42:Q42)</f>
        <v>0</v>
      </c>
      <c r="M43" s="23"/>
      <c r="N43" s="23"/>
      <c r="O43" s="23"/>
      <c r="P43" s="23"/>
      <c r="Q43" s="23"/>
      <c r="R43" s="26">
        <f>SUM(R42:V42)</f>
        <v>0</v>
      </c>
      <c r="S43" s="23"/>
      <c r="T43" s="23"/>
      <c r="U43" s="23"/>
      <c r="V43" s="23"/>
      <c r="W43" s="116">
        <f>SUM(W42:AA42)</f>
        <v>0</v>
      </c>
      <c r="X43" s="117"/>
      <c r="Y43" s="117"/>
      <c r="Z43" s="117"/>
      <c r="AA43" s="117"/>
      <c r="AB43" s="118">
        <f>SUM(AB42:AF42)</f>
        <v>0</v>
      </c>
      <c r="AC43" s="117"/>
      <c r="AD43" s="117"/>
      <c r="AE43" s="117"/>
      <c r="AF43" s="117"/>
      <c r="AG43" s="118">
        <f>SUM(AG42:AL42)</f>
        <v>0</v>
      </c>
      <c r="AH43" s="117"/>
      <c r="AI43" s="117"/>
      <c r="AJ43" s="117"/>
      <c r="AK43" s="117"/>
      <c r="AL43" s="117"/>
      <c r="AM43" s="118">
        <f>SUM(AM42:AQ42)</f>
        <v>0</v>
      </c>
      <c r="AN43" s="117"/>
      <c r="AO43" s="117"/>
      <c r="AP43" s="117"/>
      <c r="AQ43" s="117"/>
      <c r="AR43" s="55"/>
      <c r="AS43" s="54"/>
      <c r="AT43" s="54"/>
      <c r="AU43" s="54"/>
      <c r="AV43" s="54"/>
      <c r="AW43" s="54"/>
      <c r="AX43" s="54"/>
      <c r="AY43" s="54"/>
      <c r="AZ43" s="54"/>
    </row>
    <row r="44" spans="1:53" ht="17.399999999999999">
      <c r="A44" s="122" t="s">
        <v>780</v>
      </c>
      <c r="B44" s="115">
        <f>SUM(B42:V42)</f>
        <v>480</v>
      </c>
      <c r="C44" s="23" t="s">
        <v>785</v>
      </c>
      <c r="D44" s="23"/>
      <c r="E44" s="23"/>
      <c r="F44" s="23"/>
      <c r="G44" s="23"/>
      <c r="H44" s="23"/>
      <c r="I44" s="23"/>
      <c r="J44" s="23"/>
      <c r="K44" s="23"/>
      <c r="L44" s="23"/>
      <c r="M44" s="23"/>
      <c r="N44" s="23"/>
      <c r="O44" s="23"/>
      <c r="P44" s="23"/>
      <c r="Q44" s="23"/>
      <c r="R44" s="23"/>
      <c r="S44" s="23"/>
      <c r="T44" s="23"/>
      <c r="U44" s="23"/>
      <c r="V44" s="23"/>
      <c r="W44" s="116">
        <v>0</v>
      </c>
      <c r="X44" s="117"/>
      <c r="Y44" s="117"/>
      <c r="Z44" s="117" t="s">
        <v>799</v>
      </c>
      <c r="AA44" s="117"/>
      <c r="AB44" s="117"/>
      <c r="AC44" s="117"/>
      <c r="AD44" s="117"/>
      <c r="AE44" s="117"/>
      <c r="AF44" s="117"/>
      <c r="AG44" s="117"/>
      <c r="AH44" s="117"/>
      <c r="AI44" s="117"/>
      <c r="AJ44" s="117"/>
      <c r="AK44" s="117"/>
      <c r="AL44" s="117"/>
      <c r="AM44" s="117"/>
      <c r="AN44" s="117"/>
      <c r="AO44" s="117"/>
      <c r="AP44" s="117"/>
      <c r="AQ44" s="117"/>
      <c r="AR44" s="55"/>
      <c r="AS44" s="54"/>
      <c r="AT44" s="54"/>
      <c r="AU44" s="54"/>
      <c r="AV44" s="54"/>
      <c r="AW44" s="54"/>
      <c r="AX44" s="54"/>
      <c r="AY44" s="54"/>
      <c r="AZ44" s="54"/>
    </row>
    <row r="45" spans="1:53" ht="18" thickBot="1">
      <c r="A45" s="83" t="s">
        <v>781</v>
      </c>
      <c r="B45" s="63">
        <f>SUM(B42:AQ42)</f>
        <v>480</v>
      </c>
      <c r="C45" s="2" t="s">
        <v>786</v>
      </c>
      <c r="D45" s="2"/>
      <c r="E45" s="2"/>
      <c r="F45" s="2"/>
      <c r="G45" s="2"/>
      <c r="H45" s="2"/>
      <c r="I45" s="2"/>
      <c r="J45" s="2"/>
      <c r="K45" s="2"/>
      <c r="L45" s="2"/>
      <c r="M45" s="2"/>
      <c r="N45" s="2"/>
      <c r="O45" s="2"/>
      <c r="P45" s="2"/>
      <c r="Q45" s="2"/>
      <c r="R45" s="2"/>
      <c r="S45" s="2"/>
      <c r="T45" s="2"/>
      <c r="U45" s="2"/>
      <c r="V45" s="2"/>
      <c r="W45" s="123"/>
      <c r="X45" s="127"/>
      <c r="Y45" s="127"/>
      <c r="Z45" s="127"/>
      <c r="AA45" s="127"/>
      <c r="AB45" s="127"/>
      <c r="AC45" s="127"/>
      <c r="AD45" s="127"/>
      <c r="AE45" s="127"/>
      <c r="AF45" s="127"/>
      <c r="AG45" s="127"/>
      <c r="AH45" s="127"/>
      <c r="AI45" s="127"/>
      <c r="AJ45" s="127"/>
      <c r="AK45" s="127"/>
      <c r="AL45" s="127"/>
      <c r="AM45" s="127"/>
      <c r="AN45" s="127"/>
      <c r="AO45" s="127"/>
      <c r="AP45" s="127"/>
      <c r="AQ45" s="127"/>
      <c r="AR45" s="55"/>
      <c r="AS45" s="54"/>
      <c r="AT45" s="54"/>
      <c r="AU45" s="54"/>
      <c r="AV45" s="54"/>
      <c r="AW45" s="54"/>
      <c r="AX45" s="54"/>
      <c r="AY45" s="54"/>
      <c r="AZ45" s="54"/>
    </row>
    <row r="46" spans="1:53" ht="15.6" thickTop="1">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row>
  </sheetData>
  <phoneticPr fontId="41" type="noConversion"/>
  <printOptions horizontalCentered="1" verticalCentered="1"/>
  <pageMargins left="0.5" right="0.33333333333333331" top="0.5" bottom="0.45" header="0" footer="0"/>
  <pageSetup scale="52" orientation="landscape"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ntry="1" codeName="Sheet12">
    <tabColor indexed="21"/>
  </sheetPr>
  <dimension ref="B1:AN60"/>
  <sheetViews>
    <sheetView showGridLines="0" defaultGridColor="0" topLeftCell="G16" colorId="59" zoomScale="85" zoomScaleNormal="85" workbookViewId="0">
      <selection activeCell="W32" sqref="W32"/>
    </sheetView>
  </sheetViews>
  <sheetFormatPr defaultColWidth="7.6328125" defaultRowHeight="15"/>
  <cols>
    <col min="1" max="1" width="4.6328125" style="21" customWidth="1"/>
    <col min="2" max="2" width="5.6328125" style="21" customWidth="1"/>
    <col min="3" max="3" width="10.6328125" style="21" customWidth="1"/>
    <col min="4" max="6" width="11.08984375" style="21" customWidth="1"/>
    <col min="7" max="7" width="11.6328125" style="21" customWidth="1"/>
    <col min="8" max="8" width="7.08984375" style="21" customWidth="1"/>
    <col min="9" max="9" width="5.6328125" style="21" customWidth="1"/>
    <col min="10" max="14" width="10.6328125" style="21" customWidth="1"/>
    <col min="15" max="16" width="10.6328125" style="21" hidden="1" customWidth="1"/>
    <col min="17" max="17" width="11.6328125" style="21" customWidth="1"/>
    <col min="18" max="19" width="10.6328125" style="1611" customWidth="1"/>
    <col min="20" max="20" width="3.6328125" style="21" customWidth="1"/>
    <col min="21" max="21" width="5.6328125" style="21" customWidth="1"/>
    <col min="22" max="23" width="10.6328125" style="1611" customWidth="1"/>
    <col min="24" max="25" width="10.6328125" style="21" customWidth="1"/>
    <col min="26" max="27" width="10.6328125" style="21" hidden="1" customWidth="1"/>
    <col min="28" max="28" width="10.6328125" style="21" customWidth="1"/>
    <col min="29" max="30" width="10.6328125" style="1611" customWidth="1"/>
    <col min="31" max="32" width="7.6328125" style="21"/>
    <col min="33" max="40" width="10.90625" style="21" customWidth="1"/>
    <col min="41" max="16384" width="7.6328125" style="21"/>
  </cols>
  <sheetData>
    <row r="1" spans="2:40" s="1516" customFormat="1" ht="17.100000000000001" customHeight="1">
      <c r="B1" s="1513"/>
      <c r="C1" s="1514"/>
      <c r="D1" s="1514"/>
      <c r="E1" s="1514"/>
      <c r="F1" s="1515"/>
      <c r="R1" s="1517"/>
      <c r="S1" s="1517"/>
      <c r="V1" s="1517"/>
      <c r="W1" s="1517"/>
      <c r="AC1" s="1517"/>
      <c r="AD1" s="1517"/>
    </row>
    <row r="2" spans="2:40" s="1516" customFormat="1" ht="17.100000000000001" customHeight="1">
      <c r="B2" s="1518"/>
      <c r="C2" s="1518"/>
      <c r="D2" s="1518"/>
      <c r="E2" s="1518"/>
      <c r="F2" s="1515"/>
      <c r="R2" s="1517"/>
      <c r="S2" s="1517"/>
      <c r="V2" s="1517"/>
      <c r="W2" s="1517"/>
      <c r="AC2" s="1517"/>
      <c r="AD2" s="1517"/>
    </row>
    <row r="3" spans="2:40" s="1516" customFormat="1" ht="17.100000000000001" customHeight="1" thickBot="1">
      <c r="B3" s="1518"/>
      <c r="C3" s="1518"/>
      <c r="D3" s="1518"/>
      <c r="E3" s="1518"/>
      <c r="F3" s="1515"/>
      <c r="R3" s="1517"/>
      <c r="S3" s="1517"/>
      <c r="V3" s="1517"/>
      <c r="W3" s="1517"/>
      <c r="AC3" s="1517"/>
      <c r="AD3" s="1517"/>
    </row>
    <row r="4" spans="2:40" s="1525" customFormat="1" ht="17.100000000000001" customHeight="1">
      <c r="B4" s="1519"/>
      <c r="C4" s="1519" t="s">
        <v>892</v>
      </c>
      <c r="D4" s="1520"/>
      <c r="E4" s="1520"/>
      <c r="F4" s="1520"/>
      <c r="G4" s="1520"/>
      <c r="H4" s="1522"/>
      <c r="I4" s="1519"/>
      <c r="J4" s="1519" t="s">
        <v>906</v>
      </c>
      <c r="K4" s="1521"/>
      <c r="L4" s="1521"/>
      <c r="M4" s="1521"/>
      <c r="N4" s="1521"/>
      <c r="O4" s="1521"/>
      <c r="P4" s="1520"/>
      <c r="Q4" s="1520"/>
      <c r="R4" s="1523"/>
      <c r="S4" s="1523"/>
      <c r="T4" s="1522"/>
      <c r="U4" s="1519"/>
      <c r="V4" s="1524" t="s">
        <v>914</v>
      </c>
      <c r="W4" s="1523"/>
      <c r="X4" s="1521"/>
      <c r="Y4" s="1521"/>
      <c r="Z4" s="1521"/>
      <c r="AA4" s="1520"/>
      <c r="AB4" s="1520"/>
      <c r="AC4" s="1523"/>
      <c r="AD4" s="1523"/>
      <c r="AE4" s="1522"/>
      <c r="AF4" s="1519"/>
      <c r="AG4" s="1519" t="s">
        <v>1269</v>
      </c>
      <c r="AH4" s="1520"/>
      <c r="AI4" s="1520"/>
      <c r="AJ4" s="1520"/>
      <c r="AK4" s="1996" t="s">
        <v>1270</v>
      </c>
      <c r="AL4" s="1997"/>
      <c r="AM4" s="1997"/>
      <c r="AN4" s="1998"/>
    </row>
    <row r="5" spans="2:40" s="1525" customFormat="1" ht="17.100000000000001" customHeight="1">
      <c r="B5" s="1526"/>
      <c r="C5" s="167"/>
      <c r="D5" s="1527">
        <f>DMREZ!I5</f>
        <v>42370</v>
      </c>
      <c r="E5" s="1528" t="str">
        <f>FIXED(DMREZ!J5,0,TRUE)</f>
        <v>2016</v>
      </c>
      <c r="F5" s="1528"/>
      <c r="G5" s="1528"/>
      <c r="H5" s="1522"/>
      <c r="I5" s="1526"/>
      <c r="J5" s="1526"/>
      <c r="K5" s="1529">
        <f>D5</f>
        <v>42370</v>
      </c>
      <c r="L5" s="1528" t="str">
        <f>E5</f>
        <v>2016</v>
      </c>
      <c r="M5" s="1530"/>
      <c r="N5" s="1531"/>
      <c r="O5" s="1528"/>
      <c r="P5" s="1528"/>
      <c r="Q5" s="1530"/>
      <c r="R5" s="1532"/>
      <c r="S5" s="1533"/>
      <c r="T5" s="1522"/>
      <c r="U5" s="1526"/>
      <c r="V5" s="1534"/>
      <c r="W5" s="1535">
        <f>K5</f>
        <v>42370</v>
      </c>
      <c r="X5" s="1528" t="str">
        <f>L5</f>
        <v>2016</v>
      </c>
      <c r="Y5" s="1530"/>
      <c r="Z5" s="1528"/>
      <c r="AA5" s="1528"/>
      <c r="AB5" s="1530"/>
      <c r="AC5" s="1532"/>
      <c r="AD5" s="1533"/>
      <c r="AE5" s="1522"/>
      <c r="AF5" s="1526"/>
      <c r="AG5" s="167"/>
      <c r="AH5" s="1527">
        <f>D5</f>
        <v>42370</v>
      </c>
      <c r="AI5" s="1528" t="str">
        <f>E5</f>
        <v>2016</v>
      </c>
      <c r="AJ5" s="1528"/>
      <c r="AK5" s="1999"/>
      <c r="AL5" s="2000"/>
      <c r="AM5" s="2000"/>
      <c r="AN5" s="2001"/>
    </row>
    <row r="6" spans="2:40" ht="17.100000000000001" customHeight="1">
      <c r="B6" s="1063" t="s">
        <v>310</v>
      </c>
      <c r="C6" s="1081" t="s">
        <v>658</v>
      </c>
      <c r="D6" s="1536" t="s">
        <v>895</v>
      </c>
      <c r="E6" s="1537"/>
      <c r="F6" s="1537"/>
      <c r="G6" s="1087"/>
      <c r="H6" s="1538"/>
      <c r="I6" s="1063" t="s">
        <v>310</v>
      </c>
      <c r="J6" s="1081" t="s">
        <v>658</v>
      </c>
      <c r="K6" s="1087" t="s">
        <v>658</v>
      </c>
      <c r="L6" s="618" t="s">
        <v>1208</v>
      </c>
      <c r="M6" s="611"/>
      <c r="N6" s="611"/>
      <c r="O6" s="611"/>
      <c r="P6" s="611"/>
      <c r="Q6" s="611"/>
      <c r="R6" s="1539"/>
      <c r="S6" s="1540"/>
      <c r="T6" s="1541"/>
      <c r="U6" s="1063" t="s">
        <v>310</v>
      </c>
      <c r="V6" s="1542" t="s">
        <v>658</v>
      </c>
      <c r="W6" s="1024" t="s">
        <v>909</v>
      </c>
      <c r="X6" s="611"/>
      <c r="Y6" s="611"/>
      <c r="Z6" s="611"/>
      <c r="AA6" s="611"/>
      <c r="AB6" s="611"/>
      <c r="AC6" s="1539"/>
      <c r="AD6" s="1543"/>
      <c r="AE6" s="1541"/>
      <c r="AF6" s="1063" t="s">
        <v>310</v>
      </c>
      <c r="AG6" s="1081" t="s">
        <v>658</v>
      </c>
      <c r="AH6" s="1536" t="s">
        <v>895</v>
      </c>
      <c r="AI6" s="1537"/>
      <c r="AJ6" s="1087" t="s">
        <v>1051</v>
      </c>
      <c r="AK6" s="2002" t="s">
        <v>658</v>
      </c>
      <c r="AL6" s="1536" t="s">
        <v>895</v>
      </c>
      <c r="AM6" s="1537"/>
      <c r="AN6" s="2003" t="s">
        <v>1051</v>
      </c>
    </row>
    <row r="7" spans="2:40" ht="17.100000000000001" customHeight="1">
      <c r="B7" s="1063" t="s">
        <v>311</v>
      </c>
      <c r="C7" s="1538" t="s">
        <v>464</v>
      </c>
      <c r="D7" s="1087"/>
      <c r="E7" s="1087"/>
      <c r="F7" s="1087"/>
      <c r="G7" s="1544" t="s">
        <v>898</v>
      </c>
      <c r="H7" s="1538"/>
      <c r="I7" s="1063" t="s">
        <v>311</v>
      </c>
      <c r="J7" s="1538" t="s">
        <v>907</v>
      </c>
      <c r="K7" s="1545" t="s">
        <v>908</v>
      </c>
      <c r="L7" s="1546" t="s">
        <v>371</v>
      </c>
      <c r="M7" s="1547"/>
      <c r="N7" s="1547"/>
      <c r="O7" s="1546"/>
      <c r="P7" s="1547"/>
      <c r="Q7" s="1547"/>
      <c r="R7" s="1548" t="s">
        <v>1051</v>
      </c>
      <c r="S7" s="1549" t="s">
        <v>902</v>
      </c>
      <c r="T7" s="1541"/>
      <c r="U7" s="1063" t="s">
        <v>311</v>
      </c>
      <c r="V7" s="1550" t="s">
        <v>907</v>
      </c>
      <c r="W7" s="1551" t="s">
        <v>371</v>
      </c>
      <c r="X7" s="1547"/>
      <c r="Y7" s="1547"/>
      <c r="Z7" s="1546"/>
      <c r="AA7" s="1547"/>
      <c r="AB7" s="1547"/>
      <c r="AC7" s="1548" t="s">
        <v>1051</v>
      </c>
      <c r="AD7" s="1549" t="s">
        <v>902</v>
      </c>
      <c r="AE7" s="1541"/>
      <c r="AF7" s="1063" t="s">
        <v>311</v>
      </c>
      <c r="AG7" s="1538" t="s">
        <v>464</v>
      </c>
      <c r="AH7" s="1087"/>
      <c r="AI7" s="1087"/>
      <c r="AJ7" s="1544" t="s">
        <v>902</v>
      </c>
      <c r="AK7" s="2004" t="s">
        <v>464</v>
      </c>
      <c r="AL7" s="1087"/>
      <c r="AM7" s="1087"/>
      <c r="AN7" s="2005" t="s">
        <v>902</v>
      </c>
    </row>
    <row r="8" spans="2:40" ht="17.100000000000001" customHeight="1">
      <c r="B8" s="1063" t="s">
        <v>312</v>
      </c>
      <c r="C8" s="1063" t="s">
        <v>893</v>
      </c>
      <c r="D8" s="1064" t="s">
        <v>896</v>
      </c>
      <c r="E8" s="1064" t="s">
        <v>375</v>
      </c>
      <c r="F8" s="1064" t="s">
        <v>51</v>
      </c>
      <c r="G8" s="1544"/>
      <c r="H8" s="1538"/>
      <c r="I8" s="1063" t="s">
        <v>312</v>
      </c>
      <c r="J8" s="1063" t="s">
        <v>893</v>
      </c>
      <c r="K8" s="1064" t="s">
        <v>893</v>
      </c>
      <c r="L8" s="1552" t="s">
        <v>910</v>
      </c>
      <c r="M8" s="1553" t="s">
        <v>453</v>
      </c>
      <c r="N8" s="1552" t="s">
        <v>378</v>
      </c>
      <c r="O8" s="1552"/>
      <c r="P8" s="1553"/>
      <c r="Q8" s="1552" t="s">
        <v>1312</v>
      </c>
      <c r="R8" s="1554" t="s">
        <v>918</v>
      </c>
      <c r="S8" s="1549" t="s">
        <v>903</v>
      </c>
      <c r="T8" s="1541"/>
      <c r="U8" s="1063" t="s">
        <v>312</v>
      </c>
      <c r="V8" s="1550" t="s">
        <v>893</v>
      </c>
      <c r="W8" s="1543" t="s">
        <v>910</v>
      </c>
      <c r="X8" s="1553" t="s">
        <v>915</v>
      </c>
      <c r="Y8" s="1552" t="s">
        <v>916</v>
      </c>
      <c r="Z8" s="1552"/>
      <c r="AA8" s="1553"/>
      <c r="AB8" s="1552" t="s">
        <v>1312</v>
      </c>
      <c r="AC8" s="1554" t="s">
        <v>918</v>
      </c>
      <c r="AD8" s="1549" t="s">
        <v>903</v>
      </c>
      <c r="AE8" s="1541"/>
      <c r="AF8" s="1063" t="s">
        <v>312</v>
      </c>
      <c r="AG8" s="1063" t="s">
        <v>893</v>
      </c>
      <c r="AH8" s="1064" t="s">
        <v>896</v>
      </c>
      <c r="AI8" s="1064" t="s">
        <v>375</v>
      </c>
      <c r="AJ8" s="1544"/>
      <c r="AK8" s="2006" t="s">
        <v>893</v>
      </c>
      <c r="AL8" s="1064" t="s">
        <v>896</v>
      </c>
      <c r="AM8" s="1064" t="s">
        <v>375</v>
      </c>
      <c r="AN8" s="2005"/>
    </row>
    <row r="9" spans="2:40" ht="17.100000000000001" customHeight="1" thickBot="1">
      <c r="B9" s="1063"/>
      <c r="C9" s="1063" t="s">
        <v>894</v>
      </c>
      <c r="D9" s="1064" t="s">
        <v>513</v>
      </c>
      <c r="E9" s="1749" t="s">
        <v>513</v>
      </c>
      <c r="F9" s="1064" t="s">
        <v>455</v>
      </c>
      <c r="G9" s="1064" t="s">
        <v>460</v>
      </c>
      <c r="H9" s="1538"/>
      <c r="I9" s="1063"/>
      <c r="J9" s="1063" t="s">
        <v>894</v>
      </c>
      <c r="K9" s="1064" t="s">
        <v>894</v>
      </c>
      <c r="L9" s="1064" t="s">
        <v>911</v>
      </c>
      <c r="M9" s="1555" t="s">
        <v>912</v>
      </c>
      <c r="N9" s="1544" t="s">
        <v>913</v>
      </c>
      <c r="O9" s="1064"/>
      <c r="P9" s="1555"/>
      <c r="Q9" s="1544" t="s">
        <v>1313</v>
      </c>
      <c r="R9" s="2445" t="s">
        <v>894</v>
      </c>
      <c r="S9" s="2505"/>
      <c r="T9" s="1541"/>
      <c r="U9" s="1063"/>
      <c r="V9" s="1550" t="s">
        <v>894</v>
      </c>
      <c r="W9" s="1554" t="s">
        <v>911</v>
      </c>
      <c r="X9" s="1555" t="s">
        <v>912</v>
      </c>
      <c r="Y9" s="1544" t="s">
        <v>917</v>
      </c>
      <c r="Z9" s="1064"/>
      <c r="AA9" s="1555"/>
      <c r="AB9" s="1544" t="s">
        <v>1313</v>
      </c>
      <c r="AC9" s="2401" t="s">
        <v>894</v>
      </c>
      <c r="AD9" s="1556"/>
      <c r="AE9" s="1541"/>
      <c r="AF9" s="2407"/>
      <c r="AG9" s="2405" t="s">
        <v>894</v>
      </c>
      <c r="AH9" s="1064" t="s">
        <v>513</v>
      </c>
      <c r="AI9" s="1749" t="s">
        <v>513</v>
      </c>
      <c r="AJ9" s="2400" t="s">
        <v>460</v>
      </c>
      <c r="AK9" s="2006" t="s">
        <v>894</v>
      </c>
      <c r="AL9" s="1064" t="s">
        <v>513</v>
      </c>
      <c r="AM9" s="1749" t="s">
        <v>513</v>
      </c>
      <c r="AN9" s="2007" t="s">
        <v>460</v>
      </c>
    </row>
    <row r="10" spans="2:40" ht="17.100000000000001" customHeight="1">
      <c r="B10" s="1557">
        <v>1</v>
      </c>
      <c r="C10" s="1558">
        <v>11550</v>
      </c>
      <c r="D10" s="1559">
        <v>0</v>
      </c>
      <c r="E10" s="1559">
        <v>0</v>
      </c>
      <c r="F10" s="1560">
        <v>0</v>
      </c>
      <c r="G10" s="1561">
        <f t="shared" ref="G10:G40" si="0">IF(C11="","",C10-C11+D10+E10)</f>
        <v>780</v>
      </c>
      <c r="H10" s="1562"/>
      <c r="I10" s="1563">
        <v>1</v>
      </c>
      <c r="J10" s="2509">
        <v>2861.3</v>
      </c>
      <c r="K10" s="2510">
        <v>2896.8</v>
      </c>
      <c r="L10" s="2510"/>
      <c r="M10" s="2511"/>
      <c r="N10" s="2512"/>
      <c r="O10" s="2513"/>
      <c r="P10" s="2514"/>
      <c r="Q10" s="2513"/>
      <c r="R10" s="2515">
        <f t="shared" ref="R10:R39" si="1">IF(L10="",0,ROUND(+L10/N10,0))</f>
        <v>0</v>
      </c>
      <c r="S10" s="2516">
        <f>IF(J11="","",ROUND(+J10+K10+R10-J11-K11,0))</f>
        <v>469</v>
      </c>
      <c r="T10" s="2396"/>
      <c r="U10" s="1557">
        <v>1</v>
      </c>
      <c r="V10" s="1564">
        <v>5610</v>
      </c>
      <c r="W10" s="1565"/>
      <c r="X10" s="1566"/>
      <c r="Y10" s="1566"/>
      <c r="Z10" s="1565"/>
      <c r="AA10" s="1568"/>
      <c r="AB10" s="2135"/>
      <c r="AC10" s="1567">
        <f t="shared" ref="AC10:AC40" si="2">IF(W10="",0,ROUND(W10/Y10,0))</f>
        <v>0</v>
      </c>
      <c r="AD10" s="1548">
        <f>IF(V11="","",+V10+AC10-V11)</f>
        <v>43</v>
      </c>
      <c r="AE10" s="1569"/>
      <c r="AF10" s="2408">
        <v>1</v>
      </c>
      <c r="AG10" s="2406">
        <v>5146</v>
      </c>
      <c r="AH10" s="2402"/>
      <c r="AI10" s="1559"/>
      <c r="AJ10" s="1995">
        <f t="shared" ref="AJ10:AJ40" si="3">IF(AG11="","",AG10-AG11+AH10+AI10)</f>
        <v>916</v>
      </c>
      <c r="AK10" s="2503">
        <v>18690</v>
      </c>
      <c r="AL10" s="2502"/>
      <c r="AM10" s="2499"/>
      <c r="AN10" s="2500">
        <f>AK10-AK11</f>
        <v>360</v>
      </c>
    </row>
    <row r="11" spans="2:40" ht="17.100000000000001" customHeight="1">
      <c r="B11" s="1570">
        <v>2</v>
      </c>
      <c r="C11" s="1571">
        <v>10770</v>
      </c>
      <c r="D11" s="1572">
        <v>0</v>
      </c>
      <c r="E11" s="1572">
        <v>0</v>
      </c>
      <c r="F11" s="1572">
        <v>0</v>
      </c>
      <c r="G11" s="1573">
        <f t="shared" si="0"/>
        <v>830</v>
      </c>
      <c r="H11" s="1562"/>
      <c r="I11" s="1574">
        <v>2</v>
      </c>
      <c r="J11" s="2517">
        <v>2627</v>
      </c>
      <c r="K11" s="1576">
        <v>2662.5</v>
      </c>
      <c r="L11" s="1576"/>
      <c r="M11" s="2197"/>
      <c r="N11" s="2411"/>
      <c r="O11" s="1579"/>
      <c r="P11" s="1577"/>
      <c r="Q11" s="1579"/>
      <c r="R11" s="2196">
        <f t="shared" si="1"/>
        <v>0</v>
      </c>
      <c r="S11" s="2518">
        <f t="shared" ref="S11:S40" si="4">IF(J12="","",ROUND(+J11+K11+R11-J12-K12,0))</f>
        <v>270</v>
      </c>
      <c r="T11" s="2396"/>
      <c r="U11" s="1570">
        <v>2</v>
      </c>
      <c r="V11" s="1575">
        <v>5567</v>
      </c>
      <c r="W11" s="1576"/>
      <c r="X11" s="1577"/>
      <c r="Y11" s="2195"/>
      <c r="Z11" s="1576"/>
      <c r="AA11" s="1580"/>
      <c r="AB11" s="2136"/>
      <c r="AC11" s="1576">
        <f t="shared" si="2"/>
        <v>0</v>
      </c>
      <c r="AD11" s="1548">
        <f t="shared" ref="AD11:AD40" si="5">IF(V12="","",+V11+AC11-V12)</f>
        <v>87</v>
      </c>
      <c r="AE11" s="1569"/>
      <c r="AF11" s="2409">
        <v>2</v>
      </c>
      <c r="AG11" s="2406">
        <v>4230</v>
      </c>
      <c r="AH11" s="2403"/>
      <c r="AI11" s="1572"/>
      <c r="AJ11" s="1995">
        <f t="shared" si="3"/>
        <v>1128</v>
      </c>
      <c r="AK11" s="2504">
        <v>18330</v>
      </c>
      <c r="AL11" s="2403"/>
      <c r="AM11" s="1572"/>
      <c r="AN11" s="2501">
        <f t="shared" ref="AN11:AN40" si="6">AK11-AK12</f>
        <v>490</v>
      </c>
    </row>
    <row r="12" spans="2:40" ht="17.100000000000001" customHeight="1">
      <c r="B12" s="1570">
        <v>3</v>
      </c>
      <c r="C12" s="1571">
        <v>9940</v>
      </c>
      <c r="D12" s="1572">
        <v>0</v>
      </c>
      <c r="E12" s="1572">
        <v>0</v>
      </c>
      <c r="F12" s="1581">
        <v>0</v>
      </c>
      <c r="G12" s="1573">
        <f t="shared" si="0"/>
        <v>730</v>
      </c>
      <c r="H12" s="1562"/>
      <c r="I12" s="1574">
        <v>3</v>
      </c>
      <c r="J12" s="2517">
        <v>2492.1</v>
      </c>
      <c r="K12" s="1576">
        <v>2527.6</v>
      </c>
      <c r="L12" s="2472"/>
      <c r="M12" s="2482"/>
      <c r="N12" s="2483"/>
      <c r="O12" s="2484"/>
      <c r="P12" s="2485"/>
      <c r="Q12" s="2484"/>
      <c r="R12" s="2196">
        <f t="shared" si="1"/>
        <v>0</v>
      </c>
      <c r="S12" s="2518">
        <f>IF(J13="","",ROUND(+J12+K12+R12-J13-K13,0))</f>
        <v>170</v>
      </c>
      <c r="T12" s="2396"/>
      <c r="U12" s="1570">
        <v>3</v>
      </c>
      <c r="V12" s="1575">
        <v>5480</v>
      </c>
      <c r="W12" s="1576"/>
      <c r="X12" s="1577"/>
      <c r="Y12" s="2195"/>
      <c r="Z12" s="1576"/>
      <c r="AA12" s="1580"/>
      <c r="AB12" s="2136"/>
      <c r="AC12" s="1576">
        <f t="shared" si="2"/>
        <v>0</v>
      </c>
      <c r="AD12" s="1548">
        <f t="shared" si="5"/>
        <v>106</v>
      </c>
      <c r="AE12" s="1569"/>
      <c r="AF12" s="2409">
        <v>3</v>
      </c>
      <c r="AG12" s="2406">
        <v>3102</v>
      </c>
      <c r="AH12" s="2403"/>
      <c r="AI12" s="1572"/>
      <c r="AJ12" s="1995">
        <f t="shared" si="3"/>
        <v>917</v>
      </c>
      <c r="AK12" s="2504">
        <v>17840</v>
      </c>
      <c r="AL12" s="2403"/>
      <c r="AM12" s="1572"/>
      <c r="AN12" s="2501">
        <f t="shared" si="6"/>
        <v>550</v>
      </c>
    </row>
    <row r="13" spans="2:40" ht="17.100000000000001" customHeight="1">
      <c r="B13" s="1570">
        <v>4</v>
      </c>
      <c r="C13" s="1571">
        <v>9210</v>
      </c>
      <c r="D13" s="1572">
        <v>0</v>
      </c>
      <c r="E13" s="1572">
        <v>0</v>
      </c>
      <c r="F13" s="1572">
        <v>0</v>
      </c>
      <c r="G13" s="1573">
        <f t="shared" si="0"/>
        <v>730</v>
      </c>
      <c r="H13" s="1562"/>
      <c r="I13" s="1574">
        <v>4</v>
      </c>
      <c r="J13" s="2517">
        <v>2406.9</v>
      </c>
      <c r="K13" s="1576">
        <v>2442.4</v>
      </c>
      <c r="L13" s="1576"/>
      <c r="M13" s="2197"/>
      <c r="N13" s="2412"/>
      <c r="O13" s="1579"/>
      <c r="P13" s="1577"/>
      <c r="Q13" s="2357"/>
      <c r="R13" s="2196">
        <f t="shared" si="1"/>
        <v>0</v>
      </c>
      <c r="S13" s="2518">
        <f t="shared" si="4"/>
        <v>0</v>
      </c>
      <c r="T13" s="2396"/>
      <c r="U13" s="1570">
        <v>4</v>
      </c>
      <c r="V13" s="1575">
        <v>5374</v>
      </c>
      <c r="W13" s="1576"/>
      <c r="X13" s="1577"/>
      <c r="Y13" s="2195"/>
      <c r="Z13" s="1576"/>
      <c r="AA13" s="1580"/>
      <c r="AB13" s="2200"/>
      <c r="AC13" s="1576">
        <f t="shared" si="2"/>
        <v>0</v>
      </c>
      <c r="AD13" s="1548">
        <f t="shared" si="5"/>
        <v>0</v>
      </c>
      <c r="AE13" s="1569"/>
      <c r="AF13" s="2409">
        <v>4</v>
      </c>
      <c r="AG13" s="2406">
        <v>2185</v>
      </c>
      <c r="AH13" s="2403"/>
      <c r="AI13" s="1572"/>
      <c r="AJ13" s="1995">
        <f t="shared" si="3"/>
        <v>493</v>
      </c>
      <c r="AK13" s="2504">
        <v>17290</v>
      </c>
      <c r="AL13" s="2403"/>
      <c r="AM13" s="1572"/>
      <c r="AN13" s="2501">
        <f t="shared" si="6"/>
        <v>60</v>
      </c>
    </row>
    <row r="14" spans="2:40" ht="17.100000000000001" customHeight="1">
      <c r="B14" s="1570">
        <v>5</v>
      </c>
      <c r="C14" s="1571">
        <v>8480</v>
      </c>
      <c r="D14" s="1572">
        <v>5000</v>
      </c>
      <c r="E14" s="1572">
        <v>0</v>
      </c>
      <c r="F14" s="1572">
        <v>0</v>
      </c>
      <c r="G14" s="1573">
        <f t="shared" si="0"/>
        <v>960</v>
      </c>
      <c r="H14" s="1562"/>
      <c r="I14" s="1574">
        <v>5</v>
      </c>
      <c r="J14" s="2517">
        <v>2406.9</v>
      </c>
      <c r="K14" s="1576">
        <v>2442.4</v>
      </c>
      <c r="L14" s="1576"/>
      <c r="M14" s="2197"/>
      <c r="N14" s="2411"/>
      <c r="O14" s="1579"/>
      <c r="P14" s="1577"/>
      <c r="Q14" s="1579"/>
      <c r="R14" s="2196">
        <f t="shared" si="1"/>
        <v>0</v>
      </c>
      <c r="S14" s="2518">
        <f t="shared" si="4"/>
        <v>0</v>
      </c>
      <c r="T14" s="2396"/>
      <c r="U14" s="1570">
        <v>5</v>
      </c>
      <c r="V14" s="1575">
        <v>5374</v>
      </c>
      <c r="W14" s="2196"/>
      <c r="X14" s="2197"/>
      <c r="Y14" s="2198"/>
      <c r="Z14" s="2196"/>
      <c r="AA14" s="2199"/>
      <c r="AB14" s="2200"/>
      <c r="AC14" s="1576">
        <f t="shared" si="2"/>
        <v>0</v>
      </c>
      <c r="AD14" s="1548">
        <f t="shared" si="5"/>
        <v>0</v>
      </c>
      <c r="AE14" s="1569"/>
      <c r="AF14" s="2409">
        <v>5</v>
      </c>
      <c r="AG14" s="2406">
        <v>1692</v>
      </c>
      <c r="AH14" s="2403"/>
      <c r="AI14" s="1572"/>
      <c r="AJ14" s="1995">
        <f t="shared" si="3"/>
        <v>705</v>
      </c>
      <c r="AK14" s="2504">
        <v>17230</v>
      </c>
      <c r="AL14" s="2403"/>
      <c r="AM14" s="1572"/>
      <c r="AN14" s="2501">
        <f t="shared" si="6"/>
        <v>90</v>
      </c>
    </row>
    <row r="15" spans="2:40" ht="17.100000000000001" customHeight="1">
      <c r="B15" s="1570">
        <v>6</v>
      </c>
      <c r="C15" s="1571">
        <v>12520</v>
      </c>
      <c r="D15" s="1572">
        <v>0</v>
      </c>
      <c r="E15" s="1572">
        <v>0</v>
      </c>
      <c r="F15" s="1572">
        <v>0</v>
      </c>
      <c r="G15" s="1573">
        <f t="shared" si="0"/>
        <v>730</v>
      </c>
      <c r="H15" s="1562"/>
      <c r="I15" s="1574">
        <v>6</v>
      </c>
      <c r="J15" s="2517">
        <v>2406.9</v>
      </c>
      <c r="K15" s="1576">
        <v>2442.4</v>
      </c>
      <c r="L15" s="1576"/>
      <c r="M15" s="2197"/>
      <c r="N15" s="2411"/>
      <c r="O15" s="1579"/>
      <c r="P15" s="1577"/>
      <c r="Q15" s="1579"/>
      <c r="R15" s="1567">
        <f t="shared" si="1"/>
        <v>0</v>
      </c>
      <c r="S15" s="2519">
        <f t="shared" si="4"/>
        <v>0</v>
      </c>
      <c r="T15" s="2396"/>
      <c r="U15" s="1570">
        <v>6</v>
      </c>
      <c r="V15" s="1575">
        <v>5374</v>
      </c>
      <c r="W15" s="2196"/>
      <c r="X15" s="2197"/>
      <c r="Y15" s="2198"/>
      <c r="Z15" s="2196"/>
      <c r="AA15" s="2199"/>
      <c r="AB15" s="2200"/>
      <c r="AC15" s="1576">
        <f t="shared" si="2"/>
        <v>0</v>
      </c>
      <c r="AD15" s="1548">
        <f t="shared" si="5"/>
        <v>0</v>
      </c>
      <c r="AE15" s="1569"/>
      <c r="AF15" s="2409">
        <v>6</v>
      </c>
      <c r="AG15" s="2406">
        <v>987</v>
      </c>
      <c r="AH15" s="2403"/>
      <c r="AI15" s="1572"/>
      <c r="AJ15" s="1995">
        <f t="shared" si="3"/>
        <v>141</v>
      </c>
      <c r="AK15" s="2504">
        <v>17140</v>
      </c>
      <c r="AL15" s="2403"/>
      <c r="AM15" s="1572"/>
      <c r="AN15" s="2501">
        <f t="shared" si="6"/>
        <v>170</v>
      </c>
    </row>
    <row r="16" spans="2:40" ht="17.100000000000001" customHeight="1">
      <c r="B16" s="1570">
        <v>7</v>
      </c>
      <c r="C16" s="1571">
        <v>11790</v>
      </c>
      <c r="D16" s="1572">
        <v>0</v>
      </c>
      <c r="E16" s="1572">
        <v>0</v>
      </c>
      <c r="F16" s="1572">
        <v>0</v>
      </c>
      <c r="G16" s="1573">
        <f t="shared" si="0"/>
        <v>730</v>
      </c>
      <c r="H16" s="1562"/>
      <c r="I16" s="1574">
        <v>7</v>
      </c>
      <c r="J16" s="2517">
        <v>2406.9</v>
      </c>
      <c r="K16" s="1576">
        <v>2442.4</v>
      </c>
      <c r="L16" s="1576"/>
      <c r="M16" s="2197"/>
      <c r="N16" s="2411"/>
      <c r="O16" s="1579"/>
      <c r="P16" s="1577"/>
      <c r="Q16" s="1579"/>
      <c r="R16" s="1576">
        <f t="shared" si="1"/>
        <v>0</v>
      </c>
      <c r="S16" s="2519">
        <f t="shared" si="4"/>
        <v>0</v>
      </c>
      <c r="T16" s="2396"/>
      <c r="U16" s="1570">
        <v>7</v>
      </c>
      <c r="V16" s="1575">
        <v>5374</v>
      </c>
      <c r="W16" s="1576"/>
      <c r="X16" s="1577"/>
      <c r="Y16" s="1578"/>
      <c r="Z16" s="1576"/>
      <c r="AA16" s="1580"/>
      <c r="AB16" s="2136"/>
      <c r="AC16" s="1576">
        <f t="shared" si="2"/>
        <v>0</v>
      </c>
      <c r="AD16" s="1548">
        <f t="shared" si="5"/>
        <v>0</v>
      </c>
      <c r="AE16" s="1569"/>
      <c r="AF16" s="2409">
        <v>7</v>
      </c>
      <c r="AG16" s="2406">
        <v>846</v>
      </c>
      <c r="AH16" s="2403">
        <v>4300</v>
      </c>
      <c r="AI16" s="1572"/>
      <c r="AJ16" s="1995">
        <f t="shared" si="3"/>
        <v>0</v>
      </c>
      <c r="AK16" s="2504">
        <v>16970</v>
      </c>
      <c r="AL16" s="1572"/>
      <c r="AM16" s="1572"/>
      <c r="AN16" s="2501">
        <f t="shared" si="6"/>
        <v>70</v>
      </c>
    </row>
    <row r="17" spans="2:40" ht="17.100000000000001" customHeight="1">
      <c r="B17" s="1570">
        <v>8</v>
      </c>
      <c r="C17" s="1571">
        <v>11060</v>
      </c>
      <c r="D17" s="1572">
        <v>0</v>
      </c>
      <c r="E17" s="1572">
        <v>0</v>
      </c>
      <c r="F17" s="1572">
        <v>0</v>
      </c>
      <c r="G17" s="1573">
        <f t="shared" si="0"/>
        <v>830</v>
      </c>
      <c r="H17" s="1562"/>
      <c r="I17" s="1574">
        <v>8</v>
      </c>
      <c r="J17" s="2517">
        <v>2406.9</v>
      </c>
      <c r="K17" s="1576">
        <v>2442.4</v>
      </c>
      <c r="L17" s="1576"/>
      <c r="M17" s="2197"/>
      <c r="N17" s="2411"/>
      <c r="O17" s="1579"/>
      <c r="P17" s="1577"/>
      <c r="Q17" s="1579"/>
      <c r="R17" s="1576">
        <f t="shared" si="1"/>
        <v>0</v>
      </c>
      <c r="S17" s="2519">
        <f t="shared" si="4"/>
        <v>0</v>
      </c>
      <c r="T17" s="2396"/>
      <c r="U17" s="1570">
        <v>8</v>
      </c>
      <c r="V17" s="1575">
        <v>5374</v>
      </c>
      <c r="W17" s="1576"/>
      <c r="X17" s="1577"/>
      <c r="Y17" s="1578"/>
      <c r="Z17" s="1576"/>
      <c r="AA17" s="1580"/>
      <c r="AB17" s="2136"/>
      <c r="AC17" s="1576">
        <f t="shared" si="2"/>
        <v>0</v>
      </c>
      <c r="AD17" s="1548">
        <f t="shared" si="5"/>
        <v>0</v>
      </c>
      <c r="AE17" s="1569"/>
      <c r="AF17" s="2409">
        <v>8</v>
      </c>
      <c r="AG17" s="2406">
        <v>5146</v>
      </c>
      <c r="AH17" s="2403"/>
      <c r="AI17" s="1572"/>
      <c r="AJ17" s="1995">
        <f t="shared" si="3"/>
        <v>0</v>
      </c>
      <c r="AK17" s="2504">
        <v>16900</v>
      </c>
      <c r="AL17" s="1572"/>
      <c r="AM17" s="1572"/>
      <c r="AN17" s="2501">
        <f t="shared" si="6"/>
        <v>0</v>
      </c>
    </row>
    <row r="18" spans="2:40" ht="17.100000000000001" customHeight="1">
      <c r="B18" s="1570">
        <v>9</v>
      </c>
      <c r="C18" s="1571">
        <v>10230</v>
      </c>
      <c r="D18" s="1572">
        <v>2780</v>
      </c>
      <c r="E18" s="1572">
        <v>0</v>
      </c>
      <c r="F18" s="1572">
        <v>0</v>
      </c>
      <c r="G18" s="1573">
        <f t="shared" si="0"/>
        <v>1270</v>
      </c>
      <c r="H18" s="1562"/>
      <c r="I18" s="1574">
        <v>9</v>
      </c>
      <c r="J18" s="2517">
        <v>2406.9</v>
      </c>
      <c r="K18" s="1576">
        <v>2442.4</v>
      </c>
      <c r="L18" s="1576"/>
      <c r="M18" s="2197"/>
      <c r="N18" s="2411"/>
      <c r="O18" s="1579"/>
      <c r="P18" s="1577"/>
      <c r="Q18" s="1579"/>
      <c r="R18" s="1576">
        <f t="shared" si="1"/>
        <v>0</v>
      </c>
      <c r="S18" s="2519">
        <f t="shared" si="4"/>
        <v>0</v>
      </c>
      <c r="T18" s="2396"/>
      <c r="U18" s="1570">
        <v>9</v>
      </c>
      <c r="V18" s="1575">
        <v>5374</v>
      </c>
      <c r="W18" s="1576"/>
      <c r="X18" s="1577"/>
      <c r="Y18" s="1578"/>
      <c r="Z18" s="1576"/>
      <c r="AA18" s="1580"/>
      <c r="AB18" s="2136"/>
      <c r="AC18" s="1576">
        <f t="shared" si="2"/>
        <v>0</v>
      </c>
      <c r="AD18" s="1548">
        <f t="shared" si="5"/>
        <v>0</v>
      </c>
      <c r="AE18" s="1569"/>
      <c r="AF18" s="2409">
        <v>9</v>
      </c>
      <c r="AG18" s="2406">
        <v>5146</v>
      </c>
      <c r="AH18" s="2403">
        <v>2045</v>
      </c>
      <c r="AI18" s="1572"/>
      <c r="AJ18" s="1995">
        <f t="shared" si="3"/>
        <v>0</v>
      </c>
      <c r="AK18" s="2504">
        <v>16900</v>
      </c>
      <c r="AL18" s="1572"/>
      <c r="AM18" s="1572"/>
      <c r="AN18" s="2501">
        <f t="shared" si="6"/>
        <v>0</v>
      </c>
    </row>
    <row r="19" spans="2:40" ht="17.100000000000001" customHeight="1">
      <c r="B19" s="1570">
        <v>10</v>
      </c>
      <c r="C19" s="1571">
        <v>11740</v>
      </c>
      <c r="D19" s="1572">
        <v>0</v>
      </c>
      <c r="E19" s="1572">
        <v>0</v>
      </c>
      <c r="F19" s="1572">
        <v>0</v>
      </c>
      <c r="G19" s="1573">
        <f t="shared" si="0"/>
        <v>1850</v>
      </c>
      <c r="H19" s="1562"/>
      <c r="I19" s="1574">
        <v>10</v>
      </c>
      <c r="J19" s="2517">
        <v>2406.9</v>
      </c>
      <c r="K19" s="1576">
        <v>2442.4</v>
      </c>
      <c r="L19" s="2472"/>
      <c r="M19" s="2482"/>
      <c r="N19" s="2483"/>
      <c r="O19" s="2484"/>
      <c r="P19" s="2485"/>
      <c r="Q19" s="2484"/>
      <c r="R19" s="1576">
        <f t="shared" si="1"/>
        <v>0</v>
      </c>
      <c r="S19" s="2519">
        <f t="shared" si="4"/>
        <v>0</v>
      </c>
      <c r="T19" s="2396"/>
      <c r="U19" s="1570">
        <v>10</v>
      </c>
      <c r="V19" s="1575">
        <v>5374</v>
      </c>
      <c r="W19" s="2196"/>
      <c r="X19" s="2197"/>
      <c r="Y19" s="2197"/>
      <c r="Z19" s="2196"/>
      <c r="AA19" s="2199"/>
      <c r="AB19" s="2200"/>
      <c r="AC19" s="1576">
        <f t="shared" si="2"/>
        <v>0</v>
      </c>
      <c r="AD19" s="1548">
        <f t="shared" si="5"/>
        <v>0</v>
      </c>
      <c r="AE19" s="1569"/>
      <c r="AF19" s="2409">
        <v>10</v>
      </c>
      <c r="AG19" s="2406">
        <v>7191</v>
      </c>
      <c r="AH19" s="2403"/>
      <c r="AI19" s="1572"/>
      <c r="AJ19" s="1995">
        <f t="shared" si="3"/>
        <v>0</v>
      </c>
      <c r="AK19" s="2504">
        <v>16900</v>
      </c>
      <c r="AL19" s="1572"/>
      <c r="AM19" s="1572"/>
      <c r="AN19" s="2501">
        <f t="shared" si="6"/>
        <v>0</v>
      </c>
    </row>
    <row r="20" spans="2:40" ht="17.100000000000001" customHeight="1">
      <c r="B20" s="1570">
        <v>11</v>
      </c>
      <c r="C20" s="1571">
        <v>9890</v>
      </c>
      <c r="D20" s="1572">
        <v>0</v>
      </c>
      <c r="E20" s="1572">
        <v>0</v>
      </c>
      <c r="F20" s="1572">
        <v>0</v>
      </c>
      <c r="G20" s="1573">
        <f t="shared" si="0"/>
        <v>580</v>
      </c>
      <c r="H20" s="1562"/>
      <c r="I20" s="1574">
        <v>11</v>
      </c>
      <c r="J20" s="2517">
        <v>2406.9</v>
      </c>
      <c r="K20" s="1576">
        <v>2442.4</v>
      </c>
      <c r="L20" s="1576"/>
      <c r="M20" s="2197"/>
      <c r="N20" s="2411"/>
      <c r="O20" s="1579"/>
      <c r="P20" s="1577"/>
      <c r="Q20" s="1579"/>
      <c r="R20" s="1576">
        <f t="shared" si="1"/>
        <v>0</v>
      </c>
      <c r="S20" s="2519">
        <f t="shared" si="4"/>
        <v>0</v>
      </c>
      <c r="T20" s="2396"/>
      <c r="U20" s="1570">
        <v>11</v>
      </c>
      <c r="V20" s="1575">
        <v>5374</v>
      </c>
      <c r="W20" s="2421"/>
      <c r="X20" s="2202"/>
      <c r="Y20" s="2202"/>
      <c r="Z20" s="2202"/>
      <c r="AA20" s="2202"/>
      <c r="AB20" s="2202"/>
      <c r="AC20" s="1576">
        <f t="shared" si="2"/>
        <v>0</v>
      </c>
      <c r="AD20" s="1548">
        <f t="shared" si="5"/>
        <v>0</v>
      </c>
      <c r="AE20" s="1569"/>
      <c r="AF20" s="2409">
        <v>11</v>
      </c>
      <c r="AG20" s="2406">
        <v>7191</v>
      </c>
      <c r="AH20" s="2403"/>
      <c r="AI20" s="1572"/>
      <c r="AJ20" s="1995">
        <f t="shared" si="3"/>
        <v>635</v>
      </c>
      <c r="AK20" s="2504">
        <v>16900</v>
      </c>
      <c r="AL20" s="1572"/>
      <c r="AM20" s="1572"/>
      <c r="AN20" s="2501">
        <f t="shared" si="6"/>
        <v>0</v>
      </c>
    </row>
    <row r="21" spans="2:40" ht="17.100000000000001" customHeight="1">
      <c r="B21" s="1570">
        <v>12</v>
      </c>
      <c r="C21" s="1571">
        <v>9310</v>
      </c>
      <c r="D21" s="1572">
        <v>0</v>
      </c>
      <c r="E21" s="1572">
        <v>0</v>
      </c>
      <c r="F21" s="1572">
        <v>0</v>
      </c>
      <c r="G21" s="1573">
        <f t="shared" si="0"/>
        <v>1360</v>
      </c>
      <c r="H21" s="1562"/>
      <c r="I21" s="1574">
        <v>12</v>
      </c>
      <c r="J21" s="2517">
        <v>2406.9</v>
      </c>
      <c r="K21" s="1576">
        <v>2442.4</v>
      </c>
      <c r="L21" s="1576"/>
      <c r="M21" s="2197">
        <v>41</v>
      </c>
      <c r="N21" s="2473">
        <v>8.67</v>
      </c>
      <c r="O21" s="1579"/>
      <c r="P21" s="1577"/>
      <c r="Q21" s="1579"/>
      <c r="R21" s="1576">
        <f t="shared" si="1"/>
        <v>0</v>
      </c>
      <c r="S21" s="2519">
        <f t="shared" si="4"/>
        <v>0</v>
      </c>
      <c r="T21" s="2396"/>
      <c r="U21" s="1570">
        <v>12</v>
      </c>
      <c r="V21" s="1575">
        <v>5374</v>
      </c>
      <c r="W21" s="2448"/>
      <c r="X21" s="2449"/>
      <c r="Y21" s="2449"/>
      <c r="Z21" s="2450"/>
      <c r="AA21" s="2451"/>
      <c r="AB21" s="2452"/>
      <c r="AC21" s="1576">
        <f t="shared" si="2"/>
        <v>0</v>
      </c>
      <c r="AD21" s="1548">
        <f t="shared" si="5"/>
        <v>0</v>
      </c>
      <c r="AE21" s="1569"/>
      <c r="AF21" s="2409">
        <v>12</v>
      </c>
      <c r="AG21" s="2406">
        <v>6556</v>
      </c>
      <c r="AH21" s="2403"/>
      <c r="AI21" s="1572"/>
      <c r="AJ21" s="1995">
        <f t="shared" si="3"/>
        <v>1339</v>
      </c>
      <c r="AK21" s="2504">
        <v>16900</v>
      </c>
      <c r="AL21" s="1572"/>
      <c r="AM21" s="1572"/>
      <c r="AN21" s="2501">
        <f t="shared" si="6"/>
        <v>0</v>
      </c>
    </row>
    <row r="22" spans="2:40" ht="17.100000000000001" customHeight="1">
      <c r="B22" s="1570">
        <v>13</v>
      </c>
      <c r="C22" s="1571">
        <v>7950</v>
      </c>
      <c r="D22" s="1572">
        <v>5020</v>
      </c>
      <c r="E22" s="1572">
        <v>0</v>
      </c>
      <c r="F22" s="1572">
        <v>0</v>
      </c>
      <c r="G22" s="1573">
        <f t="shared" si="0"/>
        <v>1130</v>
      </c>
      <c r="H22" s="1562"/>
      <c r="I22" s="1574">
        <v>13</v>
      </c>
      <c r="J22" s="2517">
        <v>2406.9</v>
      </c>
      <c r="K22" s="1576">
        <v>2442.4</v>
      </c>
      <c r="L22" s="1576"/>
      <c r="M22" s="2197"/>
      <c r="N22" s="2411"/>
      <c r="O22" s="1579"/>
      <c r="P22" s="1577"/>
      <c r="Q22" s="1579"/>
      <c r="R22" s="1576">
        <f t="shared" si="1"/>
        <v>0</v>
      </c>
      <c r="S22" s="2519">
        <f t="shared" si="4"/>
        <v>0</v>
      </c>
      <c r="T22" s="2396"/>
      <c r="U22" s="2383">
        <v>13</v>
      </c>
      <c r="V22" s="1575">
        <v>5374</v>
      </c>
      <c r="W22" s="1567"/>
      <c r="X22" s="2416"/>
      <c r="Y22" s="2419"/>
      <c r="Z22" s="1567"/>
      <c r="AA22" s="2420"/>
      <c r="AB22" s="2200"/>
      <c r="AC22" s="1576">
        <f t="shared" si="2"/>
        <v>0</v>
      </c>
      <c r="AD22" s="1548">
        <f t="shared" si="5"/>
        <v>0</v>
      </c>
      <c r="AE22" s="1569"/>
      <c r="AF22" s="2409">
        <v>13</v>
      </c>
      <c r="AG22" s="2406">
        <v>5217</v>
      </c>
      <c r="AH22" s="2403"/>
      <c r="AI22" s="1572"/>
      <c r="AJ22" s="1995">
        <f t="shared" si="3"/>
        <v>1269</v>
      </c>
      <c r="AK22" s="2504">
        <v>16900</v>
      </c>
      <c r="AL22" s="1572"/>
      <c r="AM22" s="1572"/>
      <c r="AN22" s="2501">
        <f t="shared" si="6"/>
        <v>0</v>
      </c>
    </row>
    <row r="23" spans="2:40" ht="17.100000000000001" customHeight="1">
      <c r="B23" s="1570">
        <v>14</v>
      </c>
      <c r="C23" s="1571">
        <v>11840</v>
      </c>
      <c r="D23" s="1572">
        <v>0</v>
      </c>
      <c r="E23" s="1572">
        <v>0</v>
      </c>
      <c r="F23" s="1581">
        <v>0</v>
      </c>
      <c r="G23" s="1573">
        <f t="shared" si="0"/>
        <v>780</v>
      </c>
      <c r="H23" s="1562"/>
      <c r="I23" s="1574">
        <v>14</v>
      </c>
      <c r="J23" s="2517">
        <v>2406.9</v>
      </c>
      <c r="K23" s="1576">
        <v>2442.4</v>
      </c>
      <c r="L23" s="1576"/>
      <c r="M23" s="2422"/>
      <c r="N23" s="2411"/>
      <c r="O23" s="1579"/>
      <c r="P23" s="1577"/>
      <c r="Q23" s="1579"/>
      <c r="R23" s="1576">
        <f t="shared" si="1"/>
        <v>0</v>
      </c>
      <c r="S23" s="2519">
        <f t="shared" si="4"/>
        <v>0</v>
      </c>
      <c r="T23" s="2396"/>
      <c r="U23" s="2383">
        <v>14</v>
      </c>
      <c r="V23" s="1575">
        <v>5374</v>
      </c>
      <c r="W23" s="1576"/>
      <c r="X23" s="1577"/>
      <c r="Y23" s="1578"/>
      <c r="Z23" s="1576"/>
      <c r="AA23" s="1580"/>
      <c r="AB23" s="2200"/>
      <c r="AC23" s="1576">
        <f t="shared" si="2"/>
        <v>0</v>
      </c>
      <c r="AD23" s="1548">
        <f t="shared" si="5"/>
        <v>0</v>
      </c>
      <c r="AE23" s="1569"/>
      <c r="AF23" s="2409">
        <v>14</v>
      </c>
      <c r="AG23" s="2406">
        <v>3948</v>
      </c>
      <c r="AH23" s="2403"/>
      <c r="AI23" s="1572"/>
      <c r="AJ23" s="1995">
        <f t="shared" si="3"/>
        <v>2044.5</v>
      </c>
      <c r="AK23" s="2504">
        <v>16900</v>
      </c>
      <c r="AL23" s="1572"/>
      <c r="AM23" s="1572"/>
      <c r="AN23" s="2501">
        <f t="shared" si="6"/>
        <v>0</v>
      </c>
    </row>
    <row r="24" spans="2:40" ht="17.100000000000001" customHeight="1">
      <c r="B24" s="1570">
        <v>15</v>
      </c>
      <c r="C24" s="1571">
        <v>11060</v>
      </c>
      <c r="D24" s="1572">
        <v>0</v>
      </c>
      <c r="E24" s="1572">
        <v>0</v>
      </c>
      <c r="F24" s="1581">
        <v>0</v>
      </c>
      <c r="G24" s="1573">
        <f t="shared" si="0"/>
        <v>1170</v>
      </c>
      <c r="H24" s="1562"/>
      <c r="I24" s="1574">
        <v>15</v>
      </c>
      <c r="J24" s="2517">
        <v>2406.9</v>
      </c>
      <c r="K24" s="1576">
        <v>2442.4</v>
      </c>
      <c r="L24" s="2196"/>
      <c r="M24" s="2197"/>
      <c r="N24" s="2198"/>
      <c r="O24" s="2424"/>
      <c r="P24" s="2197"/>
      <c r="Q24" s="2424"/>
      <c r="R24" s="1576">
        <f t="shared" si="1"/>
        <v>0</v>
      </c>
      <c r="S24" s="2519">
        <f t="shared" si="4"/>
        <v>0</v>
      </c>
      <c r="T24" s="2396"/>
      <c r="U24" s="2383">
        <v>15</v>
      </c>
      <c r="V24" s="1575">
        <v>5374</v>
      </c>
      <c r="W24" s="1576"/>
      <c r="X24" s="1577"/>
      <c r="Y24" s="1577"/>
      <c r="Z24" s="1576"/>
      <c r="AA24" s="1580"/>
      <c r="AB24" s="2200"/>
      <c r="AC24" s="1576">
        <f t="shared" si="2"/>
        <v>0</v>
      </c>
      <c r="AD24" s="1548">
        <f t="shared" si="5"/>
        <v>0</v>
      </c>
      <c r="AE24" s="1569"/>
      <c r="AF24" s="2409">
        <v>15</v>
      </c>
      <c r="AG24" s="2406">
        <v>1903.5</v>
      </c>
      <c r="AH24" s="2403"/>
      <c r="AI24" s="1572"/>
      <c r="AJ24" s="1995">
        <f t="shared" si="3"/>
        <v>1057.5</v>
      </c>
      <c r="AK24" s="2504">
        <v>16900</v>
      </c>
      <c r="AL24" s="1572"/>
      <c r="AM24" s="1572"/>
      <c r="AN24" s="2501">
        <f t="shared" si="6"/>
        <v>0</v>
      </c>
    </row>
    <row r="25" spans="2:40" ht="17.100000000000001" customHeight="1">
      <c r="B25" s="1570">
        <v>16</v>
      </c>
      <c r="C25" s="1571">
        <v>9890</v>
      </c>
      <c r="D25" s="1572">
        <v>0</v>
      </c>
      <c r="E25" s="1572">
        <v>0</v>
      </c>
      <c r="F25" s="1581">
        <v>0</v>
      </c>
      <c r="G25" s="1573">
        <f t="shared" si="0"/>
        <v>1360</v>
      </c>
      <c r="H25" s="1562"/>
      <c r="I25" s="1574">
        <v>16</v>
      </c>
      <c r="J25" s="2517">
        <v>2406.9</v>
      </c>
      <c r="K25" s="1576">
        <v>2442.4</v>
      </c>
      <c r="L25" s="2202"/>
      <c r="M25" s="2202"/>
      <c r="N25" s="2202"/>
      <c r="O25" s="2202"/>
      <c r="P25" s="2202"/>
      <c r="Q25" s="2202"/>
      <c r="R25" s="1576">
        <f t="shared" si="1"/>
        <v>0</v>
      </c>
      <c r="S25" s="2519">
        <f t="shared" si="4"/>
        <v>0</v>
      </c>
      <c r="T25" s="2396"/>
      <c r="U25" s="2383">
        <v>16</v>
      </c>
      <c r="V25" s="1575">
        <v>5374</v>
      </c>
      <c r="W25" s="1576"/>
      <c r="X25" s="1577"/>
      <c r="Y25" s="1577"/>
      <c r="Z25" s="1576"/>
      <c r="AA25" s="1580"/>
      <c r="AB25" s="2200"/>
      <c r="AC25" s="2196">
        <f t="shared" si="2"/>
        <v>0</v>
      </c>
      <c r="AD25" s="1548">
        <f t="shared" si="5"/>
        <v>0</v>
      </c>
      <c r="AE25" s="1569"/>
      <c r="AF25" s="2409">
        <v>16</v>
      </c>
      <c r="AG25" s="2406">
        <v>846</v>
      </c>
      <c r="AH25" s="2403">
        <v>4582</v>
      </c>
      <c r="AI25" s="1572"/>
      <c r="AJ25" s="1995">
        <f t="shared" si="3"/>
        <v>352</v>
      </c>
      <c r="AK25" s="2504">
        <v>16900</v>
      </c>
      <c r="AL25" s="1572"/>
      <c r="AM25" s="1572"/>
      <c r="AN25" s="2501">
        <f t="shared" si="6"/>
        <v>0</v>
      </c>
    </row>
    <row r="26" spans="2:40" ht="17.100000000000001" customHeight="1">
      <c r="B26" s="1570">
        <v>17</v>
      </c>
      <c r="C26" s="1571">
        <v>8530</v>
      </c>
      <c r="D26" s="1572">
        <v>0</v>
      </c>
      <c r="E26" s="1572">
        <v>0</v>
      </c>
      <c r="F26" s="1581">
        <v>0</v>
      </c>
      <c r="G26" s="1573">
        <f t="shared" si="0"/>
        <v>730</v>
      </c>
      <c r="H26" s="1562"/>
      <c r="I26" s="1574">
        <v>17</v>
      </c>
      <c r="J26" s="2517">
        <v>2406.9</v>
      </c>
      <c r="K26" s="1576">
        <v>2442.4</v>
      </c>
      <c r="L26" s="2196"/>
      <c r="M26" s="2197"/>
      <c r="N26" s="2425"/>
      <c r="O26" s="2424"/>
      <c r="P26" s="2197"/>
      <c r="Q26" s="2424"/>
      <c r="R26" s="1609">
        <f t="shared" si="1"/>
        <v>0</v>
      </c>
      <c r="S26" s="2519">
        <f>IF(J27="","",ROUND(+J26+K26+R26-J27-K27,0))</f>
        <v>0</v>
      </c>
      <c r="T26" s="2396"/>
      <c r="U26" s="2383">
        <v>17</v>
      </c>
      <c r="V26" s="1575">
        <v>5374</v>
      </c>
      <c r="W26" s="1576"/>
      <c r="X26" s="1577"/>
      <c r="Y26" s="1577"/>
      <c r="Z26" s="1576"/>
      <c r="AA26" s="1580"/>
      <c r="AB26" s="2432"/>
      <c r="AC26" s="2196">
        <f t="shared" si="2"/>
        <v>0</v>
      </c>
      <c r="AD26" s="1548">
        <f t="shared" si="5"/>
        <v>0</v>
      </c>
      <c r="AE26" s="1569"/>
      <c r="AF26" s="2409">
        <v>17</v>
      </c>
      <c r="AG26" s="2406">
        <f>5076</f>
        <v>5076</v>
      </c>
      <c r="AH26" s="2403"/>
      <c r="AI26" s="1572"/>
      <c r="AJ26" s="1995">
        <f t="shared" ref="AJ26" si="7">IF(AG27="","",AG26-AG27+AH26+AI26)</f>
        <v>846</v>
      </c>
      <c r="AK26" s="2504">
        <v>16900</v>
      </c>
      <c r="AL26" s="1572"/>
      <c r="AM26" s="1572"/>
      <c r="AN26" s="2501">
        <f t="shared" si="6"/>
        <v>0</v>
      </c>
    </row>
    <row r="27" spans="2:40" ht="17.100000000000001" customHeight="1">
      <c r="B27" s="1570">
        <v>18</v>
      </c>
      <c r="C27" s="1571">
        <v>7800</v>
      </c>
      <c r="D27" s="1572">
        <v>4650</v>
      </c>
      <c r="E27" s="1572">
        <v>0</v>
      </c>
      <c r="F27" s="1581">
        <v>0</v>
      </c>
      <c r="G27" s="1573">
        <f t="shared" si="0"/>
        <v>440</v>
      </c>
      <c r="H27" s="1562"/>
      <c r="I27" s="1574">
        <v>18</v>
      </c>
      <c r="J27" s="2517">
        <v>2406.9</v>
      </c>
      <c r="K27" s="1576">
        <v>2442.4</v>
      </c>
      <c r="L27" s="1567"/>
      <c r="M27" s="2414"/>
      <c r="N27" s="2423"/>
      <c r="O27" s="2415"/>
      <c r="P27" s="2416"/>
      <c r="Q27" s="2424"/>
      <c r="R27" s="1609">
        <f t="shared" si="1"/>
        <v>0</v>
      </c>
      <c r="S27" s="2519">
        <f t="shared" ref="S27:S35" si="8">IF(J28="","",ROUND(+J27+K27+R27-J28-K28,0))</f>
        <v>0</v>
      </c>
      <c r="T27" s="2396"/>
      <c r="U27" s="2383">
        <v>18</v>
      </c>
      <c r="V27" s="1575">
        <v>5374</v>
      </c>
      <c r="W27" s="1576"/>
      <c r="X27" s="1577"/>
      <c r="Y27" s="1577"/>
      <c r="Z27" s="1576"/>
      <c r="AA27" s="1580"/>
      <c r="AB27" s="2433"/>
      <c r="AC27" s="2196">
        <f t="shared" si="2"/>
        <v>0</v>
      </c>
      <c r="AD27" s="1548">
        <f t="shared" si="5"/>
        <v>0</v>
      </c>
      <c r="AE27" s="1569"/>
      <c r="AF27" s="2409">
        <v>18</v>
      </c>
      <c r="AG27" s="2406">
        <v>4230</v>
      </c>
      <c r="AH27" s="2403"/>
      <c r="AI27" s="1572"/>
      <c r="AJ27" s="1995">
        <f t="shared" si="3"/>
        <v>775.5</v>
      </c>
      <c r="AK27" s="2504">
        <v>16900</v>
      </c>
      <c r="AL27" s="1572"/>
      <c r="AM27" s="1572"/>
      <c r="AN27" s="2501">
        <f t="shared" si="6"/>
        <v>0</v>
      </c>
    </row>
    <row r="28" spans="2:40" ht="17.100000000000001" customHeight="1">
      <c r="B28" s="1570">
        <v>19</v>
      </c>
      <c r="C28" s="1571">
        <v>12010</v>
      </c>
      <c r="D28" s="1572">
        <v>0</v>
      </c>
      <c r="E28" s="1572">
        <v>0</v>
      </c>
      <c r="F28" s="1581">
        <v>0</v>
      </c>
      <c r="G28" s="1573">
        <f t="shared" si="0"/>
        <v>680</v>
      </c>
      <c r="H28" s="1562"/>
      <c r="I28" s="1574">
        <v>19</v>
      </c>
      <c r="J28" s="2517">
        <v>2406.9</v>
      </c>
      <c r="K28" s="1576">
        <v>2442.4</v>
      </c>
      <c r="L28" s="1576"/>
      <c r="M28" s="2197"/>
      <c r="N28" s="2411"/>
      <c r="O28" s="1579"/>
      <c r="P28" s="1577"/>
      <c r="Q28" s="2436"/>
      <c r="R28" s="1609">
        <f t="shared" si="1"/>
        <v>0</v>
      </c>
      <c r="S28" s="2519">
        <f t="shared" si="8"/>
        <v>0</v>
      </c>
      <c r="T28" s="2396"/>
      <c r="U28" s="1570">
        <v>19</v>
      </c>
      <c r="V28" s="1575">
        <v>5374</v>
      </c>
      <c r="W28" s="1576"/>
      <c r="X28" s="1577"/>
      <c r="Y28" s="1577"/>
      <c r="Z28" s="1576"/>
      <c r="AA28" s="1580"/>
      <c r="AB28" s="2433"/>
      <c r="AC28" s="2196">
        <f t="shared" si="2"/>
        <v>0</v>
      </c>
      <c r="AD28" s="1548">
        <f t="shared" si="5"/>
        <v>0</v>
      </c>
      <c r="AE28" s="1569"/>
      <c r="AF28" s="2409">
        <v>19</v>
      </c>
      <c r="AG28" s="2406">
        <v>3454.5</v>
      </c>
      <c r="AH28" s="2403"/>
      <c r="AI28" s="1572"/>
      <c r="AJ28" s="1995">
        <f t="shared" si="3"/>
        <v>1128</v>
      </c>
      <c r="AK28" s="2504">
        <v>16900</v>
      </c>
      <c r="AL28" s="1572"/>
      <c r="AM28" s="1572"/>
      <c r="AN28" s="2501">
        <f t="shared" si="6"/>
        <v>0</v>
      </c>
    </row>
    <row r="29" spans="2:40" ht="17.100000000000001" customHeight="1">
      <c r="B29" s="1570">
        <v>20</v>
      </c>
      <c r="C29" s="1571">
        <v>11330</v>
      </c>
      <c r="D29" s="1572">
        <v>0</v>
      </c>
      <c r="E29" s="1572">
        <v>0</v>
      </c>
      <c r="F29" s="1581">
        <v>0</v>
      </c>
      <c r="G29" s="1573">
        <f t="shared" si="0"/>
        <v>730</v>
      </c>
      <c r="H29" s="1562"/>
      <c r="I29" s="1574">
        <v>20</v>
      </c>
      <c r="J29" s="2517">
        <v>2406.9</v>
      </c>
      <c r="K29" s="1576">
        <v>2442.4</v>
      </c>
      <c r="L29" s="1576"/>
      <c r="M29" s="2197"/>
      <c r="N29" s="2411"/>
      <c r="O29" s="1579"/>
      <c r="P29" s="1577"/>
      <c r="Q29" s="2424"/>
      <c r="R29" s="1609">
        <f t="shared" si="1"/>
        <v>0</v>
      </c>
      <c r="S29" s="2519">
        <f t="shared" si="8"/>
        <v>0</v>
      </c>
      <c r="T29" s="2396"/>
      <c r="U29" s="1570">
        <v>20</v>
      </c>
      <c r="V29" s="1575">
        <v>5374</v>
      </c>
      <c r="W29" s="1576"/>
      <c r="X29" s="1577"/>
      <c r="Y29" s="1577"/>
      <c r="Z29" s="1576"/>
      <c r="AA29" s="1580"/>
      <c r="AB29" s="2433"/>
      <c r="AC29" s="2196">
        <f t="shared" si="2"/>
        <v>0</v>
      </c>
      <c r="AD29" s="1548">
        <f t="shared" si="5"/>
        <v>0</v>
      </c>
      <c r="AE29" s="1569"/>
      <c r="AF29" s="2409">
        <v>20</v>
      </c>
      <c r="AG29" s="2406">
        <v>2326.5</v>
      </c>
      <c r="AH29" s="2403"/>
      <c r="AI29" s="1572"/>
      <c r="AJ29" s="1995">
        <f t="shared" si="3"/>
        <v>1410</v>
      </c>
      <c r="AK29" s="2504">
        <v>16900</v>
      </c>
      <c r="AL29" s="1572"/>
      <c r="AM29" s="1572"/>
      <c r="AN29" s="2501">
        <f t="shared" si="6"/>
        <v>0</v>
      </c>
    </row>
    <row r="30" spans="2:40" ht="17.100000000000001" customHeight="1">
      <c r="B30" s="1570">
        <v>21</v>
      </c>
      <c r="C30" s="1571">
        <v>10600</v>
      </c>
      <c r="D30" s="1572">
        <v>0</v>
      </c>
      <c r="E30" s="1572">
        <v>0</v>
      </c>
      <c r="F30" s="1581">
        <v>0</v>
      </c>
      <c r="G30" s="1573">
        <f t="shared" si="0"/>
        <v>880</v>
      </c>
      <c r="H30" s="1562"/>
      <c r="I30" s="1574">
        <v>21</v>
      </c>
      <c r="J30" s="2517">
        <v>2406.9</v>
      </c>
      <c r="K30" s="1576">
        <v>2442.4</v>
      </c>
      <c r="L30" s="1576"/>
      <c r="M30" s="2197"/>
      <c r="N30" s="2411"/>
      <c r="O30" s="1579"/>
      <c r="P30" s="1577"/>
      <c r="Q30" s="2424"/>
      <c r="R30" s="1609">
        <f t="shared" si="1"/>
        <v>0</v>
      </c>
      <c r="S30" s="2520">
        <f t="shared" si="8"/>
        <v>0</v>
      </c>
      <c r="T30" s="2396"/>
      <c r="U30" s="1570">
        <v>21</v>
      </c>
      <c r="V30" s="1575">
        <v>5374</v>
      </c>
      <c r="W30" s="1576"/>
      <c r="X30" s="1577"/>
      <c r="Y30" s="1577"/>
      <c r="Z30" s="1576"/>
      <c r="AA30" s="1580"/>
      <c r="AB30" s="2433"/>
      <c r="AC30" s="2435">
        <f>IF(W30="",0,ROUND(W30/Y30,0))</f>
        <v>0</v>
      </c>
      <c r="AD30" s="1548">
        <f t="shared" si="5"/>
        <v>0</v>
      </c>
      <c r="AE30" s="1569"/>
      <c r="AF30" s="2409">
        <v>21</v>
      </c>
      <c r="AG30" s="2406">
        <v>916.5</v>
      </c>
      <c r="AH30" s="2403">
        <v>5076</v>
      </c>
      <c r="AI30" s="1572"/>
      <c r="AJ30" s="1995">
        <f t="shared" si="3"/>
        <v>0</v>
      </c>
      <c r="AK30" s="2504">
        <v>16900</v>
      </c>
      <c r="AL30" s="1572"/>
      <c r="AM30" s="1572"/>
      <c r="AN30" s="2501">
        <f t="shared" si="6"/>
        <v>0</v>
      </c>
    </row>
    <row r="31" spans="2:40" ht="17.100000000000001" customHeight="1">
      <c r="B31" s="1570">
        <v>22</v>
      </c>
      <c r="C31" s="1571">
        <v>9720</v>
      </c>
      <c r="D31" s="1572">
        <v>0</v>
      </c>
      <c r="E31" s="1572">
        <v>0</v>
      </c>
      <c r="F31" s="1572">
        <v>0</v>
      </c>
      <c r="G31" s="1573">
        <f t="shared" si="0"/>
        <v>1360</v>
      </c>
      <c r="H31" s="1562"/>
      <c r="I31" s="1574">
        <v>22</v>
      </c>
      <c r="J31" s="2517">
        <v>2406.9</v>
      </c>
      <c r="K31" s="1576">
        <v>2442.4</v>
      </c>
      <c r="L31" s="2202"/>
      <c r="M31" s="2202"/>
      <c r="N31" s="2202"/>
      <c r="O31" s="2202"/>
      <c r="P31" s="2428"/>
      <c r="Q31" s="2437"/>
      <c r="R31" s="1609">
        <f t="shared" si="1"/>
        <v>0</v>
      </c>
      <c r="S31" s="2519">
        <f t="shared" si="8"/>
        <v>0</v>
      </c>
      <c r="T31" s="2396"/>
      <c r="U31" s="1570">
        <v>22</v>
      </c>
      <c r="V31" s="1575">
        <v>5374</v>
      </c>
      <c r="W31" s="2196"/>
      <c r="X31" s="2197"/>
      <c r="Y31" s="2197"/>
      <c r="Z31" s="2196"/>
      <c r="AA31" s="2199"/>
      <c r="AB31" s="2200"/>
      <c r="AC31" s="2435">
        <f t="shared" si="2"/>
        <v>0</v>
      </c>
      <c r="AD31" s="1548">
        <f t="shared" si="5"/>
        <v>0</v>
      </c>
      <c r="AE31" s="1569"/>
      <c r="AF31" s="2409">
        <v>22</v>
      </c>
      <c r="AG31" s="2406">
        <f>916.5+5076</f>
        <v>5992.5</v>
      </c>
      <c r="AH31" s="2403"/>
      <c r="AI31" s="1572"/>
      <c r="AJ31" s="1995">
        <f t="shared" si="3"/>
        <v>705</v>
      </c>
      <c r="AK31" s="2504">
        <v>16900</v>
      </c>
      <c r="AL31" s="1572"/>
      <c r="AM31" s="1572"/>
      <c r="AN31" s="2501">
        <f t="shared" si="6"/>
        <v>0</v>
      </c>
    </row>
    <row r="32" spans="2:40" ht="17.100000000000001" customHeight="1">
      <c r="B32" s="1570">
        <v>23</v>
      </c>
      <c r="C32" s="1571">
        <v>8360</v>
      </c>
      <c r="D32" s="1572">
        <v>0</v>
      </c>
      <c r="E32" s="1572">
        <v>0</v>
      </c>
      <c r="F32" s="1572">
        <v>0</v>
      </c>
      <c r="G32" s="1573">
        <f t="shared" si="0"/>
        <v>3440</v>
      </c>
      <c r="H32" s="1562"/>
      <c r="I32" s="1574">
        <v>23</v>
      </c>
      <c r="J32" s="2517">
        <v>2406.9</v>
      </c>
      <c r="K32" s="1576">
        <v>2442.4</v>
      </c>
      <c r="L32" s="1567"/>
      <c r="M32" s="2414"/>
      <c r="N32" s="2427"/>
      <c r="O32" s="2415"/>
      <c r="P32" s="2416"/>
      <c r="Q32" s="2424"/>
      <c r="R32" s="1609">
        <f t="shared" si="1"/>
        <v>0</v>
      </c>
      <c r="S32" s="2519">
        <f t="shared" si="8"/>
        <v>0</v>
      </c>
      <c r="T32" s="2396"/>
      <c r="U32" s="1570">
        <v>23</v>
      </c>
      <c r="V32" s="1575">
        <v>5374</v>
      </c>
      <c r="W32" s="2421"/>
      <c r="X32" s="2202"/>
      <c r="Y32" s="2202"/>
      <c r="Z32" s="2202"/>
      <c r="AA32" s="2202"/>
      <c r="AB32" s="2202"/>
      <c r="AC32" s="2435">
        <f t="shared" si="2"/>
        <v>0</v>
      </c>
      <c r="AD32" s="1548">
        <f t="shared" si="5"/>
        <v>0</v>
      </c>
      <c r="AE32" s="1569"/>
      <c r="AF32" s="2409">
        <v>23</v>
      </c>
      <c r="AG32" s="2406">
        <f>916.5+4371</f>
        <v>5287.5</v>
      </c>
      <c r="AH32" s="2403"/>
      <c r="AI32" s="1572"/>
      <c r="AJ32" s="1995">
        <f t="shared" si="3"/>
        <v>2292</v>
      </c>
      <c r="AK32" s="2504">
        <v>16900</v>
      </c>
      <c r="AL32" s="1572"/>
      <c r="AM32" s="1572"/>
      <c r="AN32" s="2501">
        <f t="shared" si="6"/>
        <v>0</v>
      </c>
    </row>
    <row r="33" spans="2:40" ht="17.100000000000001" customHeight="1">
      <c r="B33" s="1570">
        <v>24</v>
      </c>
      <c r="C33" s="1571">
        <v>4920</v>
      </c>
      <c r="D33" s="1572">
        <v>4630</v>
      </c>
      <c r="E33" s="1572">
        <v>0</v>
      </c>
      <c r="F33" s="1581">
        <v>0</v>
      </c>
      <c r="G33" s="1573">
        <f t="shared" si="0"/>
        <v>1800</v>
      </c>
      <c r="H33" s="1562"/>
      <c r="I33" s="1574">
        <v>24</v>
      </c>
      <c r="J33" s="2517">
        <v>2406.9</v>
      </c>
      <c r="K33" s="1576">
        <v>2442.4</v>
      </c>
      <c r="L33" s="1576"/>
      <c r="M33" s="2197"/>
      <c r="N33" s="2411"/>
      <c r="O33" s="1579"/>
      <c r="P33" s="1577"/>
      <c r="Q33" s="2424"/>
      <c r="R33" s="1609">
        <f t="shared" si="1"/>
        <v>0</v>
      </c>
      <c r="S33" s="2519">
        <f t="shared" si="8"/>
        <v>0</v>
      </c>
      <c r="T33" s="2396"/>
      <c r="U33" s="1570">
        <v>24</v>
      </c>
      <c r="V33" s="1575">
        <v>5374</v>
      </c>
      <c r="W33" s="2421"/>
      <c r="X33" s="2202"/>
      <c r="Y33" s="2202"/>
      <c r="Z33" s="2202"/>
      <c r="AA33" s="2202"/>
      <c r="AB33" s="2202"/>
      <c r="AC33" s="2435">
        <f t="shared" si="2"/>
        <v>0</v>
      </c>
      <c r="AD33" s="1548">
        <f t="shared" si="5"/>
        <v>0</v>
      </c>
      <c r="AE33" s="1569"/>
      <c r="AF33" s="2409">
        <v>24</v>
      </c>
      <c r="AG33" s="2406">
        <f>916.5+2079</f>
        <v>2995.5</v>
      </c>
      <c r="AH33" s="2403"/>
      <c r="AI33" s="1572"/>
      <c r="AJ33" s="1995">
        <f t="shared" si="3"/>
        <v>1021.5</v>
      </c>
      <c r="AK33" s="2504">
        <v>16900</v>
      </c>
      <c r="AL33" s="1572"/>
      <c r="AM33" s="1572"/>
      <c r="AN33" s="2501">
        <f t="shared" si="6"/>
        <v>0</v>
      </c>
    </row>
    <row r="34" spans="2:40" ht="17.100000000000001" customHeight="1">
      <c r="B34" s="1570">
        <v>25</v>
      </c>
      <c r="C34" s="1571">
        <v>7750</v>
      </c>
      <c r="D34" s="1572">
        <v>0</v>
      </c>
      <c r="E34" s="1572">
        <v>0</v>
      </c>
      <c r="F34" s="1581">
        <v>0</v>
      </c>
      <c r="G34" s="1573">
        <f t="shared" si="0"/>
        <v>1320</v>
      </c>
      <c r="H34" s="1562"/>
      <c r="I34" s="1574">
        <v>25</v>
      </c>
      <c r="J34" s="2517">
        <v>2406.9</v>
      </c>
      <c r="K34" s="1576">
        <v>2442.4</v>
      </c>
      <c r="L34" s="1576"/>
      <c r="M34" s="2197"/>
      <c r="N34" s="2411"/>
      <c r="O34" s="1579"/>
      <c r="P34" s="1577"/>
      <c r="Q34" s="2424"/>
      <c r="R34" s="1609">
        <f t="shared" si="1"/>
        <v>0</v>
      </c>
      <c r="S34" s="2519">
        <f t="shared" si="8"/>
        <v>0</v>
      </c>
      <c r="T34" s="2396"/>
      <c r="U34" s="1570">
        <v>25</v>
      </c>
      <c r="V34" s="1575">
        <v>5374</v>
      </c>
      <c r="W34" s="1576"/>
      <c r="X34" s="1577"/>
      <c r="Y34" s="1577"/>
      <c r="Z34" s="1576"/>
      <c r="AA34" s="1580"/>
      <c r="AB34" s="2433"/>
      <c r="AC34" s="2435">
        <f t="shared" si="2"/>
        <v>0</v>
      </c>
      <c r="AD34" s="1548">
        <f t="shared" si="5"/>
        <v>0</v>
      </c>
      <c r="AE34" s="1569"/>
      <c r="AF34" s="2409">
        <v>25</v>
      </c>
      <c r="AG34" s="2406">
        <f>916.5+1057.5</f>
        <v>1974</v>
      </c>
      <c r="AH34" s="2403"/>
      <c r="AI34" s="1572"/>
      <c r="AJ34" s="1995">
        <f t="shared" si="3"/>
        <v>1057.5</v>
      </c>
      <c r="AK34" s="2008">
        <v>16900</v>
      </c>
      <c r="AL34" s="1572"/>
      <c r="AM34" s="1572"/>
      <c r="AN34" s="2501">
        <f t="shared" si="6"/>
        <v>0</v>
      </c>
    </row>
    <row r="35" spans="2:40" ht="17.100000000000001" customHeight="1">
      <c r="B35" s="1570">
        <v>26</v>
      </c>
      <c r="C35" s="1571">
        <v>6430</v>
      </c>
      <c r="D35" s="1572">
        <v>4870</v>
      </c>
      <c r="E35" s="1572">
        <v>0</v>
      </c>
      <c r="F35" s="1581">
        <v>0</v>
      </c>
      <c r="G35" s="1573">
        <f t="shared" si="0"/>
        <v>1210</v>
      </c>
      <c r="H35" s="1562"/>
      <c r="I35" s="1574">
        <v>26</v>
      </c>
      <c r="J35" s="2517">
        <v>2406.9</v>
      </c>
      <c r="K35" s="1576">
        <v>2442.4</v>
      </c>
      <c r="L35" s="1576"/>
      <c r="M35" s="2197"/>
      <c r="N35" s="2411"/>
      <c r="O35" s="1579"/>
      <c r="P35" s="1577"/>
      <c r="Q35" s="2424"/>
      <c r="R35" s="1609">
        <f t="shared" si="1"/>
        <v>0</v>
      </c>
      <c r="S35" s="2519">
        <f t="shared" si="8"/>
        <v>0</v>
      </c>
      <c r="T35" s="2396"/>
      <c r="U35" s="1570">
        <v>26</v>
      </c>
      <c r="V35" s="1575">
        <v>5374</v>
      </c>
      <c r="W35" s="1576"/>
      <c r="X35" s="1577"/>
      <c r="Y35" s="1577"/>
      <c r="Z35" s="1582"/>
      <c r="AA35" s="1580"/>
      <c r="AB35" s="2433"/>
      <c r="AC35" s="2435">
        <f t="shared" si="2"/>
        <v>0</v>
      </c>
      <c r="AD35" s="1548">
        <f t="shared" si="5"/>
        <v>0</v>
      </c>
      <c r="AE35" s="1569"/>
      <c r="AF35" s="2409">
        <v>26</v>
      </c>
      <c r="AG35" s="2406">
        <v>916.5</v>
      </c>
      <c r="AH35" s="2403">
        <v>4710</v>
      </c>
      <c r="AI35" s="1572"/>
      <c r="AJ35" s="1995">
        <f t="shared" si="3"/>
        <v>916.5</v>
      </c>
      <c r="AK35" s="2008">
        <v>16900</v>
      </c>
      <c r="AL35" s="1572"/>
      <c r="AM35" s="1572"/>
      <c r="AN35" s="2501">
        <f t="shared" si="6"/>
        <v>0</v>
      </c>
    </row>
    <row r="36" spans="2:40" ht="17.100000000000001" customHeight="1">
      <c r="B36" s="1570">
        <v>27</v>
      </c>
      <c r="C36" s="1571">
        <v>10090</v>
      </c>
      <c r="D36" s="1572">
        <v>4040</v>
      </c>
      <c r="E36" s="1572">
        <v>0</v>
      </c>
      <c r="F36" s="1581">
        <v>0</v>
      </c>
      <c r="G36" s="1573">
        <f t="shared" si="0"/>
        <v>1270</v>
      </c>
      <c r="H36" s="1562"/>
      <c r="I36" s="1574">
        <v>27</v>
      </c>
      <c r="J36" s="2517">
        <v>2406.9</v>
      </c>
      <c r="K36" s="1576">
        <v>2442.4</v>
      </c>
      <c r="L36" s="1576"/>
      <c r="M36" s="2197"/>
      <c r="N36" s="2411"/>
      <c r="O36" s="1579"/>
      <c r="P36" s="1577"/>
      <c r="Q36" s="2424"/>
      <c r="R36" s="1609">
        <f t="shared" si="1"/>
        <v>0</v>
      </c>
      <c r="S36" s="2519">
        <f t="shared" si="4"/>
        <v>0</v>
      </c>
      <c r="T36" s="2396"/>
      <c r="U36" s="1570">
        <v>27</v>
      </c>
      <c r="V36" s="1575">
        <v>5374</v>
      </c>
      <c r="W36" s="1576"/>
      <c r="X36" s="1577"/>
      <c r="Y36" s="1577"/>
      <c r="Z36" s="1582"/>
      <c r="AA36" s="1580"/>
      <c r="AB36" s="2434"/>
      <c r="AC36" s="2435">
        <f t="shared" si="2"/>
        <v>0</v>
      </c>
      <c r="AD36" s="1548">
        <f t="shared" si="5"/>
        <v>0</v>
      </c>
      <c r="AE36" s="1569"/>
      <c r="AF36" s="2409">
        <v>27</v>
      </c>
      <c r="AG36" s="2406">
        <v>4710</v>
      </c>
      <c r="AH36" s="2403"/>
      <c r="AI36" s="1572"/>
      <c r="AJ36" s="1995">
        <f t="shared" si="3"/>
        <v>1890</v>
      </c>
      <c r="AK36" s="2008">
        <v>16900</v>
      </c>
      <c r="AL36" s="1572"/>
      <c r="AM36" s="1572"/>
      <c r="AN36" s="2501">
        <f t="shared" si="6"/>
        <v>0</v>
      </c>
    </row>
    <row r="37" spans="2:40" ht="17.100000000000001" customHeight="1">
      <c r="B37" s="1570">
        <v>28</v>
      </c>
      <c r="C37" s="1571">
        <v>12860</v>
      </c>
      <c r="D37" s="1572">
        <v>0</v>
      </c>
      <c r="E37" s="1572">
        <v>0</v>
      </c>
      <c r="F37" s="1581">
        <v>0</v>
      </c>
      <c r="G37" s="1573">
        <f t="shared" si="0"/>
        <v>480</v>
      </c>
      <c r="H37" s="1562"/>
      <c r="I37" s="1574">
        <v>28</v>
      </c>
      <c r="J37" s="2517">
        <v>2406.9</v>
      </c>
      <c r="K37" s="1576">
        <v>2442.4</v>
      </c>
      <c r="L37" s="1576"/>
      <c r="M37" s="2197"/>
      <c r="N37" s="2411"/>
      <c r="O37" s="1579"/>
      <c r="P37" s="1577"/>
      <c r="Q37" s="2424"/>
      <c r="R37" s="1609">
        <f t="shared" si="1"/>
        <v>0</v>
      </c>
      <c r="S37" s="2519">
        <f t="shared" si="4"/>
        <v>0</v>
      </c>
      <c r="T37" s="2396"/>
      <c r="U37" s="1570">
        <v>28</v>
      </c>
      <c r="V37" s="1575">
        <v>5374</v>
      </c>
      <c r="W37" s="1576"/>
      <c r="X37" s="1577"/>
      <c r="Y37" s="1577"/>
      <c r="Z37" s="1582"/>
      <c r="AA37" s="1580"/>
      <c r="AB37" s="2136"/>
      <c r="AC37" s="2196">
        <f t="shared" si="2"/>
        <v>0</v>
      </c>
      <c r="AD37" s="1548">
        <f t="shared" si="5"/>
        <v>0</v>
      </c>
      <c r="AE37" s="1569"/>
      <c r="AF37" s="2409">
        <v>28</v>
      </c>
      <c r="AG37" s="2406">
        <v>2820</v>
      </c>
      <c r="AH37" s="2403">
        <v>5076</v>
      </c>
      <c r="AI37" s="1572"/>
      <c r="AJ37" s="1995">
        <f t="shared" si="3"/>
        <v>493.5</v>
      </c>
      <c r="AK37" s="2008">
        <v>16900</v>
      </c>
      <c r="AL37" s="1572"/>
      <c r="AM37" s="1572"/>
      <c r="AN37" s="2501">
        <f t="shared" si="6"/>
        <v>0</v>
      </c>
    </row>
    <row r="38" spans="2:40" ht="17.100000000000001" customHeight="1">
      <c r="B38" s="1570">
        <v>29</v>
      </c>
      <c r="C38" s="1571">
        <v>12380</v>
      </c>
      <c r="D38" s="1572">
        <v>0</v>
      </c>
      <c r="E38" s="1572">
        <v>0</v>
      </c>
      <c r="F38" s="1581">
        <v>0</v>
      </c>
      <c r="G38" s="1573">
        <f t="shared" si="0"/>
        <v>1420</v>
      </c>
      <c r="H38" s="1562"/>
      <c r="I38" s="1574">
        <v>29</v>
      </c>
      <c r="J38" s="2517">
        <v>2406.9</v>
      </c>
      <c r="K38" s="1576">
        <v>2442.4</v>
      </c>
      <c r="L38" s="1576"/>
      <c r="M38" s="2197"/>
      <c r="N38" s="2411"/>
      <c r="O38" s="1579"/>
      <c r="P38" s="1577"/>
      <c r="Q38" s="2424"/>
      <c r="R38" s="1609">
        <f t="shared" si="1"/>
        <v>0</v>
      </c>
      <c r="S38" s="2519">
        <f t="shared" si="4"/>
        <v>0</v>
      </c>
      <c r="T38" s="2396"/>
      <c r="U38" s="1570">
        <v>29</v>
      </c>
      <c r="V38" s="1575">
        <v>5374</v>
      </c>
      <c r="W38" s="1576"/>
      <c r="X38" s="1577"/>
      <c r="Y38" s="1577"/>
      <c r="Z38" s="1582"/>
      <c r="AA38" s="1580"/>
      <c r="AB38" s="2136"/>
      <c r="AC38" s="1567">
        <f t="shared" si="2"/>
        <v>0</v>
      </c>
      <c r="AD38" s="1548">
        <f t="shared" si="5"/>
        <v>0</v>
      </c>
      <c r="AE38" s="1569"/>
      <c r="AF38" s="2409">
        <v>29</v>
      </c>
      <c r="AG38" s="2406">
        <f>2044.5+5358</f>
        <v>7402.5</v>
      </c>
      <c r="AH38" s="2403"/>
      <c r="AI38" s="1572"/>
      <c r="AJ38" s="1995">
        <f t="shared" si="3"/>
        <v>634.5</v>
      </c>
      <c r="AK38" s="2008">
        <v>16900</v>
      </c>
      <c r="AL38" s="1572"/>
      <c r="AM38" s="1572"/>
      <c r="AN38" s="2501">
        <f t="shared" si="6"/>
        <v>0</v>
      </c>
    </row>
    <row r="39" spans="2:40" ht="17.100000000000001" customHeight="1">
      <c r="B39" s="1570">
        <v>30</v>
      </c>
      <c r="C39" s="1571">
        <v>10960</v>
      </c>
      <c r="D39" s="1572">
        <v>0</v>
      </c>
      <c r="E39" s="1572">
        <v>0</v>
      </c>
      <c r="F39" s="1581">
        <v>0</v>
      </c>
      <c r="G39" s="1573">
        <f t="shared" si="0"/>
        <v>970</v>
      </c>
      <c r="H39" s="1562"/>
      <c r="I39" s="1574">
        <v>30</v>
      </c>
      <c r="J39" s="2517">
        <v>2406.9</v>
      </c>
      <c r="K39" s="1576">
        <v>2442.4</v>
      </c>
      <c r="L39" s="1576"/>
      <c r="M39" s="2197"/>
      <c r="N39" s="2411"/>
      <c r="O39" s="1579"/>
      <c r="P39" s="1577"/>
      <c r="Q39" s="2424"/>
      <c r="R39" s="1609">
        <f t="shared" si="1"/>
        <v>0</v>
      </c>
      <c r="S39" s="2519">
        <f t="shared" si="4"/>
        <v>0</v>
      </c>
      <c r="T39" s="2396"/>
      <c r="U39" s="1570">
        <v>30</v>
      </c>
      <c r="V39" s="1575">
        <v>5374</v>
      </c>
      <c r="W39" s="1576"/>
      <c r="X39" s="1577"/>
      <c r="Y39" s="1577"/>
      <c r="Z39" s="1576"/>
      <c r="AA39" s="1580" t="s">
        <v>972</v>
      </c>
      <c r="AB39" s="2136" t="s">
        <v>972</v>
      </c>
      <c r="AC39" s="1576">
        <f t="shared" si="2"/>
        <v>0</v>
      </c>
      <c r="AD39" s="1548">
        <f t="shared" si="5"/>
        <v>0</v>
      </c>
      <c r="AE39" s="1569"/>
      <c r="AF39" s="2409">
        <v>30</v>
      </c>
      <c r="AG39" s="2406">
        <f>1410+5358</f>
        <v>6768</v>
      </c>
      <c r="AH39" s="2403"/>
      <c r="AI39" s="1572"/>
      <c r="AJ39" s="1995">
        <f t="shared" si="3"/>
        <v>634.5</v>
      </c>
      <c r="AK39" s="2008">
        <v>16900</v>
      </c>
      <c r="AL39" s="1572"/>
      <c r="AM39" s="1572"/>
      <c r="AN39" s="2501">
        <f t="shared" si="6"/>
        <v>0</v>
      </c>
    </row>
    <row r="40" spans="2:40" ht="17.100000000000001" customHeight="1" thickBot="1">
      <c r="B40" s="1570">
        <v>31</v>
      </c>
      <c r="C40" s="1571">
        <v>9990</v>
      </c>
      <c r="D40" s="1572">
        <v>0</v>
      </c>
      <c r="E40" s="1572">
        <v>0</v>
      </c>
      <c r="F40" s="1572">
        <v>0</v>
      </c>
      <c r="G40" s="1583">
        <f t="shared" si="0"/>
        <v>1030</v>
      </c>
      <c r="H40" s="1562"/>
      <c r="I40" s="1574">
        <v>31</v>
      </c>
      <c r="J40" s="2521">
        <v>2406.9</v>
      </c>
      <c r="K40" s="1757">
        <v>2442.4</v>
      </c>
      <c r="L40" s="1576"/>
      <c r="M40" s="2197"/>
      <c r="N40" s="2411"/>
      <c r="O40" s="1579"/>
      <c r="P40" s="1577"/>
      <c r="Q40" s="2415"/>
      <c r="R40" s="1576">
        <f>IF(L40="",0,ROUND(+L40/N40,0))</f>
        <v>0</v>
      </c>
      <c r="S40" s="2519">
        <f t="shared" si="4"/>
        <v>0</v>
      </c>
      <c r="T40" s="2396"/>
      <c r="U40" s="1570">
        <v>31</v>
      </c>
      <c r="V40" s="1761">
        <v>5374</v>
      </c>
      <c r="W40" s="1576"/>
      <c r="X40" s="1577"/>
      <c r="Y40" s="1577"/>
      <c r="Z40" s="1576"/>
      <c r="AA40" s="1580"/>
      <c r="AB40" s="2137"/>
      <c r="AC40" s="1576">
        <f t="shared" si="2"/>
        <v>0</v>
      </c>
      <c r="AD40" s="1548">
        <f t="shared" si="5"/>
        <v>0</v>
      </c>
      <c r="AE40" s="1569"/>
      <c r="AF40" s="2409">
        <v>31</v>
      </c>
      <c r="AG40" s="2406">
        <f>987+5146.5</f>
        <v>6133.5</v>
      </c>
      <c r="AH40" s="2403"/>
      <c r="AI40" s="1572"/>
      <c r="AJ40" s="1995">
        <f t="shared" si="3"/>
        <v>493.5</v>
      </c>
      <c r="AK40" s="2008">
        <v>16900</v>
      </c>
      <c r="AL40" s="1572"/>
      <c r="AM40" s="1572"/>
      <c r="AN40" s="2501">
        <f t="shared" si="6"/>
        <v>0</v>
      </c>
    </row>
    <row r="41" spans="2:40" ht="17.100000000000001" customHeight="1" thickTop="1" thickBot="1">
      <c r="B41" s="1584">
        <v>1</v>
      </c>
      <c r="C41" s="1585">
        <v>8960</v>
      </c>
      <c r="D41" s="1586" t="s">
        <v>972</v>
      </c>
      <c r="E41" s="1586" t="s">
        <v>972</v>
      </c>
      <c r="F41" s="1586"/>
      <c r="G41" s="1587"/>
      <c r="H41" s="1562"/>
      <c r="I41" s="1825">
        <v>1</v>
      </c>
      <c r="J41" s="2522">
        <v>2406.9</v>
      </c>
      <c r="K41" s="1826">
        <v>2442.4</v>
      </c>
      <c r="L41" s="1827">
        <f>SUM(L10:L40)+SUM(O10:O40)</f>
        <v>0</v>
      </c>
      <c r="M41" s="2413">
        <f>AVERAGE(M10:M40)</f>
        <v>41</v>
      </c>
      <c r="N41" s="1973">
        <f>AVERAGE(N10:N40)</f>
        <v>8.67</v>
      </c>
      <c r="O41" s="2523"/>
      <c r="P41" s="2524"/>
      <c r="Q41" s="2525"/>
      <c r="R41" s="2526"/>
      <c r="S41" s="2527"/>
      <c r="T41" s="2396"/>
      <c r="U41" s="1584">
        <v>1</v>
      </c>
      <c r="V41" s="1756">
        <v>5374</v>
      </c>
      <c r="W41" s="1588"/>
      <c r="X41" s="1589"/>
      <c r="Y41" s="1589"/>
      <c r="Z41" s="1588"/>
      <c r="AA41" s="1590"/>
      <c r="AB41" s="2138"/>
      <c r="AC41" s="1588"/>
      <c r="AD41" s="1588"/>
      <c r="AE41" s="1569"/>
      <c r="AF41" s="2410">
        <v>1</v>
      </c>
      <c r="AG41" s="2404">
        <f>916.5+4723.5</f>
        <v>5640</v>
      </c>
      <c r="AH41" s="1586"/>
      <c r="AI41" s="1586"/>
      <c r="AJ41" s="1587"/>
      <c r="AK41" s="2009">
        <v>16900</v>
      </c>
      <c r="AL41" s="2010"/>
      <c r="AM41" s="2010"/>
      <c r="AN41" s="2011"/>
    </row>
    <row r="42" spans="2:40" ht="17.100000000000001" customHeight="1" thickBot="1">
      <c r="B42" s="1591"/>
      <c r="C42" s="1592"/>
      <c r="D42" s="1593"/>
      <c r="E42" s="1592"/>
      <c r="F42" s="1594" t="s">
        <v>899</v>
      </c>
      <c r="G42" s="1595">
        <f>ROUND(SUM(G10:G40),0)</f>
        <v>33580</v>
      </c>
      <c r="H42" s="1562"/>
      <c r="I42" s="1823" t="s">
        <v>568</v>
      </c>
      <c r="J42" s="1824">
        <f>IF(J41="",J41,J40)</f>
        <v>2406.9</v>
      </c>
      <c r="K42" s="1824">
        <f>IF(K41="",K41,K40)</f>
        <v>2442.4</v>
      </c>
      <c r="L42" s="1974" t="s">
        <v>1051</v>
      </c>
      <c r="M42" s="1974" t="s">
        <v>942</v>
      </c>
      <c r="N42" s="1974" t="s">
        <v>942</v>
      </c>
      <c r="O42" s="1830"/>
      <c r="P42" s="2506"/>
      <c r="Q42" s="2507" t="s">
        <v>899</v>
      </c>
      <c r="R42" s="1824"/>
      <c r="S42" s="2508">
        <f>ROUND(SUM(S10:S40),0)</f>
        <v>909</v>
      </c>
      <c r="T42" s="2396"/>
      <c r="U42" s="1591"/>
      <c r="V42" s="1596"/>
      <c r="W42" s="1600"/>
      <c r="X42" s="1597"/>
      <c r="Y42" s="1598"/>
      <c r="Z42" s="1599"/>
      <c r="AA42" s="1597"/>
      <c r="AB42" s="1829"/>
      <c r="AC42" s="1832" t="s">
        <v>919</v>
      </c>
      <c r="AD42" s="1831">
        <f>SUM(AD10:AD40)</f>
        <v>236</v>
      </c>
      <c r="AE42" s="1828"/>
      <c r="AF42" s="1591"/>
      <c r="AG42" s="1592"/>
      <c r="AH42" s="1593"/>
      <c r="AI42" s="1592" t="s">
        <v>1271</v>
      </c>
      <c r="AJ42" s="2013">
        <f>ROUND(SUM(AJ10:AJ40),0)</f>
        <v>25295</v>
      </c>
      <c r="AK42" s="2012"/>
      <c r="AN42" s="2013">
        <f>ROUND(SUM(AN10:AN40),0)</f>
        <v>1790</v>
      </c>
    </row>
    <row r="43" spans="2:40" ht="17.100000000000001" customHeight="1" thickBot="1">
      <c r="B43" s="995"/>
      <c r="C43" s="1601"/>
      <c r="D43" s="1601"/>
      <c r="E43" s="1601"/>
      <c r="F43" s="1542" t="s">
        <v>900</v>
      </c>
      <c r="G43" s="1602">
        <f>ROUND(AVERAGE(G10:G40),0)</f>
        <v>1083</v>
      </c>
      <c r="H43" s="1603"/>
      <c r="I43" s="1601"/>
      <c r="J43" s="1604"/>
      <c r="K43" s="1604"/>
      <c r="L43" s="1605"/>
      <c r="M43" s="1606"/>
      <c r="N43" s="1607"/>
      <c r="O43" s="1608"/>
      <c r="P43" s="1606"/>
      <c r="Q43" s="2397" t="s">
        <v>900</v>
      </c>
      <c r="R43" s="2398"/>
      <c r="S43" s="2399">
        <f>ROUND(AVERAGE(S10:S40),0)</f>
        <v>29</v>
      </c>
      <c r="T43" s="1215"/>
      <c r="U43" s="995"/>
      <c r="V43" s="1610"/>
      <c r="W43" s="1604"/>
      <c r="X43" s="1606"/>
      <c r="Y43" s="1607"/>
      <c r="Z43" s="1608"/>
      <c r="AA43" s="1606"/>
      <c r="AB43" s="1830"/>
      <c r="AC43" s="1824"/>
      <c r="AD43" s="1824"/>
      <c r="AE43" s="1828"/>
      <c r="AF43" s="995"/>
      <c r="AG43" s="1601"/>
      <c r="AH43" s="1601"/>
      <c r="AI43" s="1601" t="s">
        <v>1272</v>
      </c>
      <c r="AJ43" s="2014">
        <f>ROUND(AVERAGE(AJ10:AJ40),0)</f>
        <v>816</v>
      </c>
      <c r="AN43" s="2014">
        <f>ROUND(AVERAGE(AN10:AN40),0)</f>
        <v>58</v>
      </c>
    </row>
    <row r="44" spans="2:40" ht="17.100000000000001" customHeight="1">
      <c r="C44" s="1611"/>
      <c r="D44" s="1611"/>
      <c r="E44" s="1611"/>
      <c r="F44" s="1612"/>
      <c r="G44" s="1611"/>
      <c r="H44" s="1611"/>
      <c r="I44" s="1611"/>
      <c r="J44" s="2926"/>
      <c r="K44" s="2926"/>
      <c r="L44" s="2926"/>
      <c r="M44" s="2926"/>
      <c r="N44" s="2926"/>
      <c r="O44" s="2926"/>
      <c r="P44" s="2926"/>
      <c r="Q44" s="2926"/>
      <c r="R44" s="2926"/>
      <c r="S44" s="2926"/>
      <c r="T44" s="2926"/>
      <c r="V44" s="2925"/>
      <c r="W44" s="2925"/>
      <c r="X44" s="2925"/>
      <c r="Y44" s="2925"/>
      <c r="Z44" s="2925"/>
      <c r="AA44" s="2925"/>
      <c r="AB44" s="2925"/>
      <c r="AC44" s="2925"/>
      <c r="AD44" s="2925"/>
      <c r="AE44" s="1614"/>
    </row>
    <row r="45" spans="2:40" ht="17.100000000000001" customHeight="1">
      <c r="C45" s="1611"/>
      <c r="D45" s="1611"/>
      <c r="E45" s="1611"/>
      <c r="F45" s="1611"/>
      <c r="G45" s="1611"/>
      <c r="H45" s="1611"/>
      <c r="I45" s="1748"/>
      <c r="J45" s="2926"/>
      <c r="K45" s="2926"/>
      <c r="L45" s="2926"/>
      <c r="M45" s="2926"/>
      <c r="N45" s="2926"/>
      <c r="O45" s="2926"/>
      <c r="P45" s="2926"/>
      <c r="Q45" s="2926"/>
      <c r="R45" s="2926"/>
      <c r="S45" s="2926"/>
      <c r="T45" s="2926"/>
      <c r="U45" s="2"/>
      <c r="V45" s="2925"/>
      <c r="W45" s="2925"/>
      <c r="X45" s="2925"/>
      <c r="Y45" s="2925"/>
      <c r="Z45" s="2925"/>
      <c r="AA45" s="2925"/>
      <c r="AB45" s="2925"/>
      <c r="AC45" s="2925"/>
      <c r="AD45" s="2925"/>
      <c r="AE45" s="1614"/>
    </row>
    <row r="46" spans="2:40" ht="17.100000000000001" customHeight="1">
      <c r="J46" s="2461"/>
      <c r="K46" s="1780"/>
      <c r="L46" s="1614"/>
      <c r="M46" s="1614"/>
      <c r="N46" s="1614"/>
      <c r="O46" s="1614"/>
      <c r="P46" s="1614"/>
      <c r="Q46" s="1614"/>
      <c r="R46" s="1613"/>
      <c r="S46" s="1613"/>
      <c r="V46" s="1613"/>
      <c r="W46" s="1613"/>
      <c r="X46" s="1614"/>
      <c r="Y46" s="1614"/>
      <c r="Z46" s="1614"/>
      <c r="AA46" s="1614"/>
      <c r="AB46" s="1614"/>
      <c r="AC46" s="1613"/>
      <c r="AD46" s="1613"/>
      <c r="AE46" s="1614"/>
      <c r="AF46" s="21" t="s">
        <v>1356</v>
      </c>
    </row>
    <row r="47" spans="2:40" ht="17.100000000000001" customHeight="1" thickBot="1">
      <c r="D47" s="21" t="s">
        <v>897</v>
      </c>
      <c r="K47" s="1780"/>
      <c r="L47" s="1614"/>
      <c r="M47" s="1614"/>
      <c r="N47" s="1614"/>
      <c r="O47" s="1828"/>
      <c r="P47" s="1828"/>
      <c r="Q47" s="1614"/>
      <c r="R47" s="1613"/>
      <c r="S47" s="1613"/>
      <c r="V47" s="1613"/>
      <c r="W47" s="1613"/>
      <c r="X47" s="1614"/>
      <c r="Y47" s="1614"/>
      <c r="Z47" s="1614"/>
      <c r="AA47" s="1614"/>
      <c r="AB47" s="1614"/>
      <c r="AC47" s="1613"/>
      <c r="AD47" s="1613"/>
      <c r="AE47" s="1614"/>
      <c r="AF47" s="21" t="s">
        <v>1369</v>
      </c>
    </row>
    <row r="48" spans="2:40" ht="17.100000000000001" customHeight="1">
      <c r="D48" s="1977" t="s">
        <v>714</v>
      </c>
      <c r="E48" s="1981"/>
      <c r="F48" s="1981"/>
      <c r="G48" s="1982" t="s">
        <v>656</v>
      </c>
      <c r="H48" s="1982"/>
      <c r="I48" s="1981"/>
      <c r="J48" s="1981"/>
      <c r="K48" s="1982" t="s">
        <v>1081</v>
      </c>
      <c r="L48" s="1981"/>
      <c r="M48" s="2019" t="s">
        <v>1273</v>
      </c>
      <c r="N48" s="1978"/>
      <c r="O48" s="1993"/>
      <c r="P48" s="1215"/>
      <c r="S48" s="1613"/>
      <c r="V48" s="1613"/>
      <c r="W48" s="1613"/>
      <c r="X48" s="1614"/>
      <c r="Y48" s="1614"/>
      <c r="Z48" s="1614"/>
      <c r="AA48" s="1614"/>
      <c r="AB48" s="1614"/>
      <c r="AC48" s="1613"/>
      <c r="AD48" s="1613"/>
      <c r="AE48" s="1614"/>
    </row>
    <row r="49" spans="4:31" ht="30.6" thickBot="1">
      <c r="D49" s="1980" t="s">
        <v>898</v>
      </c>
      <c r="E49" s="1983" t="s">
        <v>527</v>
      </c>
      <c r="F49" s="1983" t="s">
        <v>1268</v>
      </c>
      <c r="G49" s="1984" t="s">
        <v>527</v>
      </c>
      <c r="H49" s="1983" t="s">
        <v>904</v>
      </c>
      <c r="I49" s="1983" t="s">
        <v>905</v>
      </c>
      <c r="J49" s="1979" t="s">
        <v>901</v>
      </c>
      <c r="K49" s="1984" t="s">
        <v>527</v>
      </c>
      <c r="L49" s="1983" t="s">
        <v>901</v>
      </c>
      <c r="M49" s="2017" t="s">
        <v>1267</v>
      </c>
      <c r="N49" s="2015"/>
      <c r="O49" s="1994"/>
      <c r="P49" s="1215"/>
      <c r="S49" s="2362"/>
      <c r="V49" s="1613"/>
      <c r="W49" s="1613"/>
      <c r="X49" s="1614"/>
      <c r="Y49" s="1614"/>
      <c r="Z49" s="1614"/>
      <c r="AA49" s="1614"/>
      <c r="AB49" s="1614"/>
      <c r="AC49" s="1613"/>
      <c r="AD49" s="1613"/>
      <c r="AE49" s="1614"/>
    </row>
    <row r="50" spans="4:31" ht="17.100000000000001" customHeight="1" thickBot="1">
      <c r="D50" s="1985">
        <f>G42</f>
        <v>33580</v>
      </c>
      <c r="E50" s="1986">
        <v>0</v>
      </c>
      <c r="F50" s="1987">
        <f>AJ42</f>
        <v>25295</v>
      </c>
      <c r="G50" s="1988">
        <f>$S$42</f>
        <v>909</v>
      </c>
      <c r="H50" s="1986">
        <v>0</v>
      </c>
      <c r="I50" s="1989">
        <v>0</v>
      </c>
      <c r="J50" s="1990">
        <v>0</v>
      </c>
      <c r="K50" s="1991">
        <f>$AD$42</f>
        <v>236</v>
      </c>
      <c r="L50" s="1992">
        <v>0</v>
      </c>
      <c r="M50" s="2018">
        <f>AN42</f>
        <v>1790</v>
      </c>
      <c r="N50" s="2016"/>
      <c r="O50" s="1828"/>
      <c r="P50" s="1215"/>
      <c r="S50" s="1613"/>
      <c r="V50" s="1613"/>
      <c r="W50" s="1613"/>
      <c r="X50" s="1614"/>
      <c r="Y50" s="1614"/>
      <c r="Z50" s="1614"/>
      <c r="AA50" s="1614"/>
      <c r="AB50" s="1614"/>
      <c r="AC50" s="1613"/>
      <c r="AD50" s="1613"/>
      <c r="AE50" s="1614"/>
    </row>
    <row r="51" spans="4:31">
      <c r="D51" s="1215"/>
      <c r="E51" s="1215"/>
      <c r="F51" s="1215"/>
      <c r="G51" s="1215"/>
      <c r="H51" s="1215"/>
      <c r="I51" s="1215"/>
      <c r="J51" s="1828"/>
      <c r="K51" s="1828"/>
      <c r="L51" s="1614"/>
      <c r="M51" s="1614"/>
      <c r="N51" s="1614"/>
      <c r="O51" s="1828"/>
      <c r="P51" s="1828"/>
      <c r="Q51" s="1614"/>
      <c r="R51" s="1613"/>
      <c r="S51" s="1613"/>
      <c r="V51" s="1613"/>
      <c r="W51" s="1613"/>
      <c r="X51" s="1614"/>
      <c r="Y51" s="1614"/>
      <c r="Z51" s="1614"/>
      <c r="AA51" s="1614"/>
      <c r="AB51" s="1614"/>
      <c r="AC51" s="1613"/>
      <c r="AD51" s="1613"/>
      <c r="AE51" s="1614"/>
    </row>
    <row r="52" spans="4:31">
      <c r="J52" s="1614"/>
      <c r="K52" s="1614"/>
      <c r="L52" s="1614"/>
      <c r="M52" s="1614"/>
      <c r="N52" s="1614"/>
      <c r="O52" s="1614"/>
      <c r="P52" s="1614"/>
      <c r="Q52" s="1614"/>
      <c r="R52" s="1613"/>
      <c r="S52" s="1613"/>
      <c r="V52" s="1613"/>
      <c r="W52" s="1613"/>
      <c r="X52" s="1614"/>
      <c r="Y52" s="1614"/>
      <c r="Z52" s="1614"/>
      <c r="AA52" s="1614"/>
      <c r="AB52" s="1614"/>
      <c r="AC52" s="1613"/>
      <c r="AD52" s="1613"/>
      <c r="AE52" s="1614"/>
    </row>
    <row r="53" spans="4:31">
      <c r="J53" s="1614"/>
      <c r="K53" s="1614"/>
      <c r="L53" s="1614"/>
      <c r="M53" s="1614"/>
      <c r="N53" s="1614"/>
      <c r="O53" s="1614"/>
      <c r="P53" s="1614"/>
      <c r="Q53" s="1614"/>
      <c r="R53" s="1613"/>
      <c r="S53" s="1613"/>
      <c r="V53" s="1613"/>
      <c r="W53" s="1613"/>
      <c r="X53" s="1614"/>
      <c r="Y53" s="1614"/>
      <c r="Z53" s="1614"/>
      <c r="AA53" s="1614"/>
      <c r="AB53" s="1614"/>
      <c r="AC53" s="1613"/>
      <c r="AD53" s="1613"/>
      <c r="AE53" s="1614"/>
    </row>
    <row r="54" spans="4:31">
      <c r="J54" s="1614"/>
      <c r="K54" s="1614"/>
      <c r="L54" s="1614"/>
      <c r="M54" s="1614"/>
      <c r="N54" s="1614"/>
      <c r="O54" s="1614"/>
      <c r="P54" s="1614"/>
      <c r="Q54" s="1614"/>
      <c r="R54" s="1613"/>
      <c r="S54" s="1613"/>
      <c r="V54" s="1613"/>
      <c r="W54" s="1613"/>
      <c r="X54" s="1614"/>
      <c r="Y54" s="1614"/>
      <c r="Z54" s="1614"/>
      <c r="AA54" s="1614"/>
      <c r="AB54" s="1614"/>
      <c r="AC54" s="1613"/>
      <c r="AD54" s="1613"/>
      <c r="AE54" s="1614"/>
    </row>
    <row r="55" spans="4:31">
      <c r="J55" s="1614"/>
      <c r="K55" s="1614"/>
      <c r="L55" s="1614"/>
      <c r="M55" s="1614"/>
      <c r="N55" s="1614"/>
      <c r="O55" s="1614"/>
      <c r="P55" s="1614"/>
      <c r="Q55" s="1614"/>
      <c r="R55" s="1613"/>
      <c r="S55" s="1613"/>
      <c r="V55" s="1613"/>
      <c r="W55" s="1613"/>
      <c r="X55" s="1614"/>
      <c r="Y55" s="1614"/>
      <c r="Z55" s="1614"/>
      <c r="AA55" s="1614"/>
      <c r="AB55" s="1614"/>
      <c r="AC55" s="1613"/>
      <c r="AD55" s="1613"/>
      <c r="AE55" s="1614"/>
    </row>
    <row r="56" spans="4:31">
      <c r="J56" s="1614"/>
      <c r="K56" s="1614"/>
      <c r="L56" s="1614"/>
      <c r="M56" s="1614"/>
      <c r="N56" s="1614"/>
      <c r="O56" s="1614"/>
      <c r="P56" s="1614"/>
      <c r="Q56" s="1614"/>
      <c r="R56" s="1613"/>
      <c r="S56" s="1613"/>
      <c r="V56" s="1613"/>
      <c r="W56" s="1613"/>
      <c r="X56" s="1614"/>
      <c r="Y56" s="1614"/>
      <c r="Z56" s="1614"/>
      <c r="AA56" s="1614"/>
      <c r="AB56" s="1614"/>
      <c r="AC56" s="1613"/>
      <c r="AD56" s="1613"/>
      <c r="AE56" s="1614"/>
    </row>
    <row r="57" spans="4:31">
      <c r="J57" s="1614"/>
      <c r="K57" s="1614"/>
      <c r="L57" s="1614"/>
      <c r="M57" s="1614"/>
      <c r="N57" s="1614"/>
      <c r="O57" s="1614"/>
      <c r="P57" s="1614"/>
      <c r="Q57" s="1614"/>
      <c r="R57" s="1613"/>
      <c r="S57" s="1613"/>
      <c r="V57" s="1613"/>
      <c r="W57" s="1613"/>
      <c r="X57" s="1614"/>
      <c r="Y57" s="1614"/>
      <c r="Z57" s="1614"/>
      <c r="AA57" s="1614"/>
      <c r="AB57" s="1614"/>
      <c r="AC57" s="1613"/>
      <c r="AD57" s="1613"/>
      <c r="AE57" s="1614"/>
    </row>
    <row r="58" spans="4:31">
      <c r="J58" s="1614"/>
      <c r="K58" s="1614"/>
      <c r="L58" s="1614"/>
      <c r="M58" s="1614"/>
      <c r="N58" s="1614"/>
      <c r="O58" s="1614"/>
      <c r="P58" s="1614"/>
      <c r="Q58" s="1614"/>
      <c r="R58" s="1613"/>
      <c r="S58" s="1613"/>
      <c r="V58" s="1613"/>
      <c r="W58" s="1613"/>
      <c r="X58" s="1614"/>
      <c r="Y58" s="1614"/>
      <c r="Z58" s="1614"/>
      <c r="AA58" s="1614"/>
      <c r="AB58" s="1614"/>
      <c r="AC58" s="1613"/>
      <c r="AD58" s="1613"/>
      <c r="AE58" s="1614"/>
    </row>
    <row r="59" spans="4:31">
      <c r="J59" s="1614"/>
      <c r="K59" s="1614"/>
      <c r="L59" s="1614"/>
      <c r="M59" s="1614"/>
      <c r="N59" s="1614"/>
      <c r="O59" s="1614"/>
      <c r="P59" s="1614"/>
      <c r="Q59" s="1614"/>
      <c r="R59" s="1613"/>
      <c r="S59" s="1613"/>
      <c r="V59" s="1613"/>
      <c r="W59" s="1613"/>
      <c r="X59" s="1614"/>
      <c r="Y59" s="1614"/>
      <c r="Z59" s="1614"/>
      <c r="AA59" s="1614"/>
      <c r="AB59" s="1614"/>
      <c r="AC59" s="1613"/>
      <c r="AD59" s="1613"/>
      <c r="AE59" s="1614"/>
    </row>
    <row r="60" spans="4:31">
      <c r="V60" s="1613"/>
      <c r="W60" s="1613"/>
      <c r="X60" s="1614"/>
      <c r="Y60" s="1614"/>
      <c r="Z60" s="1614"/>
      <c r="AA60" s="1614"/>
      <c r="AB60" s="1614"/>
      <c r="AC60" s="1613"/>
      <c r="AD60" s="1613"/>
      <c r="AE60" s="1614"/>
    </row>
  </sheetData>
  <mergeCells count="2">
    <mergeCell ref="V44:AD45"/>
    <mergeCell ref="J44:T45"/>
  </mergeCells>
  <phoneticPr fontId="41" type="noConversion"/>
  <printOptions horizontalCentered="1" verticalCentered="1"/>
  <pageMargins left="0.5" right="0.33333333333333331" top="0.5" bottom="0.45" header="0" footer="0"/>
  <pageSetup scale="52"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Y48"/>
  <sheetViews>
    <sheetView zoomScale="85" zoomScaleNormal="85" workbookViewId="0">
      <selection activeCell="AP35" sqref="AP35"/>
    </sheetView>
  </sheetViews>
  <sheetFormatPr defaultRowHeight="15"/>
  <cols>
    <col min="1" max="1" width="4.90625" customWidth="1"/>
    <col min="2" max="3" width="9.36328125" bestFit="1" customWidth="1"/>
    <col min="4" max="7" width="9" bestFit="1" customWidth="1"/>
    <col min="8" max="8" width="9" customWidth="1"/>
    <col min="9" max="14" width="9" bestFit="1" customWidth="1"/>
    <col min="15" max="15" width="9.90625" customWidth="1"/>
    <col min="16" max="18" width="9" bestFit="1" customWidth="1"/>
    <col min="19" max="19" width="9.90625" customWidth="1"/>
    <col min="20" max="20" width="9" customWidth="1"/>
    <col min="21" max="21" width="10.36328125" customWidth="1"/>
    <col min="22" max="22" width="10.6328125" customWidth="1"/>
    <col min="24" max="24" width="9.453125" customWidth="1"/>
  </cols>
  <sheetData>
    <row r="2" spans="1:25" ht="17.399999999999999">
      <c r="B2" s="2936" t="s">
        <v>1148</v>
      </c>
      <c r="C2" s="2936"/>
      <c r="D2" s="2936"/>
      <c r="E2" s="2936"/>
      <c r="F2" s="2936"/>
      <c r="G2" s="2936"/>
      <c r="H2" s="2936"/>
      <c r="I2" s="2936"/>
      <c r="J2" s="2936"/>
      <c r="K2" s="2936"/>
      <c r="L2" s="2936"/>
      <c r="M2" s="2936"/>
      <c r="N2" s="2936"/>
      <c r="O2" s="2936"/>
      <c r="P2" s="2936"/>
      <c r="Q2" s="2936"/>
      <c r="R2" s="1123"/>
    </row>
    <row r="3" spans="1:25">
      <c r="B3" s="2937">
        <f>+B8</f>
        <v>42372</v>
      </c>
      <c r="C3" s="2937"/>
      <c r="D3" s="2937"/>
      <c r="E3" s="2937"/>
      <c r="F3" s="2937"/>
      <c r="G3" s="2937"/>
      <c r="H3" s="2937"/>
      <c r="I3" s="2937"/>
      <c r="J3" s="2937"/>
      <c r="K3" s="2937"/>
      <c r="L3" s="2937"/>
      <c r="M3" s="2937"/>
      <c r="N3" s="2937"/>
      <c r="O3" s="2937"/>
      <c r="P3" s="2937"/>
      <c r="Q3" s="2937"/>
      <c r="R3" s="1115"/>
    </row>
    <row r="5" spans="1:25" ht="25.5" customHeight="1">
      <c r="B5" s="2938" t="s">
        <v>1130</v>
      </c>
      <c r="C5" s="2939"/>
      <c r="D5" s="1116" t="s">
        <v>939</v>
      </c>
      <c r="E5" s="1116" t="s">
        <v>170</v>
      </c>
      <c r="F5" s="1116" t="s">
        <v>456</v>
      </c>
      <c r="G5" s="2143" t="s">
        <v>1317</v>
      </c>
      <c r="H5" s="2940" t="s">
        <v>1131</v>
      </c>
      <c r="I5" s="2941"/>
      <c r="J5" s="1116" t="s">
        <v>1132</v>
      </c>
      <c r="K5" s="2938" t="s">
        <v>227</v>
      </c>
      <c r="L5" s="2939"/>
      <c r="M5" s="2938" t="s">
        <v>1133</v>
      </c>
      <c r="N5" s="2939"/>
      <c r="O5" s="2938" t="s">
        <v>506</v>
      </c>
      <c r="P5" s="2939"/>
      <c r="Q5" s="2152" t="s">
        <v>1321</v>
      </c>
      <c r="R5" s="2141" t="s">
        <v>1164</v>
      </c>
      <c r="S5" s="2142"/>
      <c r="T5" s="2938" t="s">
        <v>1165</v>
      </c>
      <c r="U5" s="2939"/>
      <c r="V5" s="2944" t="s">
        <v>1274</v>
      </c>
      <c r="W5" s="2942" t="s">
        <v>1275</v>
      </c>
      <c r="X5" s="2143" t="s">
        <v>1322</v>
      </c>
      <c r="Y5" s="2364" t="s">
        <v>1323</v>
      </c>
    </row>
    <row r="6" spans="1:25">
      <c r="B6" s="2930" t="s">
        <v>1134</v>
      </c>
      <c r="C6" s="2931"/>
      <c r="D6" s="1117" t="s">
        <v>1135</v>
      </c>
      <c r="E6" s="1117" t="s">
        <v>1135</v>
      </c>
      <c r="F6" s="1117" t="s">
        <v>1136</v>
      </c>
      <c r="G6" s="2145" t="s">
        <v>1318</v>
      </c>
      <c r="H6" s="1118" t="s">
        <v>361</v>
      </c>
      <c r="I6" s="1118" t="s">
        <v>363</v>
      </c>
      <c r="J6" s="1117" t="s">
        <v>1137</v>
      </c>
      <c r="K6" s="1118" t="s">
        <v>346</v>
      </c>
      <c r="L6" s="1118" t="s">
        <v>618</v>
      </c>
      <c r="M6" s="1118" t="s">
        <v>1138</v>
      </c>
      <c r="N6" s="1118" t="s">
        <v>1139</v>
      </c>
      <c r="O6" s="1118" t="s">
        <v>1138</v>
      </c>
      <c r="P6" s="1118" t="s">
        <v>1139</v>
      </c>
      <c r="Q6" s="2145" t="s">
        <v>453</v>
      </c>
      <c r="R6" s="1118" t="s">
        <v>361</v>
      </c>
      <c r="S6" s="1118" t="s">
        <v>363</v>
      </c>
      <c r="T6" s="1118" t="s">
        <v>361</v>
      </c>
      <c r="U6" s="1118" t="s">
        <v>363</v>
      </c>
      <c r="V6" s="2945"/>
      <c r="W6" s="2943"/>
      <c r="X6" s="2162" t="s">
        <v>453</v>
      </c>
      <c r="Y6" s="2145" t="s">
        <v>1324</v>
      </c>
    </row>
    <row r="7" spans="1:25">
      <c r="A7" s="1122">
        <f>+B7</f>
        <v>42365</v>
      </c>
      <c r="B7" s="2395">
        <v>42365</v>
      </c>
      <c r="C7" s="1119">
        <f>+B7+6</f>
        <v>42371</v>
      </c>
      <c r="D7" s="1120">
        <f ca="1">IF($C7&gt;TODAY(),"",+DMREZ!DH12)</f>
        <v>94</v>
      </c>
      <c r="E7" s="1120">
        <f ca="1">IF(C7&gt;TODAY(),"",+DMREZ!DI12)</f>
        <v>111</v>
      </c>
      <c r="F7" s="1125">
        <f ca="1">IF(C7&gt;TODAY(),"",+VLOOKUP($C7,AT_!$AQ$83:$CC$113,2))</f>
        <v>94</v>
      </c>
      <c r="G7" s="1125">
        <f ca="1">IF(D7&gt;TODAY(),"",+VLOOKUP($C7,AT_!$AQ$83:$CC$113,28))</f>
        <v>58.3</v>
      </c>
      <c r="H7" s="1125">
        <f ca="1">IF(C7&gt;TODAY(),"",+VLOOKUP($C7,AT_!$AQ$83:$CC$113,5))</f>
        <v>0.8</v>
      </c>
      <c r="I7" s="1125">
        <f ca="1">IF(C7&gt;TODAY(),"",+VLOOKUP($C7,AT_!$AQ$83:$CC$113,6))</f>
        <v>0.6</v>
      </c>
      <c r="J7" s="1125">
        <f ca="1">IF(C7&gt;TODAY(),"",+VLOOKUP($C7,AT_!$AQ$83:$CC$113,7))</f>
        <v>64.900000000000006</v>
      </c>
      <c r="K7" s="1126">
        <f ca="1">IF(C7&gt;TODAY(),"",+VLOOKUP($C7,AT_!$AQ$83:$CC$113,24))</f>
        <v>726</v>
      </c>
      <c r="L7" s="1126">
        <f ca="1">IF(C7&gt;TODAY(),"",+VLOOKUP($C7,AT_!$AQ$83:$CC$113,8))</f>
        <v>660</v>
      </c>
      <c r="M7" s="1125">
        <f ca="1">IF(C7&gt;TODAY(),"",+VLOOKUP($C7,AT_!$AQ$83:$CC$113,9))</f>
        <v>2.9</v>
      </c>
      <c r="N7" s="1125">
        <f ca="1">IF(C7&gt;TODAY(),"",+VLOOKUP($C7,AT_!$AQ$83:$CC$113,10))</f>
        <v>83.5</v>
      </c>
      <c r="O7" s="1125">
        <f ca="1">IF(C7&gt;TODAY(),"",+VLOOKUP($C7,AT_!$AQ$83:$CC$113,11))</f>
        <v>1.7</v>
      </c>
      <c r="P7" s="1125">
        <f ca="1">IF(C7&gt;TODAY(),"",+VLOOKUP($C7,AT_!$AQ$83:$CC$113,12))</f>
        <v>71.7</v>
      </c>
      <c r="Q7" s="2153">
        <f t="shared" ref="Q7:Q12" ca="1" si="0">IF(C7&gt;TODAY(),"",ROUND(((M7*N7)-(O7*P7))/(M7*N7),2))</f>
        <v>0.5</v>
      </c>
      <c r="R7" s="1154">
        <f ca="1">IF(C7&gt;TODAY(),"",+VLOOKUP($C7,AT_!$AQ$83:$CC$113,13))</f>
        <v>2300</v>
      </c>
      <c r="S7" s="1154">
        <f ca="1">IF(C7&gt;TODAY(),"",+VLOOKUP($C7,AT_!$AQ$83:$CC$113,14))</f>
        <v>2530</v>
      </c>
      <c r="T7" s="1154">
        <f ca="1">IF(C7&gt;TODAY(),"",+VLOOKUP($C7,AT_!$AQ$83:$CC$113,15))</f>
        <v>3850</v>
      </c>
      <c r="U7" s="1154">
        <f ca="1">IF($C7&gt;TODAY(),"",+VLOOKUP($C7,AT_!$AQ$83:$CC$113,16))</f>
        <v>3630</v>
      </c>
      <c r="V7" s="1640" t="s">
        <v>1362</v>
      </c>
      <c r="W7" s="1155">
        <f ca="1">IF($C7&gt;TODAY(),"",+VLOOKUP($C7,AT_!$AQ$83:$CC$113,27))</f>
        <v>5.7</v>
      </c>
      <c r="X7" s="1155">
        <f ca="1">IF($C7&gt;TODAY(),"",+VLOOKUP($C7,AT_!$AQ$83:$CC$113,33))</f>
        <v>23.2</v>
      </c>
      <c r="Y7" s="1155">
        <f ca="1">IF($C7&gt;TODAY(),"",+VLOOKUP($C7,AT_!$AQ$83:$CC$113,34))</f>
        <v>77.599999999999994</v>
      </c>
    </row>
    <row r="8" spans="1:25">
      <c r="B8" s="1119">
        <f t="shared" ref="B8:C9" si="1">+B7+7</f>
        <v>42372</v>
      </c>
      <c r="C8" s="1119">
        <f t="shared" si="1"/>
        <v>42378</v>
      </c>
      <c r="D8" s="1120">
        <f ca="1">IF($C8&gt;TODAY(),"",+DMREZ!DH13)</f>
        <v>91</v>
      </c>
      <c r="E8" s="1120">
        <f ca="1">IF(C8&gt;TODAY(),"",+DMREZ!DI13)</f>
        <v>92</v>
      </c>
      <c r="F8" s="1125">
        <f ca="1">IF(C8&gt;TODAY(),"",+VLOOKUP($C8,AT_!$AQ$83:$CC$113,2))</f>
        <v>93.7</v>
      </c>
      <c r="G8" s="1125">
        <f ca="1">IF(D8&gt;TODAY(),"",+VLOOKUP($C8,AT_!$AQ$83:$CC$113,28))</f>
        <v>58</v>
      </c>
      <c r="H8" s="1125">
        <f ca="1">IF(C8&gt;TODAY(),"",+VLOOKUP($C8,AT_!$AQ$83:$CC$113,5))</f>
        <v>0.8</v>
      </c>
      <c r="I8" s="1125">
        <f ca="1">IF(C8&gt;TODAY(),"",+VLOOKUP($C8,AT_!$AQ$83:$CC$113,6))</f>
        <v>0.8</v>
      </c>
      <c r="J8" s="1125">
        <f ca="1">IF(C8&gt;TODAY(),"",+VLOOKUP($C8,AT_!$AQ$83:$CC$113,7))</f>
        <v>63.5</v>
      </c>
      <c r="K8" s="1126">
        <f ca="1">IF(C8&gt;TODAY(),"",+VLOOKUP($C8,AT_!$AQ$83:$CC$113,24))</f>
        <v>92</v>
      </c>
      <c r="L8" s="1126">
        <f ca="1">IF(C8&gt;TODAY(),"",+VLOOKUP($C8,AT_!$AQ$83:$CC$113,8))</f>
        <v>190</v>
      </c>
      <c r="M8" s="1125">
        <f ca="1">IF(C8&gt;TODAY(),"",+VLOOKUP($C8,AT_!$AQ$83:$CC$113,9))</f>
        <v>2.9</v>
      </c>
      <c r="N8" s="1125">
        <f ca="1">IF(C8&gt;TODAY(),"",+VLOOKUP($C8,AT_!$AQ$83:$CC$113,10))</f>
        <v>84.8</v>
      </c>
      <c r="O8" s="1125">
        <f ca="1">IF(C8&gt;TODAY(),"",+VLOOKUP($C8,AT_!$AQ$83:$CC$113,11))</f>
        <v>1.8</v>
      </c>
      <c r="P8" s="1125">
        <f ca="1">IF(C8&gt;TODAY(),"",+VLOOKUP($C8,AT_!$AQ$83:$CC$113,12))</f>
        <v>73.2</v>
      </c>
      <c r="Q8" s="2153">
        <f t="shared" ca="1" si="0"/>
        <v>0.46</v>
      </c>
      <c r="R8" s="1154">
        <f ca="1">IF(C8&gt;TODAY(),"",+VLOOKUP($C8,AT_!$AQ$83:$CC$113,13))</f>
        <v>3100</v>
      </c>
      <c r="S8" s="1154">
        <f ca="1">IF(C8&gt;TODAY(),"",+VLOOKUP($C8,AT_!$AQ$83:$CC$113,14))</f>
        <v>2460</v>
      </c>
      <c r="T8" s="1154">
        <f ca="1">IF(C8&gt;TODAY(),"",+VLOOKUP($C8,AT_!$AQ$83:$CC$113,15))</f>
        <v>3380</v>
      </c>
      <c r="U8" s="1154">
        <f ca="1">IF($C8&gt;TODAY(),"",+VLOOKUP($C8,AT_!$AQ$83:$CC$113,16))</f>
        <v>3220</v>
      </c>
      <c r="V8" s="1640" t="s">
        <v>1362</v>
      </c>
      <c r="W8" s="1155">
        <f ca="1">IF($C8&gt;TODAY(),"",+VLOOKUP($C8,AT_!$AQ$83:$CC$113,27))</f>
        <v>4.5</v>
      </c>
      <c r="X8" s="1155">
        <f ca="1">IF($C8&gt;TODAY(),"",+VLOOKUP($C8,AT_!$AQ$83:$CC$113,33))</f>
        <v>23.9</v>
      </c>
      <c r="Y8" s="1155">
        <f ca="1">IF($C8&gt;TODAY(),"",+VLOOKUP($C8,AT_!$AQ$83:$CC$113,34))</f>
        <v>69.099999999999994</v>
      </c>
    </row>
    <row r="9" spans="1:25">
      <c r="B9" s="1119">
        <f t="shared" si="1"/>
        <v>42379</v>
      </c>
      <c r="C9" s="1119">
        <f t="shared" si="1"/>
        <v>42385</v>
      </c>
      <c r="D9" s="1120">
        <f ca="1">IF($C9&gt;TODAY(),"",+DMREZ!DH14)</f>
        <v>93</v>
      </c>
      <c r="E9" s="1120">
        <f ca="1">IF(C9&gt;TODAY(),"",+DMREZ!DI14)</f>
        <v>109</v>
      </c>
      <c r="F9" s="1125">
        <f ca="1">IF(C9&gt;TODAY(),"",+VLOOKUP($C9,AT_!$AQ$83:$CC$113,2))</f>
        <v>91.9</v>
      </c>
      <c r="G9" s="1125">
        <f ca="1">IF(D9&gt;TODAY(),"",+VLOOKUP($C9,AT_!$AQ$83:$CC$113,28))</f>
        <v>56.4</v>
      </c>
      <c r="H9" s="1125">
        <f ca="1">IF(C9&gt;TODAY(),"",+VLOOKUP($C9,AT_!$AQ$83:$CC$113,5))</f>
        <v>0.9</v>
      </c>
      <c r="I9" s="1125">
        <f ca="1">IF(C9&gt;TODAY(),"",+VLOOKUP($C9,AT_!$AQ$83:$CC$113,6))</f>
        <v>0.6</v>
      </c>
      <c r="J9" s="1125">
        <f ca="1">IF(C9&gt;TODAY(),"",+VLOOKUP($C9,AT_!$AQ$83:$CC$113,7))</f>
        <v>59.6</v>
      </c>
      <c r="K9" s="1126">
        <f ca="1">IF(C9&gt;TODAY(),"",+VLOOKUP($C9,AT_!$AQ$83:$CC$113,24))</f>
        <v>312</v>
      </c>
      <c r="L9" s="1126">
        <f ca="1">IF(C9&gt;TODAY(),"",+VLOOKUP($C9,AT_!$AQ$83:$CC$113,8))</f>
        <v>390</v>
      </c>
      <c r="M9" s="1125">
        <f ca="1">IF(C9&gt;TODAY(),"",+VLOOKUP($C9,AT_!$AQ$83:$CC$113,9))</f>
        <v>3.3</v>
      </c>
      <c r="N9" s="1125">
        <f ca="1">IF(C9&gt;TODAY(),"",+VLOOKUP($C9,AT_!$AQ$83:$CC$113,10))</f>
        <v>81.8</v>
      </c>
      <c r="O9" s="1125">
        <f ca="1">IF(C9&gt;TODAY(),"",+VLOOKUP($C9,AT_!$AQ$83:$CC$113,11))</f>
        <v>1.7</v>
      </c>
      <c r="P9" s="1125">
        <f ca="1">IF(C9&gt;TODAY(),"",+VLOOKUP($C9,AT_!$AQ$83:$CC$113,12))</f>
        <v>71.5</v>
      </c>
      <c r="Q9" s="2153">
        <f t="shared" ca="1" si="0"/>
        <v>0.55000000000000004</v>
      </c>
      <c r="R9" s="1154">
        <f ca="1">IF(C9&gt;TODAY(),"",+VLOOKUP($C9,AT_!$AQ$83:$CC$113,13))</f>
        <v>1940</v>
      </c>
      <c r="S9" s="1154">
        <f ca="1">IF(C9&gt;TODAY(),"",+VLOOKUP($C9,AT_!$AQ$83:$CC$113,14))</f>
        <v>3120</v>
      </c>
      <c r="T9" s="1154">
        <f ca="1">IF(C9&gt;TODAY(),"",+VLOOKUP($C9,AT_!$AQ$83:$CC$113,15))</f>
        <v>2920</v>
      </c>
      <c r="U9" s="1154">
        <f ca="1">IF($C9&gt;TODAY(),"",+VLOOKUP($C9,AT_!$AQ$83:$CC$113,16))</f>
        <v>3860</v>
      </c>
      <c r="V9" s="1640" t="s">
        <v>1362</v>
      </c>
      <c r="W9" s="1155">
        <f ca="1">IF($C9&gt;TODAY(),"",+VLOOKUP($C9,AT_!$AQ$83:$CC$113,27))</f>
        <v>5.2</v>
      </c>
      <c r="X9" s="2575"/>
      <c r="Y9" s="2576">
        <v>0</v>
      </c>
    </row>
    <row r="10" spans="1:25">
      <c r="B10" s="1119">
        <f>+B9+7</f>
        <v>42386</v>
      </c>
      <c r="C10" s="1119">
        <f>+C9+7</f>
        <v>42392</v>
      </c>
      <c r="D10" s="1120">
        <f ca="1">IF($C10&gt;TODAY(),"",+DMREZ!DH15)</f>
        <v>91</v>
      </c>
      <c r="E10" s="1120">
        <f ca="1">IF(C10&gt;TODAY(),"",+DMREZ!DI15)</f>
        <v>95</v>
      </c>
      <c r="F10" s="1125">
        <f ca="1">IF(C10&gt;TODAY(),"",+VLOOKUP($C10,AT_!$AQ$83:$CC$113,2))</f>
        <v>94.9</v>
      </c>
      <c r="G10" s="1125">
        <f ca="1">IF(D10&gt;TODAY(),"",+VLOOKUP($C10,AT_!$AQ$83:$CC$113,28))</f>
        <v>57.8</v>
      </c>
      <c r="H10" s="1125">
        <f ca="1">IF(C10&gt;TODAY(),"",+VLOOKUP($C10,AT_!$AQ$83:$CC$113,5))</f>
        <v>1.9</v>
      </c>
      <c r="I10" s="1125">
        <f ca="1">IF(C10&gt;TODAY(),"",+VLOOKUP($C10,AT_!$AQ$83:$CC$113,6))</f>
        <v>0.7</v>
      </c>
      <c r="J10" s="1125">
        <f ca="1">IF(C10&gt;TODAY(),"",+VLOOKUP($C10,AT_!$AQ$83:$CC$113,7))</f>
        <v>57.4</v>
      </c>
      <c r="K10" s="1126">
        <f ca="1">IF(C10&gt;TODAY(),"",+VLOOKUP($C10,AT_!$AQ$83:$CC$113,24))</f>
        <v>94</v>
      </c>
      <c r="L10" s="1126">
        <f ca="1">IF(C10&gt;TODAY(),"",+VLOOKUP($C10,AT_!$AQ$83:$CC$113,8))</f>
        <v>120</v>
      </c>
      <c r="M10" s="1125">
        <f ca="1">IF(C10&gt;TODAY(),"",+VLOOKUP($C10,AT_!$AQ$83:$CC$113,9))</f>
        <v>3.1</v>
      </c>
      <c r="N10" s="1125">
        <f ca="1">IF(C10&gt;TODAY(),"",+VLOOKUP($C10,AT_!$AQ$83:$CC$113,10))</f>
        <v>85.3</v>
      </c>
      <c r="O10" s="1125">
        <f ca="1">IF(C10&gt;TODAY(),"",+VLOOKUP($C10,AT_!$AQ$83:$CC$113,11))</f>
        <v>1.7</v>
      </c>
      <c r="P10" s="1125">
        <f ca="1">IF(C10&gt;TODAY(),"",+VLOOKUP($C10,AT_!$AQ$83:$CC$113,12))</f>
        <v>71.900000000000006</v>
      </c>
      <c r="Q10" s="2153">
        <f ca="1">IF(C10&gt;TODAY(),"",ROUND(((M10*N10)-(O10*P10))/(M10*N10),2))</f>
        <v>0.54</v>
      </c>
      <c r="R10" s="1154">
        <f ca="1">IF(C10&gt;TODAY(),"",+VLOOKUP($C10,AT_!$AQ$83:$CC$113,13))</f>
        <v>2400</v>
      </c>
      <c r="S10" s="1154">
        <f ca="1">IF(C10&gt;TODAY(),"",+VLOOKUP($C10,AT_!$AQ$83:$CC$113,14))</f>
        <v>3950</v>
      </c>
      <c r="T10" s="1154">
        <f ca="1">IF(C10&gt;TODAY(),"",+VLOOKUP($C10,AT_!$AQ$83:$CC$113,15))</f>
        <v>2950</v>
      </c>
      <c r="U10" s="1154">
        <f ca="1">IF($C10&gt;TODAY(),"",+VLOOKUP($C10,AT_!$AQ$83:$CC$113,16))</f>
        <v>5500</v>
      </c>
      <c r="V10" s="1640" t="s">
        <v>1362</v>
      </c>
      <c r="W10" s="1155">
        <f ca="1">IF($C10&gt;TODAY(),"",+VLOOKUP($C10,AT_!$AQ$83:$CC$113,27))</f>
        <v>4.8</v>
      </c>
      <c r="X10" s="2575"/>
      <c r="Y10" s="2576">
        <v>0</v>
      </c>
    </row>
    <row r="11" spans="1:25">
      <c r="B11" s="1119">
        <f>+B10+7</f>
        <v>42393</v>
      </c>
      <c r="C11" s="1119">
        <f>+C10+7</f>
        <v>42399</v>
      </c>
      <c r="D11" s="1120">
        <f ca="1">IF($C11&gt;TODAY(),"",+DMREZ!DH16)</f>
        <v>99</v>
      </c>
      <c r="E11" s="1120">
        <f ca="1">IF(C11&gt;TODAY(),"",+DMREZ!DI16)</f>
        <v>119</v>
      </c>
      <c r="F11" s="1125">
        <f ca="1">IF(C11&gt;TODAY(),"",+VLOOKUP($C11,AT_!$AQ$83:$CC$113,2))</f>
        <v>90</v>
      </c>
      <c r="G11" s="1125">
        <f ca="1">IF(D11&gt;TODAY(),"",+VLOOKUP($C11,AT_!$AQ$83:$CC$113,28))</f>
        <v>56.8</v>
      </c>
      <c r="H11" s="1125">
        <f ca="1">IF(C11&gt;TODAY(),"",+VLOOKUP($C11,AT_!$AQ$83:$CC$113,5))</f>
        <v>1.8</v>
      </c>
      <c r="I11" s="1125">
        <f ca="1">IF(C11&gt;TODAY(),"",+VLOOKUP($C11,AT_!$AQ$83:$CC$113,6))</f>
        <v>0.9</v>
      </c>
      <c r="J11" s="1125">
        <f ca="1">IF(C11&gt;TODAY(),"",+VLOOKUP($C11,AT_!$AQ$83:$CC$113,7))</f>
        <v>48.8</v>
      </c>
      <c r="K11" s="1126">
        <f ca="1">IF(C11&gt;TODAY(),"",+VLOOKUP($C11,AT_!$AQ$83:$CC$113,24))</f>
        <v>1550</v>
      </c>
      <c r="L11" s="1126">
        <f ca="1">IF(C11&gt;TODAY(),"",+VLOOKUP($C11,AT_!$AQ$83:$CC$113,8))</f>
        <v>1510</v>
      </c>
      <c r="M11" s="1125">
        <f ca="1">IF(C11&gt;TODAY(),"",+VLOOKUP($C11,AT_!$AQ$83:$CC$113,9))</f>
        <v>4</v>
      </c>
      <c r="N11" s="1125">
        <f ca="1">IF(C11&gt;TODAY(),"",+VLOOKUP($C11,AT_!$AQ$83:$CC$113,10))</f>
        <v>80.3</v>
      </c>
      <c r="O11" s="1125">
        <f ca="1">IF(C11&gt;TODAY(),"",+VLOOKUP($C11,AT_!$AQ$83:$CC$113,11))</f>
        <v>1.7</v>
      </c>
      <c r="P11" s="1125">
        <f ca="1">IF(C11&gt;TODAY(),"",+VLOOKUP($C11,AT_!$AQ$83:$CC$113,12))</f>
        <v>69</v>
      </c>
      <c r="Q11" s="2153">
        <f ca="1">IF(C11&gt;TODAY(),"",ROUND(((M11*N11)-(O11*P11))/(M11*N11),2))</f>
        <v>0.63</v>
      </c>
      <c r="R11" s="1154">
        <f ca="1">IF(C11&gt;TODAY(),"",+VLOOKUP($C11,AT_!$AQ$83:$CC$113,13))</f>
        <v>2400</v>
      </c>
      <c r="S11" s="1154">
        <f ca="1">IF(C11&gt;TODAY(),"",+VLOOKUP($C11,AT_!$AQ$83:$CC$113,14))</f>
        <v>2580</v>
      </c>
      <c r="T11" s="1154">
        <f ca="1">IF(C11&gt;TODAY(),"",+VLOOKUP($C11,AT_!$AQ$83:$CC$113,15))</f>
        <v>3200</v>
      </c>
      <c r="U11" s="1154">
        <f ca="1">IF($C11&gt;TODAY(),"",+VLOOKUP($C11,AT_!$AQ$83:$CC$113,16))</f>
        <v>4500</v>
      </c>
      <c r="V11" s="1640" t="s">
        <v>1362</v>
      </c>
      <c r="W11" s="1155">
        <f ca="1">IF($C11&gt;TODAY(),"",+VLOOKUP($C11,AT_!$AQ$83:$CC$113,27))</f>
        <v>5.9</v>
      </c>
      <c r="X11" s="2575"/>
      <c r="Y11" s="1155">
        <v>0</v>
      </c>
    </row>
    <row r="12" spans="1:25">
      <c r="B12" s="2932" t="s">
        <v>1140</v>
      </c>
      <c r="C12" s="2933"/>
      <c r="D12" s="1120">
        <f ca="1">+DMREZ!E44</f>
        <v>93</v>
      </c>
      <c r="E12" s="1120">
        <f>+DMREZ!G44</f>
        <v>103</v>
      </c>
      <c r="F12" s="1125">
        <f>+AT_!CM43</f>
        <v>92.4</v>
      </c>
      <c r="G12" s="1125">
        <f>+AT_!EC43</f>
        <v>57.1</v>
      </c>
      <c r="H12" s="1125">
        <f>+AT_!U42</f>
        <v>1.4</v>
      </c>
      <c r="I12" s="1125">
        <f>+AT_!V42</f>
        <v>0.7</v>
      </c>
      <c r="J12" s="1125">
        <f ca="1">+AT_!DJ43</f>
        <v>58.219354838709677</v>
      </c>
      <c r="K12" s="1126">
        <f>+AT_!I114</f>
        <v>510</v>
      </c>
      <c r="L12" s="1126">
        <f>+AT_!J114</f>
        <v>550</v>
      </c>
      <c r="M12" s="1125">
        <f>+AT_!AH42</f>
        <v>3.3</v>
      </c>
      <c r="N12" s="1125">
        <f>+AT_!AI42</f>
        <v>83.1</v>
      </c>
      <c r="O12" s="1125">
        <f>+AT_!AJ42</f>
        <v>1.7</v>
      </c>
      <c r="P12" s="1125">
        <f>+AT_!AK42</f>
        <v>71.400000000000006</v>
      </c>
      <c r="Q12" s="2153">
        <f t="shared" ca="1" si="0"/>
        <v>0.56000000000000005</v>
      </c>
      <c r="R12" s="1154">
        <f>+AT_!M42</f>
        <v>2500</v>
      </c>
      <c r="S12" s="1154">
        <f>+AT_!N42</f>
        <v>2900</v>
      </c>
      <c r="T12" s="1154">
        <f>+AT_!O42</f>
        <v>3100</v>
      </c>
      <c r="U12" s="1154">
        <f>+AT_!P42</f>
        <v>4100</v>
      </c>
      <c r="V12" s="1641"/>
      <c r="W12" s="2057">
        <f>+AT_!AB114</f>
        <v>5.0999999999999996</v>
      </c>
      <c r="X12" s="1155">
        <f>+DW_!E42</f>
        <v>23.2</v>
      </c>
      <c r="Y12" s="1155">
        <f>+DW_!AA43</f>
        <v>92.5</v>
      </c>
    </row>
    <row r="13" spans="1:25">
      <c r="B13" s="1121"/>
      <c r="C13" s="1121"/>
    </row>
    <row r="14" spans="1:25">
      <c r="B14" s="1121"/>
      <c r="C14" s="1121"/>
      <c r="Q14" s="1173"/>
      <c r="R14" s="1173"/>
      <c r="S14" s="1173"/>
    </row>
    <row r="15" spans="1:25" ht="51" customHeight="1">
      <c r="B15" s="2938" t="s">
        <v>1130</v>
      </c>
      <c r="C15" s="2939"/>
      <c r="D15" s="2948" t="s">
        <v>967</v>
      </c>
      <c r="E15" s="2948"/>
      <c r="F15" s="2948"/>
      <c r="G15" s="2949" t="s">
        <v>1141</v>
      </c>
      <c r="H15" s="2949"/>
      <c r="I15" s="2949"/>
      <c r="J15" s="2938" t="s">
        <v>1142</v>
      </c>
      <c r="K15" s="2947"/>
      <c r="L15" s="2939"/>
      <c r="M15" s="2938" t="s">
        <v>1149</v>
      </c>
      <c r="N15" s="2939"/>
      <c r="O15" s="1116" t="s">
        <v>1143</v>
      </c>
      <c r="P15" s="1116" t="s">
        <v>1144</v>
      </c>
      <c r="Q15" s="2946" t="s">
        <v>81</v>
      </c>
      <c r="R15" s="2946"/>
      <c r="S15" s="2946" t="s">
        <v>68</v>
      </c>
      <c r="T15" s="2946"/>
      <c r="U15" s="1116" t="s">
        <v>1209</v>
      </c>
      <c r="V15" s="2154" t="s">
        <v>1273</v>
      </c>
      <c r="W15" s="2154" t="s">
        <v>1325</v>
      </c>
      <c r="X15" s="2154" t="s">
        <v>1081</v>
      </c>
      <c r="Y15" s="2154" t="s">
        <v>1326</v>
      </c>
    </row>
    <row r="16" spans="1:25">
      <c r="B16" s="2930" t="s">
        <v>1134</v>
      </c>
      <c r="C16" s="2931"/>
      <c r="D16" s="1118" t="s">
        <v>956</v>
      </c>
      <c r="E16" s="1118" t="s">
        <v>1145</v>
      </c>
      <c r="F16" s="1118" t="s">
        <v>428</v>
      </c>
      <c r="G16" s="1118" t="s">
        <v>956</v>
      </c>
      <c r="H16" s="1118" t="s">
        <v>1145</v>
      </c>
      <c r="I16" s="1118" t="s">
        <v>428</v>
      </c>
      <c r="J16" s="1118" t="s">
        <v>956</v>
      </c>
      <c r="K16" s="1118" t="s">
        <v>952</v>
      </c>
      <c r="L16" s="1118" t="s">
        <v>428</v>
      </c>
      <c r="M16" s="1118" t="s">
        <v>956</v>
      </c>
      <c r="N16" s="1118" t="s">
        <v>952</v>
      </c>
      <c r="O16" s="1117" t="s">
        <v>1146</v>
      </c>
      <c r="P16" s="1117" t="s">
        <v>362</v>
      </c>
      <c r="Q16" s="1118" t="s">
        <v>361</v>
      </c>
      <c r="R16" s="1118" t="s">
        <v>363</v>
      </c>
      <c r="S16" s="1118" t="s">
        <v>361</v>
      </c>
      <c r="T16" s="1118" t="s">
        <v>363</v>
      </c>
      <c r="U16" s="1117" t="s">
        <v>1210</v>
      </c>
      <c r="V16" s="2144" t="s">
        <v>1327</v>
      </c>
      <c r="W16" s="2144" t="s">
        <v>1327</v>
      </c>
      <c r="X16" s="2144" t="s">
        <v>1327</v>
      </c>
      <c r="Y16" s="2144" t="s">
        <v>1327</v>
      </c>
    </row>
    <row r="17" spans="2:25">
      <c r="B17" s="1119">
        <f t="shared" ref="B17:C19" si="2">IF(B7="","",+B7)</f>
        <v>42365</v>
      </c>
      <c r="C17" s="1119">
        <f t="shared" si="2"/>
        <v>42371</v>
      </c>
      <c r="D17" s="1120">
        <f ca="1">IF(C7&gt;TODAY(),"",+DMREZ!DJ12)</f>
        <v>114</v>
      </c>
      <c r="E17" s="1120">
        <f ca="1">IF(C7&gt;TODAY(),"",+DMREZ!DK12)</f>
        <v>5</v>
      </c>
      <c r="F17" s="1124">
        <f ca="1">IF(C7&gt;TODAY(),"",IF(D17="","",ROUND(1-E17/D17,2)))</f>
        <v>0.96</v>
      </c>
      <c r="G17" s="1120">
        <f ca="1">IF(C7&gt;TODAY(),"",+DMREZ!DL12)</f>
        <v>132</v>
      </c>
      <c r="H17" s="1120">
        <f ca="1">IF(C7&gt;TODAY(),"",+DMREZ!DM12)</f>
        <v>4</v>
      </c>
      <c r="I17" s="1124">
        <f ca="1">IF(C7&gt;TODAY(),"",IF(G17="","",ROUND(1-H17/G17,2)))</f>
        <v>0.97</v>
      </c>
      <c r="J17" s="1155">
        <f ca="1">IF(C7&gt;TODAY(),"",+VLOOKUP($C17,AT_!$AQ$83:$CC$113,17))</f>
        <v>34.6</v>
      </c>
      <c r="K17" s="1155">
        <f ca="1">IF(C7&gt;TODAY(),"",+VLOOKUP($C17,AT_!$AQ$83:$CC$113,18))</f>
        <v>13.2</v>
      </c>
      <c r="L17" s="1124">
        <f ca="1">IF(C7&gt;TODAY(),"",IF(J17="","",ROUND(1-K17/J17,2)))</f>
        <v>0.62</v>
      </c>
      <c r="M17" s="1154">
        <f ca="1">IF(C7&gt;TODAY(),"",+VLOOKUP($C17,AT_!$AQ$83:$CC$113,19))</f>
        <v>30852.400000000001</v>
      </c>
      <c r="N17" s="1154">
        <f ca="1">IF(C7&gt;TODAY(),"",+VLOOKUP($C17,AT_!$AQ$83:$CC$113,20))</f>
        <v>12043.2</v>
      </c>
      <c r="O17" s="1154">
        <f ca="1">IF(C7&gt;TODAY(),"",+VLOOKUP($C17,AT_!$AQ$83:$CC$113,21))</f>
        <v>911</v>
      </c>
      <c r="P17" s="1299">
        <f ca="1">IF(D7&gt;TODAY(),"",+VLOOKUP($C17,AT_!$AQ$83:$CC$113,22))</f>
        <v>0.47</v>
      </c>
      <c r="Q17" s="1125">
        <f ca="1">IF(D7&gt;TODAY(),"",+VLOOKUP($C17,AT_!$AQ$83:$CC$113,25))</f>
        <v>11.8</v>
      </c>
      <c r="R17" s="1125">
        <f ca="1">IF(E7&gt;TODAY(),"",+VLOOKUP($C17,AT_!$AQ$83:$CC$113,26))</f>
        <v>9.6999999999999993</v>
      </c>
      <c r="S17" s="1125">
        <f ca="1">IF(C7&gt;TODAY(),"",+VLOOKUP($C7,AT_!$AQ$83:$CC$113,3))</f>
        <v>4.7</v>
      </c>
      <c r="T17" s="1125">
        <f ca="1">IF(D7&gt;TODAY(),"",+VLOOKUP($C7,AT_!$AQ$83:$CC$113,4))</f>
        <v>4.8</v>
      </c>
      <c r="U17" s="1154">
        <f ca="1">IF(C7&gt;TODAY(),"",+DMREZ!DN12)</f>
        <v>18</v>
      </c>
      <c r="V17" s="1126">
        <f ca="1">IF(F7&gt;TODAY(),"",+VLOOKUP($C7,AT_!$AQ$83:$CC$113,29))</f>
        <v>440</v>
      </c>
      <c r="W17" s="1126">
        <f ca="1">IF(G7&gt;TODAY(),"",+VLOOKUP($C7,AT_!$AQ$83:$CC$113,30))</f>
        <v>0</v>
      </c>
      <c r="X17" s="1126">
        <f ca="1">IF(H7&gt;TODAY(),"",+VLOOKUP($C7,AT_!$AQ$83:$CC$113,31))</f>
        <v>70.900000000000006</v>
      </c>
      <c r="Y17" s="1126">
        <f ca="1">IF(I7&gt;TODAY(),"",+VLOOKUP($C7,AT_!$AQ$83:$CC$113,32))</f>
        <v>600</v>
      </c>
    </row>
    <row r="18" spans="2:25">
      <c r="B18" s="1119">
        <f t="shared" si="2"/>
        <v>42372</v>
      </c>
      <c r="C18" s="1119">
        <f t="shared" si="2"/>
        <v>42378</v>
      </c>
      <c r="D18" s="1120">
        <f ca="1">IF(C8&gt;TODAY(),"",+DMREZ!DJ13)</f>
        <v>157</v>
      </c>
      <c r="E18" s="1120">
        <f ca="1">IF(C8&gt;TODAY(),"",+DMREZ!DK13)</f>
        <v>6</v>
      </c>
      <c r="F18" s="1124">
        <f ca="1">IF(C8&gt;TODAY(),"",IF(D18="","",ROUND(1-E18/D18,2)))</f>
        <v>0.96</v>
      </c>
      <c r="G18" s="1120">
        <f ca="1">IF(C8&gt;TODAY(),"",+DMREZ!DL13)</f>
        <v>171</v>
      </c>
      <c r="H18" s="1120">
        <f ca="1">IF(C8&gt;TODAY(),"",+DMREZ!DM13)</f>
        <v>3</v>
      </c>
      <c r="I18" s="1124">
        <f ca="1">IF(C8&gt;TODAY(),"",IF(G18="","",ROUND(1-H18/G18,2)))</f>
        <v>0.98</v>
      </c>
      <c r="J18" s="1155">
        <f ca="1">IF(C8&gt;TODAY(),"",+VLOOKUP($C18,AT_!$AQ$83:$CC$113,17))</f>
        <v>41</v>
      </c>
      <c r="K18" s="1155">
        <f ca="1">IF(C8&gt;TODAY(),"",+VLOOKUP($C18,AT_!$AQ$83:$CC$113,18))</f>
        <v>14.6</v>
      </c>
      <c r="L18" s="1124">
        <f ca="1">IF(C8&gt;TODAY(),"",IF(J18="","",ROUND(1-K18/J18,2)))</f>
        <v>0.64</v>
      </c>
      <c r="M18" s="1154">
        <f ca="1">IF(C8&gt;TODAY(),"",+VLOOKUP($C18,AT_!$AQ$83:$CC$113,19))</f>
        <v>31723.8</v>
      </c>
      <c r="N18" s="1154">
        <f ca="1">IF(C8&gt;TODAY(),"",+VLOOKUP($C18,AT_!$AQ$83:$CC$113,20))</f>
        <v>11294.9</v>
      </c>
      <c r="O18" s="1154">
        <f ca="1">IF(C8&gt;TODAY(),"",+VLOOKUP($C18,AT_!$AQ$83:$CC$113,21))</f>
        <v>854</v>
      </c>
      <c r="P18" s="1299">
        <f ca="1">IF(D8&gt;TODAY(),"",+VLOOKUP($C18,AT_!$AQ$83:$CC$113,22))</f>
        <v>0.47</v>
      </c>
      <c r="Q18" s="1125">
        <f ca="1">IF(D8&gt;TODAY(),"",+VLOOKUP($C18,AT_!$AQ$83:$CC$113,25))</f>
        <v>13.9</v>
      </c>
      <c r="R18" s="1125">
        <f ca="1">IF(E8&gt;TODAY(),"",+VLOOKUP($C18,AT_!$AQ$83:$CC$113,26))</f>
        <v>10.4</v>
      </c>
      <c r="S18" s="1125">
        <f ca="1">IF(C8&gt;TODAY(),"",+VLOOKUP($C8,AT_!$AQ$83:$CC$113,3))</f>
        <v>5.4</v>
      </c>
      <c r="T18" s="1125">
        <f ca="1">IF(C8&gt;TODAY(),"",+VLOOKUP($C8,AT_!$AQ$83:$CC$113,4))</f>
        <v>7.4</v>
      </c>
      <c r="U18" s="1154">
        <f ca="1">IF(C8&gt;TODAY(),"",+DMREZ!DN13)</f>
        <v>21</v>
      </c>
      <c r="V18" s="1126">
        <f ca="1">IF(F8&gt;TODAY(),"",+VLOOKUP($C8,AT_!$AQ$83:$CC$113,29))</f>
        <v>130</v>
      </c>
      <c r="W18" s="1126">
        <f ca="1">IF(G8&gt;TODAY(),"",+VLOOKUP($C8,AT_!$AQ$83:$CC$113,30))</f>
        <v>0</v>
      </c>
      <c r="X18" s="1126">
        <f ca="1">IF(H8&gt;TODAY(),"",+VLOOKUP($C8,AT_!$AQ$83:$CC$113,31))</f>
        <v>15.1</v>
      </c>
      <c r="Y18" s="1126">
        <f ca="1">IF(I8&gt;TODAY(),"",+VLOOKUP($C8,AT_!$AQ$83:$CC$113,32))</f>
        <v>320</v>
      </c>
    </row>
    <row r="19" spans="2:25">
      <c r="B19" s="1119">
        <f t="shared" si="2"/>
        <v>42379</v>
      </c>
      <c r="C19" s="1119">
        <f t="shared" si="2"/>
        <v>42385</v>
      </c>
      <c r="D19" s="1120">
        <f ca="1">IF(C9&gt;TODAY(),"",+DMREZ!DJ14)</f>
        <v>123</v>
      </c>
      <c r="E19" s="1120">
        <f ca="1">IF(C9&gt;TODAY(),"",+DMREZ!DK14)</f>
        <v>21</v>
      </c>
      <c r="F19" s="1124">
        <f ca="1">IF(C9&gt;TODAY(),"",IF(D19="","",ROUND(1-E19/D19,2)))</f>
        <v>0.83</v>
      </c>
      <c r="G19" s="1120">
        <f ca="1">IF(C9&gt;TODAY(),"",+DMREZ!DL14)</f>
        <v>118</v>
      </c>
      <c r="H19" s="1120">
        <f ca="1">IF(C9&gt;TODAY(),"",+DMREZ!DM14)</f>
        <v>7</v>
      </c>
      <c r="I19" s="1124">
        <f ca="1">IF(C9&gt;TODAY(),"",IF(G19="","",ROUND(1-H19/G19,2)))</f>
        <v>0.94</v>
      </c>
      <c r="J19" s="1155">
        <f ca="1">IF(C9&gt;TODAY(),"",+VLOOKUP($C19,AT_!$AQ$83:$CC$113,17))</f>
        <v>32.4</v>
      </c>
      <c r="K19" s="1155">
        <f ca="1">IF(C9&gt;TODAY(),"",+VLOOKUP($C19,AT_!$AQ$83:$CC$113,18))</f>
        <v>18.100000000000001</v>
      </c>
      <c r="L19" s="1124">
        <f ca="1">IF(C9&gt;TODAY(),"",IF(J19="","",ROUND(1-K19/J19,2)))</f>
        <v>0.44</v>
      </c>
      <c r="M19" s="1154">
        <f ca="1">IF(C9&gt;TODAY(),"",+VLOOKUP($C19,AT_!$AQ$83:$CC$113,19))</f>
        <v>28204.9</v>
      </c>
      <c r="N19" s="1154">
        <f ca="1">IF(C9&gt;TODAY(),"",+VLOOKUP($C19,AT_!$AQ$83:$CC$113,20))</f>
        <v>15926.5</v>
      </c>
      <c r="O19" s="1154">
        <f ca="1">IF(C9&gt;TODAY(),"",+VLOOKUP($C19,AT_!$AQ$83:$CC$113,21))</f>
        <v>1176</v>
      </c>
      <c r="P19" s="1299">
        <f ca="1">IF(D9&gt;TODAY(),"",+VLOOKUP($C19,AT_!$AQ$83:$CC$113,22))</f>
        <v>0.45</v>
      </c>
      <c r="Q19" s="1125">
        <f ca="1">IF(D9&gt;TODAY(),"",+VLOOKUP($C19,AT_!$AQ$83:$CC$113,25))</f>
        <v>8.9</v>
      </c>
      <c r="R19" s="1125">
        <f ca="1">IF(E9&gt;TODAY(),"",+VLOOKUP($C19,AT_!$AQ$83:$CC$113,26))</f>
        <v>10.199999999999999</v>
      </c>
      <c r="S19" s="1125">
        <f ca="1">IF(C9&gt;TODAY(),"",+VLOOKUP($C9,AT_!$AQ$83:$CC$113,3))</f>
        <v>5.2</v>
      </c>
      <c r="T19" s="1125">
        <f ca="1">IF(C9&gt;TODAY(),"",+VLOOKUP($C9,AT_!$AQ$83:$CC$113,4))</f>
        <v>9.3000000000000007</v>
      </c>
      <c r="U19" s="1154">
        <f ca="1">IF(C9&gt;TODAY(),"",+DMREZ!DN14)</f>
        <v>21</v>
      </c>
      <c r="V19" s="1126">
        <f ca="1">IF(F9&gt;TODAY(),"",+VLOOKUP($C9,AT_!$AQ$83:$CC$113,29))</f>
        <v>0</v>
      </c>
      <c r="W19" s="1126">
        <f ca="1">IF(G9&gt;TODAY(),"",+VLOOKUP($C9,AT_!$AQ$83:$CC$113,30))</f>
        <v>0</v>
      </c>
      <c r="X19" s="1126">
        <f ca="1">IF(H9&gt;TODAY(),"",+VLOOKUP($C9,AT_!$AQ$83:$CC$113,31))</f>
        <v>0</v>
      </c>
      <c r="Y19" s="1126">
        <f ca="1">IF(I9&gt;TODAY(),"",+VLOOKUP($C9,AT_!$AQ$83:$CC$113,32))</f>
        <v>960</v>
      </c>
    </row>
    <row r="20" spans="2:25">
      <c r="B20" s="1119">
        <f>IF(B10="","",+B10)</f>
        <v>42386</v>
      </c>
      <c r="C20" s="1119">
        <f>IF(C10="","",+C10)</f>
        <v>42392</v>
      </c>
      <c r="D20" s="1120">
        <f ca="1">IF(C10&gt;TODAY(),"",+DMREZ!DJ15)</f>
        <v>138</v>
      </c>
      <c r="E20" s="1120">
        <f ca="1">IF(C10&gt;TODAY(),"",+DMREZ!DK15)</f>
        <v>27</v>
      </c>
      <c r="F20" s="1124">
        <f ca="1">IF(C10&gt;TODAY(),"",IF(D20="","",ROUND(1-E20/D20,2)))</f>
        <v>0.8</v>
      </c>
      <c r="G20" s="1120">
        <f ca="1">IF(C10&gt;TODAY(),"",+DMREZ!DL15)</f>
        <v>142</v>
      </c>
      <c r="H20" s="1120">
        <f ca="1">IF(C10&gt;TODAY(),"",+DMREZ!DM15)</f>
        <v>11</v>
      </c>
      <c r="I20" s="1124">
        <f ca="1">IF(C10&gt;TODAY(),"",IF(G20="","",ROUND(1-H20/G20,2)))</f>
        <v>0.92</v>
      </c>
      <c r="J20" s="1155">
        <f ca="1">IF(C10&gt;TODAY(),"",+VLOOKUP($C20,AT_!$AQ$83:$CC$113,17))</f>
        <v>37.799999999999997</v>
      </c>
      <c r="K20" s="1155">
        <f ca="1">IF(C10&gt;TODAY(),"",+VLOOKUP($C20,AT_!$AQ$83:$CC$113,18))</f>
        <v>21.4</v>
      </c>
      <c r="L20" s="1124">
        <f ca="1">IF(C10&gt;TODAY(),"",IF(J20="","",ROUND(1-K20/J20,2)))</f>
        <v>0.43</v>
      </c>
      <c r="M20" s="1154">
        <f ca="1">IF(C10&gt;TODAY(),"",+VLOOKUP($C20,AT_!$AQ$83:$CC$113,19))</f>
        <v>29676.9</v>
      </c>
      <c r="N20" s="1154">
        <f ca="1">IF(C10&gt;TODAY(),"",+VLOOKUP($C20,AT_!$AQ$83:$CC$113,20))</f>
        <v>17090.099999999999</v>
      </c>
      <c r="O20" s="1154">
        <f ca="1">IF(C10&gt;TODAY(),"",+VLOOKUP($C20,AT_!$AQ$83:$CC$113,21))</f>
        <v>1180</v>
      </c>
      <c r="P20" s="1299">
        <f ca="1">IF(D10&gt;TODAY(),"",+VLOOKUP($C20,AT_!$AQ$83:$CC$113,22))</f>
        <v>0.45</v>
      </c>
      <c r="Q20" s="1125">
        <f ca="1">IF(D10&gt;TODAY(),"",+VLOOKUP($C20,AT_!$AQ$83:$CC$113,25))</f>
        <v>12.3</v>
      </c>
      <c r="R20" s="1125">
        <f ca="1">IF(E10&gt;TODAY(),"",+VLOOKUP($C20,AT_!$AQ$83:$CC$113,26))</f>
        <v>14.3</v>
      </c>
      <c r="S20" s="1125">
        <f ca="1">IF(C10&gt;TODAY(),"",+VLOOKUP($C10,AT_!$AQ$83:$CC$113,3))</f>
        <v>6</v>
      </c>
      <c r="T20" s="1125">
        <f ca="1">IF(C10&gt;TODAY(),"",+VLOOKUP($C10,AT_!$AQ$83:$CC$113,4))</f>
        <v>5.7</v>
      </c>
      <c r="U20" s="1154">
        <f ca="1">IF(C10&gt;TODAY(),"",+DMREZ!DN15)</f>
        <v>25</v>
      </c>
      <c r="V20" s="1126">
        <f ca="1">IF(F10&gt;TODAY(),"",+VLOOKUP($C10,AT_!$AQ$83:$CC$113,29))</f>
        <v>0</v>
      </c>
      <c r="W20" s="1126">
        <f ca="1">IF(G10&gt;TODAY(),"",+VLOOKUP($C10,AT_!$AQ$83:$CC$113,30))</f>
        <v>0</v>
      </c>
      <c r="X20" s="1126">
        <f ca="1">IF(H10&gt;TODAY(),"",+VLOOKUP($C10,AT_!$AQ$83:$CC$113,31))</f>
        <v>0</v>
      </c>
      <c r="Y20" s="1126">
        <f ca="1">IF(I10&gt;TODAY(),"",+VLOOKUP($C10,AT_!$AQ$83:$CC$113,32))</f>
        <v>1020</v>
      </c>
    </row>
    <row r="21" spans="2:25">
      <c r="B21" s="1119">
        <f>IF(B11="","",+B11)</f>
        <v>42393</v>
      </c>
      <c r="C21" s="1119">
        <f>IF(C11="","",+C11)</f>
        <v>42399</v>
      </c>
      <c r="D21" s="1120">
        <f ca="1">IF(C11&gt;TODAY(),"",+DMREZ!DJ16)</f>
        <v>146</v>
      </c>
      <c r="E21" s="1120">
        <f ca="1">IF(C11&gt;TODAY(),"",+DMREZ!DK16)</f>
        <v>12</v>
      </c>
      <c r="F21" s="1124">
        <f ca="1">IF(C11&gt;TODAY(),"",IF(D21="","",ROUND(1-E21/D21,2)))</f>
        <v>0.92</v>
      </c>
      <c r="G21" s="1120">
        <f ca="1">IF(C11&gt;TODAY(),"",+DMREZ!DL16)</f>
        <v>131</v>
      </c>
      <c r="H21" s="1120">
        <f ca="1">IF(C11&gt;TODAY(),"",+DMREZ!DM16)</f>
        <v>8</v>
      </c>
      <c r="I21" s="1124">
        <f ca="1">IF(C11&gt;TODAY(),"",IF(G21="","",ROUND(1-H21/G21,2)))</f>
        <v>0.94</v>
      </c>
      <c r="J21" s="1155">
        <f ca="1">IF(C11&gt;TODAY(),"",+VLOOKUP($C21,AT_!$AQ$83:$CC$113,17))</f>
        <v>32.9</v>
      </c>
      <c r="K21" s="1155">
        <f ca="1">IF(C11&gt;TODAY(),"",+VLOOKUP($C21,AT_!$AQ$83:$CC$113,18))</f>
        <v>16.8</v>
      </c>
      <c r="L21" s="1124">
        <f ca="1">IF(C11&gt;TODAY(),"",IF(J21="","",ROUND(1-K21/J21,2)))</f>
        <v>0.49</v>
      </c>
      <c r="M21" s="1154">
        <f ca="1">IF(C11&gt;TODAY(),"",+VLOOKUP($C21,AT_!$AQ$83:$CC$113,19))</f>
        <v>32486.7</v>
      </c>
      <c r="N21" s="1154">
        <f ca="1">IF(C11&gt;TODAY(),"",+VLOOKUP($C21,AT_!$AQ$83:$CC$113,20))</f>
        <v>16668.599999999999</v>
      </c>
      <c r="O21" s="1154">
        <f ca="1">IF(C11&gt;TODAY(),"",+VLOOKUP($C21,AT_!$AQ$83:$CC$113,21))</f>
        <v>1210</v>
      </c>
      <c r="P21" s="1299">
        <f ca="1">IF(D11&gt;TODAY(),"",+VLOOKUP($C21,AT_!$AQ$83:$CC$113,22))</f>
        <v>0.45</v>
      </c>
      <c r="Q21" s="1125">
        <f ca="1">IF(D11&gt;TODAY(),"",+VLOOKUP($C21,AT_!$AQ$83:$CC$113,25))</f>
        <v>8.4</v>
      </c>
      <c r="R21" s="1125">
        <f ca="1">IF(E11&gt;TODAY(),"",+VLOOKUP($C21,AT_!$AQ$83:$CC$113,26))</f>
        <v>9.1999999999999993</v>
      </c>
      <c r="S21" s="1125">
        <f ca="1">IF(C11&gt;TODAY(),"",+VLOOKUP($C11,AT_!$AQ$83:$CC$113,3))</f>
        <v>5.7</v>
      </c>
      <c r="T21" s="1125">
        <f ca="1">IF(C11&gt;TODAY(),"",+VLOOKUP($C11,AT_!$AQ$83:$CC$113,4))</f>
        <v>5.6</v>
      </c>
      <c r="U21" s="1154">
        <f ca="1">IF(C11&gt;TODAY(),"",+DMREZ!DN16)</f>
        <v>99</v>
      </c>
      <c r="V21" s="1126">
        <f ca="1">IF(F11&gt;TODAY(),"",+VLOOKUP($C11,AT_!$AQ$83:$CC$113,29))</f>
        <v>0</v>
      </c>
      <c r="W21" s="1126">
        <f ca="1">IF(G11&gt;TODAY(),"",+VLOOKUP($C11,AT_!$AQ$83:$CC$113,30))</f>
        <v>0</v>
      </c>
      <c r="X21" s="1126">
        <f ca="1">IF(H11&gt;TODAY(),"",+VLOOKUP($C11,AT_!$AQ$83:$CC$113,31))</f>
        <v>0</v>
      </c>
      <c r="Y21" s="1126">
        <f ca="1">IF(I11&gt;TODAY(),"",+VLOOKUP($C11,AT_!$AQ$83:$CC$113,32))</f>
        <v>950</v>
      </c>
    </row>
    <row r="22" spans="2:25">
      <c r="B22" s="2932" t="str">
        <f>IF(B12="","",+B12)</f>
        <v>Monthly Avg</v>
      </c>
      <c r="C22" s="2933"/>
      <c r="D22" s="1126">
        <f>+DMR!D12</f>
        <v>139</v>
      </c>
      <c r="E22" s="1126">
        <f>+DMR!D13</f>
        <v>16</v>
      </c>
      <c r="F22" s="1124">
        <f ca="1">+DMR!C23</f>
        <v>0.89</v>
      </c>
      <c r="G22" s="1126">
        <f>DMR!D9</f>
        <v>140</v>
      </c>
      <c r="H22" s="1126">
        <f>DMR!D10</f>
        <v>7</v>
      </c>
      <c r="I22" s="1124">
        <f ca="1">DMR!C22</f>
        <v>0.95</v>
      </c>
      <c r="J22" s="1125">
        <f ca="1">+DMR!D31</f>
        <v>36.200000000000003</v>
      </c>
      <c r="K22" s="1125">
        <f ca="1">+DMR!D32</f>
        <v>17.5</v>
      </c>
      <c r="L22" s="1124">
        <f ca="1">IF(J22="","",ROUND(1-K22/J22,2))</f>
        <v>0.52</v>
      </c>
      <c r="M22" s="1154">
        <f ca="1">+DMR!F31</f>
        <v>30500</v>
      </c>
      <c r="N22" s="1154">
        <f ca="1">+DMR!F32</f>
        <v>15000</v>
      </c>
      <c r="O22" s="1154">
        <f>+CHEM_!G43</f>
        <v>1083</v>
      </c>
      <c r="P22" s="1174">
        <f>+AT_!DW43</f>
        <v>0.45</v>
      </c>
      <c r="Q22" s="1125">
        <f>+AT_!CZ43</f>
        <v>10.8</v>
      </c>
      <c r="R22" s="1125">
        <f>+AT_!DA43</f>
        <v>10.9</v>
      </c>
      <c r="S22" s="1125">
        <f ca="1">+AT_!AR42</f>
        <v>5.6</v>
      </c>
      <c r="T22" s="1125">
        <f ca="1">+AT_!AS42</f>
        <v>6.6</v>
      </c>
      <c r="U22" s="1154">
        <f>+DMREZ!AE44</f>
        <v>28</v>
      </c>
      <c r="V22" s="1126">
        <f>IF(+CHEM_!AN42=0,0,+CHEM_!AN43)</f>
        <v>58</v>
      </c>
      <c r="W22" s="1126">
        <v>0</v>
      </c>
      <c r="X22" s="1126">
        <f>+DW_!AM43</f>
        <v>8</v>
      </c>
      <c r="Y22" s="1126">
        <f>IF(+CHEM_!AJ42=0,0,+CHEM_!AJ43)</f>
        <v>816</v>
      </c>
    </row>
    <row r="23" spans="2:25">
      <c r="B23" s="1177" t="s">
        <v>69</v>
      </c>
      <c r="Q23" s="1173"/>
      <c r="R23" s="1173"/>
      <c r="S23" s="1173"/>
    </row>
    <row r="24" spans="2:25">
      <c r="Q24" s="1173"/>
      <c r="R24" s="1173"/>
    </row>
    <row r="25" spans="2:25">
      <c r="B25" s="1121" t="s">
        <v>1147</v>
      </c>
    </row>
    <row r="26" spans="2:25" ht="21.75" customHeight="1">
      <c r="B26" s="2934" t="s">
        <v>1358</v>
      </c>
      <c r="C26" s="2934"/>
      <c r="D26" s="2934"/>
      <c r="E26" s="2934"/>
      <c r="F26" s="2934"/>
      <c r="G26" s="2934"/>
      <c r="H26" s="2934"/>
      <c r="I26" s="2934"/>
      <c r="J26" s="2934"/>
      <c r="K26" s="2934"/>
      <c r="L26" s="2934"/>
      <c r="M26" s="2934"/>
      <c r="N26" s="2934"/>
      <c r="O26" s="2934"/>
      <c r="P26" s="2934"/>
      <c r="Q26" s="2934"/>
      <c r="R26" s="2934"/>
      <c r="S26" s="2934"/>
      <c r="T26" s="2934"/>
      <c r="U26" s="2934"/>
      <c r="V26" s="2934"/>
      <c r="W26" s="2934"/>
      <c r="X26" s="2934"/>
      <c r="Y26" s="2934"/>
    </row>
    <row r="27" spans="2:25" ht="21.75" customHeight="1">
      <c r="B27" s="2935" t="s">
        <v>1346</v>
      </c>
      <c r="C27" s="2935"/>
      <c r="D27" s="2935"/>
      <c r="E27" s="2935"/>
      <c r="F27" s="2935"/>
      <c r="G27" s="2935"/>
      <c r="H27" s="2935"/>
      <c r="I27" s="2935"/>
      <c r="J27" s="2935"/>
      <c r="K27" s="2935"/>
      <c r="L27" s="2935"/>
      <c r="M27" s="2935"/>
      <c r="N27" s="2935"/>
      <c r="O27" s="2935"/>
      <c r="P27" s="2935"/>
      <c r="Q27" s="2935"/>
      <c r="R27" s="2935"/>
      <c r="S27" s="2935"/>
      <c r="T27" s="2935"/>
      <c r="U27" s="2935"/>
      <c r="V27" s="2935"/>
      <c r="W27" s="2935"/>
      <c r="X27" s="2935"/>
      <c r="Y27" s="2935"/>
    </row>
    <row r="28" spans="2:25" ht="21" customHeight="1">
      <c r="B28" s="2935" t="s">
        <v>1347</v>
      </c>
      <c r="C28" s="2935"/>
      <c r="D28" s="2935"/>
      <c r="E28" s="2935"/>
      <c r="F28" s="2935"/>
      <c r="G28" s="2935"/>
      <c r="H28" s="2935"/>
      <c r="I28" s="2935"/>
      <c r="J28" s="2935"/>
      <c r="K28" s="2935"/>
      <c r="L28" s="2935"/>
      <c r="M28" s="2935"/>
      <c r="N28" s="2935"/>
      <c r="O28" s="2935"/>
      <c r="P28" s="2935"/>
      <c r="Q28" s="2935"/>
      <c r="R28" s="2935"/>
      <c r="S28" s="2935"/>
      <c r="T28" s="2935"/>
      <c r="U28" s="2935"/>
      <c r="V28" s="2935"/>
      <c r="W28" s="2935"/>
      <c r="X28" s="2935"/>
      <c r="Y28" s="2935"/>
    </row>
    <row r="29" spans="2:25" ht="21" customHeight="1">
      <c r="B29" s="2929" t="s">
        <v>1361</v>
      </c>
      <c r="C29" s="2929"/>
      <c r="D29" s="2929"/>
      <c r="E29" s="2929"/>
      <c r="F29" s="2929"/>
      <c r="G29" s="2929"/>
      <c r="H29" s="2929"/>
      <c r="I29" s="2929"/>
      <c r="J29" s="2929"/>
      <c r="K29" s="2929"/>
      <c r="L29" s="2929"/>
      <c r="M29" s="2929"/>
      <c r="N29" s="2929"/>
      <c r="O29" s="2929"/>
      <c r="P29" s="2929"/>
      <c r="Q29" s="2929"/>
      <c r="R29" s="2929"/>
      <c r="S29" s="2929"/>
      <c r="T29" s="2929"/>
      <c r="U29" s="2929"/>
      <c r="V29" s="2929"/>
      <c r="W29" s="2929"/>
      <c r="X29" s="2929"/>
      <c r="Y29" s="2929"/>
    </row>
    <row r="30" spans="2:25" ht="21" customHeight="1">
      <c r="B30" s="2927" t="s">
        <v>1359</v>
      </c>
      <c r="C30" s="2927"/>
      <c r="D30" s="2927"/>
      <c r="E30" s="2927"/>
      <c r="F30" s="2927"/>
      <c r="G30" s="2927"/>
      <c r="H30" s="2927"/>
      <c r="I30" s="2927"/>
      <c r="J30" s="2927"/>
      <c r="K30" s="2927"/>
      <c r="L30" s="2927"/>
      <c r="M30" s="2927"/>
      <c r="N30" s="2927"/>
      <c r="O30" s="2927"/>
      <c r="P30" s="2927"/>
      <c r="Q30" s="2927"/>
      <c r="R30" s="2927"/>
      <c r="S30" s="2927"/>
      <c r="T30" s="2927"/>
      <c r="U30" s="2927"/>
      <c r="V30" s="2927"/>
      <c r="W30" s="2927"/>
      <c r="X30" s="2927"/>
      <c r="Y30" s="2927"/>
    </row>
    <row r="31" spans="2:25" ht="21" customHeight="1">
      <c r="B31" s="2929" t="s">
        <v>1363</v>
      </c>
      <c r="C31" s="2929"/>
      <c r="D31" s="2929"/>
      <c r="E31" s="2929"/>
      <c r="F31" s="2929"/>
      <c r="G31" s="2929"/>
      <c r="H31" s="2929"/>
      <c r="I31" s="2929"/>
      <c r="J31" s="2929"/>
      <c r="K31" s="2929"/>
      <c r="L31" s="2929"/>
      <c r="M31" s="2929"/>
      <c r="N31" s="2929"/>
      <c r="O31" s="2929"/>
      <c r="P31" s="2929"/>
      <c r="Q31" s="2929"/>
      <c r="R31" s="2929"/>
      <c r="S31" s="2929"/>
      <c r="T31" s="2929"/>
      <c r="U31" s="2929"/>
      <c r="V31" s="2929"/>
      <c r="W31" s="2929"/>
      <c r="X31" s="2929"/>
      <c r="Y31" s="2929"/>
    </row>
    <row r="32" spans="2:25" ht="21" customHeight="1">
      <c r="B32" s="2927" t="s">
        <v>1364</v>
      </c>
      <c r="C32" s="2927"/>
      <c r="D32" s="2927"/>
      <c r="E32" s="2927"/>
      <c r="F32" s="2927"/>
      <c r="G32" s="2927"/>
      <c r="H32" s="2927"/>
      <c r="I32" s="2927"/>
      <c r="J32" s="2927"/>
      <c r="K32" s="2927"/>
      <c r="L32" s="2927"/>
      <c r="M32" s="2927"/>
      <c r="N32" s="2927"/>
      <c r="O32" s="2927"/>
      <c r="P32" s="2927"/>
      <c r="Q32" s="2927"/>
      <c r="R32" s="2927"/>
      <c r="S32" s="2927"/>
      <c r="T32" s="2927"/>
      <c r="U32" s="2927"/>
      <c r="V32" s="2927"/>
      <c r="W32" s="2927"/>
      <c r="X32" s="2927"/>
      <c r="Y32" s="2927"/>
    </row>
    <row r="33" spans="2:25" ht="21" customHeight="1">
      <c r="B33" s="2927" t="s">
        <v>1365</v>
      </c>
      <c r="C33" s="2927"/>
      <c r="D33" s="2927"/>
      <c r="E33" s="2927"/>
      <c r="F33" s="2927"/>
      <c r="G33" s="2927"/>
      <c r="H33" s="2927"/>
      <c r="I33" s="2927"/>
      <c r="J33" s="2927"/>
      <c r="K33" s="2927"/>
      <c r="L33" s="2927"/>
      <c r="M33" s="2927"/>
      <c r="N33" s="2927"/>
      <c r="O33" s="2927"/>
      <c r="P33" s="2927"/>
      <c r="Q33" s="2927"/>
      <c r="R33" s="2927"/>
      <c r="S33" s="2927"/>
      <c r="T33" s="2927"/>
      <c r="U33" s="2927"/>
      <c r="V33" s="2927"/>
      <c r="W33" s="2927"/>
      <c r="X33" s="2927"/>
      <c r="Y33" s="2927"/>
    </row>
    <row r="34" spans="2:25" ht="21" customHeight="1">
      <c r="B34" s="2929" t="s">
        <v>1383</v>
      </c>
      <c r="C34" s="2929"/>
      <c r="D34" s="2929"/>
      <c r="E34" s="2929"/>
      <c r="F34" s="2929"/>
      <c r="G34" s="2929"/>
      <c r="H34" s="2929"/>
      <c r="I34" s="2929"/>
      <c r="J34" s="2929"/>
      <c r="K34" s="2929"/>
      <c r="L34" s="2929"/>
      <c r="M34" s="2929"/>
      <c r="N34" s="2929"/>
      <c r="O34" s="2929"/>
      <c r="P34" s="2929"/>
      <c r="Q34" s="2929"/>
      <c r="R34" s="2929"/>
      <c r="S34" s="2929"/>
      <c r="T34" s="2929"/>
      <c r="U34" s="2929"/>
      <c r="V34" s="2929"/>
      <c r="W34" s="2929"/>
      <c r="X34" s="2929"/>
      <c r="Y34" s="2929"/>
    </row>
    <row r="35" spans="2:25" ht="21" customHeight="1">
      <c r="B35" s="2927" t="s">
        <v>1379</v>
      </c>
      <c r="C35" s="2927"/>
      <c r="D35" s="2927"/>
      <c r="E35" s="2927"/>
      <c r="F35" s="2927"/>
      <c r="G35" s="2927"/>
      <c r="H35" s="2927"/>
      <c r="I35" s="2927"/>
      <c r="J35" s="2927"/>
      <c r="K35" s="2927"/>
      <c r="L35" s="2927"/>
      <c r="M35" s="2927"/>
      <c r="N35" s="2927"/>
      <c r="O35" s="2927"/>
      <c r="P35" s="2927"/>
      <c r="Q35" s="2927"/>
      <c r="R35" s="2927"/>
      <c r="S35" s="2927"/>
      <c r="T35" s="2927"/>
      <c r="U35" s="2927"/>
      <c r="V35" s="2927"/>
      <c r="W35" s="2927"/>
      <c r="X35" s="2927"/>
      <c r="Y35" s="2927"/>
    </row>
    <row r="36" spans="2:25" ht="21" customHeight="1">
      <c r="B36" s="2927" t="s">
        <v>1380</v>
      </c>
      <c r="C36" s="2928"/>
      <c r="D36" s="2928"/>
      <c r="E36" s="2928"/>
      <c r="F36" s="2928"/>
      <c r="G36" s="2928"/>
      <c r="H36" s="2928"/>
      <c r="I36" s="2928"/>
      <c r="J36" s="2928"/>
      <c r="K36" s="2928"/>
      <c r="L36" s="2928"/>
      <c r="M36" s="2928"/>
      <c r="N36" s="2928"/>
      <c r="O36" s="2928"/>
      <c r="P36" s="2928"/>
      <c r="Q36" s="2928"/>
      <c r="R36" s="2928"/>
      <c r="S36" s="2928"/>
      <c r="T36" s="2928"/>
      <c r="U36" s="2928"/>
      <c r="V36" s="2928"/>
      <c r="W36" s="2928"/>
      <c r="X36" s="2928"/>
      <c r="Y36" s="2928"/>
    </row>
    <row r="37" spans="2:25" ht="21" customHeight="1">
      <c r="B37" s="2927" t="s">
        <v>1384</v>
      </c>
      <c r="C37" s="2928"/>
      <c r="D37" s="2928"/>
      <c r="E37" s="2928"/>
      <c r="F37" s="2928"/>
      <c r="G37" s="2928"/>
      <c r="H37" s="2928"/>
      <c r="I37" s="2928"/>
      <c r="J37" s="2928"/>
      <c r="K37" s="2928"/>
      <c r="L37" s="2928"/>
      <c r="M37" s="2928"/>
      <c r="N37" s="2928"/>
      <c r="O37" s="2928"/>
      <c r="P37" s="2928"/>
      <c r="Q37" s="2928"/>
      <c r="R37" s="2928"/>
    </row>
    <row r="38" spans="2:25" ht="21" customHeight="1">
      <c r="B38" s="2927" t="s">
        <v>1385</v>
      </c>
      <c r="C38" s="2928"/>
      <c r="D38" s="2928"/>
      <c r="E38" s="2928"/>
      <c r="F38" s="2928"/>
      <c r="G38" s="2928"/>
      <c r="H38" s="2928"/>
      <c r="I38" s="2928"/>
      <c r="J38" s="2928"/>
      <c r="K38" s="2928"/>
      <c r="L38" s="2928"/>
      <c r="M38" s="2928"/>
      <c r="N38" s="2928"/>
      <c r="O38" s="2928"/>
      <c r="P38" s="2928"/>
      <c r="Q38" s="2928"/>
      <c r="R38" s="2928"/>
    </row>
    <row r="39" spans="2:25" ht="21" customHeight="1">
      <c r="B39" s="2927" t="s">
        <v>1386</v>
      </c>
      <c r="C39" s="2928"/>
      <c r="D39" s="2928"/>
      <c r="E39" s="2928"/>
      <c r="F39" s="2928"/>
      <c r="G39" s="2928"/>
      <c r="H39" s="2928"/>
      <c r="I39" s="2928"/>
      <c r="J39" s="2928"/>
      <c r="K39" s="2928"/>
      <c r="L39" s="2928"/>
      <c r="M39" s="2928"/>
      <c r="N39" s="2928"/>
      <c r="O39" s="2928"/>
      <c r="P39" s="2928"/>
      <c r="Q39" s="2928"/>
      <c r="R39" s="2928"/>
    </row>
    <row r="40" spans="2:25">
      <c r="B40" s="2928"/>
      <c r="C40" s="2928"/>
      <c r="D40" s="2928"/>
      <c r="E40" s="2928"/>
      <c r="F40" s="2928"/>
      <c r="G40" s="2928"/>
      <c r="H40" s="2928"/>
      <c r="I40" s="2928"/>
      <c r="J40" s="2928"/>
      <c r="K40" s="2928"/>
      <c r="L40" s="2928"/>
      <c r="M40" s="2928"/>
      <c r="N40" s="2928"/>
      <c r="O40" s="2928"/>
      <c r="P40" s="2928"/>
      <c r="Q40" s="2928"/>
      <c r="R40" s="2928"/>
    </row>
    <row r="41" spans="2:25">
      <c r="B41" s="2928"/>
      <c r="C41" s="2928"/>
      <c r="D41" s="2928"/>
      <c r="E41" s="2928"/>
      <c r="F41" s="2928"/>
      <c r="G41" s="2928"/>
      <c r="H41" s="2928"/>
      <c r="I41" s="2928"/>
      <c r="J41" s="2928"/>
      <c r="K41" s="2928"/>
      <c r="L41" s="2928"/>
      <c r="M41" s="2928"/>
      <c r="N41" s="2928"/>
      <c r="O41" s="2928"/>
      <c r="P41" s="2928"/>
      <c r="Q41" s="2928"/>
      <c r="R41" s="2928"/>
    </row>
    <row r="46" spans="2:25">
      <c r="B46" s="21"/>
    </row>
    <row r="47" spans="2:25">
      <c r="B47" s="21"/>
    </row>
    <row r="48" spans="2:25">
      <c r="B48" s="21"/>
    </row>
  </sheetData>
  <mergeCells count="37">
    <mergeCell ref="W5:W6"/>
    <mergeCell ref="V5:V6"/>
    <mergeCell ref="B6:C6"/>
    <mergeCell ref="B27:Y27"/>
    <mergeCell ref="B12:C12"/>
    <mergeCell ref="S15:T15"/>
    <mergeCell ref="Q15:R15"/>
    <mergeCell ref="J15:L15"/>
    <mergeCell ref="M15:N15"/>
    <mergeCell ref="B15:C15"/>
    <mergeCell ref="D15:F15"/>
    <mergeCell ref="G15:I15"/>
    <mergeCell ref="B2:Q2"/>
    <mergeCell ref="B3:Q3"/>
    <mergeCell ref="B5:C5"/>
    <mergeCell ref="K5:L5"/>
    <mergeCell ref="T5:U5"/>
    <mergeCell ref="M5:N5"/>
    <mergeCell ref="O5:P5"/>
    <mergeCell ref="H5:I5"/>
    <mergeCell ref="B30:Y30"/>
    <mergeCell ref="B31:Y31"/>
    <mergeCell ref="B32:Y32"/>
    <mergeCell ref="B16:C16"/>
    <mergeCell ref="B22:C22"/>
    <mergeCell ref="B26:Y26"/>
    <mergeCell ref="B28:Y28"/>
    <mergeCell ref="B29:Y29"/>
    <mergeCell ref="B36:Y36"/>
    <mergeCell ref="B34:Y34"/>
    <mergeCell ref="B35:Y35"/>
    <mergeCell ref="B33:Y33"/>
    <mergeCell ref="B41:R41"/>
    <mergeCell ref="B37:R37"/>
    <mergeCell ref="B38:R38"/>
    <mergeCell ref="B39:R39"/>
    <mergeCell ref="B40:R40"/>
  </mergeCells>
  <phoneticPr fontId="41" type="noConversion"/>
  <pageMargins left="0.17" right="0.21" top="0.49" bottom="0.6" header="0.5" footer="0.5"/>
  <pageSetup scale="55" orientation="landscape" r:id="rId1"/>
  <headerFooter alignWithMargins="0"/>
  <colBreaks count="1" manualBreakCount="1">
    <brk id="21" max="1048575" man="1"/>
  </colBreaks>
  <cellWatches>
    <cellWatch r="K22"/>
  </cellWatche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showGridLines="0" defaultGridColor="0" colorId="59" zoomScale="80" zoomScaleNormal="80" workbookViewId="0">
      <selection activeCell="E68" sqref="E68"/>
    </sheetView>
  </sheetViews>
  <sheetFormatPr defaultColWidth="9.6328125" defaultRowHeight="15"/>
  <cols>
    <col min="1" max="21" width="9.6328125" style="146"/>
    <col min="22" max="22" width="9.6328125" style="146" customWidth="1"/>
    <col min="23" max="16384" width="9.6328125" style="146"/>
  </cols>
  <sheetData/>
  <phoneticPr fontId="41" type="noConversion"/>
  <printOptions horizontalCentered="1" verticalCentered="1"/>
  <pageMargins left="0.5" right="0.33333333333333331" top="0.4" bottom="0.45" header="0" footer="0"/>
  <pageSetup scale="49" orientation="landscape" horizontalDpi="1200" verticalDpi="1200" r:id="rId1"/>
  <headerFooter alignWithMargins="0"/>
  <rowBreaks count="1" manualBreakCount="1">
    <brk id="75" max="16383" man="1"/>
  </rowBreaks>
  <colBreaks count="1" manualBreakCount="1">
    <brk id="22"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W78"/>
  <sheetViews>
    <sheetView showGridLines="0" zoomScale="85" zoomScaleNormal="85" workbookViewId="0">
      <selection activeCell="AA55" sqref="AA55"/>
    </sheetView>
  </sheetViews>
  <sheetFormatPr defaultColWidth="4.453125" defaultRowHeight="13.2"/>
  <cols>
    <col min="1" max="1" width="17.90625" style="1653" customWidth="1"/>
    <col min="2" max="2" width="4.453125" style="1653" customWidth="1"/>
    <col min="3" max="3" width="7.36328125" style="1653" bestFit="1" customWidth="1"/>
    <col min="4" max="4" width="6.54296875" style="1653" bestFit="1" customWidth="1"/>
    <col min="5" max="5" width="7" style="1653" customWidth="1"/>
    <col min="6" max="6" width="4.453125" style="1653"/>
    <col min="7" max="7" width="5.453125" style="1653" bestFit="1" customWidth="1"/>
    <col min="8" max="8" width="7.36328125" style="1653" bestFit="1" customWidth="1"/>
    <col min="9" max="9" width="7.453125" style="1653" customWidth="1"/>
    <col min="10" max="10" width="5.36328125" style="1653" customWidth="1"/>
    <col min="11" max="11" width="6.90625" style="1653" bestFit="1" customWidth="1"/>
    <col min="12" max="12" width="5.36328125" style="1653" customWidth="1"/>
    <col min="13" max="13" width="4.453125" style="1653"/>
    <col min="14" max="14" width="7.08984375" style="1653" bestFit="1" customWidth="1"/>
    <col min="15" max="15" width="9.36328125" style="1653" customWidth="1"/>
    <col min="16" max="17" width="5.81640625" style="1653" customWidth="1"/>
    <col min="18" max="18" width="11.90625" style="1653" customWidth="1"/>
    <col min="19" max="19" width="0.90625" style="1653" customWidth="1"/>
    <col min="20" max="20" width="8.36328125" style="1653" customWidth="1"/>
    <col min="21" max="21" width="0.90625" style="1653" customWidth="1"/>
    <col min="22" max="22" width="8.54296875" style="1653" customWidth="1"/>
    <col min="23" max="23" width="0.90625" style="1653" customWidth="1"/>
    <col min="24" max="16384" width="4.453125" style="1653"/>
  </cols>
  <sheetData>
    <row r="1" spans="1:19" ht="21" thickTop="1">
      <c r="A1" s="1649"/>
      <c r="B1" s="1650"/>
      <c r="C1" s="1650"/>
      <c r="D1" s="1650"/>
      <c r="E1" s="1650"/>
      <c r="F1" s="1650"/>
      <c r="G1" s="1651" t="s">
        <v>1212</v>
      </c>
      <c r="H1" s="1651"/>
      <c r="I1" s="1651"/>
      <c r="J1" s="1651"/>
      <c r="K1" s="1650"/>
      <c r="L1" s="1650"/>
      <c r="M1" s="1650"/>
      <c r="N1" s="1650"/>
      <c r="O1" s="1650"/>
      <c r="P1" s="1650"/>
      <c r="Q1" s="1650"/>
      <c r="R1" s="1650"/>
      <c r="S1" s="1652"/>
    </row>
    <row r="2" spans="1:19">
      <c r="A2" s="1654"/>
      <c r="B2" s="1655"/>
      <c r="C2" s="1655"/>
      <c r="D2" s="1655"/>
      <c r="E2" s="1655"/>
      <c r="F2" s="1655"/>
      <c r="G2" s="1655" t="s">
        <v>1213</v>
      </c>
      <c r="H2" s="1655"/>
      <c r="I2" s="1655"/>
      <c r="J2" s="1655"/>
      <c r="K2" s="1655"/>
      <c r="L2" s="1655"/>
      <c r="M2" s="1655"/>
      <c r="N2" s="1655"/>
      <c r="O2" s="1655"/>
      <c r="P2" s="1655"/>
      <c r="Q2" s="1655"/>
      <c r="R2" s="1655"/>
      <c r="S2" s="1656"/>
    </row>
    <row r="3" spans="1:19">
      <c r="A3" s="1654" t="s">
        <v>28</v>
      </c>
      <c r="B3" s="1655" t="s">
        <v>944</v>
      </c>
      <c r="C3" s="1655"/>
      <c r="D3" s="1655"/>
      <c r="E3" s="1655"/>
      <c r="F3" s="1655"/>
      <c r="G3" s="1655"/>
      <c r="H3" s="1655" t="s">
        <v>1214</v>
      </c>
      <c r="I3" s="1655"/>
      <c r="J3" s="1655"/>
      <c r="K3" s="1655"/>
      <c r="L3" s="1655"/>
      <c r="M3" s="1655"/>
      <c r="N3" s="1675">
        <f>+DMREZ!$I$5</f>
        <v>42370</v>
      </c>
      <c r="O3" s="1655">
        <f>+DMREZ!$J$5</f>
        <v>2016</v>
      </c>
      <c r="P3" s="1655"/>
      <c r="Q3" s="1655"/>
      <c r="R3" s="1655"/>
      <c r="S3" s="1656"/>
    </row>
    <row r="4" spans="1:19">
      <c r="A4" s="1654"/>
      <c r="B4" s="1655"/>
      <c r="C4" s="1655"/>
      <c r="D4" s="1655"/>
      <c r="E4" s="1655"/>
      <c r="F4" s="1655"/>
      <c r="G4" s="1655"/>
      <c r="H4" s="1655"/>
      <c r="I4" s="1655"/>
      <c r="J4" s="1655"/>
      <c r="K4" s="1655"/>
      <c r="L4" s="1655"/>
      <c r="M4" s="1655"/>
      <c r="N4" s="1655"/>
      <c r="O4" s="1655"/>
      <c r="P4" s="1655"/>
      <c r="Q4" s="1655"/>
      <c r="R4" s="1655"/>
      <c r="S4" s="1656"/>
    </row>
    <row r="5" spans="1:19">
      <c r="A5" s="1654"/>
      <c r="B5" s="1655"/>
      <c r="C5" s="1655"/>
      <c r="D5" s="1655"/>
      <c r="E5" s="1655"/>
      <c r="F5" s="1655"/>
      <c r="G5" s="1655"/>
      <c r="H5" s="1655"/>
      <c r="I5" s="1655"/>
      <c r="J5" s="1655"/>
      <c r="K5" s="1655"/>
      <c r="L5" s="1655" t="s">
        <v>1215</v>
      </c>
      <c r="M5" s="1655"/>
      <c r="N5" s="1655"/>
      <c r="O5" s="1655"/>
      <c r="P5" s="2950">
        <f ca="1">+AT_!$DH$53</f>
        <v>1804800</v>
      </c>
      <c r="Q5" s="2951"/>
      <c r="R5" s="1655" t="s">
        <v>807</v>
      </c>
      <c r="S5" s="1656"/>
    </row>
    <row r="6" spans="1:19">
      <c r="A6" s="1654" t="s">
        <v>1216</v>
      </c>
      <c r="B6" s="1655"/>
      <c r="C6" s="1655"/>
      <c r="D6" s="2955">
        <f>SUM(DMREZ!$G$11:$G$41)</f>
        <v>3203</v>
      </c>
      <c r="E6" s="2956"/>
      <c r="F6" s="1655" t="s">
        <v>1217</v>
      </c>
      <c r="G6" s="1655"/>
      <c r="H6" s="1655"/>
      <c r="I6" s="1655"/>
      <c r="J6" s="1655"/>
      <c r="K6" s="1655"/>
      <c r="L6" s="1655" t="s">
        <v>1218</v>
      </c>
      <c r="M6" s="1655"/>
      <c r="N6" s="1655"/>
      <c r="O6" s="1655"/>
      <c r="P6" s="2950">
        <f>+AT_!$DH$55</f>
        <v>172297</v>
      </c>
      <c r="Q6" s="2951"/>
      <c r="R6" s="1655" t="s">
        <v>807</v>
      </c>
      <c r="S6" s="1656"/>
    </row>
    <row r="7" spans="1:19" ht="6.9" customHeight="1">
      <c r="A7" s="1654"/>
      <c r="B7" s="1655"/>
      <c r="C7" s="1655"/>
      <c r="D7" s="1655"/>
      <c r="E7" s="1655"/>
      <c r="F7" s="1655"/>
      <c r="G7" s="1655"/>
      <c r="H7" s="1655"/>
      <c r="I7" s="1655"/>
      <c r="J7" s="1655"/>
      <c r="K7" s="1655"/>
      <c r="L7" s="1655"/>
      <c r="M7" s="1655"/>
      <c r="N7" s="1655"/>
      <c r="O7" s="1655"/>
      <c r="P7" s="1655"/>
      <c r="Q7" s="1655"/>
      <c r="R7" s="1655"/>
      <c r="S7" s="1656"/>
    </row>
    <row r="8" spans="1:19" ht="6.9" customHeight="1">
      <c r="A8" s="1659"/>
      <c r="B8" s="1660"/>
      <c r="C8" s="1660"/>
      <c r="D8" s="1660"/>
      <c r="E8" s="1660"/>
      <c r="F8" s="1660"/>
      <c r="G8" s="1660"/>
      <c r="H8" s="1660"/>
      <c r="I8" s="1660"/>
      <c r="J8" s="1660"/>
      <c r="K8" s="1660"/>
      <c r="L8" s="1660"/>
      <c r="M8" s="1660"/>
      <c r="N8" s="1660"/>
      <c r="O8" s="1660"/>
      <c r="P8" s="1660"/>
      <c r="Q8" s="1660"/>
      <c r="R8" s="1660"/>
      <c r="S8" s="1661"/>
    </row>
    <row r="9" spans="1:19" s="1665" customFormat="1">
      <c r="A9" s="1662"/>
      <c r="B9" s="1663"/>
      <c r="C9" s="1663"/>
      <c r="D9" s="1663"/>
      <c r="E9" s="1663"/>
      <c r="F9" s="1663"/>
      <c r="G9" s="1663"/>
      <c r="H9" s="1663"/>
      <c r="I9" s="1663"/>
      <c r="J9" s="1663"/>
      <c r="K9" s="1663"/>
      <c r="L9" s="1663"/>
      <c r="M9" s="1663"/>
      <c r="N9" s="1663"/>
      <c r="O9" s="1663" t="s">
        <v>27</v>
      </c>
      <c r="P9" s="1663"/>
      <c r="Q9" s="1663"/>
      <c r="R9" s="1663"/>
      <c r="S9" s="1664"/>
    </row>
    <row r="10" spans="1:19">
      <c r="A10" s="1666" t="s">
        <v>1219</v>
      </c>
      <c r="B10" s="1655" t="s">
        <v>1220</v>
      </c>
      <c r="C10" s="1655"/>
      <c r="D10" s="1655" t="s">
        <v>1221</v>
      </c>
      <c r="E10" s="1655"/>
      <c r="F10" s="1655" t="s">
        <v>1222</v>
      </c>
      <c r="G10" s="1655"/>
      <c r="H10" s="1655" t="s">
        <v>1223</v>
      </c>
      <c r="I10" s="1655"/>
      <c r="K10" s="1655" t="s">
        <v>1051</v>
      </c>
      <c r="L10" s="1655"/>
      <c r="M10" s="1655"/>
      <c r="N10" s="1655" t="s">
        <v>1224</v>
      </c>
      <c r="O10" s="1655"/>
      <c r="P10" s="2954" t="s">
        <v>1225</v>
      </c>
      <c r="Q10" s="2954"/>
      <c r="R10" s="1655" t="s">
        <v>1226</v>
      </c>
      <c r="S10" s="1656"/>
    </row>
    <row r="11" spans="1:19">
      <c r="A11" s="1654" t="s">
        <v>1227</v>
      </c>
      <c r="B11" s="1657"/>
      <c r="C11" s="1658"/>
      <c r="D11" s="1657"/>
      <c r="E11" s="1658"/>
      <c r="F11" s="1657"/>
      <c r="G11" s="1658"/>
      <c r="H11" s="1657"/>
      <c r="I11" s="1658"/>
      <c r="K11" s="2950">
        <f>+DMREZ!$BK$14</f>
        <v>4278400.0000000009</v>
      </c>
      <c r="L11" s="2951"/>
      <c r="M11" s="1655"/>
      <c r="N11" s="2950">
        <f>+DMREZ!$BK$15</f>
        <v>0</v>
      </c>
      <c r="O11" s="2951"/>
      <c r="P11" s="2952"/>
      <c r="Q11" s="2953"/>
      <c r="R11" s="1658"/>
      <c r="S11" s="1656"/>
    </row>
    <row r="12" spans="1:19">
      <c r="A12" s="1654" t="s">
        <v>1228</v>
      </c>
      <c r="B12" s="1657"/>
      <c r="C12" s="1658"/>
      <c r="D12" s="1657"/>
      <c r="E12" s="1658"/>
      <c r="F12" s="1657"/>
      <c r="G12" s="1658"/>
      <c r="H12" s="1657"/>
      <c r="I12" s="1658"/>
      <c r="K12" s="2950"/>
      <c r="L12" s="2951"/>
      <c r="M12" s="1655"/>
      <c r="N12" s="2950"/>
      <c r="O12" s="2951"/>
      <c r="P12" s="2952"/>
      <c r="Q12" s="2953"/>
      <c r="R12" s="1658"/>
      <c r="S12" s="1656"/>
    </row>
    <row r="13" spans="1:19" ht="6.9" customHeight="1">
      <c r="A13" s="1654"/>
      <c r="B13" s="1655"/>
      <c r="C13" s="1655"/>
      <c r="D13" s="1655"/>
      <c r="E13" s="1655"/>
      <c r="F13" s="1655"/>
      <c r="G13" s="1655"/>
      <c r="H13" s="1655"/>
      <c r="I13" s="1655"/>
      <c r="J13" s="1655"/>
      <c r="K13" s="1655"/>
      <c r="L13" s="1655"/>
      <c r="M13" s="1655"/>
      <c r="N13" s="1655"/>
      <c r="O13" s="1655"/>
      <c r="P13" s="1655"/>
      <c r="Q13" s="1655"/>
      <c r="R13" s="1655"/>
      <c r="S13" s="1656"/>
    </row>
    <row r="14" spans="1:19" ht="6.9" customHeight="1">
      <c r="A14" s="1659"/>
      <c r="B14" s="1660"/>
      <c r="C14" s="1660"/>
      <c r="D14" s="1660"/>
      <c r="E14" s="1660"/>
      <c r="F14" s="1660"/>
      <c r="G14" s="1660"/>
      <c r="H14" s="1660"/>
      <c r="I14" s="1660"/>
      <c r="J14" s="1660"/>
      <c r="K14" s="1660"/>
      <c r="L14" s="1660"/>
      <c r="M14" s="1660"/>
      <c r="N14" s="1660"/>
      <c r="O14" s="1660"/>
      <c r="P14" s="1660"/>
      <c r="Q14" s="1660"/>
      <c r="R14" s="1660"/>
      <c r="S14" s="1661"/>
    </row>
    <row r="15" spans="1:19">
      <c r="A15" s="1666" t="s">
        <v>1229</v>
      </c>
      <c r="B15" s="1655" t="s">
        <v>1230</v>
      </c>
      <c r="C15" s="1655"/>
      <c r="D15" s="1655"/>
      <c r="E15" s="1655" t="s">
        <v>1231</v>
      </c>
      <c r="F15" s="1655"/>
      <c r="G15" s="1655"/>
      <c r="H15" s="1655" t="s">
        <v>1232</v>
      </c>
      <c r="I15" s="1655"/>
      <c r="J15" s="1655"/>
      <c r="K15" s="1655" t="s">
        <v>1233</v>
      </c>
      <c r="L15" s="1655"/>
      <c r="M15" s="1655"/>
      <c r="N15" s="1655" t="s">
        <v>1234</v>
      </c>
      <c r="O15" s="1655"/>
      <c r="P15" s="1655"/>
      <c r="Q15" s="1655" t="s">
        <v>1235</v>
      </c>
      <c r="R15" s="1655"/>
      <c r="S15" s="1656"/>
    </row>
    <row r="16" spans="1:19">
      <c r="A16" s="1654" t="s">
        <v>1236</v>
      </c>
      <c r="B16" s="1657"/>
      <c r="C16" s="1658"/>
      <c r="D16" s="1655"/>
      <c r="E16" s="1657"/>
      <c r="F16" s="1658"/>
      <c r="G16" s="1655"/>
      <c r="H16" s="1657"/>
      <c r="I16" s="1658"/>
      <c r="J16" s="1655"/>
      <c r="K16" s="1657"/>
      <c r="L16" s="1658"/>
      <c r="M16" s="1655"/>
      <c r="N16" s="1657"/>
      <c r="O16" s="1658"/>
      <c r="P16" s="1655"/>
      <c r="Q16" s="1655"/>
      <c r="R16" s="1655"/>
      <c r="S16" s="1656"/>
    </row>
    <row r="17" spans="1:21">
      <c r="A17" s="1654" t="s">
        <v>1237</v>
      </c>
      <c r="B17" s="1657"/>
      <c r="C17" s="1658"/>
      <c r="D17" s="1655"/>
      <c r="E17" s="1657"/>
      <c r="F17" s="1658"/>
      <c r="G17" s="1655"/>
      <c r="H17" s="1657"/>
      <c r="I17" s="1658"/>
      <c r="J17" s="1655"/>
      <c r="K17" s="1657"/>
      <c r="L17" s="1658"/>
      <c r="M17" s="1655"/>
      <c r="N17" s="1657"/>
      <c r="O17" s="1658"/>
      <c r="P17" s="1655"/>
      <c r="Q17" s="1655"/>
      <c r="R17" s="1655"/>
      <c r="S17" s="1656"/>
    </row>
    <row r="18" spans="1:21" s="1655" customFormat="1" ht="6" customHeight="1">
      <c r="A18" s="1654"/>
      <c r="S18" s="1656"/>
    </row>
    <row r="19" spans="1:21">
      <c r="A19" s="1654"/>
      <c r="B19" s="1911"/>
      <c r="C19" s="1912"/>
      <c r="D19" s="1720"/>
      <c r="E19" s="1657"/>
      <c r="F19" s="1658"/>
      <c r="G19" s="1655"/>
      <c r="H19" s="1657"/>
      <c r="I19" s="1658"/>
      <c r="J19" s="1655"/>
      <c r="K19" s="1657"/>
      <c r="L19" s="1658"/>
      <c r="M19" s="1655"/>
      <c r="N19" s="1657"/>
      <c r="O19" s="1658"/>
      <c r="P19" s="1655"/>
      <c r="Q19" s="1676"/>
      <c r="R19" s="1658"/>
      <c r="S19" s="1656"/>
    </row>
    <row r="20" spans="1:21">
      <c r="A20" s="1654" t="s">
        <v>1238</v>
      </c>
      <c r="B20" s="1657"/>
      <c r="C20" s="1658"/>
      <c r="D20" s="1655"/>
      <c r="E20" s="1657"/>
      <c r="F20" s="1658"/>
      <c r="G20" s="1655"/>
      <c r="H20" s="1657"/>
      <c r="I20" s="1658"/>
      <c r="J20" s="1655"/>
      <c r="K20" s="1657"/>
      <c r="L20" s="1658"/>
      <c r="M20" s="1655"/>
      <c r="N20" s="1657"/>
      <c r="O20" s="1658"/>
      <c r="P20" s="1655"/>
      <c r="Q20" s="1676" t="str">
        <f>IF(SUM(B20:O20)=0,"",SUM(B20:O20))</f>
        <v/>
      </c>
      <c r="R20" s="1658"/>
      <c r="S20" s="1656"/>
    </row>
    <row r="21" spans="1:21" s="1655" customFormat="1" ht="12.75" customHeight="1">
      <c r="A21" s="1910" t="s">
        <v>1262</v>
      </c>
      <c r="B21" s="1714"/>
      <c r="C21" s="1715"/>
      <c r="E21" s="1657"/>
      <c r="F21" s="1658"/>
      <c r="H21" s="1657"/>
      <c r="I21" s="1658"/>
      <c r="K21" s="1657"/>
      <c r="L21" s="1658"/>
      <c r="N21" s="1657"/>
      <c r="O21" s="1658"/>
      <c r="Q21" s="1752">
        <f>+H63-H64+SUM(H67:J77)</f>
        <v>42</v>
      </c>
      <c r="R21" s="1715"/>
      <c r="S21" s="1656"/>
    </row>
    <row r="22" spans="1:21">
      <c r="A22" s="1910" t="s">
        <v>57</v>
      </c>
      <c r="B22" s="1714"/>
      <c r="C22" s="1715"/>
      <c r="D22" s="1655"/>
      <c r="E22" s="1657"/>
      <c r="F22" s="1658"/>
      <c r="G22" s="1655"/>
      <c r="H22" s="1657"/>
      <c r="I22" s="1658"/>
      <c r="J22" s="1655"/>
      <c r="K22" s="1657"/>
      <c r="L22" s="1658"/>
      <c r="M22" s="1655"/>
      <c r="N22" s="1657"/>
      <c r="O22" s="1658"/>
      <c r="P22" s="1655"/>
      <c r="Q22" s="1752">
        <f>C63-C64+SUM(C67:C72)</f>
        <v>13</v>
      </c>
      <c r="R22" s="1715"/>
      <c r="S22" s="1656"/>
    </row>
    <row r="23" spans="1:21">
      <c r="A23" s="1654" t="s">
        <v>1239</v>
      </c>
      <c r="B23" s="1657"/>
      <c r="C23" s="1658"/>
      <c r="D23" s="1655"/>
      <c r="E23" s="1657"/>
      <c r="F23" s="1658"/>
      <c r="G23" s="1655"/>
      <c r="H23" s="1657"/>
      <c r="I23" s="1658"/>
      <c r="J23" s="1655"/>
      <c r="K23" s="1657"/>
      <c r="L23" s="1658"/>
      <c r="M23" s="1655"/>
      <c r="N23" s="1657"/>
      <c r="O23" s="1658"/>
      <c r="P23" s="1655"/>
      <c r="Q23" s="1676"/>
      <c r="R23" s="1658"/>
      <c r="S23" s="1656"/>
      <c r="U23" s="1877"/>
    </row>
    <row r="24" spans="1:21" s="1655" customFormat="1" ht="6" customHeight="1">
      <c r="A24" s="1654"/>
      <c r="T24" s="1654"/>
      <c r="U24" s="1878"/>
    </row>
    <row r="25" spans="1:21">
      <c r="A25" s="1910" t="s">
        <v>1261</v>
      </c>
      <c r="B25" s="1714"/>
      <c r="C25" s="1715"/>
      <c r="D25" s="1655"/>
      <c r="E25" s="1657"/>
      <c r="F25" s="1658"/>
      <c r="G25" s="1655"/>
      <c r="H25" s="1657"/>
      <c r="I25" s="1658"/>
      <c r="J25" s="1655"/>
      <c r="K25" s="1657"/>
      <c r="L25" s="1658"/>
      <c r="M25" s="1655"/>
      <c r="N25" s="1657"/>
      <c r="O25" s="1658"/>
      <c r="P25" s="1655"/>
      <c r="Q25" s="1752">
        <f>+J63+K63-(J64+K64)+SUM(K67:L68)</f>
        <v>0</v>
      </c>
      <c r="R25" s="1715"/>
      <c r="S25" s="1656"/>
      <c r="U25" s="1877"/>
    </row>
    <row r="26" spans="1:21">
      <c r="A26" s="1654" t="s">
        <v>1240</v>
      </c>
      <c r="B26" s="1657"/>
      <c r="C26" s="1658"/>
      <c r="D26" s="1655"/>
      <c r="E26" s="1657"/>
      <c r="F26" s="1658"/>
      <c r="G26" s="1655"/>
      <c r="H26" s="1657"/>
      <c r="I26" s="1658"/>
      <c r="J26" s="1655"/>
      <c r="K26" s="1657"/>
      <c r="L26" s="1658"/>
      <c r="M26" s="1655"/>
      <c r="N26" s="1657"/>
      <c r="O26" s="1658"/>
      <c r="P26" s="1655"/>
      <c r="Q26" s="1676" t="str">
        <f>IF(SUM(B26:O26)=0,"",SUM(B26:O26))</f>
        <v/>
      </c>
      <c r="R26" s="1658"/>
      <c r="S26" s="1656"/>
      <c r="T26" s="1877"/>
      <c r="U26" s="1877"/>
    </row>
    <row r="27" spans="1:21">
      <c r="A27" s="1654" t="s">
        <v>1241</v>
      </c>
      <c r="B27" s="1657"/>
      <c r="C27" s="1658"/>
      <c r="D27" s="1655"/>
      <c r="E27" s="1657"/>
      <c r="F27" s="1658"/>
      <c r="G27" s="1655"/>
      <c r="H27" s="1657"/>
      <c r="I27" s="1658"/>
      <c r="J27" s="1655"/>
      <c r="K27" s="1657"/>
      <c r="L27" s="1658"/>
      <c r="M27" s="1655"/>
      <c r="N27" s="1657"/>
      <c r="O27" s="1658"/>
      <c r="P27" s="1655"/>
      <c r="Q27" s="1676" t="str">
        <f>IF(SUM(B27:O27)=0,"",SUM(B27:O27))</f>
        <v/>
      </c>
      <c r="R27" s="1658"/>
      <c r="S27" s="1656"/>
    </row>
    <row r="28" spans="1:21">
      <c r="A28" s="1654" t="s">
        <v>1242</v>
      </c>
      <c r="B28" s="1657"/>
      <c r="C28" s="1658"/>
      <c r="D28" s="1655"/>
      <c r="E28" s="1657"/>
      <c r="F28" s="1658"/>
      <c r="G28" s="1655"/>
      <c r="H28" s="1657"/>
      <c r="I28" s="1658"/>
      <c r="J28" s="1655"/>
      <c r="K28" s="1657"/>
      <c r="L28" s="1658"/>
      <c r="M28" s="1655"/>
      <c r="N28" s="1657"/>
      <c r="O28" s="1658"/>
      <c r="P28" s="1655"/>
      <c r="Q28" s="1676">
        <f>IF(SUM(Q21:Q25)=0,"",SUM(Q21:Q25))</f>
        <v>55</v>
      </c>
      <c r="R28" s="1658"/>
      <c r="S28" s="1656"/>
    </row>
    <row r="29" spans="1:21">
      <c r="A29" s="1654" t="s">
        <v>1243</v>
      </c>
      <c r="B29" s="1657"/>
      <c r="C29" s="1658"/>
      <c r="D29" s="1655"/>
      <c r="E29" s="1657"/>
      <c r="F29" s="1658"/>
      <c r="G29" s="1655"/>
      <c r="H29" s="1657"/>
      <c r="I29" s="1658"/>
      <c r="J29" s="1655"/>
      <c r="K29" s="1657"/>
      <c r="L29" s="1658"/>
      <c r="M29" s="1655"/>
      <c r="N29" s="1657"/>
      <c r="O29" s="1658"/>
      <c r="P29" s="1655"/>
      <c r="Q29" s="1676" t="str">
        <f>IF(SUM(B29:O29)=0,"",SUM(B29:O29))</f>
        <v/>
      </c>
      <c r="R29" s="1658"/>
      <c r="S29" s="1656"/>
    </row>
    <row r="30" spans="1:21" ht="6.9" customHeight="1">
      <c r="A30" s="1659"/>
      <c r="B30" s="1660"/>
      <c r="C30" s="1660"/>
      <c r="D30" s="1660"/>
      <c r="E30" s="1660"/>
      <c r="F30" s="1660"/>
      <c r="G30" s="1660"/>
      <c r="H30" s="1660"/>
      <c r="I30" s="1660"/>
      <c r="J30" s="1660"/>
      <c r="K30" s="1660"/>
      <c r="L30" s="1660"/>
      <c r="M30" s="1660"/>
      <c r="N30" s="1660"/>
      <c r="O30" s="1660"/>
      <c r="P30" s="1660"/>
      <c r="Q30" s="1660"/>
      <c r="R30" s="1660"/>
      <c r="S30" s="1661"/>
    </row>
    <row r="31" spans="1:21">
      <c r="A31" s="1666" t="s">
        <v>1244</v>
      </c>
      <c r="B31" s="1655" t="s">
        <v>1263</v>
      </c>
      <c r="C31" s="1655"/>
      <c r="D31" s="1655"/>
      <c r="E31" s="1655" t="s">
        <v>1246</v>
      </c>
      <c r="F31" s="1655"/>
      <c r="G31" s="1655"/>
      <c r="H31" s="1655" t="s">
        <v>1247</v>
      </c>
      <c r="I31" s="1655"/>
      <c r="J31" s="1655"/>
      <c r="K31" s="1655" t="s">
        <v>1248</v>
      </c>
      <c r="L31" s="1655"/>
      <c r="M31" s="1655"/>
      <c r="N31" s="1655" t="s">
        <v>1249</v>
      </c>
      <c r="O31" s="1655"/>
      <c r="P31" s="1655"/>
      <c r="Q31" s="1655" t="s">
        <v>1250</v>
      </c>
      <c r="R31" s="1655"/>
      <c r="S31" s="1656"/>
    </row>
    <row r="32" spans="1:21" ht="13.5" customHeight="1">
      <c r="A32" s="1654" t="s">
        <v>1251</v>
      </c>
      <c r="B32" s="2957">
        <f>+O64-O63</f>
        <v>11990</v>
      </c>
      <c r="C32" s="2959"/>
      <c r="D32" s="1655"/>
      <c r="E32" s="1657"/>
      <c r="F32" s="1658"/>
      <c r="G32" s="1655"/>
      <c r="H32" s="2962">
        <f>+P64-P63</f>
        <v>134</v>
      </c>
      <c r="I32" s="2963"/>
      <c r="J32" s="1655"/>
      <c r="K32" s="1657"/>
      <c r="L32" s="1658"/>
      <c r="M32" s="1655"/>
      <c r="N32" s="1657"/>
      <c r="O32" s="1658"/>
      <c r="P32" s="1655"/>
      <c r="Q32" s="2980">
        <f>SUM(B32:O34)</f>
        <v>12124</v>
      </c>
      <c r="R32" s="2953"/>
      <c r="S32" s="1656"/>
    </row>
    <row r="33" spans="1:19" ht="13.5" customHeight="1">
      <c r="A33" s="1662"/>
      <c r="B33" s="1655" t="s">
        <v>1</v>
      </c>
      <c r="C33" s="1655"/>
      <c r="D33" s="1655"/>
      <c r="E33" s="1655" t="s">
        <v>2</v>
      </c>
      <c r="F33" s="1655"/>
      <c r="G33" s="1655"/>
      <c r="H33" s="1655"/>
      <c r="I33" s="1655"/>
      <c r="J33" s="1655"/>
      <c r="K33" s="1655"/>
      <c r="L33" s="1655"/>
      <c r="M33" s="1655"/>
      <c r="N33" s="1655"/>
      <c r="O33" s="1655"/>
      <c r="P33" s="1655"/>
      <c r="Q33" s="1655"/>
      <c r="R33" s="1655"/>
      <c r="S33" s="1656"/>
    </row>
    <row r="34" spans="1:19" ht="13.5" customHeight="1">
      <c r="A34" s="1662"/>
      <c r="B34" s="1657"/>
      <c r="C34" s="1658"/>
      <c r="D34" s="1655"/>
      <c r="E34" s="1657"/>
      <c r="F34" s="1658"/>
      <c r="G34" s="1655"/>
      <c r="H34" s="1655"/>
      <c r="I34" s="1655"/>
      <c r="J34" s="1655"/>
      <c r="K34" s="1655"/>
      <c r="L34" s="1655"/>
      <c r="M34" s="1655"/>
      <c r="N34" s="1655"/>
      <c r="O34" s="1655"/>
      <c r="P34" s="1655"/>
      <c r="Q34" s="1655"/>
      <c r="R34" s="1655"/>
      <c r="S34" s="1656"/>
    </row>
    <row r="35" spans="1:19" ht="6.9" customHeight="1">
      <c r="A35" s="1654"/>
      <c r="B35" s="1655"/>
      <c r="C35" s="1655"/>
      <c r="D35" s="1655"/>
      <c r="E35" s="1655"/>
      <c r="F35" s="1655"/>
      <c r="G35" s="1655"/>
      <c r="H35" s="1655"/>
      <c r="I35" s="1655"/>
      <c r="J35" s="1655"/>
      <c r="K35" s="1655"/>
      <c r="L35" s="1655"/>
      <c r="M35" s="1655"/>
      <c r="N35" s="1655"/>
      <c r="O35" s="1655"/>
      <c r="P35" s="1655"/>
      <c r="Q35" s="1655"/>
      <c r="R35" s="1655"/>
      <c r="S35" s="1656"/>
    </row>
    <row r="36" spans="1:19" ht="6.9" customHeight="1">
      <c r="A36" s="1659"/>
      <c r="B36" s="1660"/>
      <c r="C36" s="1660"/>
      <c r="D36" s="1660"/>
      <c r="E36" s="1660"/>
      <c r="F36" s="1660"/>
      <c r="G36" s="1660"/>
      <c r="H36" s="1660"/>
      <c r="I36" s="1660"/>
      <c r="J36" s="1660"/>
      <c r="K36" s="1660"/>
      <c r="L36" s="1660"/>
      <c r="M36" s="1660"/>
      <c r="N36" s="1660"/>
      <c r="O36" s="1660"/>
      <c r="P36" s="1660"/>
      <c r="Q36" s="1660"/>
      <c r="R36" s="1660"/>
      <c r="S36" s="1661"/>
    </row>
    <row r="37" spans="1:19">
      <c r="A37" s="1666" t="s">
        <v>3</v>
      </c>
      <c r="B37" s="1667" t="s">
        <v>4</v>
      </c>
      <c r="C37" s="1667"/>
      <c r="E37" s="1668" t="s">
        <v>1245</v>
      </c>
      <c r="F37" s="1655"/>
      <c r="G37" s="1667" t="s">
        <v>1246</v>
      </c>
      <c r="H37" s="1669"/>
      <c r="I37" s="1669"/>
      <c r="J37" s="1655" t="s">
        <v>5</v>
      </c>
      <c r="K37" s="1655"/>
      <c r="L37" s="1655" t="s">
        <v>6</v>
      </c>
      <c r="M37" s="1655"/>
      <c r="N37" s="1655" t="s">
        <v>7</v>
      </c>
      <c r="O37" s="1655"/>
      <c r="P37" s="1655"/>
      <c r="Q37" s="1655" t="s">
        <v>8</v>
      </c>
      <c r="R37" s="1655"/>
      <c r="S37" s="1656"/>
    </row>
    <row r="38" spans="1:19">
      <c r="A38" s="1662" t="s">
        <v>1251</v>
      </c>
      <c r="B38" s="2955">
        <f ca="1">+AT_!$CK$58/1000</f>
        <v>25509.000000000007</v>
      </c>
      <c r="C38" s="2956"/>
      <c r="D38" s="1686"/>
      <c r="E38" s="1684"/>
      <c r="F38" s="1685"/>
      <c r="G38" s="1687"/>
      <c r="H38" s="1687"/>
      <c r="I38" s="1685"/>
      <c r="J38" s="1687"/>
      <c r="K38" s="1685"/>
      <c r="L38" s="2955">
        <f>AT_!EG42</f>
        <v>19130.099999999999</v>
      </c>
      <c r="M38" s="2956"/>
      <c r="N38" s="2960">
        <f ca="1">+B38-L38</f>
        <v>6378.9000000000087</v>
      </c>
      <c r="O38" s="2961"/>
      <c r="P38" s="1688"/>
      <c r="Q38" s="1684"/>
      <c r="R38" s="1685"/>
      <c r="S38" s="1656"/>
    </row>
    <row r="39" spans="1:19">
      <c r="A39" s="1662"/>
      <c r="B39" s="1688"/>
      <c r="C39" s="1688"/>
      <c r="D39" s="1688"/>
      <c r="E39" s="1688" t="s">
        <v>1</v>
      </c>
      <c r="F39" s="1688"/>
      <c r="G39" s="1686"/>
      <c r="H39" s="1686"/>
      <c r="I39" s="1688" t="s">
        <v>2</v>
      </c>
      <c r="J39" s="1688"/>
      <c r="K39" s="1688"/>
      <c r="L39" s="1688" t="s">
        <v>9</v>
      </c>
      <c r="M39" s="1688"/>
      <c r="N39" s="1688"/>
      <c r="O39" s="1688"/>
      <c r="P39" s="1688"/>
      <c r="Q39" s="1688" t="s">
        <v>10</v>
      </c>
      <c r="R39" s="1688"/>
      <c r="S39" s="1656"/>
    </row>
    <row r="40" spans="1:19">
      <c r="A40" s="1662"/>
      <c r="B40" s="1688"/>
      <c r="C40" s="1688"/>
      <c r="D40" s="1686"/>
      <c r="E40" s="1684"/>
      <c r="F40" s="1685"/>
      <c r="G40" s="1686"/>
      <c r="H40" s="1686"/>
      <c r="I40" s="1684"/>
      <c r="J40" s="1685"/>
      <c r="K40" s="1688"/>
      <c r="L40" s="1684"/>
      <c r="M40" s="1685"/>
      <c r="N40" s="1688"/>
      <c r="O40" s="1688"/>
      <c r="P40" s="1688"/>
      <c r="Q40" s="1684"/>
      <c r="R40" s="1685"/>
      <c r="S40" s="1656"/>
    </row>
    <row r="41" spans="1:19" ht="6.9" customHeight="1">
      <c r="A41" s="1654"/>
      <c r="B41" s="1688"/>
      <c r="C41" s="1688"/>
      <c r="D41" s="1688"/>
      <c r="E41" s="1688"/>
      <c r="F41" s="1688"/>
      <c r="G41" s="1688"/>
      <c r="H41" s="1688"/>
      <c r="I41" s="1688"/>
      <c r="J41" s="1688"/>
      <c r="K41" s="1688"/>
      <c r="L41" s="1688"/>
      <c r="M41" s="1688"/>
      <c r="N41" s="1688"/>
      <c r="O41" s="1688"/>
      <c r="P41" s="1688"/>
      <c r="Q41" s="1688"/>
      <c r="R41" s="1688"/>
      <c r="S41" s="1656"/>
    </row>
    <row r="42" spans="1:19" ht="6.9" customHeight="1">
      <c r="A42" s="1659"/>
      <c r="B42" s="1689"/>
      <c r="C42" s="1689"/>
      <c r="D42" s="1689"/>
      <c r="E42" s="1689"/>
      <c r="F42" s="1689"/>
      <c r="G42" s="1689"/>
      <c r="H42" s="1689"/>
      <c r="I42" s="1689"/>
      <c r="J42" s="1689"/>
      <c r="K42" s="1689"/>
      <c r="L42" s="1689"/>
      <c r="M42" s="1689"/>
      <c r="N42" s="1689"/>
      <c r="O42" s="1689"/>
      <c r="P42" s="1689"/>
      <c r="Q42" s="1689"/>
      <c r="R42" s="1689"/>
      <c r="S42" s="1661"/>
    </row>
    <row r="43" spans="1:19" ht="11.25" customHeight="1">
      <c r="A43" s="1666" t="s">
        <v>11</v>
      </c>
      <c r="B43" s="1688" t="s">
        <v>12</v>
      </c>
      <c r="C43" s="1688"/>
      <c r="D43" s="1688"/>
      <c r="E43" s="1688"/>
      <c r="F43" s="1688"/>
      <c r="G43" s="1688" t="s">
        <v>13</v>
      </c>
      <c r="H43" s="1688"/>
      <c r="I43" s="1688"/>
      <c r="J43" s="1688" t="s">
        <v>642</v>
      </c>
      <c r="K43" s="1688"/>
      <c r="L43" s="1688"/>
      <c r="M43" s="1688" t="s">
        <v>14</v>
      </c>
      <c r="N43" s="1688"/>
      <c r="O43" s="1688"/>
      <c r="P43" s="1688"/>
      <c r="Q43" s="1688"/>
      <c r="R43" s="1688"/>
      <c r="S43" s="1656"/>
    </row>
    <row r="44" spans="1:19" ht="11.25" customHeight="1">
      <c r="A44" s="1654" t="s">
        <v>15</v>
      </c>
      <c r="B44" s="2957">
        <f>+D63</f>
        <v>2637</v>
      </c>
      <c r="C44" s="2958"/>
      <c r="D44" s="2958"/>
      <c r="E44" s="2959"/>
      <c r="F44" s="1688"/>
      <c r="G44" s="2957">
        <f>SUM(D67:D72)</f>
        <v>0</v>
      </c>
      <c r="H44" s="2959"/>
      <c r="I44" s="1688"/>
      <c r="J44" s="2955">
        <f>+B44-M44+G44</f>
        <v>165</v>
      </c>
      <c r="K44" s="2956"/>
      <c r="L44" s="1688"/>
      <c r="M44" s="2957">
        <f>+D64</f>
        <v>2472</v>
      </c>
      <c r="N44" s="2958"/>
      <c r="O44" s="2958"/>
      <c r="P44" s="2959"/>
      <c r="Q44" s="1688"/>
      <c r="R44" s="1688"/>
      <c r="S44" s="1656"/>
    </row>
    <row r="45" spans="1:19" ht="13.5" customHeight="1">
      <c r="A45" s="1654" t="s">
        <v>16</v>
      </c>
      <c r="B45" s="2957">
        <f>+E63</f>
        <v>1150</v>
      </c>
      <c r="C45" s="2958"/>
      <c r="D45" s="2958"/>
      <c r="E45" s="2959"/>
      <c r="F45" s="1688"/>
      <c r="G45" s="2957">
        <f>SUM(E67:E71)</f>
        <v>2200</v>
      </c>
      <c r="H45" s="2959"/>
      <c r="I45" s="1688"/>
      <c r="J45" s="2955">
        <f>+B45-M45+G45</f>
        <v>568</v>
      </c>
      <c r="K45" s="2956"/>
      <c r="L45" s="1688"/>
      <c r="M45" s="2957">
        <f>+E64</f>
        <v>2782</v>
      </c>
      <c r="N45" s="2958"/>
      <c r="O45" s="2958"/>
      <c r="P45" s="2959"/>
      <c r="Q45" s="1688"/>
      <c r="R45" s="1688"/>
      <c r="S45" s="1656"/>
    </row>
    <row r="46" spans="1:19" ht="6.9" customHeight="1">
      <c r="A46" s="1659"/>
      <c r="B46" s="1660"/>
      <c r="C46" s="1660"/>
      <c r="D46" s="1660"/>
      <c r="E46" s="1660"/>
      <c r="F46" s="1660"/>
      <c r="G46" s="1660"/>
      <c r="H46" s="1660"/>
      <c r="I46" s="1660"/>
      <c r="J46" s="1660"/>
      <c r="K46" s="1660"/>
      <c r="L46" s="1660"/>
      <c r="M46" s="1660"/>
      <c r="N46" s="1660"/>
      <c r="O46" s="1660"/>
      <c r="P46" s="1660"/>
      <c r="Q46" s="1660"/>
      <c r="R46" s="1660"/>
      <c r="S46" s="1661"/>
    </row>
    <row r="47" spans="1:19">
      <c r="A47" s="1666" t="s">
        <v>17</v>
      </c>
      <c r="B47" s="1655"/>
      <c r="C47" s="1655" t="s">
        <v>18</v>
      </c>
      <c r="D47" s="1655"/>
      <c r="E47" s="1655"/>
      <c r="F47" s="1655"/>
      <c r="G47" s="1655"/>
      <c r="H47" s="1655"/>
      <c r="I47" s="1655"/>
      <c r="J47" s="1655" t="s">
        <v>19</v>
      </c>
      <c r="K47" s="1655"/>
      <c r="L47" s="1655"/>
      <c r="M47" s="1655"/>
      <c r="N47" s="1655"/>
      <c r="O47" s="1655"/>
      <c r="P47" s="1655"/>
      <c r="Q47" s="1655"/>
      <c r="R47" s="1655"/>
      <c r="S47" s="1656"/>
    </row>
    <row r="48" spans="1:19" ht="12" customHeight="1">
      <c r="A48" s="1654" t="s">
        <v>807</v>
      </c>
      <c r="B48" s="1655"/>
      <c r="C48" s="2950">
        <f>+T64+V64-V63-T63</f>
        <v>2048500</v>
      </c>
      <c r="D48" s="2971"/>
      <c r="E48" s="2971"/>
      <c r="F48" s="2951"/>
      <c r="G48" s="1655"/>
      <c r="H48" s="1655"/>
      <c r="I48" s="1655"/>
      <c r="J48" s="2950"/>
      <c r="K48" s="2971"/>
      <c r="L48" s="1670"/>
      <c r="M48" s="1670"/>
      <c r="N48" s="1658"/>
      <c r="O48" s="1655"/>
      <c r="P48" s="1655"/>
      <c r="Q48" s="1655"/>
      <c r="R48" s="1655"/>
      <c r="S48" s="1656"/>
    </row>
    <row r="49" spans="1:23" ht="6.9" customHeight="1">
      <c r="A49" s="1654"/>
      <c r="B49" s="1655"/>
      <c r="C49" s="1655"/>
      <c r="D49" s="1655"/>
      <c r="E49" s="1655"/>
      <c r="F49" s="1655"/>
      <c r="G49" s="1655"/>
      <c r="H49" s="1655"/>
      <c r="I49" s="1655"/>
      <c r="J49" s="1655"/>
      <c r="K49" s="1655"/>
      <c r="L49" s="1655"/>
      <c r="M49" s="1655"/>
      <c r="N49" s="1655"/>
      <c r="O49" s="1655"/>
      <c r="P49" s="1655"/>
      <c r="Q49" s="1655"/>
      <c r="R49" s="1655"/>
      <c r="S49" s="1656"/>
    </row>
    <row r="50" spans="1:23" ht="6.9" customHeight="1">
      <c r="A50" s="1659"/>
      <c r="B50" s="1660"/>
      <c r="C50" s="1660"/>
      <c r="D50" s="1660"/>
      <c r="E50" s="1660"/>
      <c r="F50" s="1660"/>
      <c r="G50" s="1660"/>
      <c r="H50" s="1660"/>
      <c r="I50" s="1660"/>
      <c r="J50" s="1660"/>
      <c r="K50" s="1660"/>
      <c r="L50" s="1660"/>
      <c r="M50" s="1660"/>
      <c r="N50" s="1660"/>
      <c r="O50" s="1660"/>
      <c r="P50" s="1660"/>
      <c r="Q50" s="1660"/>
      <c r="R50" s="1660"/>
      <c r="S50" s="1661"/>
    </row>
    <row r="51" spans="1:23">
      <c r="A51" s="1666" t="s">
        <v>20</v>
      </c>
      <c r="B51" s="1655"/>
      <c r="C51" s="1655" t="s">
        <v>21</v>
      </c>
      <c r="D51" s="1655"/>
      <c r="E51" s="1655"/>
      <c r="F51" s="1655"/>
      <c r="G51" s="1655" t="s">
        <v>22</v>
      </c>
      <c r="H51" s="1655"/>
      <c r="I51" s="1655"/>
      <c r="J51" s="1655" t="s">
        <v>203</v>
      </c>
      <c r="K51" s="1655"/>
      <c r="L51" s="1655"/>
      <c r="M51" s="1655"/>
      <c r="N51" s="1655"/>
      <c r="O51" s="1655"/>
      <c r="P51" s="1655"/>
      <c r="Q51" s="1655"/>
      <c r="R51" s="1655"/>
      <c r="S51" s="1656"/>
    </row>
    <row r="52" spans="1:23">
      <c r="A52" s="1654" t="s">
        <v>23</v>
      </c>
      <c r="B52" s="1655"/>
      <c r="C52" s="1657"/>
      <c r="D52" s="1670"/>
      <c r="E52" s="1658"/>
      <c r="F52" s="1655"/>
      <c r="G52" s="1657"/>
      <c r="H52" s="1658"/>
      <c r="I52" s="1655"/>
      <c r="J52" s="1657"/>
      <c r="K52" s="1658"/>
      <c r="L52" s="1655"/>
      <c r="M52" s="1655"/>
      <c r="N52" s="1655"/>
      <c r="O52" s="1655"/>
      <c r="P52" s="1655"/>
      <c r="Q52" s="1655"/>
      <c r="R52" s="1655"/>
      <c r="S52" s="1656"/>
    </row>
    <row r="53" spans="1:23">
      <c r="A53" s="1654"/>
      <c r="B53" s="1655"/>
      <c r="C53" s="1655"/>
      <c r="D53" s="1655"/>
      <c r="E53" s="1655"/>
      <c r="F53" s="1655"/>
      <c r="G53" s="1655"/>
      <c r="H53" s="1655"/>
      <c r="I53" s="1655"/>
      <c r="J53" s="1655"/>
      <c r="K53" s="1655"/>
      <c r="L53" s="1655"/>
      <c r="M53" s="1655"/>
      <c r="N53" s="1655"/>
      <c r="O53" s="1655"/>
      <c r="P53" s="1655"/>
      <c r="Q53" s="1655"/>
      <c r="R53" s="1655"/>
      <c r="S53" s="1656"/>
    </row>
    <row r="54" spans="1:23" ht="13.8">
      <c r="A54" s="1671" t="s">
        <v>24</v>
      </c>
      <c r="B54" s="2972" t="s">
        <v>1340</v>
      </c>
      <c r="C54" s="2972"/>
      <c r="D54" s="2972"/>
      <c r="E54" s="2972"/>
      <c r="F54" s="2972"/>
      <c r="G54" s="2972"/>
      <c r="H54" s="2972"/>
      <c r="I54" s="2972"/>
      <c r="J54" s="2972"/>
      <c r="K54" s="2972"/>
      <c r="L54" s="2972"/>
      <c r="M54" s="2972"/>
      <c r="N54" s="2972"/>
      <c r="O54" s="2972"/>
      <c r="P54" s="2972"/>
      <c r="Q54" s="2972"/>
      <c r="R54" s="2972"/>
      <c r="S54" s="2973"/>
    </row>
    <row r="55" spans="1:23" ht="13.5" customHeight="1">
      <c r="A55" s="2115"/>
      <c r="B55" s="2972"/>
      <c r="C55" s="2972"/>
      <c r="D55" s="2972"/>
      <c r="E55" s="2972"/>
      <c r="F55" s="2972"/>
      <c r="G55" s="2972"/>
      <c r="H55" s="2972"/>
      <c r="I55" s="2972"/>
      <c r="J55" s="2972"/>
      <c r="K55" s="2972"/>
      <c r="L55" s="2972"/>
      <c r="M55" s="2972"/>
      <c r="N55" s="2972"/>
      <c r="O55" s="2972"/>
      <c r="P55" s="2972"/>
      <c r="Q55" s="2972"/>
      <c r="R55" s="2972"/>
      <c r="S55" s="2973"/>
    </row>
    <row r="56" spans="1:23" ht="12.75" customHeight="1">
      <c r="A56" s="2116"/>
      <c r="B56" s="2974"/>
      <c r="C56" s="2974"/>
      <c r="D56" s="2974"/>
      <c r="E56" s="2974"/>
      <c r="F56" s="2974"/>
      <c r="G56" s="2974"/>
      <c r="H56" s="2974"/>
      <c r="I56" s="2974"/>
      <c r="J56" s="2974"/>
      <c r="K56" s="2974"/>
      <c r="L56" s="2974"/>
      <c r="M56" s="2974"/>
      <c r="N56" s="2974"/>
      <c r="O56" s="2974"/>
      <c r="P56" s="2974"/>
      <c r="Q56" s="2974"/>
      <c r="R56" s="2974"/>
      <c r="S56" s="2975"/>
    </row>
    <row r="57" spans="1:23">
      <c r="A57" s="1654" t="s">
        <v>25</v>
      </c>
      <c r="B57" s="1655"/>
      <c r="C57" s="1655"/>
      <c r="D57" s="1655"/>
      <c r="E57" s="1655"/>
      <c r="F57" s="1655"/>
      <c r="G57" s="1655"/>
      <c r="H57" s="1655"/>
      <c r="I57" s="1655"/>
      <c r="J57" s="1655" t="s">
        <v>26</v>
      </c>
      <c r="K57" s="1655"/>
      <c r="L57" s="1655"/>
      <c r="M57" s="1655"/>
      <c r="N57" s="1655"/>
      <c r="O57" s="1655"/>
      <c r="P57" s="1655"/>
      <c r="Q57" s="1655"/>
      <c r="R57" s="1655"/>
      <c r="S57" s="1656"/>
    </row>
    <row r="58" spans="1:23" ht="13.8" thickBot="1">
      <c r="A58" s="1672"/>
      <c r="B58" s="1673"/>
      <c r="C58" s="1673"/>
      <c r="D58" s="1673"/>
      <c r="E58" s="1673"/>
      <c r="F58" s="1673"/>
      <c r="G58" s="1673"/>
      <c r="H58" s="1673"/>
      <c r="I58" s="1673"/>
      <c r="J58" s="1673"/>
      <c r="K58" s="1673"/>
      <c r="L58" s="1673"/>
      <c r="M58" s="1673"/>
      <c r="N58" s="1673"/>
      <c r="O58" s="1673"/>
      <c r="P58" s="1673"/>
      <c r="Q58" s="1673"/>
      <c r="R58" s="1673"/>
      <c r="S58" s="1674"/>
    </row>
    <row r="59" spans="1:23" s="1655" customFormat="1" ht="13.8" thickTop="1"/>
    <row r="60" spans="1:23" s="1655" customFormat="1" ht="12.75" customHeight="1">
      <c r="B60" s="1719" t="s">
        <v>37</v>
      </c>
      <c r="D60" s="1716"/>
      <c r="E60" s="1716"/>
      <c r="J60" s="1767" t="s">
        <v>60</v>
      </c>
      <c r="K60" s="1767"/>
      <c r="O60" s="2098" t="s">
        <v>1254</v>
      </c>
      <c r="P60" s="2967" t="s">
        <v>1254</v>
      </c>
      <c r="Q60" s="2968"/>
      <c r="R60" s="2981" t="s">
        <v>1333</v>
      </c>
      <c r="S60" s="2981"/>
      <c r="T60" s="2981"/>
      <c r="U60" s="2981"/>
      <c r="V60" s="2981"/>
      <c r="W60" s="2981"/>
    </row>
    <row r="61" spans="1:23" s="1655" customFormat="1">
      <c r="B61" s="1770" t="s">
        <v>36</v>
      </c>
      <c r="C61" s="1770" t="s">
        <v>38</v>
      </c>
      <c r="D61" s="1770" t="s">
        <v>39</v>
      </c>
      <c r="E61" s="1770" t="s">
        <v>40</v>
      </c>
      <c r="F61" s="2058"/>
      <c r="G61" s="2059"/>
      <c r="H61" s="1776" t="s">
        <v>52</v>
      </c>
      <c r="I61" s="1765"/>
      <c r="J61" s="1769" t="s">
        <v>64</v>
      </c>
      <c r="K61" s="1769" t="s">
        <v>63</v>
      </c>
      <c r="L61" s="1766"/>
      <c r="O61" s="2099"/>
      <c r="P61" s="2969"/>
      <c r="Q61" s="2970"/>
      <c r="R61" s="2981"/>
      <c r="S61" s="2981"/>
      <c r="T61" s="2981"/>
      <c r="U61" s="2981"/>
      <c r="V61" s="2981"/>
      <c r="W61" s="2981"/>
    </row>
    <row r="62" spans="1:23" s="1655" customFormat="1">
      <c r="B62" s="1767"/>
      <c r="C62" s="1772" t="s">
        <v>58</v>
      </c>
      <c r="D62" s="2964" t="s">
        <v>61</v>
      </c>
      <c r="E62" s="2964"/>
      <c r="F62" s="2060"/>
      <c r="G62" s="2061"/>
      <c r="H62" s="1771" t="s">
        <v>53</v>
      </c>
      <c r="I62" s="1766"/>
      <c r="J62" s="2965" t="s">
        <v>59</v>
      </c>
      <c r="K62" s="2966"/>
      <c r="M62" s="1720"/>
      <c r="O62" s="2097" t="s">
        <v>1279</v>
      </c>
      <c r="P62" s="2978" t="s">
        <v>1280</v>
      </c>
      <c r="Q62" s="2979"/>
      <c r="R62" s="2978" t="s">
        <v>1297</v>
      </c>
      <c r="S62" s="2979"/>
      <c r="T62" s="2978" t="s">
        <v>1298</v>
      </c>
      <c r="U62" s="2979"/>
      <c r="V62" s="2978" t="s">
        <v>1197</v>
      </c>
      <c r="W62" s="2979"/>
    </row>
    <row r="63" spans="1:23" s="1655" customFormat="1" ht="15">
      <c r="B63" s="1773">
        <v>42370</v>
      </c>
      <c r="C63" s="1774">
        <v>3929</v>
      </c>
      <c r="D63" s="1774">
        <v>2637</v>
      </c>
      <c r="E63" s="1774">
        <v>1150</v>
      </c>
      <c r="F63" s="2062"/>
      <c r="G63" s="2063"/>
      <c r="H63" s="1775">
        <f>4524+5151+7936</f>
        <v>17611</v>
      </c>
      <c r="I63" s="1751"/>
      <c r="J63" s="1768">
        <v>750</v>
      </c>
      <c r="K63" s="1768">
        <v>750</v>
      </c>
      <c r="L63" s="1720"/>
      <c r="M63" s="1720"/>
      <c r="O63" s="2469">
        <v>147489</v>
      </c>
      <c r="P63" s="2976">
        <v>2717</v>
      </c>
      <c r="Q63" s="2977"/>
      <c r="R63" s="2112" t="s">
        <v>484</v>
      </c>
      <c r="S63" s="2113"/>
      <c r="T63" s="2112">
        <v>65296700</v>
      </c>
      <c r="U63" s="2113"/>
      <c r="V63" s="2112">
        <v>82980900</v>
      </c>
      <c r="W63" s="2114"/>
    </row>
    <row r="64" spans="1:23" s="1655" customFormat="1">
      <c r="B64" s="1773">
        <v>42401</v>
      </c>
      <c r="C64" s="1774">
        <v>3916</v>
      </c>
      <c r="D64" s="1774">
        <v>2472</v>
      </c>
      <c r="E64" s="1774">
        <v>2782</v>
      </c>
      <c r="F64" s="2062"/>
      <c r="G64" s="2063"/>
      <c r="H64" s="1775">
        <f>4512+5141+7916</f>
        <v>17569</v>
      </c>
      <c r="I64" s="1751"/>
      <c r="J64" s="1768">
        <v>750</v>
      </c>
      <c r="K64" s="1768">
        <v>750</v>
      </c>
      <c r="L64" s="1720"/>
      <c r="M64" s="1720"/>
      <c r="O64" s="2215">
        <v>159479</v>
      </c>
      <c r="P64" s="2976">
        <v>2851</v>
      </c>
      <c r="Q64" s="2977"/>
      <c r="R64" s="2112"/>
      <c r="S64" s="1767"/>
      <c r="T64" s="1767">
        <v>66997500</v>
      </c>
      <c r="U64" s="1767"/>
      <c r="V64" s="1767">
        <v>83328600</v>
      </c>
      <c r="W64" s="2114"/>
    </row>
    <row r="65" spans="2:22" s="1655" customFormat="1">
      <c r="B65" s="1750"/>
      <c r="C65" s="1750"/>
      <c r="D65" s="1750"/>
      <c r="E65" s="1750"/>
      <c r="F65" s="1751"/>
      <c r="T65" s="2207"/>
      <c r="V65" s="2207"/>
    </row>
    <row r="66" spans="2:22">
      <c r="B66" s="1751" t="s">
        <v>88</v>
      </c>
      <c r="C66" s="1790">
        <v>9</v>
      </c>
      <c r="D66" s="1790">
        <v>12</v>
      </c>
      <c r="E66" s="1790">
        <v>11</v>
      </c>
      <c r="F66" s="1833"/>
      <c r="G66" s="1834"/>
      <c r="H66" s="1834">
        <v>14</v>
      </c>
      <c r="I66" s="1834">
        <v>15</v>
      </c>
      <c r="J66" s="1834">
        <v>16</v>
      </c>
      <c r="K66" s="1834">
        <v>18</v>
      </c>
      <c r="L66" s="1834">
        <v>19</v>
      </c>
      <c r="O66" s="1655"/>
    </row>
    <row r="67" spans="2:22">
      <c r="C67" s="1834"/>
      <c r="D67" s="1834"/>
      <c r="E67" s="1834">
        <v>2200</v>
      </c>
      <c r="F67" s="1834"/>
      <c r="G67" s="1834"/>
      <c r="H67" s="1834"/>
      <c r="I67" s="1834"/>
      <c r="J67" s="1834"/>
      <c r="K67" s="1834"/>
      <c r="L67" s="1834"/>
    </row>
    <row r="68" spans="2:22">
      <c r="B68" s="1718"/>
      <c r="C68" s="1717"/>
      <c r="D68" s="1717"/>
      <c r="E68" s="1717"/>
      <c r="F68" s="1834"/>
      <c r="G68" s="1834"/>
      <c r="H68" s="1834"/>
      <c r="I68" s="1834"/>
      <c r="J68" s="1834"/>
      <c r="K68" s="1834"/>
      <c r="L68" s="1834"/>
    </row>
    <row r="69" spans="2:22">
      <c r="B69" s="1718"/>
      <c r="C69" s="1717"/>
      <c r="D69" s="1717"/>
      <c r="E69" s="1717"/>
      <c r="F69" s="1834"/>
      <c r="G69" s="1834"/>
      <c r="H69" s="1834"/>
      <c r="I69" s="1834"/>
      <c r="J69" s="1834"/>
      <c r="K69" s="1834"/>
      <c r="L69" s="1834"/>
    </row>
    <row r="70" spans="2:22">
      <c r="B70" s="1718"/>
      <c r="C70" s="1717"/>
      <c r="D70" s="1717"/>
      <c r="E70" s="1717"/>
    </row>
    <row r="71" spans="2:22">
      <c r="B71" s="1718"/>
      <c r="C71" s="1717"/>
      <c r="D71" s="1717"/>
      <c r="E71" s="1717"/>
    </row>
    <row r="72" spans="2:22">
      <c r="B72" s="1718"/>
      <c r="C72" s="1717"/>
      <c r="D72" s="1717"/>
      <c r="E72" s="1717"/>
    </row>
    <row r="73" spans="2:22">
      <c r="B73" s="1718"/>
      <c r="C73" s="1717"/>
      <c r="D73" s="1717"/>
      <c r="E73" s="1717"/>
    </row>
    <row r="74" spans="2:22">
      <c r="B74" s="1718"/>
      <c r="C74" s="1717"/>
      <c r="D74" s="1717"/>
      <c r="E74" s="1717"/>
    </row>
    <row r="75" spans="2:22">
      <c r="B75" s="1718"/>
      <c r="C75" s="1717"/>
      <c r="D75" s="1717"/>
      <c r="E75" s="1717"/>
    </row>
    <row r="76" spans="2:22">
      <c r="B76" s="1718"/>
      <c r="C76" s="1717"/>
      <c r="D76" s="1717"/>
      <c r="E76" s="1717"/>
    </row>
    <row r="77" spans="2:22">
      <c r="B77" s="1718"/>
      <c r="C77" s="1717"/>
      <c r="D77" s="1717"/>
      <c r="E77" s="1717"/>
    </row>
    <row r="78" spans="2:22">
      <c r="B78" s="1718"/>
      <c r="C78" s="1717"/>
      <c r="D78" s="1717"/>
      <c r="E78" s="1717"/>
    </row>
  </sheetData>
  <mergeCells count="37">
    <mergeCell ref="P64:Q64"/>
    <mergeCell ref="P62:Q62"/>
    <mergeCell ref="T62:U62"/>
    <mergeCell ref="P63:Q63"/>
    <mergeCell ref="Q32:R32"/>
    <mergeCell ref="R62:S62"/>
    <mergeCell ref="R60:W61"/>
    <mergeCell ref="V62:W62"/>
    <mergeCell ref="D62:E62"/>
    <mergeCell ref="J62:K62"/>
    <mergeCell ref="M45:P45"/>
    <mergeCell ref="B45:E45"/>
    <mergeCell ref="G44:H44"/>
    <mergeCell ref="G45:H45"/>
    <mergeCell ref="P60:Q61"/>
    <mergeCell ref="J45:K45"/>
    <mergeCell ref="J48:K48"/>
    <mergeCell ref="B54:S56"/>
    <mergeCell ref="C48:F48"/>
    <mergeCell ref="D6:E6"/>
    <mergeCell ref="K11:L11"/>
    <mergeCell ref="N11:O11"/>
    <mergeCell ref="M44:P44"/>
    <mergeCell ref="K12:L12"/>
    <mergeCell ref="B44:E44"/>
    <mergeCell ref="N38:O38"/>
    <mergeCell ref="J44:K44"/>
    <mergeCell ref="B32:C32"/>
    <mergeCell ref="B38:C38"/>
    <mergeCell ref="H32:I32"/>
    <mergeCell ref="L38:M38"/>
    <mergeCell ref="P5:Q5"/>
    <mergeCell ref="P6:Q6"/>
    <mergeCell ref="N12:O12"/>
    <mergeCell ref="P12:Q12"/>
    <mergeCell ref="P11:Q11"/>
    <mergeCell ref="P10:Q10"/>
  </mergeCells>
  <phoneticPr fontId="41" type="noConversion"/>
  <printOptions horizontalCentered="1" verticalCentered="1"/>
  <pageMargins left="0.1" right="0.1" top="0.1" bottom="0.1" header="0.25" footer="0.25"/>
  <pageSetup scale="77"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1:AD49"/>
  <sheetViews>
    <sheetView zoomScale="70" zoomScaleNormal="70" workbookViewId="0"/>
  </sheetViews>
  <sheetFormatPr defaultColWidth="8.6328125" defaultRowHeight="17.399999999999999"/>
  <cols>
    <col min="1" max="1" width="0.90625" style="2124" customWidth="1"/>
    <col min="2" max="2" width="10.453125" style="2119" customWidth="1"/>
    <col min="3" max="3" width="8.6328125" style="2119" customWidth="1"/>
    <col min="4" max="22" width="8.6328125" style="2124" customWidth="1"/>
    <col min="23" max="30" width="8.6328125" style="2119" customWidth="1"/>
    <col min="31" max="16384" width="8.6328125" style="2124"/>
  </cols>
  <sheetData>
    <row r="1" spans="2:29" s="2119" customFormat="1" ht="15"/>
    <row r="2" spans="2:29" s="2119" customFormat="1" ht="15"/>
    <row r="3" spans="2:29" s="2119" customFormat="1" ht="15">
      <c r="C3" s="2120"/>
      <c r="G3" s="2120"/>
      <c r="J3" s="2120"/>
      <c r="N3" s="2120"/>
      <c r="R3" s="2120"/>
      <c r="W3" s="2120"/>
    </row>
    <row r="4" spans="2:29" s="2119" customFormat="1" ht="15">
      <c r="B4" s="2121" t="s">
        <v>70</v>
      </c>
      <c r="C4" s="2122">
        <f>+DMREZ!G44</f>
        <v>103</v>
      </c>
      <c r="D4" s="2120"/>
      <c r="F4" s="2120"/>
      <c r="G4" s="2122">
        <f ca="1">(+C4+D20)/AT_!HC11*H9</f>
        <v>78.847600838462967</v>
      </c>
      <c r="H4" s="2120"/>
      <c r="I4" s="2120"/>
      <c r="J4" s="2122">
        <f ca="1">+G4-450*H9/694</f>
        <v>73.011865968145969</v>
      </c>
      <c r="K4" s="2120"/>
      <c r="M4" s="2120"/>
      <c r="N4" s="2122">
        <f ca="1">+J4+O9</f>
        <v>141.30218854879115</v>
      </c>
      <c r="O4" s="2120"/>
      <c r="Q4" s="2120"/>
      <c r="R4" s="2122">
        <f ca="1">+J4</f>
        <v>73.011865968145969</v>
      </c>
      <c r="S4" s="2120"/>
      <c r="V4" s="2120"/>
      <c r="W4" s="2122">
        <f>+DMREZ!G44</f>
        <v>103</v>
      </c>
      <c r="X4" s="2120"/>
      <c r="AC4" s="2119">
        <v>6</v>
      </c>
    </row>
    <row r="5" spans="2:29" s="2119" customFormat="1" ht="15">
      <c r="B5" s="2121" t="s">
        <v>71</v>
      </c>
      <c r="C5" s="2122">
        <f ca="1">+DMREZ!CK42</f>
        <v>120600</v>
      </c>
      <c r="D5" s="2120"/>
      <c r="F5" s="2120"/>
      <c r="G5" s="2122">
        <f ca="1">+(C5+D21)/(C4+D20)*G4</f>
        <v>94371.038518674206</v>
      </c>
      <c r="H5" s="2120"/>
      <c r="I5" s="2120"/>
      <c r="J5" s="2122">
        <f ca="1">+J4*AT_!I42*8.34</f>
        <v>41406.48942785494</v>
      </c>
      <c r="K5" s="2120"/>
      <c r="M5" s="2120"/>
      <c r="N5" s="2122">
        <f ca="1">+N4*AT_!M42*8.34</f>
        <v>2946150.6312422953</v>
      </c>
      <c r="O5" s="2120"/>
      <c r="Q5" s="2120"/>
      <c r="R5" s="2122"/>
      <c r="S5" s="2120"/>
      <c r="V5" s="2120"/>
      <c r="W5" s="2122">
        <f ca="1">+DMREZ!CL42</f>
        <v>14200</v>
      </c>
      <c r="X5" s="2123">
        <f ca="1">1-W5/C5</f>
        <v>0.88225538971807627</v>
      </c>
    </row>
    <row r="6" spans="2:29" s="2119" customFormat="1" ht="15">
      <c r="B6" s="2121" t="s">
        <v>72</v>
      </c>
      <c r="C6" s="2122">
        <f ca="1">+DMREZ!CI42</f>
        <v>118400</v>
      </c>
      <c r="D6" s="2120"/>
      <c r="F6" s="2120"/>
      <c r="G6" s="2122">
        <f ca="1">+C6/C4*G4</f>
        <v>90636.4654298448</v>
      </c>
      <c r="I6" s="2120"/>
      <c r="J6" s="2122">
        <f ca="1">+J4*AT_!AD42*8.34</f>
        <v>45668.922163075302</v>
      </c>
      <c r="K6" s="2120"/>
      <c r="M6" s="2120"/>
      <c r="N6" s="2122" t="s">
        <v>73</v>
      </c>
      <c r="O6" s="2120"/>
      <c r="Q6" s="2120"/>
      <c r="R6" s="2122"/>
      <c r="S6" s="2120"/>
      <c r="V6" s="2120"/>
      <c r="W6" s="2122">
        <f ca="1">+DMREZ!CJ42</f>
        <v>6500</v>
      </c>
      <c r="X6" s="2123">
        <f ca="1">1-W6/C6</f>
        <v>0.94510135135135132</v>
      </c>
    </row>
    <row r="7" spans="2:29" ht="23.25" customHeight="1">
      <c r="C7" s="2120" t="s">
        <v>956</v>
      </c>
      <c r="G7" s="2125" t="s">
        <v>76</v>
      </c>
      <c r="J7" s="2125"/>
      <c r="N7" s="2125"/>
      <c r="R7" s="2125"/>
      <c r="W7" s="2123"/>
    </row>
    <row r="8" spans="2:29" ht="23.25" customHeight="1">
      <c r="O8" s="2125"/>
    </row>
    <row r="9" spans="2:29" s="2119" customFormat="1" ht="15">
      <c r="H9" s="2120">
        <v>9</v>
      </c>
      <c r="L9" s="2119">
        <f>+AT_!HD42</f>
        <v>6</v>
      </c>
      <c r="N9" s="2120"/>
      <c r="O9" s="2122">
        <f>+AT_!HM42</f>
        <v>68.290322580645167</v>
      </c>
      <c r="P9" s="2120">
        <f>SUM(AT_!HF42:HI42)</f>
        <v>9</v>
      </c>
    </row>
    <row r="10" spans="2:29" s="2119" customFormat="1" ht="15">
      <c r="G10" s="2120"/>
      <c r="J10" s="2120"/>
      <c r="N10" s="2120"/>
      <c r="O10" s="2122">
        <f>+O9*AT_!Q42*8.34</f>
        <v>2392073.4193548388</v>
      </c>
      <c r="P10" s="2120" t="s">
        <v>78</v>
      </c>
      <c r="R10" s="2120"/>
    </row>
    <row r="11" spans="2:29" s="2119" customFormat="1" ht="15">
      <c r="F11" s="2120"/>
      <c r="G11" s="2122">
        <f ca="1">+C4+D20-G4</f>
        <v>35.043378150427984</v>
      </c>
      <c r="H11" s="2120"/>
      <c r="I11" s="2120"/>
      <c r="J11" s="2122">
        <f ca="1">G11-450*H16/694</f>
        <v>31.152888236883314</v>
      </c>
      <c r="K11" s="2120"/>
      <c r="M11" s="2120"/>
      <c r="O11" s="2122" t="s">
        <v>73</v>
      </c>
      <c r="P11" s="2120"/>
      <c r="Q11" s="2126">
        <f>+AT_!HQ14</f>
        <v>1.7693434598865854</v>
      </c>
      <c r="R11" s="2120"/>
      <c r="S11" s="2122">
        <f ca="1">+J11</f>
        <v>31.152888236883314</v>
      </c>
    </row>
    <row r="12" spans="2:29" s="2119" customFormat="1" ht="15">
      <c r="F12" s="2120"/>
      <c r="G12" s="2122">
        <f ca="1">+C5-G5</f>
        <v>26228.961481325794</v>
      </c>
      <c r="H12" s="2120"/>
      <c r="I12" s="2120"/>
      <c r="J12" s="2122">
        <f ca="1">+J11*AT_!J42*8.34</f>
        <v>22603.912646917794</v>
      </c>
      <c r="K12" s="2120"/>
      <c r="M12" s="2120"/>
      <c r="N12" s="2122">
        <f ca="1">+O17+J11</f>
        <v>70.281920494947826</v>
      </c>
      <c r="O12" s="2120"/>
      <c r="P12" s="2119" t="s">
        <v>79</v>
      </c>
      <c r="Q12" s="2122">
        <f>+Q11*8.34*AT_!Q42</f>
        <v>61976.562712907311</v>
      </c>
      <c r="R12" s="2120"/>
      <c r="S12" s="2122"/>
    </row>
    <row r="13" spans="2:29" s="2119" customFormat="1" ht="15">
      <c r="F13" s="2120"/>
      <c r="G13" s="2122">
        <f ca="1">+C6-G6</f>
        <v>27763.5345701552</v>
      </c>
      <c r="I13" s="2120"/>
      <c r="J13" s="2122">
        <f ca="1">+J11*AT_!AE42*8.34</f>
        <v>25461.87861376947</v>
      </c>
      <c r="K13" s="2120"/>
      <c r="M13" s="2120"/>
      <c r="N13" s="2122">
        <f ca="1">+N12*AT_!N42*8.34</f>
        <v>1699838.5290908082</v>
      </c>
      <c r="O13" s="2120"/>
      <c r="Q13" s="2122" t="s">
        <v>73</v>
      </c>
      <c r="R13" s="2120"/>
      <c r="S13" s="2122"/>
    </row>
    <row r="14" spans="2:29" ht="23.25" customHeight="1">
      <c r="G14" s="2127" t="s">
        <v>77</v>
      </c>
      <c r="J14" s="2125"/>
      <c r="N14" s="2122" t="s">
        <v>73</v>
      </c>
      <c r="R14" s="2125"/>
    </row>
    <row r="15" spans="2:29" ht="23.25" customHeight="1"/>
    <row r="16" spans="2:29" s="2119" customFormat="1" ht="15">
      <c r="H16" s="2120">
        <v>6</v>
      </c>
      <c r="L16" s="2119">
        <f>+AT_!HE42</f>
        <v>3</v>
      </c>
      <c r="O16" s="2120"/>
      <c r="P16" s="2119">
        <f>SUM(AT_!HJ42:HK42)</f>
        <v>6</v>
      </c>
    </row>
    <row r="17" spans="3:23" s="2119" customFormat="1" ht="15">
      <c r="N17" s="2120"/>
      <c r="O17" s="2122">
        <f>+AT_!HN42</f>
        <v>39.12903225806452</v>
      </c>
      <c r="P17" s="2120" t="s">
        <v>78</v>
      </c>
    </row>
    <row r="18" spans="3:23" s="2119" customFormat="1" ht="15">
      <c r="N18" s="2120"/>
      <c r="O18" s="2122">
        <f>+O17*AT_!S42*8.34</f>
        <v>2251719.2903225808</v>
      </c>
      <c r="P18" s="2120"/>
      <c r="Q18" s="2126">
        <f>+AT_!HQ15</f>
        <v>0.47930650492702426</v>
      </c>
    </row>
    <row r="19" spans="3:23" s="2119" customFormat="1" ht="15">
      <c r="D19" s="2120"/>
      <c r="F19" s="2126">
        <f>450*AT_!HC42/694+Q11+Q18</f>
        <v>11.326459763084502</v>
      </c>
      <c r="N19" s="2120"/>
      <c r="O19" s="2122" t="s">
        <v>73</v>
      </c>
      <c r="P19" s="2120" t="s">
        <v>79</v>
      </c>
      <c r="Q19" s="2122">
        <f>+Q18*AT_!S42*8.34</f>
        <v>27582.172132530537</v>
      </c>
      <c r="R19" s="2120"/>
      <c r="V19" s="2120"/>
    </row>
    <row r="20" spans="3:23" s="2119" customFormat="1" ht="15">
      <c r="C20" s="2120"/>
      <c r="D20" s="2126">
        <f ca="1">+F19-G23</f>
        <v>10.890978988890954</v>
      </c>
      <c r="E20" s="2120"/>
      <c r="F20" s="2122">
        <f>+F19*AT_!AG42*8.34</f>
        <v>179361.00306280685</v>
      </c>
      <c r="O20" s="2120"/>
      <c r="Q20" s="2122" t="s">
        <v>73</v>
      </c>
      <c r="R20" s="2126">
        <f>+DW_!Q43/1000000</f>
        <v>0.429595</v>
      </c>
      <c r="S20" s="2120"/>
      <c r="U20" s="2120"/>
      <c r="V20" s="2126">
        <f>DW_!AD43*2/8.34/1000</f>
        <v>1.5803357314148683E-2</v>
      </c>
      <c r="W20" s="2120"/>
    </row>
    <row r="21" spans="3:23" s="2119" customFormat="1" ht="15">
      <c r="C21" s="2120"/>
      <c r="D21" s="2122">
        <f ca="1">+D20*AT_!L42*8.34</f>
        <v>15713.722304751645</v>
      </c>
      <c r="E21" s="2120"/>
      <c r="F21" s="2122" t="s">
        <v>73</v>
      </c>
      <c r="R21" s="2128">
        <f>+DW_!C42*Sheet1!R20*8.34*10000</f>
        <v>60907.979099999997</v>
      </c>
      <c r="S21" s="2120"/>
      <c r="U21" s="2120"/>
      <c r="V21" s="2128">
        <f>+V20*DMREZ!BP12*8.34*10000</f>
        <v>30577.600000000006</v>
      </c>
      <c r="W21" s="2129" t="s">
        <v>74</v>
      </c>
    </row>
    <row r="22" spans="3:23" ht="23.25" customHeight="1">
      <c r="C22" s="2120"/>
      <c r="D22" s="2122" t="s">
        <v>73</v>
      </c>
      <c r="E22" s="2125"/>
      <c r="F22" s="2119"/>
      <c r="G22" s="2125"/>
      <c r="H22" s="2119"/>
      <c r="I22" s="2119"/>
      <c r="L22" s="2125"/>
      <c r="Q22" s="2125"/>
      <c r="R22" s="2122" t="s">
        <v>73</v>
      </c>
      <c r="S22" s="2125"/>
      <c r="U22" s="2120"/>
      <c r="V22" s="2122" t="s">
        <v>73</v>
      </c>
      <c r="W22" s="2120"/>
    </row>
    <row r="23" spans="3:23" ht="23.25" customHeight="1">
      <c r="D23" s="2125"/>
      <c r="F23" s="2120"/>
      <c r="G23" s="2126">
        <f ca="1">+AT_!DJ43*7.48/1000</f>
        <v>0.43548077419354841</v>
      </c>
      <c r="H23" s="2120"/>
      <c r="I23" s="2119"/>
      <c r="K23" s="2125"/>
      <c r="L23" s="2126">
        <f ca="1">+G23</f>
        <v>0.43548077419354841</v>
      </c>
      <c r="M23" s="2125"/>
      <c r="R23" s="2130" t="s">
        <v>605</v>
      </c>
      <c r="U23" s="2119" t="s">
        <v>606</v>
      </c>
      <c r="V23" s="2120"/>
    </row>
    <row r="24" spans="3:23" ht="23.25" customHeight="1">
      <c r="C24" s="2131" t="s">
        <v>75</v>
      </c>
      <c r="F24" s="2120"/>
      <c r="G24" s="2128">
        <f ca="1">+AT_!DK43*1000</f>
        <v>120190.32258064518</v>
      </c>
      <c r="H24" s="2120"/>
      <c r="I24" s="2119"/>
      <c r="K24" s="2125"/>
      <c r="L24" s="2128">
        <f>+AT_!DQ43*1000</f>
        <v>62133.33333333335</v>
      </c>
      <c r="M24" s="2125"/>
      <c r="R24" s="2132"/>
      <c r="U24" s="2119"/>
      <c r="V24" s="2119"/>
    </row>
    <row r="25" spans="3:23">
      <c r="F25" s="2125"/>
      <c r="G25" s="2122" t="s">
        <v>73</v>
      </c>
      <c r="H25" s="2125"/>
      <c r="K25" s="2125"/>
      <c r="L25" s="2122" t="s">
        <v>73</v>
      </c>
      <c r="M25" s="2125"/>
      <c r="U25" s="2125"/>
      <c r="V25" s="2119"/>
    </row>
    <row r="26" spans="3:23" s="2119" customFormat="1" ht="15">
      <c r="F26" s="2131" t="s">
        <v>502</v>
      </c>
      <c r="G26" s="2120"/>
      <c r="K26" s="2131" t="s">
        <v>87</v>
      </c>
      <c r="L26" s="2120"/>
      <c r="T26" s="2120" t="s">
        <v>542</v>
      </c>
      <c r="U26" s="2126" t="e">
        <f>+DW_!T43/1000000</f>
        <v>#VALUE!</v>
      </c>
      <c r="V26" s="2120"/>
    </row>
    <row r="27" spans="3:23" s="2119" customFormat="1" ht="15">
      <c r="F27" s="2131"/>
      <c r="K27" s="2131"/>
      <c r="T27" s="2120"/>
      <c r="U27" s="2122">
        <f>+DW_!AI43</f>
        <v>10537</v>
      </c>
      <c r="V27" s="2120"/>
    </row>
    <row r="28" spans="3:23" s="2119" customFormat="1" ht="15">
      <c r="T28" s="2120"/>
      <c r="U28" s="2122">
        <f>+DW_!AJ43</f>
        <v>670</v>
      </c>
      <c r="V28" s="2120"/>
    </row>
    <row r="29" spans="3:23" s="2119" customFormat="1" ht="15">
      <c r="U29" s="2120"/>
    </row>
    <row r="30" spans="3:23" s="2119" customFormat="1" ht="15"/>
    <row r="31" spans="3:23" s="2119" customFormat="1" ht="15"/>
    <row r="32" spans="3:23" s="2119" customFormat="1" ht="15">
      <c r="L32" s="2119" t="s">
        <v>1281</v>
      </c>
    </row>
    <row r="33" spans="2:8" s="2119" customFormat="1" ht="15"/>
    <row r="34" spans="2:8" s="2119" customFormat="1" ht="15">
      <c r="E34" s="2119" t="s">
        <v>611</v>
      </c>
      <c r="F34" s="2131" t="s">
        <v>86</v>
      </c>
    </row>
    <row r="35" spans="2:8" s="2119" customFormat="1" ht="15">
      <c r="D35" s="2119" t="s">
        <v>84</v>
      </c>
      <c r="E35" s="2133">
        <f ca="1">+C5</f>
        <v>120600</v>
      </c>
      <c r="F35" s="2133">
        <f>+C4*DMREZ!AV44*8.34</f>
        <v>455280.6</v>
      </c>
    </row>
    <row r="36" spans="2:8" s="2119" customFormat="1" ht="15">
      <c r="D36" s="2119" t="s">
        <v>85</v>
      </c>
      <c r="E36" s="2133">
        <f ca="1">+G24+W5</f>
        <v>134390.32258064518</v>
      </c>
      <c r="F36" s="2133">
        <f ca="1">+G24+W5+W4*8.34*DMREZ!AV44</f>
        <v>589670.92258064519</v>
      </c>
    </row>
    <row r="37" spans="2:8" s="2119" customFormat="1" ht="15">
      <c r="D37" s="2119" t="s">
        <v>80</v>
      </c>
      <c r="E37" s="2133">
        <f ca="1">+E35-E36</f>
        <v>-13790.322580645181</v>
      </c>
      <c r="F37" s="2133">
        <f ca="1">+F35-F36</f>
        <v>-134390.32258064521</v>
      </c>
    </row>
    <row r="38" spans="2:8" s="2119" customFormat="1" ht="15">
      <c r="D38" s="2119" t="s">
        <v>453</v>
      </c>
      <c r="E38" s="2134">
        <f ca="1">1-E36/E35</f>
        <v>-0.1143476167549351</v>
      </c>
      <c r="F38" s="2134">
        <f ca="1">1-F36/F35</f>
        <v>-0.29518130704590795</v>
      </c>
    </row>
    <row r="39" spans="2:8" s="2119" customFormat="1" ht="15">
      <c r="E39" s="2119" t="s">
        <v>1282</v>
      </c>
    </row>
    <row r="40" spans="2:8" s="2119" customFormat="1" ht="15"/>
    <row r="41" spans="2:8" s="2119" customFormat="1" ht="15"/>
    <row r="42" spans="2:8" s="2119" customFormat="1" ht="15"/>
    <row r="43" spans="2:8" s="2119" customFormat="1" ht="15"/>
    <row r="44" spans="2:8" s="2119" customFormat="1" ht="15">
      <c r="C44" s="2119" t="s">
        <v>1158</v>
      </c>
      <c r="D44" s="2119" t="s">
        <v>1284</v>
      </c>
      <c r="E44" s="2119" t="s">
        <v>1285</v>
      </c>
      <c r="F44" s="2119" t="s">
        <v>1286</v>
      </c>
      <c r="G44" s="2119" t="s">
        <v>1287</v>
      </c>
      <c r="H44" s="2119" t="s">
        <v>1283</v>
      </c>
    </row>
    <row r="45" spans="2:8" s="2119" customFormat="1" ht="15">
      <c r="B45" s="2119" t="s">
        <v>84</v>
      </c>
      <c r="C45" s="2119">
        <f ca="1">+C5</f>
        <v>120600</v>
      </c>
      <c r="D45" s="2119">
        <f ca="1">+G5+G12</f>
        <v>120600</v>
      </c>
      <c r="E45" s="2119">
        <f ca="1">+J5+J12++AVERAGE(DMREZ!BA11:BA41)*8.34*AVERAGE(AT_!Q42,AT_!S42)</f>
        <v>2902448.6923973532</v>
      </c>
      <c r="F45" s="2119">
        <f ca="1">+N13+N5</f>
        <v>4645989.1603331035</v>
      </c>
      <c r="H45" s="2119">
        <f ca="1">+F46</f>
        <v>14200</v>
      </c>
    </row>
    <row r="46" spans="2:8" s="2119" customFormat="1" ht="15">
      <c r="B46" s="2119" t="s">
        <v>1288</v>
      </c>
      <c r="D46" s="2119">
        <f ca="1">+J59+J12</f>
        <v>22603.912646917794</v>
      </c>
      <c r="E46" s="2119">
        <f>+AVERAGE(DMREZ!AY11:AY41)*8.34*DMREZ!G44</f>
        <v>2271248.88</v>
      </c>
      <c r="F46" s="2119">
        <f ca="1">+H46</f>
        <v>14200</v>
      </c>
      <c r="H46" s="2119">
        <f ca="1">+W5</f>
        <v>14200</v>
      </c>
    </row>
    <row r="47" spans="2:8" s="2119" customFormat="1" ht="15">
      <c r="B47" s="2119" t="s">
        <v>1289</v>
      </c>
      <c r="F47" s="2119">
        <f ca="1">+AVERAGE(DMREZ!BA11:BA41)*8.34*AVERAGE(AT_!Q42,AT_!S42)+AVERAGE(DMREZ!BB11:BB41)</f>
        <v>2928346.3225806449</v>
      </c>
    </row>
    <row r="48" spans="2:8" s="2119" customFormat="1" ht="15">
      <c r="B48" s="2119" t="s">
        <v>1290</v>
      </c>
      <c r="C48" s="2119">
        <f t="shared" ref="C48:H48" si="0">SUM(C46:C47)</f>
        <v>0</v>
      </c>
      <c r="D48" s="2119">
        <f t="shared" ca="1" si="0"/>
        <v>22603.912646917794</v>
      </c>
      <c r="E48" s="2119">
        <f t="shared" si="0"/>
        <v>2271248.88</v>
      </c>
      <c r="F48" s="2119">
        <f t="shared" ca="1" si="0"/>
        <v>2942546.3225806449</v>
      </c>
      <c r="G48" s="2119">
        <f t="shared" si="0"/>
        <v>0</v>
      </c>
      <c r="H48" s="2119">
        <f t="shared" ca="1" si="0"/>
        <v>14200</v>
      </c>
    </row>
    <row r="49" spans="2:8">
      <c r="B49" s="2119" t="s">
        <v>80</v>
      </c>
      <c r="C49" s="2119">
        <f t="shared" ref="C49:H49" ca="1" si="1">+C45-C48</f>
        <v>120600</v>
      </c>
      <c r="D49" s="2119">
        <f t="shared" ca="1" si="1"/>
        <v>97996.087353082199</v>
      </c>
      <c r="E49" s="2119">
        <f t="shared" ca="1" si="1"/>
        <v>631199.81239735335</v>
      </c>
      <c r="F49" s="2119">
        <f t="shared" ca="1" si="1"/>
        <v>1703442.8377524586</v>
      </c>
      <c r="G49" s="2119">
        <f t="shared" si="1"/>
        <v>0</v>
      </c>
      <c r="H49" s="2119">
        <f t="shared" ca="1" si="1"/>
        <v>0</v>
      </c>
    </row>
  </sheetData>
  <phoneticPr fontId="41" type="noConversion"/>
  <pageMargins left="0.2" right="0.2" top="0.49" bottom="0.21" header="0.5" footer="0.5"/>
  <pageSetup paperSize="5" scale="72" orientation="landscape" r:id="rId1"/>
  <headerFooter alignWithMargins="0"/>
  <colBreaks count="1" manualBreakCount="1">
    <brk id="24"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04"/>
  <sheetViews>
    <sheetView showGridLines="0" defaultGridColor="0" topLeftCell="A7" colorId="59" zoomScale="70" zoomScaleNormal="70" workbookViewId="0">
      <selection activeCell="N21" sqref="N21"/>
    </sheetView>
  </sheetViews>
  <sheetFormatPr defaultColWidth="9.6328125" defaultRowHeight="15.6"/>
  <cols>
    <col min="1" max="1" width="9.6328125" style="7" customWidth="1"/>
    <col min="2" max="2" width="49.36328125" style="7" bestFit="1" customWidth="1"/>
    <col min="3" max="3" width="12.6328125" style="7" customWidth="1"/>
    <col min="4" max="4" width="9.6328125" style="7" customWidth="1"/>
    <col min="5" max="5" width="11.6328125" style="7" customWidth="1"/>
    <col min="6" max="6" width="9.6328125" style="7" customWidth="1"/>
    <col min="7" max="7" width="4.6328125" style="7" customWidth="1"/>
    <col min="8" max="8" width="2.6328125" style="7" customWidth="1"/>
    <col min="9" max="9" width="3.6328125" style="7" customWidth="1"/>
    <col min="10" max="15" width="9.6328125" style="7" customWidth="1"/>
    <col min="16" max="16" width="11.6328125" style="7" customWidth="1"/>
    <col min="17" max="16384" width="9.6328125" style="7"/>
  </cols>
  <sheetData>
    <row r="1" spans="1:256">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row>
    <row r="2" spans="1:256">
      <c r="A2" s="8"/>
      <c r="B2" s="9" t="s">
        <v>204</v>
      </c>
      <c r="C2" s="9"/>
      <c r="D2" s="9"/>
      <c r="E2" s="9"/>
      <c r="F2" s="9"/>
      <c r="G2" s="9"/>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row>
    <row r="3" spans="1:256">
      <c r="A3" s="8"/>
      <c r="B3" s="9" t="s">
        <v>205</v>
      </c>
      <c r="C3" s="9"/>
      <c r="D3" s="9"/>
      <c r="E3" s="9"/>
      <c r="F3" s="9"/>
      <c r="G3" s="9"/>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row>
    <row r="4" spans="1:256">
      <c r="A4" s="8"/>
      <c r="B4" s="57"/>
      <c r="C4" s="9"/>
      <c r="D4" s="9"/>
      <c r="E4" s="9"/>
      <c r="F4" s="9"/>
      <c r="G4" s="9"/>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row>
    <row r="5" spans="1:256">
      <c r="A5" s="8"/>
      <c r="B5" s="305" t="str">
        <f>DMREZ!F7</f>
        <v>Bowery Bay</v>
      </c>
      <c r="C5" s="306" t="s">
        <v>251</v>
      </c>
      <c r="D5" s="2724">
        <f>DMREZ!I5</f>
        <v>42370</v>
      </c>
      <c r="E5" s="2724"/>
      <c r="F5" s="307">
        <f>DMREZ!J5</f>
        <v>2016</v>
      </c>
      <c r="G5" s="305"/>
      <c r="H5" s="308"/>
      <c r="I5" s="308"/>
      <c r="J5" s="8"/>
      <c r="K5" s="10" t="s">
        <v>269</v>
      </c>
      <c r="L5" s="10"/>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row>
    <row r="6" spans="1:256" ht="21" customHeight="1">
      <c r="A6" s="8"/>
      <c r="B6" s="309" t="s">
        <v>1050</v>
      </c>
      <c r="C6" s="309" t="s">
        <v>252</v>
      </c>
      <c r="D6" s="310"/>
      <c r="E6" s="310"/>
      <c r="F6" s="310"/>
      <c r="G6" s="309" t="s">
        <v>267</v>
      </c>
      <c r="H6" s="310"/>
      <c r="I6" s="310"/>
      <c r="J6" s="11"/>
      <c r="K6" s="10" t="s">
        <v>270</v>
      </c>
      <c r="L6" s="10"/>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row>
    <row r="7" spans="1:256" ht="21" customHeight="1">
      <c r="A7" s="8"/>
      <c r="B7" s="311" t="s">
        <v>206</v>
      </c>
      <c r="C7" s="312" t="s">
        <v>253</v>
      </c>
      <c r="D7" s="313">
        <f>DMREZ!I43</f>
        <v>17</v>
      </c>
      <c r="E7" s="312" t="s">
        <v>262</v>
      </c>
      <c r="F7" s="313">
        <f>DMREZ!I45</f>
        <v>19</v>
      </c>
      <c r="G7" s="314"/>
      <c r="H7" s="315"/>
      <c r="I7" s="315"/>
      <c r="J7" s="11"/>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row>
    <row r="8" spans="1:256" ht="21" customHeight="1">
      <c r="A8" s="8"/>
      <c r="B8" s="311" t="s">
        <v>207</v>
      </c>
      <c r="C8" s="312" t="s">
        <v>957</v>
      </c>
      <c r="D8" s="316">
        <f>DMREZ!AU42</f>
        <v>3.94</v>
      </c>
      <c r="E8" s="312" t="s">
        <v>263</v>
      </c>
      <c r="F8" s="316">
        <f>DMREZ!AU44</f>
        <v>4.9000000000000004</v>
      </c>
      <c r="G8" s="314"/>
      <c r="H8" s="315"/>
      <c r="I8" s="315"/>
      <c r="J8" s="11"/>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row>
    <row r="9" spans="1:256" ht="21" customHeight="1">
      <c r="A9" s="8"/>
      <c r="B9" s="311" t="s">
        <v>208</v>
      </c>
      <c r="C9" s="312" t="s">
        <v>253</v>
      </c>
      <c r="D9" s="313">
        <f>DMREZ!R44</f>
        <v>140</v>
      </c>
      <c r="E9" s="317"/>
      <c r="F9" s="318"/>
      <c r="G9" s="314"/>
      <c r="H9" s="315"/>
      <c r="I9" s="315"/>
      <c r="J9" s="11"/>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row>
    <row r="10" spans="1:256" ht="21" customHeight="1">
      <c r="A10" s="8"/>
      <c r="B10" s="311" t="s">
        <v>209</v>
      </c>
      <c r="C10" s="312" t="s">
        <v>253</v>
      </c>
      <c r="D10" s="313">
        <f>DMREZ!S44</f>
        <v>7</v>
      </c>
      <c r="E10" s="312" t="s">
        <v>264</v>
      </c>
      <c r="F10" s="319">
        <f ca="1">DMREZ!R46</f>
        <v>6500</v>
      </c>
      <c r="G10" s="312">
        <f>IF(+D10&gt;K10,1,0)</f>
        <v>0</v>
      </c>
      <c r="H10" s="320" t="s">
        <v>268</v>
      </c>
      <c r="I10" s="320">
        <f ca="1">IF(+F10&gt;L10,1,0)</f>
        <v>0</v>
      </c>
      <c r="J10" s="11"/>
      <c r="K10" s="8">
        <v>25</v>
      </c>
      <c r="L10" s="12">
        <f>ROUND(+K10*8.34*DMREZ!$C$44,-3)</f>
        <v>31000</v>
      </c>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row>
    <row r="11" spans="1:256" ht="21" customHeight="1">
      <c r="A11" s="8"/>
      <c r="B11" s="311" t="s">
        <v>210</v>
      </c>
      <c r="C11" s="311" t="s">
        <v>254</v>
      </c>
      <c r="D11" s="313">
        <f ca="1">DMREZ!DM17</f>
        <v>11</v>
      </c>
      <c r="E11" s="312" t="s">
        <v>264</v>
      </c>
      <c r="F11" s="319">
        <f ca="1">DMREZ!DR17</f>
        <v>9300</v>
      </c>
      <c r="G11" s="321">
        <f ca="1">COUNTIF(DMREZ!$DM$12:$DM$16,"&gt;40")</f>
        <v>0</v>
      </c>
      <c r="H11" s="320" t="s">
        <v>268</v>
      </c>
      <c r="I11" s="320">
        <f>COUNTIF(DMREZ!$DS$12:$DS$16,"&gt;"&amp;FIXED(L11,0,TRUE))</f>
        <v>0</v>
      </c>
      <c r="J11" s="11"/>
      <c r="K11" s="8">
        <v>40</v>
      </c>
      <c r="L11" s="12">
        <f>ROUND(+K11*8.34*DMREZ!$C$44,-3)</f>
        <v>50000</v>
      </c>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row>
    <row r="12" spans="1:256" ht="21" customHeight="1">
      <c r="A12" s="8"/>
      <c r="B12" s="311" t="s">
        <v>211</v>
      </c>
      <c r="C12" s="312" t="s">
        <v>253</v>
      </c>
      <c r="D12" s="313">
        <f>DMREZ!T44</f>
        <v>139</v>
      </c>
      <c r="E12" s="317"/>
      <c r="F12" s="318"/>
      <c r="G12" s="314"/>
      <c r="H12" s="315"/>
      <c r="I12" s="322"/>
      <c r="J12" s="11"/>
      <c r="K12" s="8"/>
      <c r="L12" s="12"/>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row>
    <row r="13" spans="1:256" ht="21" customHeight="1">
      <c r="A13" s="8"/>
      <c r="B13" s="311" t="s">
        <v>212</v>
      </c>
      <c r="C13" s="312" t="s">
        <v>253</v>
      </c>
      <c r="D13" s="313">
        <f>DMREZ!U44</f>
        <v>16</v>
      </c>
      <c r="E13" s="312" t="s">
        <v>264</v>
      </c>
      <c r="F13" s="319">
        <f ca="1">DMREZ!T46</f>
        <v>14000</v>
      </c>
      <c r="G13" s="312">
        <f>IF(+D13&gt;K13,1,0)</f>
        <v>0</v>
      </c>
      <c r="H13" s="320" t="s">
        <v>268</v>
      </c>
      <c r="I13" s="320">
        <f ca="1">IF(+F13&gt;L13,1,0)</f>
        <v>0</v>
      </c>
      <c r="J13" s="11"/>
      <c r="K13" s="8">
        <v>30</v>
      </c>
      <c r="L13" s="12">
        <f>ROUND(+K13*8.34*DMREZ!$C$44,-3)</f>
        <v>38000</v>
      </c>
      <c r="M13" s="8"/>
      <c r="N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row>
    <row r="14" spans="1:256" ht="21" customHeight="1">
      <c r="A14" s="8"/>
      <c r="B14" s="311" t="s">
        <v>213</v>
      </c>
      <c r="C14" s="311" t="s">
        <v>254</v>
      </c>
      <c r="D14" s="313">
        <f ca="1">DMREZ!DK17</f>
        <v>27</v>
      </c>
      <c r="E14" s="312" t="s">
        <v>264</v>
      </c>
      <c r="F14" s="319">
        <f ca="1">DMREZ!DP17</f>
        <v>24000</v>
      </c>
      <c r="G14" s="312">
        <f ca="1">COUNTIF(DMREZ!DK12:DK16,"&gt;45")</f>
        <v>0</v>
      </c>
      <c r="H14" s="320" t="s">
        <v>268</v>
      </c>
      <c r="I14" s="320">
        <f ca="1">COUNTIF(DMREZ!DP12:DP16,"&gt;"&amp;FIXED(L14,0,TRUE))</f>
        <v>0</v>
      </c>
      <c r="J14" s="11"/>
      <c r="K14" s="8">
        <v>45</v>
      </c>
      <c r="L14" s="12">
        <f>ROUND(+K14*8.34*DMREZ!$C$44,-3)</f>
        <v>56000</v>
      </c>
      <c r="M14" s="8"/>
      <c r="N14" s="8"/>
      <c r="O14" s="13"/>
      <c r="P14" s="14"/>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row>
    <row r="15" spans="1:256" ht="17.399999999999999">
      <c r="A15" s="8"/>
      <c r="B15" s="311" t="s">
        <v>214</v>
      </c>
      <c r="C15" s="311" t="s">
        <v>255</v>
      </c>
      <c r="D15" s="313">
        <f>MAX(DMREZ!U11:U41)</f>
        <v>90</v>
      </c>
      <c r="E15" s="323"/>
      <c r="F15" s="313"/>
      <c r="G15" s="324"/>
      <c r="H15" s="320">
        <f>COUNTIF(DMREZ!V11:V41,"=violation")</f>
        <v>2</v>
      </c>
      <c r="I15" s="320"/>
      <c r="J15" s="16"/>
      <c r="K15" s="17">
        <v>50</v>
      </c>
      <c r="L15" s="8"/>
      <c r="M15" s="17" t="s">
        <v>271</v>
      </c>
      <c r="N15" s="8"/>
      <c r="O15" s="13"/>
      <c r="P15" s="14"/>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row>
    <row r="16" spans="1:256" ht="21" customHeight="1">
      <c r="A16" s="8"/>
      <c r="B16" s="311" t="s">
        <v>215</v>
      </c>
      <c r="C16" s="312" t="s">
        <v>256</v>
      </c>
      <c r="D16" s="316">
        <f>DMREZ!K42</f>
        <v>6.2</v>
      </c>
      <c r="E16" s="312" t="s">
        <v>262</v>
      </c>
      <c r="F16" s="316">
        <f>DMREZ!K43</f>
        <v>7.5</v>
      </c>
      <c r="G16" s="314"/>
      <c r="H16" s="315"/>
      <c r="I16" s="315"/>
      <c r="J16" s="11"/>
      <c r="K16" s="8"/>
      <c r="L16" s="8"/>
      <c r="M16" s="17" t="s">
        <v>272</v>
      </c>
      <c r="N16" s="8"/>
      <c r="O16" s="13"/>
      <c r="P16" s="14"/>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row>
    <row r="17" spans="1:256" ht="21" customHeight="1">
      <c r="A17" s="8"/>
      <c r="B17" s="311" t="s">
        <v>216</v>
      </c>
      <c r="C17" s="312" t="s">
        <v>256</v>
      </c>
      <c r="D17" s="316">
        <f>DMREZ!N42</f>
        <v>6</v>
      </c>
      <c r="E17" s="312" t="s">
        <v>262</v>
      </c>
      <c r="F17" s="316">
        <f>DMREZ!N43</f>
        <v>7.1</v>
      </c>
      <c r="G17" s="312">
        <f>DMREZ!EX42</f>
        <v>0</v>
      </c>
      <c r="H17" s="320" t="s">
        <v>268</v>
      </c>
      <c r="I17" s="320">
        <f>COUNTIF(DMREZ!N11:N41,"&gt;9.0")</f>
        <v>0</v>
      </c>
      <c r="J17" s="11"/>
      <c r="K17" s="18">
        <v>6</v>
      </c>
      <c r="L17" s="18">
        <v>9</v>
      </c>
      <c r="M17" s="8"/>
      <c r="N17" s="8"/>
      <c r="O17" s="13"/>
      <c r="P17" s="14"/>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ht="21" customHeight="1">
      <c r="A18" s="8"/>
      <c r="B18" s="311" t="s">
        <v>217</v>
      </c>
      <c r="C18" s="311" t="s">
        <v>257</v>
      </c>
      <c r="D18" s="316"/>
      <c r="E18" s="325"/>
      <c r="F18" s="318"/>
      <c r="G18" s="314"/>
      <c r="H18" s="315"/>
      <c r="I18" s="315"/>
      <c r="J18" s="11"/>
      <c r="K18" s="8"/>
      <c r="L18" s="8"/>
      <c r="M18" s="8"/>
      <c r="N18" s="8"/>
      <c r="O18" s="13"/>
      <c r="P18" s="14"/>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ht="21" customHeight="1">
      <c r="A19" s="8"/>
      <c r="B19" s="311" t="s">
        <v>218</v>
      </c>
      <c r="C19" s="311" t="s">
        <v>257</v>
      </c>
      <c r="D19" s="316"/>
      <c r="E19" s="317"/>
      <c r="F19" s="318"/>
      <c r="G19" s="314"/>
      <c r="H19" s="315"/>
      <c r="I19" s="315"/>
      <c r="J19" s="11"/>
      <c r="K19" s="8"/>
      <c r="L19" s="8"/>
      <c r="M19" s="8"/>
      <c r="N19" s="8"/>
      <c r="O19" s="13"/>
      <c r="P19" s="14"/>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ht="21" customHeight="1">
      <c r="A20" s="8"/>
      <c r="B20" s="311" t="s">
        <v>219</v>
      </c>
      <c r="C20" s="312" t="s">
        <v>253</v>
      </c>
      <c r="D20" s="313">
        <f>DMREZ!G44</f>
        <v>103</v>
      </c>
      <c r="E20" s="311" t="s">
        <v>265</v>
      </c>
      <c r="F20" s="313">
        <f ca="1">DMREZ!E44</f>
        <v>93</v>
      </c>
      <c r="G20" s="314"/>
      <c r="H20" s="315"/>
      <c r="I20" s="315"/>
      <c r="J20" s="11"/>
      <c r="K20" s="8"/>
      <c r="M20" s="8"/>
      <c r="N20" s="8"/>
      <c r="O20" s="13"/>
      <c r="P20" s="14"/>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ht="21" customHeight="1">
      <c r="A21" s="8"/>
      <c r="B21" s="311" t="s">
        <v>220</v>
      </c>
      <c r="C21" s="312"/>
      <c r="D21" s="313">
        <f>DMREZ!EJ17</f>
        <v>105</v>
      </c>
      <c r="E21" s="326"/>
      <c r="F21" s="313"/>
      <c r="G21" s="312"/>
      <c r="H21" s="320">
        <f>IF(+D21&gt;+DMREZ!C44,1,0)</f>
        <v>0</v>
      </c>
      <c r="I21" s="320"/>
      <c r="J21" s="11"/>
      <c r="K21" s="8">
        <f>DMREZ!$C$44</f>
        <v>150</v>
      </c>
      <c r="L21" s="8"/>
      <c r="M21" s="8"/>
      <c r="N21" s="8"/>
      <c r="O21" s="13"/>
      <c r="P21" s="14"/>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ht="21" customHeight="1">
      <c r="A22" s="8"/>
      <c r="B22" s="311" t="s">
        <v>221</v>
      </c>
      <c r="C22" s="327">
        <f ca="1">DMREZ!S45</f>
        <v>0.95</v>
      </c>
      <c r="D22" s="326"/>
      <c r="E22" s="317"/>
      <c r="F22" s="317"/>
      <c r="G22" s="312"/>
      <c r="H22" s="320">
        <f ca="1">IF(+C22&lt;K22,1,0)</f>
        <v>0</v>
      </c>
      <c r="I22" s="320"/>
      <c r="J22" s="11"/>
      <c r="K22" s="19">
        <v>0.85</v>
      </c>
      <c r="L22" s="8"/>
      <c r="M22" s="8"/>
      <c r="N22" s="8"/>
      <c r="O22" s="13"/>
      <c r="P22" s="14"/>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ht="21" customHeight="1">
      <c r="A23" s="8"/>
      <c r="B23" s="311" t="s">
        <v>222</v>
      </c>
      <c r="C23" s="327">
        <f ca="1">DMREZ!U45</f>
        <v>0.89</v>
      </c>
      <c r="D23" s="326"/>
      <c r="E23" s="317"/>
      <c r="F23" s="317"/>
      <c r="G23" s="312"/>
      <c r="H23" s="320">
        <f ca="1">IF(+C23&lt;K23,1,0)</f>
        <v>0</v>
      </c>
      <c r="I23" s="320"/>
      <c r="J23" s="11"/>
      <c r="K23" s="19">
        <v>0.85</v>
      </c>
      <c r="L23" s="8"/>
      <c r="M23" s="8"/>
      <c r="N23" s="8"/>
      <c r="O23" s="13"/>
      <c r="P23" s="14"/>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row>
    <row r="24" spans="1:256" ht="21" customHeight="1">
      <c r="A24" s="8"/>
      <c r="B24" s="311" t="s">
        <v>223</v>
      </c>
      <c r="C24" s="2140" t="str">
        <f>DMREZ!AC44</f>
        <v>Maximum</v>
      </c>
      <c r="D24" s="320" t="s">
        <v>1017</v>
      </c>
      <c r="E24" s="317"/>
      <c r="F24" s="317"/>
      <c r="G24" s="312"/>
      <c r="H24" s="320">
        <f>COUNTIF(DMREZ!AC11:AC41,"&gt;2.0")</f>
        <v>0</v>
      </c>
      <c r="I24" s="320"/>
      <c r="J24" s="11"/>
      <c r="K24" s="18">
        <v>2</v>
      </c>
      <c r="L24" s="8"/>
      <c r="M24" s="8"/>
      <c r="N24" s="8"/>
      <c r="O24" s="13"/>
      <c r="P24" s="14"/>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row>
    <row r="25" spans="1:256" ht="21" customHeight="1">
      <c r="A25" s="8"/>
      <c r="B25" s="311" t="s">
        <v>224</v>
      </c>
      <c r="C25" s="328">
        <f>+MAX(DMREZ!AE11:AE41)</f>
        <v>4000</v>
      </c>
      <c r="D25" s="320" t="s">
        <v>261</v>
      </c>
      <c r="E25" s="317"/>
      <c r="F25" s="317"/>
      <c r="G25" s="314"/>
      <c r="H25" s="315"/>
      <c r="I25" s="315"/>
      <c r="J25" s="11"/>
      <c r="K25" s="8"/>
      <c r="L25" s="8"/>
      <c r="M25" s="8"/>
      <c r="N25" s="8"/>
      <c r="O25" s="13"/>
      <c r="P25" s="14"/>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row>
    <row r="26" spans="1:256" ht="21" customHeight="1">
      <c r="A26" s="8"/>
      <c r="B26" s="311" t="s">
        <v>225</v>
      </c>
      <c r="C26" s="329">
        <f>DMREZ!AE44</f>
        <v>28</v>
      </c>
      <c r="D26" s="320" t="s">
        <v>261</v>
      </c>
      <c r="E26" s="317"/>
      <c r="F26" s="317"/>
      <c r="G26" s="312"/>
      <c r="H26" s="320">
        <f>IF(C26&gt;200,1,0)</f>
        <v>0</v>
      </c>
      <c r="I26" s="320"/>
      <c r="J26" s="11"/>
      <c r="K26" s="8">
        <v>200</v>
      </c>
      <c r="L26" s="8"/>
      <c r="M26" s="8"/>
      <c r="N26" s="8"/>
      <c r="O26" s="13"/>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row>
    <row r="27" spans="1:256" ht="21" customHeight="1">
      <c r="A27" s="8"/>
      <c r="B27" s="311" t="s">
        <v>226</v>
      </c>
      <c r="C27" s="329">
        <f ca="1">DMREZ!DN17</f>
        <v>99</v>
      </c>
      <c r="D27" s="320" t="s">
        <v>261</v>
      </c>
      <c r="E27" s="317"/>
      <c r="F27" s="317"/>
      <c r="G27" s="312"/>
      <c r="H27" s="320">
        <f ca="1">COUNTIF(DMREZ!DN12:DN16,"&gt;400")</f>
        <v>0</v>
      </c>
      <c r="I27" s="320"/>
      <c r="J27" s="11"/>
      <c r="K27" s="8">
        <v>400</v>
      </c>
      <c r="L27" s="8"/>
      <c r="M27" s="8"/>
      <c r="N27" s="8"/>
      <c r="O27" s="13"/>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row>
    <row r="28" spans="1:256" ht="21" customHeight="1">
      <c r="A28" s="8"/>
      <c r="B28" s="330" t="s">
        <v>227</v>
      </c>
      <c r="C28" s="312" t="s">
        <v>253</v>
      </c>
      <c r="D28" s="313">
        <f>DMREZ!AV44</f>
        <v>530</v>
      </c>
      <c r="E28" s="320" t="s">
        <v>262</v>
      </c>
      <c r="F28" s="313">
        <f>DMREZ!AV42</f>
        <v>1540</v>
      </c>
      <c r="G28" s="314"/>
      <c r="H28" s="315"/>
      <c r="I28" s="315"/>
      <c r="J28" s="11"/>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ht="21" customHeight="1">
      <c r="A29" s="8"/>
      <c r="B29" s="311" t="s">
        <v>228</v>
      </c>
      <c r="C29" s="331">
        <f>MAX(DMREZ!F11:F41)</f>
        <v>224</v>
      </c>
      <c r="D29" s="320" t="s">
        <v>940</v>
      </c>
      <c r="E29" s="317"/>
      <c r="F29" s="317"/>
      <c r="G29" s="314"/>
      <c r="H29" s="315"/>
      <c r="I29" s="315"/>
      <c r="J29" s="11"/>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row>
    <row r="30" spans="1:256" ht="21" customHeight="1">
      <c r="A30" s="8"/>
      <c r="B30" s="311" t="s">
        <v>229</v>
      </c>
      <c r="C30" s="331">
        <v>300</v>
      </c>
      <c r="D30" s="320" t="s">
        <v>940</v>
      </c>
      <c r="E30" s="312" t="s">
        <v>266</v>
      </c>
      <c r="F30" s="1874" t="s">
        <v>972</v>
      </c>
      <c r="G30" s="314"/>
      <c r="H30" s="315"/>
      <c r="I30" s="315"/>
      <c r="J30" s="11"/>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row>
    <row r="31" spans="1:256" ht="21" customHeight="1">
      <c r="A31" s="8"/>
      <c r="B31" s="332" t="s">
        <v>230</v>
      </c>
      <c r="C31" s="332" t="s">
        <v>258</v>
      </c>
      <c r="D31" s="316">
        <f ca="1">DMREZ!$CY$42</f>
        <v>36.200000000000003</v>
      </c>
      <c r="E31" s="332" t="s">
        <v>264</v>
      </c>
      <c r="F31" s="319">
        <f ca="1">DMREZ!$DA$43</f>
        <v>30500</v>
      </c>
      <c r="G31" s="314"/>
      <c r="H31" s="315"/>
      <c r="I31" s="315"/>
      <c r="J31" s="11"/>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ht="21" customHeight="1">
      <c r="A32" s="8"/>
      <c r="B32" s="332" t="s">
        <v>231</v>
      </c>
      <c r="C32" s="332" t="s">
        <v>258</v>
      </c>
      <c r="D32" s="316">
        <f ca="1">DMREZ!$CZ$42</f>
        <v>17.5</v>
      </c>
      <c r="E32" s="332" t="s">
        <v>264</v>
      </c>
      <c r="F32" s="319">
        <f ca="1">DMREZ!$AR$45</f>
        <v>15000</v>
      </c>
      <c r="G32" s="314"/>
      <c r="H32" s="315"/>
      <c r="I32" s="315"/>
      <c r="J32" s="11"/>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256" ht="21" customHeight="1">
      <c r="A33" s="8"/>
      <c r="B33" s="332" t="s">
        <v>232</v>
      </c>
      <c r="C33" s="317"/>
      <c r="D33" s="319">
        <f>DMREZ!$EJ$36</f>
        <v>11500</v>
      </c>
      <c r="E33" s="317"/>
      <c r="F33" s="326"/>
      <c r="G33" s="314"/>
      <c r="H33" s="315"/>
      <c r="I33" s="315"/>
      <c r="J33" s="11"/>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row>
    <row r="34" spans="1:256" ht="21" customHeight="1">
      <c r="A34" s="8"/>
      <c r="B34" s="332" t="s">
        <v>233</v>
      </c>
      <c r="C34" s="332" t="s">
        <v>258</v>
      </c>
      <c r="D34" s="333">
        <f>DMREZ!$AM$42</f>
        <v>0.05</v>
      </c>
      <c r="E34" s="334" t="s">
        <v>264</v>
      </c>
      <c r="F34" s="319">
        <f ca="1">DMREZ!$CQ$51</f>
        <v>0</v>
      </c>
      <c r="G34" s="314"/>
      <c r="H34" s="315"/>
      <c r="I34" s="315"/>
      <c r="J34" s="11"/>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ht="21" customHeight="1">
      <c r="A35" s="8"/>
      <c r="B35" s="332" t="s">
        <v>234</v>
      </c>
      <c r="C35" s="332" t="s">
        <v>258</v>
      </c>
      <c r="D35" s="333">
        <f>DMREZ!$AQ$42</f>
        <v>0.65</v>
      </c>
      <c r="E35" s="334" t="s">
        <v>264</v>
      </c>
      <c r="F35" s="319">
        <f ca="1">DMREZ!$CU$51</f>
        <v>600</v>
      </c>
      <c r="G35" s="314"/>
      <c r="H35" s="315"/>
      <c r="I35" s="315"/>
      <c r="J35" s="11"/>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row>
    <row r="36" spans="1:256" ht="21" customHeight="1">
      <c r="A36" s="8"/>
      <c r="B36" s="332" t="s">
        <v>235</v>
      </c>
      <c r="C36" s="332" t="s">
        <v>258</v>
      </c>
      <c r="D36" s="333">
        <f>DMREZ!$AN$42</f>
        <v>0.13</v>
      </c>
      <c r="E36" s="334" t="s">
        <v>264</v>
      </c>
      <c r="F36" s="319">
        <f ca="1">DMREZ!$CR$51</f>
        <v>100</v>
      </c>
      <c r="G36" s="314"/>
      <c r="H36" s="315"/>
      <c r="I36" s="315"/>
      <c r="J36" s="11"/>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256" ht="21" customHeight="1">
      <c r="A37" s="8"/>
      <c r="B37" s="332" t="s">
        <v>236</v>
      </c>
      <c r="C37" s="332" t="s">
        <v>258</v>
      </c>
      <c r="D37" s="333">
        <f>DMREZ!$AR$42</f>
        <v>3.27</v>
      </c>
      <c r="E37" s="334" t="s">
        <v>264</v>
      </c>
      <c r="F37" s="319">
        <f ca="1">DMREZ!$CV$51</f>
        <v>2700</v>
      </c>
      <c r="G37" s="314"/>
      <c r="H37" s="315"/>
      <c r="I37" s="315"/>
      <c r="J37" s="11"/>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256" ht="21" customHeight="1">
      <c r="A38" s="8"/>
      <c r="B38" s="332" t="s">
        <v>237</v>
      </c>
      <c r="C38" s="332" t="s">
        <v>258</v>
      </c>
      <c r="D38" s="316">
        <f>DMREZ!$AP$42</f>
        <v>36</v>
      </c>
      <c r="E38" s="332" t="s">
        <v>264</v>
      </c>
      <c r="F38" s="319">
        <f ca="1">DMREZ!$CT$51</f>
        <v>30300</v>
      </c>
      <c r="G38" s="314"/>
      <c r="H38" s="315"/>
      <c r="I38" s="315"/>
      <c r="J38" s="11"/>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r="39" spans="1:256" ht="21" customHeight="1">
      <c r="A39" s="8"/>
      <c r="B39" s="332" t="s">
        <v>238</v>
      </c>
      <c r="C39" s="332" t="s">
        <v>258</v>
      </c>
      <c r="D39" s="316">
        <f>DMREZ!$AT$42</f>
        <v>13.6</v>
      </c>
      <c r="E39" s="332" t="s">
        <v>264</v>
      </c>
      <c r="F39" s="319">
        <f ca="1">DMREZ!$CX$51</f>
        <v>11700</v>
      </c>
      <c r="G39" s="314"/>
      <c r="H39" s="315"/>
      <c r="I39" s="315"/>
      <c r="J39" s="11"/>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256" ht="21.9" customHeight="1">
      <c r="A40" s="8"/>
      <c r="B40" s="330" t="s">
        <v>239</v>
      </c>
      <c r="C40" s="330" t="s">
        <v>258</v>
      </c>
      <c r="D40" s="335">
        <f>DMREZ!$AO$42</f>
        <v>25.3</v>
      </c>
      <c r="E40" s="330" t="s">
        <v>264</v>
      </c>
      <c r="F40" s="336">
        <f ca="1">DMREZ!$CS$51</f>
        <v>20900</v>
      </c>
      <c r="G40" s="337"/>
      <c r="H40" s="338"/>
      <c r="I40" s="338"/>
      <c r="J40" s="11"/>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r="41" spans="1:256" ht="21.9" customHeight="1">
      <c r="A41" s="8"/>
      <c r="B41" s="332" t="s">
        <v>240</v>
      </c>
      <c r="C41" s="332" t="s">
        <v>258</v>
      </c>
      <c r="D41" s="316">
        <f>DMREZ!$AS$42</f>
        <v>13.4</v>
      </c>
      <c r="E41" s="332" t="s">
        <v>264</v>
      </c>
      <c r="F41" s="319">
        <f ca="1">DMREZ!$CW$51</f>
        <v>11400</v>
      </c>
      <c r="G41" s="314"/>
      <c r="H41" s="315"/>
      <c r="I41" s="338"/>
      <c r="J41" s="11"/>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256" ht="21.9" customHeight="1">
      <c r="A42" s="8"/>
      <c r="B42" s="332" t="s">
        <v>977</v>
      </c>
      <c r="C42" s="332" t="s">
        <v>956</v>
      </c>
      <c r="D42" s="316">
        <f>DMREZ!AA44</f>
        <v>2.8</v>
      </c>
      <c r="E42" s="334" t="s">
        <v>952</v>
      </c>
      <c r="F42" s="316">
        <f>DMREZ!AB44</f>
        <v>2.11</v>
      </c>
      <c r="G42" s="314"/>
      <c r="H42" s="315"/>
      <c r="I42" s="338"/>
      <c r="J42" s="11"/>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256" ht="21.9" customHeight="1">
      <c r="A43" s="8"/>
      <c r="B43" s="332" t="s">
        <v>241</v>
      </c>
      <c r="C43" s="332" t="s">
        <v>956</v>
      </c>
      <c r="D43" s="316">
        <f>DMREZ!Y44</f>
        <v>4.8</v>
      </c>
      <c r="E43" s="334" t="s">
        <v>952</v>
      </c>
      <c r="F43" s="316">
        <f>DMREZ!Z44</f>
        <v>2.6</v>
      </c>
      <c r="G43" s="314"/>
      <c r="H43" s="338"/>
      <c r="I43" s="338"/>
      <c r="J43" s="11"/>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row>
    <row r="44" spans="1:256" ht="21.9" customHeight="1">
      <c r="A44" s="8"/>
      <c r="B44" s="317" t="s">
        <v>242</v>
      </c>
      <c r="C44" s="317"/>
      <c r="D44" s="317"/>
      <c r="E44" s="317"/>
      <c r="F44" s="317"/>
      <c r="G44" s="317"/>
      <c r="H44" s="339"/>
      <c r="I44" s="339"/>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row>
    <row r="45" spans="1:256" ht="21.9" customHeight="1">
      <c r="A45" s="8"/>
      <c r="B45" s="305" t="s">
        <v>243</v>
      </c>
      <c r="C45" s="305" t="s">
        <v>259</v>
      </c>
      <c r="D45" s="305"/>
      <c r="E45" s="305"/>
      <c r="F45" s="305"/>
      <c r="G45" s="305"/>
      <c r="H45" s="308"/>
      <c r="I45" s="30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row>
    <row r="46" spans="1:256" ht="21.9" customHeight="1">
      <c r="A46" s="8"/>
      <c r="B46" s="305" t="s">
        <v>244</v>
      </c>
      <c r="C46" s="305" t="s">
        <v>260</v>
      </c>
      <c r="D46" s="305"/>
      <c r="E46" s="305"/>
      <c r="F46" s="305"/>
      <c r="G46" s="305"/>
      <c r="H46" s="308"/>
      <c r="I46" s="30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256" ht="21.9" customHeight="1">
      <c r="A47" s="8"/>
      <c r="B47" s="305" t="s">
        <v>245</v>
      </c>
      <c r="C47" s="305"/>
      <c r="D47" s="305"/>
      <c r="E47" s="305"/>
      <c r="F47" s="305"/>
      <c r="G47" s="305"/>
      <c r="H47" s="308"/>
      <c r="I47" s="30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row>
    <row r="48" spans="1:256" ht="21.9" customHeight="1">
      <c r="A48" s="8"/>
      <c r="B48" s="305" t="s">
        <v>246</v>
      </c>
      <c r="C48" s="305"/>
      <c r="D48" s="305"/>
      <c r="E48" s="305"/>
      <c r="F48" s="305"/>
      <c r="G48" s="305"/>
      <c r="H48" s="305"/>
      <c r="I48" s="305"/>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row>
    <row r="49" spans="1:256" ht="21.9" customHeight="1">
      <c r="A49" s="8"/>
      <c r="B49" s="305" t="s">
        <v>247</v>
      </c>
      <c r="C49" s="305"/>
      <c r="D49" s="308"/>
      <c r="E49" s="308"/>
      <c r="F49" s="308"/>
      <c r="G49" s="308"/>
      <c r="H49" s="308"/>
      <c r="I49" s="30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256" ht="21.9" customHeight="1">
      <c r="A50" s="8"/>
      <c r="B50" s="305" t="s">
        <v>248</v>
      </c>
      <c r="C50" s="305"/>
      <c r="D50" s="305"/>
      <c r="E50" s="305"/>
      <c r="F50" s="305"/>
      <c r="G50" s="305"/>
      <c r="H50" s="305"/>
      <c r="I50" s="305"/>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256" s="8" customFormat="1"/>
    <row r="52" spans="1:256">
      <c r="A52" s="8"/>
      <c r="B52" s="8" t="s">
        <v>249</v>
      </c>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r="53" spans="1:256">
      <c r="A53" s="8"/>
      <c r="B53" s="20"/>
      <c r="C53" s="20"/>
      <c r="D53" s="20"/>
      <c r="E53" s="20"/>
      <c r="F53" s="20"/>
      <c r="G53" s="20"/>
      <c r="H53" s="20"/>
      <c r="I53" s="20"/>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row>
    <row r="54" spans="1:256">
      <c r="A54" s="8"/>
      <c r="B54" s="8" t="s">
        <v>250</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row>
    <row r="55" spans="1:256">
      <c r="A55" s="8"/>
      <c r="B55" s="20"/>
      <c r="C55" s="20"/>
      <c r="D55" s="20"/>
      <c r="E55" s="20"/>
      <c r="F55" s="20"/>
      <c r="G55" s="20"/>
      <c r="H55" s="20"/>
      <c r="I55" s="20"/>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row>
    <row r="56" spans="1:256" s="8" customFormat="1"/>
    <row r="57" spans="1:256" s="8" customFormat="1"/>
    <row r="58" spans="1:256" s="8" customFormat="1"/>
    <row r="59" spans="1:256" s="8" customFormat="1"/>
    <row r="60" spans="1:256" s="8" customFormat="1"/>
    <row r="61" spans="1:256" s="8" customFormat="1"/>
    <row r="62" spans="1:256" s="8" customFormat="1"/>
    <row r="63" spans="1:256" s="8" customFormat="1"/>
    <row r="64" spans="1:256" s="8" customFormat="1"/>
    <row r="65" spans="1:256" s="8" customFormat="1"/>
    <row r="66" spans="1:256" s="8" customFormat="1"/>
    <row r="67" spans="1:256" s="8" customFormat="1"/>
    <row r="68" spans="1:256" s="8" customFormat="1"/>
    <row r="69" spans="1:256" s="8" customFormat="1"/>
    <row r="70" spans="1:256" s="8" customFormat="1"/>
    <row r="71" spans="1:256" s="8" customFormat="1"/>
    <row r="72" spans="1:256" s="8" customFormat="1"/>
    <row r="73" spans="1:256">
      <c r="A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4" spans="1:256">
      <c r="A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row>
    <row r="75" spans="1:256">
      <c r="A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6" spans="1:256">
      <c r="A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c r="HR76" s="8"/>
      <c r="HS76" s="8"/>
      <c r="HT76" s="8"/>
      <c r="HU76" s="8"/>
      <c r="HV76" s="8"/>
      <c r="HW76" s="8"/>
      <c r="HX76" s="8"/>
      <c r="HY76" s="8"/>
      <c r="HZ76" s="8"/>
      <c r="IA76" s="8"/>
      <c r="IB76" s="8"/>
      <c r="IC76" s="8"/>
      <c r="ID76" s="8"/>
      <c r="IE76" s="8"/>
      <c r="IF76" s="8"/>
      <c r="IG76" s="8"/>
      <c r="IH76" s="8"/>
      <c r="II76" s="8"/>
      <c r="IJ76" s="8"/>
      <c r="IK76" s="8"/>
      <c r="IL76" s="8"/>
      <c r="IM76" s="8"/>
      <c r="IN76" s="8"/>
      <c r="IO76" s="8"/>
      <c r="IP76" s="8"/>
      <c r="IQ76" s="8"/>
      <c r="IR76" s="8"/>
      <c r="IS76" s="8"/>
      <c r="IT76" s="8"/>
      <c r="IU76" s="8"/>
      <c r="IV76" s="8"/>
    </row>
    <row r="77" spans="1:256">
      <c r="A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c r="HR77" s="8"/>
      <c r="HS77" s="8"/>
      <c r="HT77" s="8"/>
      <c r="HU77" s="8"/>
      <c r="HV77" s="8"/>
      <c r="HW77" s="8"/>
      <c r="HX77" s="8"/>
      <c r="HY77" s="8"/>
      <c r="HZ77" s="8"/>
      <c r="IA77" s="8"/>
      <c r="IB77" s="8"/>
      <c r="IC77" s="8"/>
      <c r="ID77" s="8"/>
      <c r="IE77" s="8"/>
      <c r="IF77" s="8"/>
      <c r="IG77" s="8"/>
      <c r="IH77" s="8"/>
      <c r="II77" s="8"/>
      <c r="IJ77" s="8"/>
      <c r="IK77" s="8"/>
      <c r="IL77" s="8"/>
      <c r="IM77" s="8"/>
      <c r="IN77" s="8"/>
      <c r="IO77" s="8"/>
      <c r="IP77" s="8"/>
      <c r="IQ77" s="8"/>
      <c r="IR77" s="8"/>
      <c r="IS77" s="8"/>
      <c r="IT77" s="8"/>
      <c r="IU77" s="8"/>
      <c r="IV77" s="8"/>
    </row>
    <row r="78" spans="1:256">
      <c r="A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c r="HR78" s="8"/>
      <c r="HS78" s="8"/>
      <c r="HT78" s="8"/>
      <c r="HU78" s="8"/>
      <c r="HV78" s="8"/>
      <c r="HW78" s="8"/>
      <c r="HX78" s="8"/>
      <c r="HY78" s="8"/>
      <c r="HZ78" s="8"/>
      <c r="IA78" s="8"/>
      <c r="IB78" s="8"/>
      <c r="IC78" s="8"/>
      <c r="ID78" s="8"/>
      <c r="IE78" s="8"/>
      <c r="IF78" s="8"/>
      <c r="IG78" s="8"/>
      <c r="IH78" s="8"/>
      <c r="II78" s="8"/>
      <c r="IJ78" s="8"/>
      <c r="IK78" s="8"/>
      <c r="IL78" s="8"/>
      <c r="IM78" s="8"/>
      <c r="IN78" s="8"/>
      <c r="IO78" s="8"/>
      <c r="IP78" s="8"/>
      <c r="IQ78" s="8"/>
      <c r="IR78" s="8"/>
      <c r="IS78" s="8"/>
      <c r="IT78" s="8"/>
      <c r="IU78" s="8"/>
      <c r="IV78" s="8"/>
    </row>
    <row r="79" spans="1:256">
      <c r="A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c r="HR79" s="8"/>
      <c r="HS79" s="8"/>
      <c r="HT79" s="8"/>
      <c r="HU79" s="8"/>
      <c r="HV79" s="8"/>
      <c r="HW79" s="8"/>
      <c r="HX79" s="8"/>
      <c r="HY79" s="8"/>
      <c r="HZ79" s="8"/>
      <c r="IA79" s="8"/>
      <c r="IB79" s="8"/>
      <c r="IC79" s="8"/>
      <c r="ID79" s="8"/>
      <c r="IE79" s="8"/>
      <c r="IF79" s="8"/>
      <c r="IG79" s="8"/>
      <c r="IH79" s="8"/>
      <c r="II79" s="8"/>
      <c r="IJ79" s="8"/>
      <c r="IK79" s="8"/>
      <c r="IL79" s="8"/>
      <c r="IM79" s="8"/>
      <c r="IN79" s="8"/>
      <c r="IO79" s="8"/>
      <c r="IP79" s="8"/>
      <c r="IQ79" s="8"/>
      <c r="IR79" s="8"/>
      <c r="IS79" s="8"/>
      <c r="IT79" s="8"/>
      <c r="IU79" s="8"/>
      <c r="IV79" s="8"/>
    </row>
    <row r="80" spans="1:256">
      <c r="A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c r="HO80" s="8"/>
      <c r="HP80" s="8"/>
      <c r="HQ80" s="8"/>
      <c r="HR80" s="8"/>
      <c r="HS80" s="8"/>
      <c r="HT80" s="8"/>
      <c r="HU80" s="8"/>
      <c r="HV80" s="8"/>
      <c r="HW80" s="8"/>
      <c r="HX80" s="8"/>
      <c r="HY80" s="8"/>
      <c r="HZ80" s="8"/>
      <c r="IA80" s="8"/>
      <c r="IB80" s="8"/>
      <c r="IC80" s="8"/>
      <c r="ID80" s="8"/>
      <c r="IE80" s="8"/>
      <c r="IF80" s="8"/>
      <c r="IG80" s="8"/>
      <c r="IH80" s="8"/>
      <c r="II80" s="8"/>
      <c r="IJ80" s="8"/>
      <c r="IK80" s="8"/>
      <c r="IL80" s="8"/>
      <c r="IM80" s="8"/>
      <c r="IN80" s="8"/>
      <c r="IO80" s="8"/>
      <c r="IP80" s="8"/>
      <c r="IQ80" s="8"/>
      <c r="IR80" s="8"/>
      <c r="IS80" s="8"/>
      <c r="IT80" s="8"/>
      <c r="IU80" s="8"/>
      <c r="IV80" s="8"/>
    </row>
    <row r="81" spans="1:256">
      <c r="A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8"/>
      <c r="FG81" s="8"/>
      <c r="FH81" s="8"/>
      <c r="FI81" s="8"/>
      <c r="FJ81" s="8"/>
      <c r="FK81" s="8"/>
      <c r="FL81" s="8"/>
      <c r="FM81" s="8"/>
      <c r="FN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8"/>
      <c r="HQ81" s="8"/>
      <c r="HR81" s="8"/>
      <c r="HS81" s="8"/>
      <c r="HT81" s="8"/>
      <c r="HU81" s="8"/>
      <c r="HV81" s="8"/>
      <c r="HW81" s="8"/>
      <c r="HX81" s="8"/>
      <c r="HY81" s="8"/>
      <c r="HZ81" s="8"/>
      <c r="IA81" s="8"/>
      <c r="IB81" s="8"/>
      <c r="IC81" s="8"/>
      <c r="ID81" s="8"/>
      <c r="IE81" s="8"/>
      <c r="IF81" s="8"/>
      <c r="IG81" s="8"/>
      <c r="IH81" s="8"/>
      <c r="II81" s="8"/>
      <c r="IJ81" s="8"/>
      <c r="IK81" s="8"/>
      <c r="IL81" s="8"/>
      <c r="IM81" s="8"/>
      <c r="IN81" s="8"/>
      <c r="IO81" s="8"/>
      <c r="IP81" s="8"/>
      <c r="IQ81" s="8"/>
      <c r="IR81" s="8"/>
      <c r="IS81" s="8"/>
      <c r="IT81" s="8"/>
      <c r="IU81" s="8"/>
      <c r="IV81" s="8"/>
    </row>
    <row r="82" spans="1:256">
      <c r="A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8"/>
      <c r="HQ82" s="8"/>
      <c r="HR82" s="8"/>
      <c r="HS82" s="8"/>
      <c r="HT82" s="8"/>
      <c r="HU82" s="8"/>
      <c r="HV82" s="8"/>
      <c r="HW82" s="8"/>
      <c r="HX82" s="8"/>
      <c r="HY82" s="8"/>
      <c r="HZ82" s="8"/>
      <c r="IA82" s="8"/>
      <c r="IB82" s="8"/>
      <c r="IC82" s="8"/>
      <c r="ID82" s="8"/>
      <c r="IE82" s="8"/>
      <c r="IF82" s="8"/>
      <c r="IG82" s="8"/>
      <c r="IH82" s="8"/>
      <c r="II82" s="8"/>
      <c r="IJ82" s="8"/>
      <c r="IK82" s="8"/>
      <c r="IL82" s="8"/>
      <c r="IM82" s="8"/>
      <c r="IN82" s="8"/>
      <c r="IO82" s="8"/>
      <c r="IP82" s="8"/>
      <c r="IQ82" s="8"/>
      <c r="IR82" s="8"/>
      <c r="IS82" s="8"/>
      <c r="IT82" s="8"/>
      <c r="IU82" s="8"/>
      <c r="IV82" s="8"/>
    </row>
    <row r="83" spans="1:256">
      <c r="A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c r="FF83" s="8"/>
      <c r="FG83" s="8"/>
      <c r="FH83" s="8"/>
      <c r="FI83" s="8"/>
      <c r="FJ83" s="8"/>
      <c r="FK83" s="8"/>
      <c r="FL83" s="8"/>
      <c r="FM83" s="8"/>
      <c r="FN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c r="HO83" s="8"/>
      <c r="HP83" s="8"/>
      <c r="HQ83" s="8"/>
      <c r="HR83" s="8"/>
      <c r="HS83" s="8"/>
      <c r="HT83" s="8"/>
      <c r="HU83" s="8"/>
      <c r="HV83" s="8"/>
      <c r="HW83" s="8"/>
      <c r="HX83" s="8"/>
      <c r="HY83" s="8"/>
      <c r="HZ83" s="8"/>
      <c r="IA83" s="8"/>
      <c r="IB83" s="8"/>
      <c r="IC83" s="8"/>
      <c r="ID83" s="8"/>
      <c r="IE83" s="8"/>
      <c r="IF83" s="8"/>
      <c r="IG83" s="8"/>
      <c r="IH83" s="8"/>
      <c r="II83" s="8"/>
      <c r="IJ83" s="8"/>
      <c r="IK83" s="8"/>
      <c r="IL83" s="8"/>
      <c r="IM83" s="8"/>
      <c r="IN83" s="8"/>
      <c r="IO83" s="8"/>
      <c r="IP83" s="8"/>
      <c r="IQ83" s="8"/>
      <c r="IR83" s="8"/>
      <c r="IS83" s="8"/>
      <c r="IT83" s="8"/>
      <c r="IU83" s="8"/>
      <c r="IV83" s="8"/>
    </row>
    <row r="84" spans="1:256">
      <c r="A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c r="FF84" s="8"/>
      <c r="FG84" s="8"/>
      <c r="FH84" s="8"/>
      <c r="FI84" s="8"/>
      <c r="FJ84" s="8"/>
      <c r="FK84" s="8"/>
      <c r="FL84" s="8"/>
      <c r="FM84" s="8"/>
      <c r="FN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8"/>
      <c r="HQ84" s="8"/>
      <c r="HR84" s="8"/>
      <c r="HS84" s="8"/>
      <c r="HT84" s="8"/>
      <c r="HU84" s="8"/>
      <c r="HV84" s="8"/>
      <c r="HW84" s="8"/>
      <c r="HX84" s="8"/>
      <c r="HY84" s="8"/>
      <c r="HZ84" s="8"/>
      <c r="IA84" s="8"/>
      <c r="IB84" s="8"/>
      <c r="IC84" s="8"/>
      <c r="ID84" s="8"/>
      <c r="IE84" s="8"/>
      <c r="IF84" s="8"/>
      <c r="IG84" s="8"/>
      <c r="IH84" s="8"/>
      <c r="II84" s="8"/>
      <c r="IJ84" s="8"/>
      <c r="IK84" s="8"/>
      <c r="IL84" s="8"/>
      <c r="IM84" s="8"/>
      <c r="IN84" s="8"/>
      <c r="IO84" s="8"/>
      <c r="IP84" s="8"/>
      <c r="IQ84" s="8"/>
      <c r="IR84" s="8"/>
      <c r="IS84" s="8"/>
      <c r="IT84" s="8"/>
      <c r="IU84" s="8"/>
      <c r="IV84" s="8"/>
    </row>
    <row r="85" spans="1:256">
      <c r="A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c r="HR85" s="8"/>
      <c r="HS85" s="8"/>
      <c r="HT85" s="8"/>
      <c r="HU85" s="8"/>
      <c r="HV85" s="8"/>
      <c r="HW85" s="8"/>
      <c r="HX85" s="8"/>
      <c r="HY85" s="8"/>
      <c r="HZ85" s="8"/>
      <c r="IA85" s="8"/>
      <c r="IB85" s="8"/>
      <c r="IC85" s="8"/>
      <c r="ID85" s="8"/>
      <c r="IE85" s="8"/>
      <c r="IF85" s="8"/>
      <c r="IG85" s="8"/>
      <c r="IH85" s="8"/>
      <c r="II85" s="8"/>
      <c r="IJ85" s="8"/>
      <c r="IK85" s="8"/>
      <c r="IL85" s="8"/>
      <c r="IM85" s="8"/>
      <c r="IN85" s="8"/>
      <c r="IO85" s="8"/>
      <c r="IP85" s="8"/>
      <c r="IQ85" s="8"/>
      <c r="IR85" s="8"/>
      <c r="IS85" s="8"/>
      <c r="IT85" s="8"/>
      <c r="IU85" s="8"/>
      <c r="IV85" s="8"/>
    </row>
    <row r="86" spans="1:256">
      <c r="A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c r="HR86" s="8"/>
      <c r="HS86" s="8"/>
      <c r="HT86" s="8"/>
      <c r="HU86" s="8"/>
      <c r="HV86" s="8"/>
      <c r="HW86" s="8"/>
      <c r="HX86" s="8"/>
      <c r="HY86" s="8"/>
      <c r="HZ86" s="8"/>
      <c r="IA86" s="8"/>
      <c r="IB86" s="8"/>
      <c r="IC86" s="8"/>
      <c r="ID86" s="8"/>
      <c r="IE86" s="8"/>
      <c r="IF86" s="8"/>
      <c r="IG86" s="8"/>
      <c r="IH86" s="8"/>
      <c r="II86" s="8"/>
      <c r="IJ86" s="8"/>
      <c r="IK86" s="8"/>
      <c r="IL86" s="8"/>
      <c r="IM86" s="8"/>
      <c r="IN86" s="8"/>
      <c r="IO86" s="8"/>
      <c r="IP86" s="8"/>
      <c r="IQ86" s="8"/>
      <c r="IR86" s="8"/>
      <c r="IS86" s="8"/>
      <c r="IT86" s="8"/>
      <c r="IU86" s="8"/>
      <c r="IV86" s="8"/>
    </row>
    <row r="87" spans="1:256">
      <c r="A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c r="HR87" s="8"/>
      <c r="HS87" s="8"/>
      <c r="HT87" s="8"/>
      <c r="HU87" s="8"/>
      <c r="HV87" s="8"/>
      <c r="HW87" s="8"/>
      <c r="HX87" s="8"/>
      <c r="HY87" s="8"/>
      <c r="HZ87" s="8"/>
      <c r="IA87" s="8"/>
      <c r="IB87" s="8"/>
      <c r="IC87" s="8"/>
      <c r="ID87" s="8"/>
      <c r="IE87" s="8"/>
      <c r="IF87" s="8"/>
      <c r="IG87" s="8"/>
      <c r="IH87" s="8"/>
      <c r="II87" s="8"/>
      <c r="IJ87" s="8"/>
      <c r="IK87" s="8"/>
      <c r="IL87" s="8"/>
      <c r="IM87" s="8"/>
      <c r="IN87" s="8"/>
      <c r="IO87" s="8"/>
      <c r="IP87" s="8"/>
      <c r="IQ87" s="8"/>
      <c r="IR87" s="8"/>
      <c r="IS87" s="8"/>
      <c r="IT87" s="8"/>
      <c r="IU87" s="8"/>
      <c r="IV87" s="8"/>
    </row>
    <row r="88" spans="1:256">
      <c r="A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c r="HO88" s="8"/>
      <c r="HP88" s="8"/>
      <c r="HQ88" s="8"/>
      <c r="HR88" s="8"/>
      <c r="HS88" s="8"/>
      <c r="HT88" s="8"/>
      <c r="HU88" s="8"/>
      <c r="HV88" s="8"/>
      <c r="HW88" s="8"/>
      <c r="HX88" s="8"/>
      <c r="HY88" s="8"/>
      <c r="HZ88" s="8"/>
      <c r="IA88" s="8"/>
      <c r="IB88" s="8"/>
      <c r="IC88" s="8"/>
      <c r="ID88" s="8"/>
      <c r="IE88" s="8"/>
      <c r="IF88" s="8"/>
      <c r="IG88" s="8"/>
      <c r="IH88" s="8"/>
      <c r="II88" s="8"/>
      <c r="IJ88" s="8"/>
      <c r="IK88" s="8"/>
      <c r="IL88" s="8"/>
      <c r="IM88" s="8"/>
      <c r="IN88" s="8"/>
      <c r="IO88" s="8"/>
      <c r="IP88" s="8"/>
      <c r="IQ88" s="8"/>
      <c r="IR88" s="8"/>
      <c r="IS88" s="8"/>
      <c r="IT88" s="8"/>
      <c r="IU88" s="8"/>
      <c r="IV88" s="8"/>
    </row>
    <row r="89" spans="1:256">
      <c r="A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c r="HO89" s="8"/>
      <c r="HP89" s="8"/>
      <c r="HQ89" s="8"/>
      <c r="HR89" s="8"/>
      <c r="HS89" s="8"/>
      <c r="HT89" s="8"/>
      <c r="HU89" s="8"/>
      <c r="HV89" s="8"/>
      <c r="HW89" s="8"/>
      <c r="HX89" s="8"/>
      <c r="HY89" s="8"/>
      <c r="HZ89" s="8"/>
      <c r="IA89" s="8"/>
      <c r="IB89" s="8"/>
      <c r="IC89" s="8"/>
      <c r="ID89" s="8"/>
      <c r="IE89" s="8"/>
      <c r="IF89" s="8"/>
      <c r="IG89" s="8"/>
      <c r="IH89" s="8"/>
      <c r="II89" s="8"/>
      <c r="IJ89" s="8"/>
      <c r="IK89" s="8"/>
      <c r="IL89" s="8"/>
      <c r="IM89" s="8"/>
      <c r="IN89" s="8"/>
      <c r="IO89" s="8"/>
      <c r="IP89" s="8"/>
      <c r="IQ89" s="8"/>
      <c r="IR89" s="8"/>
      <c r="IS89" s="8"/>
      <c r="IT89" s="8"/>
      <c r="IU89" s="8"/>
      <c r="IV89" s="8"/>
    </row>
    <row r="90" spans="1:256">
      <c r="A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c r="HO90" s="8"/>
      <c r="HP90" s="8"/>
      <c r="HQ90" s="8"/>
      <c r="HR90" s="8"/>
      <c r="HS90" s="8"/>
      <c r="HT90" s="8"/>
      <c r="HU90" s="8"/>
      <c r="HV90" s="8"/>
      <c r="HW90" s="8"/>
      <c r="HX90" s="8"/>
      <c r="HY90" s="8"/>
      <c r="HZ90" s="8"/>
      <c r="IA90" s="8"/>
      <c r="IB90" s="8"/>
      <c r="IC90" s="8"/>
      <c r="ID90" s="8"/>
      <c r="IE90" s="8"/>
      <c r="IF90" s="8"/>
      <c r="IG90" s="8"/>
      <c r="IH90" s="8"/>
      <c r="II90" s="8"/>
      <c r="IJ90" s="8"/>
      <c r="IK90" s="8"/>
      <c r="IL90" s="8"/>
      <c r="IM90" s="8"/>
      <c r="IN90" s="8"/>
      <c r="IO90" s="8"/>
      <c r="IP90" s="8"/>
      <c r="IQ90" s="8"/>
      <c r="IR90" s="8"/>
      <c r="IS90" s="8"/>
      <c r="IT90" s="8"/>
      <c r="IU90" s="8"/>
      <c r="IV90" s="8"/>
    </row>
    <row r="91" spans="1:256">
      <c r="A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c r="HR91" s="8"/>
      <c r="HS91" s="8"/>
      <c r="HT91" s="8"/>
      <c r="HU91" s="8"/>
      <c r="HV91" s="8"/>
      <c r="HW91" s="8"/>
      <c r="HX91" s="8"/>
      <c r="HY91" s="8"/>
      <c r="HZ91" s="8"/>
      <c r="IA91" s="8"/>
      <c r="IB91" s="8"/>
      <c r="IC91" s="8"/>
      <c r="ID91" s="8"/>
      <c r="IE91" s="8"/>
      <c r="IF91" s="8"/>
      <c r="IG91" s="8"/>
      <c r="IH91" s="8"/>
      <c r="II91" s="8"/>
      <c r="IJ91" s="8"/>
      <c r="IK91" s="8"/>
      <c r="IL91" s="8"/>
      <c r="IM91" s="8"/>
      <c r="IN91" s="8"/>
      <c r="IO91" s="8"/>
      <c r="IP91" s="8"/>
      <c r="IQ91" s="8"/>
      <c r="IR91" s="8"/>
      <c r="IS91" s="8"/>
      <c r="IT91" s="8"/>
      <c r="IU91" s="8"/>
      <c r="IV91" s="8"/>
    </row>
    <row r="92" spans="1:256">
      <c r="A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c r="FF92" s="8"/>
      <c r="FG92" s="8"/>
      <c r="FH92" s="8"/>
      <c r="FI92" s="8"/>
      <c r="FJ92" s="8"/>
      <c r="FK92" s="8"/>
      <c r="FL92" s="8"/>
      <c r="FM92" s="8"/>
      <c r="FN92" s="8"/>
      <c r="FO92" s="8"/>
      <c r="FP92" s="8"/>
      <c r="FQ92" s="8"/>
      <c r="FR92" s="8"/>
      <c r="FS92" s="8"/>
      <c r="FT92" s="8"/>
      <c r="FU92" s="8"/>
      <c r="FV92" s="8"/>
      <c r="FW92" s="8"/>
      <c r="FX92" s="8"/>
      <c r="FY92" s="8"/>
      <c r="FZ92" s="8"/>
      <c r="GA92" s="8"/>
      <c r="GB92" s="8"/>
      <c r="GC92" s="8"/>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c r="HO92" s="8"/>
      <c r="HP92" s="8"/>
      <c r="HQ92" s="8"/>
      <c r="HR92" s="8"/>
      <c r="HS92" s="8"/>
      <c r="HT92" s="8"/>
      <c r="HU92" s="8"/>
      <c r="HV92" s="8"/>
      <c r="HW92" s="8"/>
      <c r="HX92" s="8"/>
      <c r="HY92" s="8"/>
      <c r="HZ92" s="8"/>
      <c r="IA92" s="8"/>
      <c r="IB92" s="8"/>
      <c r="IC92" s="8"/>
      <c r="ID92" s="8"/>
      <c r="IE92" s="8"/>
      <c r="IF92" s="8"/>
      <c r="IG92" s="8"/>
      <c r="IH92" s="8"/>
      <c r="II92" s="8"/>
      <c r="IJ92" s="8"/>
      <c r="IK92" s="8"/>
      <c r="IL92" s="8"/>
      <c r="IM92" s="8"/>
      <c r="IN92" s="8"/>
      <c r="IO92" s="8"/>
      <c r="IP92" s="8"/>
      <c r="IQ92" s="8"/>
      <c r="IR92" s="8"/>
      <c r="IS92" s="8"/>
      <c r="IT92" s="8"/>
      <c r="IU92" s="8"/>
      <c r="IV92" s="8"/>
    </row>
    <row r="93" spans="1:256">
      <c r="A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c r="HO93" s="8"/>
      <c r="HP93" s="8"/>
      <c r="HQ93" s="8"/>
      <c r="HR93" s="8"/>
      <c r="HS93" s="8"/>
      <c r="HT93" s="8"/>
      <c r="HU93" s="8"/>
      <c r="HV93" s="8"/>
      <c r="HW93" s="8"/>
      <c r="HX93" s="8"/>
      <c r="HY93" s="8"/>
      <c r="HZ93" s="8"/>
      <c r="IA93" s="8"/>
      <c r="IB93" s="8"/>
      <c r="IC93" s="8"/>
      <c r="ID93" s="8"/>
      <c r="IE93" s="8"/>
      <c r="IF93" s="8"/>
      <c r="IG93" s="8"/>
      <c r="IH93" s="8"/>
      <c r="II93" s="8"/>
      <c r="IJ93" s="8"/>
      <c r="IK93" s="8"/>
      <c r="IL93" s="8"/>
      <c r="IM93" s="8"/>
      <c r="IN93" s="8"/>
      <c r="IO93" s="8"/>
      <c r="IP93" s="8"/>
      <c r="IQ93" s="8"/>
      <c r="IR93" s="8"/>
      <c r="IS93" s="8"/>
      <c r="IT93" s="8"/>
      <c r="IU93" s="8"/>
      <c r="IV93" s="8"/>
    </row>
    <row r="94" spans="1:256">
      <c r="A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c r="FF94" s="8"/>
      <c r="FG94" s="8"/>
      <c r="FH94" s="8"/>
      <c r="FI94" s="8"/>
      <c r="FJ94" s="8"/>
      <c r="FK94" s="8"/>
      <c r="FL94" s="8"/>
      <c r="FM94" s="8"/>
      <c r="FN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c r="HO94" s="8"/>
      <c r="HP94" s="8"/>
      <c r="HQ94" s="8"/>
      <c r="HR94" s="8"/>
      <c r="HS94" s="8"/>
      <c r="HT94" s="8"/>
      <c r="HU94" s="8"/>
      <c r="HV94" s="8"/>
      <c r="HW94" s="8"/>
      <c r="HX94" s="8"/>
      <c r="HY94" s="8"/>
      <c r="HZ94" s="8"/>
      <c r="IA94" s="8"/>
      <c r="IB94" s="8"/>
      <c r="IC94" s="8"/>
      <c r="ID94" s="8"/>
      <c r="IE94" s="8"/>
      <c r="IF94" s="8"/>
      <c r="IG94" s="8"/>
      <c r="IH94" s="8"/>
      <c r="II94" s="8"/>
      <c r="IJ94" s="8"/>
      <c r="IK94" s="8"/>
      <c r="IL94" s="8"/>
      <c r="IM94" s="8"/>
      <c r="IN94" s="8"/>
      <c r="IO94" s="8"/>
      <c r="IP94" s="8"/>
      <c r="IQ94" s="8"/>
      <c r="IR94" s="8"/>
      <c r="IS94" s="8"/>
      <c r="IT94" s="8"/>
      <c r="IU94" s="8"/>
      <c r="IV94" s="8"/>
    </row>
    <row r="95" spans="1:256">
      <c r="A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c r="HO95" s="8"/>
      <c r="HP95" s="8"/>
      <c r="HQ95" s="8"/>
      <c r="HR95" s="8"/>
      <c r="HS95" s="8"/>
      <c r="HT95" s="8"/>
      <c r="HU95" s="8"/>
      <c r="HV95" s="8"/>
      <c r="HW95" s="8"/>
      <c r="HX95" s="8"/>
      <c r="HY95" s="8"/>
      <c r="HZ95" s="8"/>
      <c r="IA95" s="8"/>
      <c r="IB95" s="8"/>
      <c r="IC95" s="8"/>
      <c r="ID95" s="8"/>
      <c r="IE95" s="8"/>
      <c r="IF95" s="8"/>
      <c r="IG95" s="8"/>
      <c r="IH95" s="8"/>
      <c r="II95" s="8"/>
      <c r="IJ95" s="8"/>
      <c r="IK95" s="8"/>
      <c r="IL95" s="8"/>
      <c r="IM95" s="8"/>
      <c r="IN95" s="8"/>
      <c r="IO95" s="8"/>
      <c r="IP95" s="8"/>
      <c r="IQ95" s="8"/>
      <c r="IR95" s="8"/>
      <c r="IS95" s="8"/>
      <c r="IT95" s="8"/>
      <c r="IU95" s="8"/>
      <c r="IV95" s="8"/>
    </row>
    <row r="96" spans="1:256">
      <c r="A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c r="HO96" s="8"/>
      <c r="HP96" s="8"/>
      <c r="HQ96" s="8"/>
      <c r="HR96" s="8"/>
      <c r="HS96" s="8"/>
      <c r="HT96" s="8"/>
      <c r="HU96" s="8"/>
      <c r="HV96" s="8"/>
      <c r="HW96" s="8"/>
      <c r="HX96" s="8"/>
      <c r="HY96" s="8"/>
      <c r="HZ96" s="8"/>
      <c r="IA96" s="8"/>
      <c r="IB96" s="8"/>
      <c r="IC96" s="8"/>
      <c r="ID96" s="8"/>
      <c r="IE96" s="8"/>
      <c r="IF96" s="8"/>
      <c r="IG96" s="8"/>
      <c r="IH96" s="8"/>
      <c r="II96" s="8"/>
      <c r="IJ96" s="8"/>
      <c r="IK96" s="8"/>
      <c r="IL96" s="8"/>
      <c r="IM96" s="8"/>
      <c r="IN96" s="8"/>
      <c r="IO96" s="8"/>
      <c r="IP96" s="8"/>
      <c r="IQ96" s="8"/>
      <c r="IR96" s="8"/>
      <c r="IS96" s="8"/>
      <c r="IT96" s="8"/>
      <c r="IU96" s="8"/>
      <c r="IV96" s="8"/>
    </row>
    <row r="97" spans="1:256">
      <c r="A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c r="FF97" s="8"/>
      <c r="FG97" s="8"/>
      <c r="FH97" s="8"/>
      <c r="FI97" s="8"/>
      <c r="FJ97" s="8"/>
      <c r="FK97" s="8"/>
      <c r="FL97" s="8"/>
      <c r="FM97" s="8"/>
      <c r="FN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c r="HO97" s="8"/>
      <c r="HP97" s="8"/>
      <c r="HQ97" s="8"/>
      <c r="HR97" s="8"/>
      <c r="HS97" s="8"/>
      <c r="HT97" s="8"/>
      <c r="HU97" s="8"/>
      <c r="HV97" s="8"/>
      <c r="HW97" s="8"/>
      <c r="HX97" s="8"/>
      <c r="HY97" s="8"/>
      <c r="HZ97" s="8"/>
      <c r="IA97" s="8"/>
      <c r="IB97" s="8"/>
      <c r="IC97" s="8"/>
      <c r="ID97" s="8"/>
      <c r="IE97" s="8"/>
      <c r="IF97" s="8"/>
      <c r="IG97" s="8"/>
      <c r="IH97" s="8"/>
      <c r="II97" s="8"/>
      <c r="IJ97" s="8"/>
      <c r="IK97" s="8"/>
      <c r="IL97" s="8"/>
      <c r="IM97" s="8"/>
      <c r="IN97" s="8"/>
      <c r="IO97" s="8"/>
      <c r="IP97" s="8"/>
      <c r="IQ97" s="8"/>
      <c r="IR97" s="8"/>
      <c r="IS97" s="8"/>
      <c r="IT97" s="8"/>
      <c r="IU97" s="8"/>
      <c r="IV97" s="8"/>
    </row>
    <row r="98" spans="1:256">
      <c r="A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c r="HO98" s="8"/>
      <c r="HP98" s="8"/>
      <c r="HQ98" s="8"/>
      <c r="HR98" s="8"/>
      <c r="HS98" s="8"/>
      <c r="HT98" s="8"/>
      <c r="HU98" s="8"/>
      <c r="HV98" s="8"/>
      <c r="HW98" s="8"/>
      <c r="HX98" s="8"/>
      <c r="HY98" s="8"/>
      <c r="HZ98" s="8"/>
      <c r="IA98" s="8"/>
      <c r="IB98" s="8"/>
      <c r="IC98" s="8"/>
      <c r="ID98" s="8"/>
      <c r="IE98" s="8"/>
      <c r="IF98" s="8"/>
      <c r="IG98" s="8"/>
      <c r="IH98" s="8"/>
      <c r="II98" s="8"/>
      <c r="IJ98" s="8"/>
      <c r="IK98" s="8"/>
      <c r="IL98" s="8"/>
      <c r="IM98" s="8"/>
      <c r="IN98" s="8"/>
      <c r="IO98" s="8"/>
      <c r="IP98" s="8"/>
      <c r="IQ98" s="8"/>
      <c r="IR98" s="8"/>
      <c r="IS98" s="8"/>
      <c r="IT98" s="8"/>
      <c r="IU98" s="8"/>
      <c r="IV98" s="8"/>
    </row>
    <row r="99" spans="1:256">
      <c r="A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c r="FF99" s="8"/>
      <c r="FG99" s="8"/>
      <c r="FH99" s="8"/>
      <c r="FI99" s="8"/>
      <c r="FJ99" s="8"/>
      <c r="FK99" s="8"/>
      <c r="FL99" s="8"/>
      <c r="FM99" s="8"/>
      <c r="FN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c r="HO99" s="8"/>
      <c r="HP99" s="8"/>
      <c r="HQ99" s="8"/>
      <c r="HR99" s="8"/>
      <c r="HS99" s="8"/>
      <c r="HT99" s="8"/>
      <c r="HU99" s="8"/>
      <c r="HV99" s="8"/>
      <c r="HW99" s="8"/>
      <c r="HX99" s="8"/>
      <c r="HY99" s="8"/>
      <c r="HZ99" s="8"/>
      <c r="IA99" s="8"/>
      <c r="IB99" s="8"/>
      <c r="IC99" s="8"/>
      <c r="ID99" s="8"/>
      <c r="IE99" s="8"/>
      <c r="IF99" s="8"/>
      <c r="IG99" s="8"/>
      <c r="IH99" s="8"/>
      <c r="II99" s="8"/>
      <c r="IJ99" s="8"/>
      <c r="IK99" s="8"/>
      <c r="IL99" s="8"/>
      <c r="IM99" s="8"/>
      <c r="IN99" s="8"/>
      <c r="IO99" s="8"/>
      <c r="IP99" s="8"/>
      <c r="IQ99" s="8"/>
      <c r="IR99" s="8"/>
      <c r="IS99" s="8"/>
      <c r="IT99" s="8"/>
      <c r="IU99" s="8"/>
      <c r="IV99" s="8"/>
    </row>
    <row r="100" spans="1:256">
      <c r="A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c r="HO100" s="8"/>
      <c r="HP100" s="8"/>
      <c r="HQ100" s="8"/>
      <c r="HR100" s="8"/>
      <c r="HS100" s="8"/>
      <c r="HT100" s="8"/>
      <c r="HU100" s="8"/>
      <c r="HV100" s="8"/>
      <c r="HW100" s="8"/>
      <c r="HX100" s="8"/>
      <c r="HY100" s="8"/>
      <c r="HZ100" s="8"/>
      <c r="IA100" s="8"/>
      <c r="IB100" s="8"/>
      <c r="IC100" s="8"/>
      <c r="ID100" s="8"/>
      <c r="IE100" s="8"/>
      <c r="IF100" s="8"/>
      <c r="IG100" s="8"/>
      <c r="IH100" s="8"/>
      <c r="II100" s="8"/>
      <c r="IJ100" s="8"/>
      <c r="IK100" s="8"/>
      <c r="IL100" s="8"/>
      <c r="IM100" s="8"/>
      <c r="IN100" s="8"/>
      <c r="IO100" s="8"/>
      <c r="IP100" s="8"/>
      <c r="IQ100" s="8"/>
      <c r="IR100" s="8"/>
      <c r="IS100" s="8"/>
      <c r="IT100" s="8"/>
      <c r="IU100" s="8"/>
      <c r="IV100" s="8"/>
    </row>
    <row r="101" spans="1:256">
      <c r="A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c r="FF101" s="8"/>
      <c r="FG101" s="8"/>
      <c r="FH101" s="8"/>
      <c r="FI101" s="8"/>
      <c r="FJ101" s="8"/>
      <c r="FK101" s="8"/>
      <c r="FL101" s="8"/>
      <c r="FM101" s="8"/>
      <c r="FN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8"/>
      <c r="HQ101" s="8"/>
      <c r="HR101" s="8"/>
      <c r="HS101" s="8"/>
      <c r="HT101" s="8"/>
      <c r="HU101" s="8"/>
      <c r="HV101" s="8"/>
      <c r="HW101" s="8"/>
      <c r="HX101" s="8"/>
      <c r="HY101" s="8"/>
      <c r="HZ101" s="8"/>
      <c r="IA101" s="8"/>
      <c r="IB101" s="8"/>
      <c r="IC101" s="8"/>
      <c r="ID101" s="8"/>
      <c r="IE101" s="8"/>
      <c r="IF101" s="8"/>
      <c r="IG101" s="8"/>
      <c r="IH101" s="8"/>
      <c r="II101" s="8"/>
      <c r="IJ101" s="8"/>
      <c r="IK101" s="8"/>
      <c r="IL101" s="8"/>
      <c r="IM101" s="8"/>
      <c r="IN101" s="8"/>
      <c r="IO101" s="8"/>
      <c r="IP101" s="8"/>
      <c r="IQ101" s="8"/>
      <c r="IR101" s="8"/>
      <c r="IS101" s="8"/>
      <c r="IT101" s="8"/>
      <c r="IU101" s="8"/>
      <c r="IV101" s="8"/>
    </row>
    <row r="102" spans="1:256">
      <c r="A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c r="HO102" s="8"/>
      <c r="HP102" s="8"/>
      <c r="HQ102" s="8"/>
      <c r="HR102" s="8"/>
      <c r="HS102" s="8"/>
      <c r="HT102" s="8"/>
      <c r="HU102" s="8"/>
      <c r="HV102" s="8"/>
      <c r="HW102" s="8"/>
      <c r="HX102" s="8"/>
      <c r="HY102" s="8"/>
      <c r="HZ102" s="8"/>
      <c r="IA102" s="8"/>
      <c r="IB102" s="8"/>
      <c r="IC102" s="8"/>
      <c r="ID102" s="8"/>
      <c r="IE102" s="8"/>
      <c r="IF102" s="8"/>
      <c r="IG102" s="8"/>
      <c r="IH102" s="8"/>
      <c r="II102" s="8"/>
      <c r="IJ102" s="8"/>
      <c r="IK102" s="8"/>
      <c r="IL102" s="8"/>
      <c r="IM102" s="8"/>
      <c r="IN102" s="8"/>
      <c r="IO102" s="8"/>
      <c r="IP102" s="8"/>
      <c r="IQ102" s="8"/>
      <c r="IR102" s="8"/>
      <c r="IS102" s="8"/>
      <c r="IT102" s="8"/>
      <c r="IU102" s="8"/>
      <c r="IV102" s="8"/>
    </row>
    <row r="103" spans="1:256">
      <c r="A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c r="HR103" s="8"/>
      <c r="HS103" s="8"/>
      <c r="HT103" s="8"/>
      <c r="HU103" s="8"/>
      <c r="HV103" s="8"/>
      <c r="HW103" s="8"/>
      <c r="HX103" s="8"/>
      <c r="HY103" s="8"/>
      <c r="HZ103" s="8"/>
      <c r="IA103" s="8"/>
      <c r="IB103" s="8"/>
      <c r="IC103" s="8"/>
      <c r="ID103" s="8"/>
      <c r="IE103" s="8"/>
      <c r="IF103" s="8"/>
      <c r="IG103" s="8"/>
      <c r="IH103" s="8"/>
      <c r="II103" s="8"/>
      <c r="IJ103" s="8"/>
      <c r="IK103" s="8"/>
      <c r="IL103" s="8"/>
      <c r="IM103" s="8"/>
      <c r="IN103" s="8"/>
      <c r="IO103" s="8"/>
      <c r="IP103" s="8"/>
      <c r="IQ103" s="8"/>
      <c r="IR103" s="8"/>
      <c r="IS103" s="8"/>
      <c r="IT103" s="8"/>
      <c r="IU103" s="8"/>
      <c r="IV103" s="8"/>
    </row>
    <row r="104" spans="1:256">
      <c r="A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c r="FF104" s="8"/>
      <c r="FG104" s="8"/>
      <c r="FH104" s="8"/>
      <c r="FI104" s="8"/>
      <c r="FJ104" s="8"/>
      <c r="FK104" s="8"/>
      <c r="FL104" s="8"/>
      <c r="FM104" s="8"/>
      <c r="FN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c r="HO104" s="8"/>
      <c r="HP104" s="8"/>
      <c r="HQ104" s="8"/>
      <c r="HR104" s="8"/>
      <c r="HS104" s="8"/>
      <c r="HT104" s="8"/>
      <c r="HU104" s="8"/>
      <c r="HV104" s="8"/>
      <c r="HW104" s="8"/>
      <c r="HX104" s="8"/>
      <c r="HY104" s="8"/>
      <c r="HZ104" s="8"/>
      <c r="IA104" s="8"/>
      <c r="IB104" s="8"/>
      <c r="IC104" s="8"/>
      <c r="ID104" s="8"/>
      <c r="IE104" s="8"/>
      <c r="IF104" s="8"/>
      <c r="IG104" s="8"/>
      <c r="IH104" s="8"/>
      <c r="II104" s="8"/>
      <c r="IJ104" s="8"/>
      <c r="IK104" s="8"/>
      <c r="IL104" s="8"/>
      <c r="IM104" s="8"/>
      <c r="IN104" s="8"/>
      <c r="IO104" s="8"/>
      <c r="IP104" s="8"/>
      <c r="IQ104" s="8"/>
      <c r="IR104" s="8"/>
      <c r="IS104" s="8"/>
      <c r="IT104" s="8"/>
      <c r="IU104" s="8"/>
      <c r="IV104" s="8"/>
    </row>
  </sheetData>
  <mergeCells count="1">
    <mergeCell ref="D5:E5"/>
  </mergeCells>
  <phoneticPr fontId="41" type="noConversion"/>
  <printOptions horizontalCentered="1" verticalCentered="1"/>
  <pageMargins left="0.5" right="0.33333333333333331" top="0.5" bottom="0.45" header="0" footer="0"/>
  <pageSetup scale="52" orientation="landscape"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41"/>
  <sheetViews>
    <sheetView showGridLines="0" defaultGridColor="0" topLeftCell="A19" colorId="59" zoomScale="85" zoomScaleNormal="75" workbookViewId="0">
      <selection activeCell="G34" sqref="G34"/>
    </sheetView>
  </sheetViews>
  <sheetFormatPr defaultColWidth="9.6328125" defaultRowHeight="15"/>
  <cols>
    <col min="1" max="1" width="9.6328125" style="21" customWidth="1"/>
    <col min="2" max="3" width="11.6328125" style="21" customWidth="1"/>
    <col min="4" max="5" width="10.6328125" style="21" customWidth="1"/>
    <col min="6" max="6" width="7.6328125" style="21" customWidth="1"/>
    <col min="7" max="7" width="14.6328125" style="21" customWidth="1"/>
    <col min="8" max="9" width="9.6328125" style="21" customWidth="1"/>
    <col min="10" max="11" width="15.6328125" style="21" customWidth="1"/>
    <col min="12" max="12" width="1.6328125" style="21" customWidth="1"/>
    <col min="13" max="16384" width="9.6328125" style="21"/>
  </cols>
  <sheetData>
    <row r="1" spans="1:12" ht="15.6">
      <c r="A1" s="2"/>
      <c r="B1" s="2"/>
      <c r="C1" s="2"/>
      <c r="D1" s="2"/>
      <c r="E1" s="2"/>
      <c r="F1" s="2"/>
      <c r="G1" s="2"/>
      <c r="H1" s="2"/>
      <c r="I1" s="2"/>
      <c r="J1" s="2"/>
      <c r="K1" s="2"/>
    </row>
    <row r="2" spans="1:12" ht="15.6">
      <c r="A2" s="2"/>
      <c r="B2" s="2"/>
      <c r="C2" s="2"/>
      <c r="D2" s="2"/>
      <c r="E2" s="2"/>
      <c r="F2" s="2"/>
      <c r="G2" s="2"/>
      <c r="H2" s="2"/>
      <c r="I2" s="2"/>
      <c r="J2" s="2"/>
      <c r="K2" s="2"/>
    </row>
    <row r="3" spans="1:12" ht="22.8">
      <c r="A3" s="2"/>
      <c r="B3" s="340" t="s">
        <v>273</v>
      </c>
      <c r="C3" s="341"/>
      <c r="D3" s="341"/>
      <c r="E3" s="341"/>
      <c r="F3" s="341"/>
      <c r="G3" s="341"/>
      <c r="H3" s="341"/>
      <c r="I3" s="341"/>
      <c r="J3" s="342" t="s">
        <v>300</v>
      </c>
      <c r="K3" s="342" t="s">
        <v>305</v>
      </c>
      <c r="L3" s="22"/>
    </row>
    <row r="4" spans="1:12" ht="26.1" customHeight="1">
      <c r="A4" s="2"/>
      <c r="B4" s="343" t="s">
        <v>274</v>
      </c>
      <c r="C4" s="344"/>
      <c r="D4" s="345"/>
      <c r="E4" s="345"/>
      <c r="F4" s="346" t="s">
        <v>296</v>
      </c>
      <c r="G4" s="347" t="str">
        <f>DMREZ!F7</f>
        <v>Bowery Bay</v>
      </c>
      <c r="H4" s="125"/>
      <c r="I4" s="125"/>
      <c r="J4" s="348" t="s">
        <v>301</v>
      </c>
      <c r="K4" s="348" t="s">
        <v>306</v>
      </c>
      <c r="L4" s="22"/>
    </row>
    <row r="5" spans="1:12" ht="26.1" customHeight="1">
      <c r="A5" s="2"/>
      <c r="B5" s="349" t="s">
        <v>275</v>
      </c>
      <c r="C5" s="350">
        <f>MONTH(+DMREZ!D11)</f>
        <v>1</v>
      </c>
      <c r="D5" s="350">
        <v>1</v>
      </c>
      <c r="E5" s="351">
        <f>DMREZ!J5</f>
        <v>2016</v>
      </c>
      <c r="F5" s="352"/>
      <c r="G5" s="125"/>
      <c r="H5" s="125"/>
      <c r="I5" s="125"/>
      <c r="J5" s="348" t="s">
        <v>302</v>
      </c>
      <c r="K5" s="348" t="s">
        <v>307</v>
      </c>
      <c r="L5" s="22"/>
    </row>
    <row r="6" spans="1:12" ht="26.1" customHeight="1">
      <c r="A6" s="2"/>
      <c r="B6" s="349" t="s">
        <v>276</v>
      </c>
      <c r="C6" s="353">
        <f>MONTH(+DMREZ!D11)</f>
        <v>1</v>
      </c>
      <c r="D6" s="354">
        <f>DAY(MAX(DMREZ!D11:D41))</f>
        <v>31</v>
      </c>
      <c r="E6" s="354">
        <f>DMREZ!J5</f>
        <v>2016</v>
      </c>
      <c r="F6" s="355" t="s">
        <v>297</v>
      </c>
      <c r="G6" s="356"/>
      <c r="H6" s="357" t="str">
        <f>DMREZ!C7</f>
        <v>NY-0026158</v>
      </c>
      <c r="I6" s="146"/>
      <c r="J6" s="348" t="s">
        <v>303</v>
      </c>
      <c r="K6" s="348" t="s">
        <v>308</v>
      </c>
      <c r="L6" s="22"/>
    </row>
    <row r="7" spans="1:12" ht="33" thickBot="1">
      <c r="A7" s="2"/>
      <c r="B7" s="102"/>
      <c r="C7" s="358" t="s">
        <v>278</v>
      </c>
      <c r="D7" s="359" t="s">
        <v>931</v>
      </c>
      <c r="E7" s="359" t="s">
        <v>295</v>
      </c>
      <c r="F7" s="352"/>
      <c r="G7" s="146"/>
      <c r="H7" s="125"/>
      <c r="I7" s="125"/>
      <c r="J7" s="348" t="s">
        <v>304</v>
      </c>
      <c r="K7" s="360" t="s">
        <v>309</v>
      </c>
      <c r="L7" s="22"/>
    </row>
    <row r="8" spans="1:12" ht="21.9" customHeight="1" thickBot="1">
      <c r="A8" s="2"/>
      <c r="B8" s="361" t="s">
        <v>277</v>
      </c>
      <c r="C8" s="341"/>
      <c r="D8" s="362" t="s">
        <v>279</v>
      </c>
      <c r="E8" s="341"/>
      <c r="F8" s="363" t="s">
        <v>298</v>
      </c>
      <c r="G8" s="341" t="s">
        <v>299</v>
      </c>
      <c r="H8" s="341"/>
      <c r="I8" s="341"/>
      <c r="J8" s="341"/>
      <c r="K8" s="341"/>
      <c r="L8" s="22"/>
    </row>
    <row r="9" spans="1:12" ht="21.75" customHeight="1" thickTop="1">
      <c r="A9" s="2"/>
      <c r="B9" s="2743"/>
      <c r="C9" s="2744"/>
      <c r="D9" s="1365" t="s">
        <v>280</v>
      </c>
      <c r="E9" s="1364"/>
      <c r="F9" s="1366">
        <f>DMR!$I$17</f>
        <v>0</v>
      </c>
      <c r="G9" s="1394" t="s">
        <v>972</v>
      </c>
      <c r="H9" s="1395"/>
      <c r="I9" s="1395"/>
      <c r="J9" s="1395"/>
      <c r="K9" s="1395"/>
      <c r="L9" s="22"/>
    </row>
    <row r="10" spans="1:12" ht="21.75" customHeight="1">
      <c r="A10" s="2"/>
      <c r="B10" s="2740"/>
      <c r="C10" s="2741"/>
      <c r="D10" s="1368" t="s">
        <v>281</v>
      </c>
      <c r="E10" s="1367"/>
      <c r="F10" s="1369">
        <f>DMR!$G$17</f>
        <v>0</v>
      </c>
      <c r="G10" s="1370" t="s">
        <v>972</v>
      </c>
      <c r="H10" s="1371"/>
      <c r="I10" s="1371"/>
      <c r="J10" s="1371"/>
      <c r="K10" s="1371"/>
      <c r="L10" s="22"/>
    </row>
    <row r="11" spans="1:12" ht="21.75" customHeight="1">
      <c r="A11" s="2"/>
      <c r="B11" s="2740"/>
      <c r="C11" s="2741"/>
      <c r="D11" s="1368" t="s">
        <v>980</v>
      </c>
      <c r="E11" s="1367"/>
      <c r="F11" s="1369">
        <f>DMR!$H$24</f>
        <v>0</v>
      </c>
      <c r="G11" s="1370" t="s">
        <v>972</v>
      </c>
      <c r="H11" s="1371"/>
      <c r="I11" s="1371"/>
      <c r="J11" s="1371"/>
      <c r="K11" s="1371"/>
      <c r="L11" s="22"/>
    </row>
    <row r="12" spans="1:12" ht="21.75" customHeight="1">
      <c r="A12" s="2"/>
      <c r="B12" s="2740"/>
      <c r="C12" s="2741"/>
      <c r="D12" s="1368" t="s">
        <v>282</v>
      </c>
      <c r="E12" s="1367"/>
      <c r="F12" s="1369">
        <f ca="1">DMR!$G$14</f>
        <v>0</v>
      </c>
      <c r="G12" s="1370" t="s">
        <v>972</v>
      </c>
      <c r="H12" s="1396"/>
      <c r="I12" s="1371"/>
      <c r="J12" s="1371"/>
      <c r="K12" s="1371"/>
      <c r="L12" s="22"/>
    </row>
    <row r="13" spans="1:12" ht="21.75" customHeight="1">
      <c r="A13" s="2"/>
      <c r="B13" s="2740"/>
      <c r="C13" s="2741"/>
      <c r="D13" s="1368" t="s">
        <v>283</v>
      </c>
      <c r="E13" s="1367"/>
      <c r="F13" s="1369">
        <f ca="1">DMR!$I$14</f>
        <v>0</v>
      </c>
      <c r="G13" s="1370" t="s">
        <v>972</v>
      </c>
      <c r="H13" s="1371"/>
      <c r="I13" s="1371"/>
      <c r="J13" s="1371"/>
      <c r="K13" s="1371"/>
      <c r="L13" s="22"/>
    </row>
    <row r="14" spans="1:12" ht="21.75" customHeight="1">
      <c r="A14" s="2"/>
      <c r="B14" s="2740"/>
      <c r="C14" s="2741"/>
      <c r="D14" s="1368" t="s">
        <v>284</v>
      </c>
      <c r="E14" s="1367"/>
      <c r="F14" s="1369">
        <f>+DMR!G13</f>
        <v>0</v>
      </c>
      <c r="G14" s="1370" t="s">
        <v>972</v>
      </c>
      <c r="H14" s="1371"/>
      <c r="I14" s="1371"/>
      <c r="J14" s="1371"/>
      <c r="K14" s="1371"/>
      <c r="L14" s="22"/>
    </row>
    <row r="15" spans="1:12" ht="21.75" customHeight="1">
      <c r="A15" s="2"/>
      <c r="B15" s="2740"/>
      <c r="C15" s="2741"/>
      <c r="D15" s="1368" t="s">
        <v>285</v>
      </c>
      <c r="E15" s="1367"/>
      <c r="F15" s="1369">
        <f ca="1">DMR!$I$13</f>
        <v>0</v>
      </c>
      <c r="G15" s="1370" t="s">
        <v>972</v>
      </c>
      <c r="H15" s="1371"/>
      <c r="I15" s="1371"/>
      <c r="J15" s="1371"/>
      <c r="K15" s="1371"/>
      <c r="L15" s="22"/>
    </row>
    <row r="16" spans="1:12" ht="21.75" customHeight="1">
      <c r="A16" s="2"/>
      <c r="B16" s="2740"/>
      <c r="C16" s="2741"/>
      <c r="D16" s="1372" t="s">
        <v>286</v>
      </c>
      <c r="E16" s="1367"/>
      <c r="F16" s="1369">
        <f ca="1">DMR!$H$23</f>
        <v>0</v>
      </c>
      <c r="G16" s="1370" t="s">
        <v>972</v>
      </c>
      <c r="H16" s="1396"/>
      <c r="I16" s="1371"/>
      <c r="J16" s="1371"/>
      <c r="K16" s="1371"/>
      <c r="L16" s="22"/>
    </row>
    <row r="17" spans="1:13" ht="246" customHeight="1">
      <c r="A17" s="2"/>
      <c r="B17" s="2742" t="s">
        <v>1388</v>
      </c>
      <c r="C17" s="2741"/>
      <c r="D17" s="2728" t="s">
        <v>0</v>
      </c>
      <c r="E17" s="2729"/>
      <c r="F17" s="1369">
        <f>COUNTIF(DMREZ!U11:U41,"&gt;50")</f>
        <v>2</v>
      </c>
      <c r="G17" s="2725" t="s">
        <v>1402</v>
      </c>
      <c r="H17" s="2726"/>
      <c r="I17" s="2726"/>
      <c r="J17" s="2726"/>
      <c r="K17" s="2727"/>
      <c r="L17" s="22"/>
    </row>
    <row r="18" spans="1:13" ht="21.75" customHeight="1">
      <c r="A18" s="2"/>
      <c r="B18" s="2740"/>
      <c r="C18" s="2741"/>
      <c r="D18" s="1368" t="s">
        <v>287</v>
      </c>
      <c r="E18" s="1367"/>
      <c r="F18" s="1369">
        <f ca="1">DMR!$G$11</f>
        <v>0</v>
      </c>
      <c r="G18" s="1370" t="s">
        <v>972</v>
      </c>
      <c r="H18" s="1371"/>
      <c r="I18" s="1371"/>
      <c r="J18" s="1371"/>
      <c r="K18" s="1371"/>
      <c r="L18" s="22"/>
    </row>
    <row r="19" spans="1:13" ht="21.75" customHeight="1">
      <c r="A19" s="2"/>
      <c r="B19" s="2740"/>
      <c r="C19" s="2741"/>
      <c r="D19" s="1368" t="s">
        <v>288</v>
      </c>
      <c r="E19" s="1367"/>
      <c r="F19" s="1369">
        <f>DMR!$I$11</f>
        <v>0</v>
      </c>
      <c r="G19" s="1370" t="s">
        <v>972</v>
      </c>
      <c r="H19" s="1371"/>
      <c r="I19" s="1371"/>
      <c r="J19" s="1371"/>
      <c r="K19" s="1371"/>
      <c r="L19" s="22"/>
    </row>
    <row r="20" spans="1:13" ht="21.75" customHeight="1">
      <c r="A20" s="2"/>
      <c r="B20" s="2740"/>
      <c r="C20" s="2741"/>
      <c r="D20" s="1368" t="s">
        <v>289</v>
      </c>
      <c r="E20" s="1367"/>
      <c r="F20" s="1369">
        <f>DMR!$G$10</f>
        <v>0</v>
      </c>
      <c r="G20" s="1370" t="s">
        <v>972</v>
      </c>
      <c r="H20" s="1371"/>
      <c r="I20" s="1371"/>
      <c r="J20" s="1371"/>
      <c r="K20" s="1371"/>
      <c r="L20" s="22"/>
    </row>
    <row r="21" spans="1:13" ht="21.75" customHeight="1">
      <c r="A21" s="2"/>
      <c r="B21" s="2740"/>
      <c r="C21" s="2741"/>
      <c r="D21" s="1368" t="s">
        <v>290</v>
      </c>
      <c r="E21" s="1367"/>
      <c r="F21" s="1369">
        <f ca="1">DMR!$I$10</f>
        <v>0</v>
      </c>
      <c r="G21" s="1370" t="s">
        <v>972</v>
      </c>
      <c r="H21" s="1371"/>
      <c r="I21" s="1371"/>
      <c r="J21" s="1371"/>
      <c r="K21" s="1371"/>
      <c r="L21" s="22"/>
    </row>
    <row r="22" spans="1:13" ht="21.75" customHeight="1">
      <c r="A22" s="2"/>
      <c r="B22" s="2740"/>
      <c r="C22" s="2741"/>
      <c r="D22" s="1372" t="s">
        <v>291</v>
      </c>
      <c r="E22" s="1367"/>
      <c r="F22" s="1369">
        <f ca="1">DMR!$H$22</f>
        <v>0</v>
      </c>
      <c r="G22" s="1370" t="s">
        <v>972</v>
      </c>
      <c r="H22" s="1371"/>
      <c r="I22" s="1371"/>
      <c r="J22" s="1371"/>
      <c r="K22" s="1371"/>
      <c r="L22" s="22"/>
    </row>
    <row r="23" spans="1:13" ht="21.75" customHeight="1">
      <c r="A23" s="2"/>
      <c r="B23" s="2740"/>
      <c r="C23" s="2741"/>
      <c r="D23" s="1368" t="s">
        <v>292</v>
      </c>
      <c r="E23" s="1367"/>
      <c r="F23" s="1369">
        <f>DMR!$H$26</f>
        <v>0</v>
      </c>
      <c r="G23" s="2737"/>
      <c r="H23" s="2738"/>
      <c r="I23" s="2738"/>
      <c r="J23" s="2738"/>
      <c r="K23" s="2739"/>
      <c r="L23" s="22"/>
    </row>
    <row r="24" spans="1:13" ht="21.75" customHeight="1">
      <c r="A24" s="2"/>
      <c r="B24" s="2740"/>
      <c r="C24" s="2741"/>
      <c r="D24" s="1368" t="s">
        <v>293</v>
      </c>
      <c r="E24" s="1367"/>
      <c r="F24" s="1369">
        <f ca="1">DMR!$H$27</f>
        <v>0</v>
      </c>
      <c r="G24" s="1370" t="s">
        <v>972</v>
      </c>
      <c r="H24" s="1371"/>
      <c r="I24" s="1371"/>
      <c r="J24" s="1371"/>
      <c r="K24" s="1371"/>
      <c r="L24" s="22"/>
    </row>
    <row r="25" spans="1:13" ht="21.75" customHeight="1">
      <c r="A25" s="2"/>
      <c r="B25" s="2740"/>
      <c r="C25" s="2741"/>
      <c r="D25" s="1373" t="s">
        <v>294</v>
      </c>
      <c r="E25" s="1409"/>
      <c r="F25" s="1374">
        <f>DMR!$I$20</f>
        <v>0</v>
      </c>
      <c r="G25" s="1397" t="s">
        <v>972</v>
      </c>
      <c r="H25" s="1398"/>
      <c r="I25" s="1399"/>
      <c r="J25" s="1400"/>
      <c r="K25" s="1401"/>
      <c r="L25" s="22"/>
    </row>
    <row r="26" spans="1:13" ht="84.75" customHeight="1" thickBot="1">
      <c r="A26" s="2"/>
      <c r="B26" s="2730">
        <v>42374</v>
      </c>
      <c r="C26" s="2731"/>
      <c r="D26" s="2732" t="s">
        <v>1207</v>
      </c>
      <c r="E26" s="2733"/>
      <c r="F26" s="1847">
        <v>1</v>
      </c>
      <c r="G26" s="2734" t="s">
        <v>1401</v>
      </c>
      <c r="H26" s="2735"/>
      <c r="I26" s="2735"/>
      <c r="J26" s="2735"/>
      <c r="K26" s="2736"/>
      <c r="L26" s="22"/>
    </row>
    <row r="28" spans="1:13" ht="15.6">
      <c r="G28" s="1417"/>
    </row>
    <row r="31" spans="1:13" ht="15.6">
      <c r="C31" s="2367"/>
      <c r="D31" s="1743"/>
      <c r="E31" s="1743"/>
      <c r="F31" s="1743"/>
      <c r="G31" s="1743"/>
      <c r="H31" s="1743"/>
      <c r="I31" s="1743"/>
      <c r="J31" s="1743"/>
      <c r="K31" s="1743"/>
    </row>
    <row r="32" spans="1:13">
      <c r="C32" s="2366"/>
      <c r="D32" s="1744"/>
      <c r="E32" s="1744"/>
      <c r="F32" s="1744"/>
      <c r="G32" s="1744"/>
      <c r="H32" s="1744"/>
      <c r="I32" s="1744"/>
      <c r="J32" s="1744"/>
      <c r="K32" s="1744"/>
      <c r="L32" s="1744"/>
      <c r="M32" s="1744"/>
    </row>
    <row r="39" spans="4:4">
      <c r="D39" s="1009"/>
    </row>
    <row r="40" spans="4:4">
      <c r="D40" s="1009"/>
    </row>
    <row r="41" spans="4:4">
      <c r="D41" s="1009"/>
    </row>
  </sheetData>
  <mergeCells count="23">
    <mergeCell ref="B9:C9"/>
    <mergeCell ref="B10:C10"/>
    <mergeCell ref="B11:C11"/>
    <mergeCell ref="B12:C12"/>
    <mergeCell ref="B13:C13"/>
    <mergeCell ref="B14:C14"/>
    <mergeCell ref="B24:C24"/>
    <mergeCell ref="B15:C15"/>
    <mergeCell ref="B16:C16"/>
    <mergeCell ref="B17:C17"/>
    <mergeCell ref="B22:C22"/>
    <mergeCell ref="B21:C21"/>
    <mergeCell ref="B23:C23"/>
    <mergeCell ref="G17:K17"/>
    <mergeCell ref="D17:E17"/>
    <mergeCell ref="B26:C26"/>
    <mergeCell ref="D26:E26"/>
    <mergeCell ref="G26:K26"/>
    <mergeCell ref="G23:K23"/>
    <mergeCell ref="B25:C25"/>
    <mergeCell ref="B18:C18"/>
    <mergeCell ref="B19:C19"/>
    <mergeCell ref="B20:C20"/>
  </mergeCells>
  <phoneticPr fontId="41" type="noConversion"/>
  <printOptions horizontalCentered="1" verticalCentered="1"/>
  <pageMargins left="0.5" right="0.33333333333333331" top="0.5" bottom="0.45" header="0" footer="0"/>
  <pageSetup scale="5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heetPr>
  <dimension ref="A1:IV148"/>
  <sheetViews>
    <sheetView showGridLines="0" defaultGridColor="0" topLeftCell="EY1" colorId="59" zoomScale="85" zoomScaleNormal="85" workbookViewId="0">
      <selection activeCell="FG11" sqref="FG11"/>
    </sheetView>
  </sheetViews>
  <sheetFormatPr defaultColWidth="9.6328125" defaultRowHeight="15"/>
  <cols>
    <col min="1" max="1" width="6.36328125" style="578" customWidth="1"/>
    <col min="2" max="2" width="6.453125" style="578" customWidth="1"/>
    <col min="3" max="22" width="8.6328125" style="578" customWidth="1"/>
    <col min="23" max="23" width="6.1796875" style="578" customWidth="1"/>
    <col min="24" max="24" width="4.1796875" style="578" customWidth="1"/>
    <col min="25" max="26" width="5.6328125" style="578" customWidth="1"/>
    <col min="27" max="32" width="8.6328125" style="578" customWidth="1"/>
    <col min="33" max="33" width="8.6328125" style="581" customWidth="1"/>
    <col min="34" max="34" width="8.1796875" style="578" customWidth="1"/>
    <col min="35" max="38" width="8.6328125" style="578" customWidth="1"/>
    <col min="39" max="39" width="2.90625" style="578" customWidth="1"/>
    <col min="40" max="40" width="8.6328125" style="578" customWidth="1"/>
    <col min="41" max="41" width="9.6328125" style="578" customWidth="1"/>
    <col min="42" max="45" width="8.6328125" style="578" customWidth="1"/>
    <col min="46" max="46" width="5.54296875" style="578" customWidth="1"/>
    <col min="47" max="47" width="6.81640625" style="578" customWidth="1"/>
    <col min="48" max="48" width="8.81640625" style="578" customWidth="1"/>
    <col min="49" max="67" width="7.6328125" style="578" customWidth="1"/>
    <col min="68" max="68" width="8.6328125" style="578" customWidth="1"/>
    <col min="69" max="69" width="9.1796875" style="578" customWidth="1"/>
    <col min="70" max="70" width="8.453125" style="578" customWidth="1"/>
    <col min="71" max="72" width="7.6328125" style="578" customWidth="1"/>
    <col min="73" max="73" width="7.90625" style="578" customWidth="1"/>
    <col min="74" max="74" width="8.6328125" style="578" customWidth="1"/>
    <col min="75" max="76" width="7.6328125" style="578" customWidth="1"/>
    <col min="77" max="77" width="8.1796875" style="578" customWidth="1"/>
    <col min="78" max="78" width="7.6328125" style="578" customWidth="1"/>
    <col min="79" max="79" width="4.6328125" style="578" customWidth="1"/>
    <col min="80" max="80" width="7.54296875" style="578" customWidth="1"/>
    <col min="81" max="81" width="5.81640625" style="578" customWidth="1"/>
    <col min="82" max="82" width="3.36328125" style="578" customWidth="1"/>
    <col min="83" max="84" width="5.6328125" style="578" customWidth="1"/>
    <col min="85" max="95" width="8.6328125" style="578" customWidth="1"/>
    <col min="96" max="96" width="12" style="578" customWidth="1"/>
    <col min="97" max="97" width="9.90625" style="578" customWidth="1"/>
    <col min="98" max="106" width="8.6328125" style="578" customWidth="1"/>
    <col min="107" max="107" width="5.54296875" style="578" customWidth="1"/>
    <col min="108" max="108" width="5.6328125" style="578" customWidth="1"/>
    <col min="109" max="109" width="8.36328125" style="578" customWidth="1"/>
    <col min="110" max="111" width="8.6328125" style="798" customWidth="1"/>
    <col min="112" max="113" width="9.6328125" style="798" customWidth="1"/>
    <col min="114" max="114" width="8.6328125" style="798" customWidth="1"/>
    <col min="115" max="127" width="8.6328125" style="578" customWidth="1"/>
    <col min="128" max="129" width="5.54296875" style="578" customWidth="1"/>
    <col min="130" max="135" width="8.6328125" style="578" customWidth="1"/>
    <col min="136" max="136" width="10.6328125" style="578" customWidth="1"/>
    <col min="137" max="138" width="8.6328125" style="578" customWidth="1"/>
    <col min="139" max="141" width="10.6328125" style="578" customWidth="1"/>
    <col min="142" max="143" width="8.6328125" style="578" customWidth="1"/>
    <col min="144" max="144" width="10.6328125" style="578" customWidth="1"/>
    <col min="145" max="146" width="5.81640625" style="578" customWidth="1"/>
    <col min="147" max="148" width="8.81640625" style="578" customWidth="1"/>
    <col min="149" max="181" width="8.6328125" style="578" customWidth="1"/>
    <col min="182" max="183" width="6.36328125" style="578" customWidth="1"/>
    <col min="184" max="184" width="9.08984375" style="578" customWidth="1"/>
    <col min="185" max="186" width="8.6328125" style="578" customWidth="1"/>
    <col min="187" max="187" width="10.90625" style="578" customWidth="1"/>
    <col min="188" max="203" width="8.6328125" style="578" customWidth="1"/>
    <col min="204" max="207" width="2" style="578" customWidth="1"/>
    <col min="208" max="208" width="8.6328125" style="578" customWidth="1"/>
    <col min="209" max="209" width="5.6328125" style="578" customWidth="1"/>
    <col min="210" max="210" width="9.6328125" style="578" customWidth="1"/>
    <col min="211" max="211" width="8.6328125" style="578" bestFit="1" customWidth="1"/>
    <col min="212" max="255" width="9.6328125" style="578" customWidth="1"/>
    <col min="256" max="16384" width="9.6328125" style="27"/>
  </cols>
  <sheetData>
    <row r="1" spans="1:255">
      <c r="C1" s="578">
        <f>$C$42-2*STDEVP($C11:$C41)</f>
        <v>75.938781132740075</v>
      </c>
      <c r="E1" s="578">
        <f>$C$42-2*STDEVP($E11:$E41)</f>
        <v>104.19163118456969</v>
      </c>
      <c r="I1" s="578">
        <f>$I$42-2*STDEVP($I11:$I41)</f>
        <v>31.347714941630173</v>
      </c>
      <c r="J1" s="578">
        <f>$J$42-2*STDEVP($J11:$J41)</f>
        <v>47.615231370490442</v>
      </c>
      <c r="K1" s="578">
        <f>$K$42-2*STDEVP($K11:$K41)</f>
        <v>-18.093010036271849</v>
      </c>
      <c r="M1" s="579"/>
      <c r="S1" s="580"/>
      <c r="X1" s="580"/>
      <c r="Y1" s="580"/>
      <c r="Z1" s="580"/>
      <c r="AA1" s="580"/>
      <c r="AB1" s="580"/>
      <c r="AC1" s="580"/>
      <c r="AD1" s="580"/>
      <c r="AE1" s="580"/>
      <c r="AF1" s="580"/>
      <c r="AH1" s="579"/>
      <c r="AJ1" s="579"/>
      <c r="AL1" s="579"/>
      <c r="AM1" s="579"/>
      <c r="AN1" s="579"/>
      <c r="AQ1" s="580"/>
      <c r="AR1" s="580"/>
      <c r="AS1" s="580"/>
      <c r="AT1" s="580"/>
      <c r="AU1" s="580"/>
      <c r="AV1" s="580"/>
      <c r="AW1" s="580"/>
      <c r="AX1" s="580"/>
      <c r="AY1" s="580"/>
      <c r="AZ1" s="580"/>
      <c r="BA1" s="580"/>
      <c r="BB1" s="580"/>
      <c r="BC1" s="580"/>
      <c r="BD1" s="580"/>
      <c r="CD1" s="580"/>
      <c r="CE1" s="582"/>
      <c r="CF1" s="582"/>
      <c r="CG1" s="582"/>
      <c r="CH1" s="582"/>
      <c r="CI1" s="580"/>
      <c r="CJ1" s="580"/>
      <c r="CK1" s="580"/>
      <c r="CY1" s="582"/>
      <c r="CZ1" s="582"/>
      <c r="DA1" s="582"/>
      <c r="DB1" s="582"/>
      <c r="DC1" s="582"/>
      <c r="DD1" s="582"/>
      <c r="DE1" s="582"/>
      <c r="DF1" s="583"/>
      <c r="DG1" s="583"/>
      <c r="DH1" s="583"/>
      <c r="DI1" s="583"/>
      <c r="DJ1" s="583"/>
      <c r="DK1" s="582"/>
      <c r="DL1" s="582"/>
      <c r="DM1" s="582"/>
      <c r="DN1" s="582"/>
      <c r="DO1" s="582"/>
      <c r="DP1" s="582"/>
      <c r="DQ1" s="582"/>
      <c r="DR1" s="582"/>
      <c r="DS1" s="582"/>
      <c r="DT1" s="582"/>
      <c r="DU1" s="582"/>
      <c r="DV1" s="582"/>
      <c r="DW1" s="582"/>
      <c r="DX1" s="582"/>
      <c r="DY1" s="582"/>
      <c r="DZ1" s="582"/>
      <c r="EA1" s="582"/>
      <c r="EB1" s="582"/>
      <c r="EC1" s="582"/>
      <c r="ED1" s="582"/>
      <c r="EE1" s="582"/>
      <c r="EF1" s="582"/>
      <c r="EG1" s="582"/>
      <c r="EH1" s="582"/>
      <c r="EI1" s="582"/>
      <c r="EJ1" s="582"/>
      <c r="EK1" s="582"/>
      <c r="EL1" s="582"/>
      <c r="EM1" s="582"/>
      <c r="EN1" s="582"/>
      <c r="EO1" s="582"/>
      <c r="EP1" s="582"/>
      <c r="EQ1" s="582"/>
      <c r="ER1" s="582"/>
      <c r="HQ1" s="27"/>
      <c r="HR1" s="27"/>
    </row>
    <row r="2" spans="1:255">
      <c r="A2" s="579"/>
      <c r="C2" s="578">
        <f>$C$42+2*STDEVP($C11:$C41)</f>
        <v>210.06121886725992</v>
      </c>
      <c r="E2" s="578">
        <f>$C$42+2*STDEVP($E11:$E41)</f>
        <v>181.8083688154303</v>
      </c>
      <c r="I2" s="578">
        <f>$I$42+2*STDEVP($I11:$I41)</f>
        <v>104.65228505836983</v>
      </c>
      <c r="J2" s="578">
        <f>$J$42+2*STDEVP($J11:$J41)</f>
        <v>126.38476862950955</v>
      </c>
      <c r="K2" s="578">
        <f>$K$42+2*STDEVP($K11:$K41)</f>
        <v>50.093010036271849</v>
      </c>
      <c r="M2" s="579"/>
      <c r="S2" s="580"/>
      <c r="X2" s="580"/>
      <c r="Y2" s="580"/>
      <c r="Z2" s="580"/>
      <c r="AA2" s="580"/>
      <c r="AB2" s="580"/>
      <c r="AC2" s="580"/>
      <c r="AD2" s="580"/>
      <c r="AE2" s="580"/>
      <c r="AF2" s="580"/>
      <c r="AQ2" s="580"/>
      <c r="AR2" s="580"/>
      <c r="AS2" s="580"/>
      <c r="AT2" s="580"/>
      <c r="AU2" s="580"/>
      <c r="AV2" s="580"/>
      <c r="AW2" s="580"/>
      <c r="AX2" s="580"/>
      <c r="AY2" s="580"/>
      <c r="AZ2" s="580"/>
      <c r="BA2" s="580"/>
      <c r="BB2" s="580"/>
      <c r="BC2" s="580"/>
      <c r="BD2" s="580"/>
      <c r="CE2" s="582"/>
      <c r="CF2" s="582"/>
      <c r="CG2" s="582"/>
      <c r="CH2" s="582"/>
      <c r="CY2" s="582"/>
      <c r="CZ2" s="582"/>
      <c r="DA2" s="582"/>
      <c r="DB2" s="582"/>
      <c r="DC2" s="582"/>
      <c r="DD2" s="582"/>
      <c r="DE2" s="582"/>
      <c r="DF2" s="583"/>
      <c r="DG2" s="583"/>
      <c r="DH2" s="583"/>
      <c r="DI2" s="583"/>
      <c r="DJ2" s="583"/>
      <c r="DK2" s="582"/>
      <c r="DL2" s="582"/>
      <c r="DM2" s="582"/>
      <c r="DN2" s="582"/>
      <c r="DO2" s="582"/>
      <c r="DP2" s="582"/>
      <c r="DQ2" s="582"/>
      <c r="DR2" s="582"/>
      <c r="DS2" s="582"/>
      <c r="DT2" s="582"/>
      <c r="DU2" s="582"/>
      <c r="DV2" s="582"/>
      <c r="DW2" s="582"/>
      <c r="DX2" s="582"/>
      <c r="DY2" s="582"/>
      <c r="DZ2" s="582"/>
      <c r="EA2" s="582"/>
      <c r="EB2" s="582"/>
      <c r="EC2" s="582"/>
      <c r="ED2" s="582"/>
      <c r="EE2" s="582"/>
      <c r="EF2" s="582"/>
      <c r="EG2" s="582"/>
      <c r="EH2" s="582"/>
      <c r="EI2" s="582"/>
      <c r="EJ2" s="582"/>
      <c r="EK2" s="582"/>
      <c r="EL2" s="582"/>
      <c r="EM2" s="582"/>
      <c r="EN2" s="582"/>
      <c r="EO2" s="582"/>
      <c r="EP2" s="582"/>
      <c r="EQ2" s="582"/>
      <c r="ER2" s="582"/>
      <c r="HQ2" s="27"/>
      <c r="HR2" s="27"/>
    </row>
    <row r="3" spans="1:255">
      <c r="A3" s="579"/>
      <c r="B3" s="582"/>
      <c r="F3" s="584"/>
      <c r="M3" s="579"/>
      <c r="S3" s="580"/>
      <c r="X3" s="580"/>
      <c r="Y3" s="580"/>
      <c r="Z3" s="580"/>
      <c r="AA3" s="580"/>
      <c r="AB3" s="580"/>
      <c r="AC3" s="580"/>
      <c r="AD3" s="580"/>
      <c r="AE3" s="580"/>
      <c r="AF3" s="580"/>
      <c r="AQ3" s="580"/>
      <c r="AR3" s="580"/>
      <c r="AS3" s="580"/>
      <c r="AT3" s="580"/>
      <c r="AU3" s="580"/>
      <c r="AV3" s="580"/>
      <c r="AW3" s="580"/>
      <c r="AX3" s="580"/>
      <c r="AY3" s="580"/>
      <c r="AZ3" s="580"/>
      <c r="BA3" s="580"/>
      <c r="BB3" s="580"/>
      <c r="BC3" s="580"/>
      <c r="BD3" s="580"/>
      <c r="CE3" s="582"/>
      <c r="CF3" s="582"/>
      <c r="CG3" s="582"/>
      <c r="CH3" s="582"/>
      <c r="CY3" s="582"/>
      <c r="CZ3" s="582"/>
      <c r="DA3" s="582"/>
      <c r="DB3" s="582"/>
      <c r="DC3" s="582"/>
      <c r="DD3" s="582"/>
      <c r="DE3" s="582"/>
      <c r="DF3" s="583"/>
      <c r="DG3" s="583"/>
      <c r="DH3" s="583"/>
      <c r="DI3" s="583"/>
      <c r="DJ3" s="583"/>
      <c r="DK3" s="582"/>
      <c r="DL3" s="582"/>
      <c r="DM3" s="582"/>
      <c r="DN3" s="582"/>
      <c r="DO3" s="582"/>
      <c r="DP3" s="582"/>
      <c r="DQ3" s="582"/>
      <c r="DR3" s="582"/>
      <c r="DS3" s="582"/>
      <c r="DT3" s="582"/>
      <c r="DU3" s="582"/>
      <c r="DV3" s="582"/>
      <c r="DW3" s="582"/>
      <c r="DX3" s="582"/>
      <c r="DY3" s="582"/>
      <c r="DZ3" s="582"/>
      <c r="EA3" s="582"/>
      <c r="EB3" s="582"/>
      <c r="EC3" s="582"/>
      <c r="ED3" s="582"/>
      <c r="EE3" s="582"/>
      <c r="EF3" s="582"/>
      <c r="EG3" s="582"/>
      <c r="EH3" s="582"/>
      <c r="EI3" s="582"/>
      <c r="EJ3" s="582"/>
      <c r="EK3" s="582"/>
      <c r="EL3" s="582"/>
      <c r="EM3" s="582"/>
      <c r="EN3" s="582"/>
      <c r="EO3" s="582"/>
      <c r="EP3" s="582"/>
      <c r="EQ3" s="582"/>
      <c r="ER3" s="582"/>
      <c r="HQ3" s="27"/>
      <c r="HR3" s="27"/>
    </row>
    <row r="4" spans="1:255" s="1135" customFormat="1" ht="19.2">
      <c r="A4" s="1128"/>
      <c r="B4" s="1129"/>
      <c r="C4" s="1130" t="s">
        <v>344</v>
      </c>
      <c r="D4" s="1130"/>
      <c r="E4" s="1130"/>
      <c r="F4" s="1130"/>
      <c r="G4" s="1130"/>
      <c r="H4" s="1130"/>
      <c r="I4" s="1130"/>
      <c r="J4" s="1130"/>
      <c r="K4" s="1130"/>
      <c r="L4" s="1130"/>
      <c r="M4" s="1128"/>
      <c r="N4" s="1130"/>
      <c r="O4" s="1130"/>
      <c r="P4" s="1130"/>
      <c r="Q4" s="1130"/>
      <c r="R4" s="1130"/>
      <c r="S4" s="1131"/>
      <c r="T4" s="2819">
        <f>DMREZ!$I$5</f>
        <v>42370</v>
      </c>
      <c r="U4" s="2819"/>
      <c r="V4" s="1130" t="str">
        <f>FIXED(DMREZ!$J$5:$J$5,0,TRUE)</f>
        <v>2016</v>
      </c>
      <c r="X4" s="1131"/>
      <c r="Y4" s="1131"/>
      <c r="Z4" s="1131"/>
      <c r="AA4" s="1130" t="str">
        <f>$C$4</f>
        <v>Bowery Bay WPCP Analytical and Treatment Sheet</v>
      </c>
      <c r="AB4" s="1131"/>
      <c r="AC4" s="1131"/>
      <c r="AD4" s="1131"/>
      <c r="AE4" s="1131"/>
      <c r="AF4" s="1131"/>
      <c r="AG4" s="1132"/>
      <c r="AH4" s="1130"/>
      <c r="AI4" s="1130"/>
      <c r="AJ4" s="1130"/>
      <c r="AK4" s="1130"/>
      <c r="AL4" s="1130"/>
      <c r="AM4" s="1130"/>
      <c r="AN4" s="1130"/>
      <c r="AO4" s="2791">
        <f>$T$4</f>
        <v>42370</v>
      </c>
      <c r="AP4" s="2791"/>
      <c r="AQ4" s="1131" t="str">
        <f>$V$4</f>
        <v>2016</v>
      </c>
      <c r="AR4" s="1131"/>
      <c r="AS4" s="1131"/>
      <c r="AT4" s="1131"/>
      <c r="AU4" s="1131"/>
      <c r="AV4" s="1131"/>
      <c r="AW4" s="1131" t="str">
        <f>$C$4</f>
        <v>Bowery Bay WPCP Analytical and Treatment Sheet</v>
      </c>
      <c r="AX4" s="1131"/>
      <c r="AY4" s="1131"/>
      <c r="AZ4" s="1131"/>
      <c r="BA4" s="1131"/>
      <c r="BB4" s="1131"/>
      <c r="BC4" s="1131"/>
      <c r="BD4" s="1131"/>
      <c r="BE4" s="1130"/>
      <c r="BF4" s="1130"/>
      <c r="BG4" s="1130"/>
      <c r="BH4" s="1130"/>
      <c r="BI4" s="1130"/>
      <c r="BJ4" s="1130"/>
      <c r="BK4" s="1130"/>
      <c r="BL4" s="1130"/>
      <c r="BM4" s="1130"/>
      <c r="BN4" s="1130"/>
      <c r="BO4" s="1130"/>
      <c r="BP4" s="1130"/>
      <c r="BQ4" s="1130"/>
      <c r="BR4" s="1130"/>
      <c r="BS4" s="1130"/>
      <c r="BT4" s="1130"/>
      <c r="BU4" s="1130"/>
      <c r="BV4" s="1130"/>
      <c r="BW4" s="1130"/>
      <c r="BX4" s="1130"/>
      <c r="BY4" s="2792">
        <f>$T$4</f>
        <v>42370</v>
      </c>
      <c r="BZ4" s="2792"/>
      <c r="CA4" s="1130" t="str">
        <f>$V$4</f>
        <v>2016</v>
      </c>
      <c r="CB4" s="1130"/>
      <c r="CC4" s="1130"/>
      <c r="CD4" s="1130"/>
      <c r="CE4" s="1129"/>
      <c r="CF4" s="1129"/>
      <c r="CG4" s="1129" t="str">
        <f>$C$4</f>
        <v>Bowery Bay WPCP Analytical and Treatment Sheet</v>
      </c>
      <c r="CH4" s="1129"/>
      <c r="CI4" s="1130"/>
      <c r="CJ4" s="1130"/>
      <c r="CK4" s="1130"/>
      <c r="CL4" s="1130"/>
      <c r="CM4" s="1130"/>
      <c r="CN4" s="1130"/>
      <c r="CO4" s="1130"/>
      <c r="CP4" s="1130"/>
      <c r="CQ4" s="1130"/>
      <c r="CR4" s="1130"/>
      <c r="CS4" s="1130"/>
      <c r="CT4" s="1130"/>
      <c r="CU4" s="1130"/>
      <c r="CV4" s="1130"/>
      <c r="CW4" s="1130"/>
      <c r="CX4" s="1130"/>
      <c r="CY4" s="2793">
        <f>$T$4</f>
        <v>42370</v>
      </c>
      <c r="CZ4" s="2793"/>
      <c r="DA4" s="1129" t="str">
        <f>$V$4</f>
        <v>2016</v>
      </c>
      <c r="DB4" s="1129"/>
      <c r="DC4" s="1129"/>
      <c r="DD4" s="1131"/>
      <c r="DE4" s="1131"/>
      <c r="DF4" s="1133" t="str">
        <f>$C$4</f>
        <v>Bowery Bay WPCP Analytical and Treatment Sheet</v>
      </c>
      <c r="DG4" s="1133"/>
      <c r="DH4" s="1133"/>
      <c r="DI4" s="1133"/>
      <c r="DJ4" s="1133"/>
      <c r="DK4" s="1129"/>
      <c r="DL4" s="1129"/>
      <c r="DM4" s="1129"/>
      <c r="DN4" s="1129"/>
      <c r="DO4" s="1129"/>
      <c r="DP4" s="1129"/>
      <c r="DQ4" s="1129"/>
      <c r="DR4" s="1129"/>
      <c r="DS4" s="1129"/>
      <c r="DT4" s="1129"/>
      <c r="DU4" s="2793">
        <f>$T$4</f>
        <v>42370</v>
      </c>
      <c r="DV4" s="2793"/>
      <c r="DW4" s="1129" t="str">
        <f>$V$4</f>
        <v>2016</v>
      </c>
      <c r="DX4" s="1129"/>
      <c r="DY4" s="1131"/>
      <c r="DZ4" s="1131"/>
      <c r="EA4" s="1129" t="str">
        <f>$C$4</f>
        <v>Bowery Bay WPCP Analytical and Treatment Sheet</v>
      </c>
      <c r="EB4" s="1129"/>
      <c r="EC4" s="1129"/>
      <c r="ED4" s="1129"/>
      <c r="EE4" s="1129"/>
      <c r="EF4" s="1129"/>
      <c r="EG4" s="1129"/>
      <c r="EH4" s="1129"/>
      <c r="EI4" s="1129"/>
      <c r="EJ4" s="1129"/>
      <c r="EK4" s="2793">
        <f>$T$4</f>
        <v>42370</v>
      </c>
      <c r="EL4" s="2793"/>
      <c r="EM4" s="1129" t="str">
        <f>$V$4</f>
        <v>2016</v>
      </c>
      <c r="EN4" s="1129"/>
      <c r="EO4" s="1129"/>
      <c r="EP4" s="1129"/>
      <c r="EQ4" s="1134"/>
      <c r="ER4" s="1129" t="s">
        <v>535</v>
      </c>
      <c r="ES4" s="1130"/>
      <c r="ET4" s="1130"/>
      <c r="EU4" s="1130"/>
      <c r="EV4" s="1130"/>
      <c r="EW4" s="1130"/>
      <c r="EX4" s="1130"/>
      <c r="EY4" s="1130"/>
      <c r="EZ4" s="1130"/>
      <c r="FA4" s="1130"/>
      <c r="FB4" s="1130"/>
      <c r="FC4" s="1130"/>
      <c r="FD4" s="1130"/>
      <c r="FE4" s="1130"/>
      <c r="FF4" s="1130"/>
      <c r="FG4" s="1130"/>
      <c r="FH4" s="1130"/>
      <c r="FI4" s="1130"/>
      <c r="FJ4" s="1130"/>
      <c r="FK4" s="1130"/>
      <c r="FL4" s="1130"/>
      <c r="FM4" s="1130"/>
      <c r="FN4" s="1130"/>
      <c r="FO4" s="1130"/>
      <c r="FP4" s="1130"/>
      <c r="FQ4" s="1130"/>
      <c r="FR4" s="1130"/>
      <c r="FS4" s="1130"/>
      <c r="FT4" s="1130"/>
      <c r="FU4" s="1130"/>
      <c r="FV4" s="1130"/>
      <c r="FW4" s="2791">
        <f>T4</f>
        <v>42370</v>
      </c>
      <c r="FX4" s="2791"/>
      <c r="FY4" s="1130" t="str">
        <f>$V$4</f>
        <v>2016</v>
      </c>
      <c r="FZ4" s="1130"/>
      <c r="GA4" s="1130"/>
      <c r="GB4" s="1130"/>
      <c r="GC4" s="1130" t="str">
        <f>ER4</f>
        <v>Bowery Bay WPCP Nutrient Sheet</v>
      </c>
      <c r="GD4" s="1130"/>
      <c r="GE4" s="1130"/>
      <c r="GF4" s="1130"/>
      <c r="GG4" s="1130"/>
      <c r="GH4" s="1130"/>
      <c r="GI4" s="1130"/>
      <c r="GJ4" s="1130"/>
      <c r="GK4" s="1130"/>
      <c r="GL4" s="1130"/>
      <c r="GM4" s="1130"/>
      <c r="GN4" s="1130"/>
      <c r="GO4" s="1130"/>
      <c r="GP4" s="1130"/>
      <c r="GQ4" s="1130"/>
      <c r="GR4" s="1130"/>
      <c r="GS4" s="1130"/>
      <c r="GT4" s="1130"/>
      <c r="GU4" s="1130"/>
      <c r="GV4" s="2791">
        <f>$T$4</f>
        <v>42370</v>
      </c>
      <c r="GW4" s="2791"/>
      <c r="GX4" s="1130" t="str">
        <f>$V$4</f>
        <v>2016</v>
      </c>
      <c r="GY4" s="1130"/>
      <c r="GZ4" s="1130"/>
      <c r="HA4" s="1130"/>
      <c r="HB4" s="1130"/>
      <c r="HC4" s="1130"/>
      <c r="HD4" s="1130"/>
      <c r="HE4" s="1130"/>
      <c r="HF4" s="1130"/>
      <c r="HG4" s="1130"/>
      <c r="HH4" s="1130"/>
      <c r="HI4" s="1130"/>
      <c r="HJ4" s="1130"/>
      <c r="HK4" s="1130"/>
      <c r="HL4" s="1130"/>
      <c r="HM4" s="1130"/>
      <c r="HN4" s="1130"/>
      <c r="HO4" s="1130"/>
      <c r="HP4" s="1130"/>
      <c r="HR4" s="1129"/>
      <c r="HS4" s="1130"/>
      <c r="HT4" s="1130"/>
      <c r="HU4" s="1130"/>
      <c r="HV4" s="1130"/>
      <c r="HW4" s="1130"/>
      <c r="HX4" s="1130"/>
      <c r="HY4" s="1130"/>
      <c r="HZ4" s="1130"/>
      <c r="IA4" s="1130"/>
      <c r="IB4" s="1130"/>
      <c r="IC4" s="1130"/>
      <c r="ID4" s="1130"/>
      <c r="IE4" s="1130"/>
      <c r="IF4" s="1130"/>
      <c r="IG4" s="1130"/>
      <c r="IH4" s="1130"/>
      <c r="II4" s="1130"/>
      <c r="IJ4" s="1130"/>
      <c r="IK4" s="1130"/>
      <c r="IL4" s="1130"/>
      <c r="IM4" s="1130"/>
      <c r="IN4" s="1130"/>
      <c r="IO4" s="1130"/>
      <c r="IP4" s="1130"/>
      <c r="IQ4" s="1130"/>
      <c r="IR4" s="1130"/>
      <c r="IS4" s="1130"/>
      <c r="IT4" s="1130"/>
      <c r="IU4" s="1130"/>
    </row>
    <row r="5" spans="1:255" ht="15.6" thickBot="1">
      <c r="A5" s="579"/>
      <c r="M5" s="579"/>
      <c r="S5" s="580"/>
      <c r="X5" s="580"/>
      <c r="Y5" s="580"/>
      <c r="Z5" s="580"/>
      <c r="AA5" s="580"/>
      <c r="AB5" s="580"/>
      <c r="AC5" s="580"/>
      <c r="AD5" s="580"/>
      <c r="AE5" s="580"/>
      <c r="AF5" s="580"/>
      <c r="AQ5" s="580"/>
      <c r="AR5" s="580"/>
      <c r="AS5" s="580"/>
      <c r="AT5" s="580"/>
      <c r="AU5" s="580"/>
      <c r="AV5" s="580"/>
      <c r="AW5" s="580"/>
      <c r="AX5" s="580"/>
      <c r="AY5" s="580"/>
      <c r="AZ5" s="580"/>
      <c r="BA5" s="580"/>
      <c r="BB5" s="580"/>
      <c r="BC5" s="580"/>
      <c r="BD5" s="580"/>
      <c r="CE5" s="582"/>
      <c r="CF5" s="582"/>
      <c r="CG5" s="582"/>
      <c r="CH5" s="582"/>
      <c r="CY5" s="583"/>
      <c r="CZ5" s="582"/>
      <c r="DA5" s="582"/>
      <c r="DB5" s="582"/>
      <c r="DC5" s="582"/>
      <c r="DD5" s="580"/>
      <c r="DE5" s="580"/>
      <c r="DF5" s="583"/>
      <c r="DG5" s="583"/>
      <c r="DH5" s="583"/>
      <c r="DI5" s="583"/>
      <c r="DJ5" s="583"/>
      <c r="DK5" s="582"/>
      <c r="DL5" s="582"/>
      <c r="DM5" s="582"/>
      <c r="DN5" s="582"/>
      <c r="DO5" s="582"/>
      <c r="DP5" s="582"/>
      <c r="DQ5" s="582"/>
      <c r="DR5" s="582"/>
      <c r="DS5" s="582"/>
      <c r="DT5" s="582"/>
      <c r="DU5" s="582"/>
      <c r="DV5" s="582"/>
      <c r="DW5" s="582"/>
      <c r="DX5" s="582"/>
      <c r="DY5" s="580"/>
      <c r="DZ5" s="580"/>
      <c r="EA5" s="582"/>
      <c r="EB5" s="582"/>
      <c r="EC5" s="582"/>
      <c r="ED5" s="582"/>
      <c r="EE5" s="582"/>
      <c r="EF5" s="582"/>
      <c r="EG5" s="582"/>
      <c r="EH5" s="582"/>
      <c r="EI5" s="582"/>
      <c r="EJ5" s="582"/>
      <c r="EK5" s="582"/>
      <c r="EL5" s="582"/>
      <c r="EM5" s="582"/>
      <c r="EN5" s="582"/>
      <c r="EO5" s="582"/>
      <c r="EP5" s="582"/>
      <c r="EQ5" s="582"/>
      <c r="ER5" s="582"/>
      <c r="HQ5" s="27"/>
      <c r="HR5" s="586"/>
      <c r="HS5" s="586" t="s">
        <v>570</v>
      </c>
    </row>
    <row r="6" spans="1:255" ht="17.100000000000001" customHeight="1" thickBot="1">
      <c r="A6" s="587"/>
      <c r="B6" s="588"/>
      <c r="C6" s="589" t="s">
        <v>968</v>
      </c>
      <c r="D6" s="590"/>
      <c r="E6" s="591"/>
      <c r="F6" s="591"/>
      <c r="G6" s="591"/>
      <c r="H6" s="591"/>
      <c r="I6" s="591"/>
      <c r="J6" s="591"/>
      <c r="K6" s="591"/>
      <c r="L6" s="590"/>
      <c r="M6" s="591"/>
      <c r="N6" s="591"/>
      <c r="O6" s="591"/>
      <c r="P6" s="592"/>
      <c r="Q6" s="591"/>
      <c r="R6" s="591"/>
      <c r="S6" s="591"/>
      <c r="T6" s="591"/>
      <c r="U6" s="593" t="s">
        <v>377</v>
      </c>
      <c r="V6" s="591"/>
      <c r="W6" s="1796" t="s">
        <v>972</v>
      </c>
      <c r="X6" s="591"/>
      <c r="Y6" s="594"/>
      <c r="Z6" s="594"/>
      <c r="AA6" s="589" t="s">
        <v>382</v>
      </c>
      <c r="AB6" s="591"/>
      <c r="AC6" s="591"/>
      <c r="AD6" s="591"/>
      <c r="AE6" s="591"/>
      <c r="AF6" s="591"/>
      <c r="AG6" s="595" t="s">
        <v>388</v>
      </c>
      <c r="AH6" s="593" t="s">
        <v>392</v>
      </c>
      <c r="AI6" s="591"/>
      <c r="AJ6" s="593" t="s">
        <v>394</v>
      </c>
      <c r="AK6" s="591"/>
      <c r="AL6" s="2834" t="s">
        <v>1321</v>
      </c>
      <c r="AM6" s="591"/>
      <c r="AN6" s="593" t="s">
        <v>399</v>
      </c>
      <c r="AO6" s="591"/>
      <c r="AP6" s="2826" t="s">
        <v>1252</v>
      </c>
      <c r="AQ6" s="2827"/>
      <c r="AR6" s="2830" t="s">
        <v>62</v>
      </c>
      <c r="AS6" s="2831"/>
      <c r="AT6" s="594"/>
      <c r="AU6" s="594"/>
      <c r="AV6" s="589" t="s">
        <v>403</v>
      </c>
      <c r="AW6" s="591"/>
      <c r="AX6" s="591"/>
      <c r="AY6" s="591"/>
      <c r="AZ6" s="591"/>
      <c r="BA6" s="596"/>
      <c r="BB6" s="596"/>
      <c r="BC6" s="591"/>
      <c r="BD6" s="596"/>
      <c r="BE6" s="591"/>
      <c r="BF6" s="591"/>
      <c r="BG6" s="591"/>
      <c r="BH6" s="591"/>
      <c r="BI6" s="590"/>
      <c r="BJ6" s="591"/>
      <c r="BK6" s="597" t="s">
        <v>367</v>
      </c>
      <c r="BL6" s="591"/>
      <c r="BM6" s="590"/>
      <c r="BN6" s="591"/>
      <c r="BO6" s="593" t="s">
        <v>359</v>
      </c>
      <c r="BP6" s="598" t="s">
        <v>1018</v>
      </c>
      <c r="BQ6" s="590"/>
      <c r="BR6" s="590"/>
      <c r="BS6" s="593" t="s">
        <v>359</v>
      </c>
      <c r="BT6" s="593" t="s">
        <v>416</v>
      </c>
      <c r="BU6" s="591"/>
      <c r="BV6" s="591"/>
      <c r="BW6" s="591"/>
      <c r="BX6" s="591"/>
      <c r="BY6" s="591"/>
      <c r="BZ6" s="599" t="s">
        <v>1019</v>
      </c>
      <c r="CA6" s="593"/>
      <c r="CB6" s="591"/>
      <c r="CC6" s="594" t="s">
        <v>999</v>
      </c>
      <c r="CD6" s="600"/>
      <c r="CE6" s="588"/>
      <c r="CF6" s="589"/>
      <c r="CG6" s="590"/>
      <c r="CH6" s="591"/>
      <c r="CI6" s="590"/>
      <c r="CJ6" s="591"/>
      <c r="CK6" s="598" t="s">
        <v>373</v>
      </c>
      <c r="CL6" s="591"/>
      <c r="CM6" s="598" t="s">
        <v>456</v>
      </c>
      <c r="CN6" s="591"/>
      <c r="CO6" s="598" t="s">
        <v>463</v>
      </c>
      <c r="CP6" s="590"/>
      <c r="CQ6" s="591"/>
      <c r="CR6" s="601" t="s">
        <v>468</v>
      </c>
      <c r="CS6" s="599"/>
      <c r="CT6" s="599"/>
      <c r="CU6" s="598" t="s">
        <v>422</v>
      </c>
      <c r="CV6" s="590"/>
      <c r="CW6" s="591"/>
      <c r="CX6" s="591"/>
      <c r="CY6" s="591"/>
      <c r="CZ6" s="593" t="s">
        <v>488</v>
      </c>
      <c r="DA6" s="591"/>
      <c r="DB6" s="591"/>
      <c r="DC6" s="594"/>
      <c r="DD6" s="594"/>
      <c r="DE6" s="602" t="s">
        <v>443</v>
      </c>
      <c r="DF6" s="603" t="s">
        <v>1109</v>
      </c>
      <c r="DG6" s="604"/>
      <c r="DH6" s="603" t="s">
        <v>1110</v>
      </c>
      <c r="DI6" s="604"/>
      <c r="DJ6" s="598" t="s">
        <v>502</v>
      </c>
      <c r="DK6" s="590"/>
      <c r="DL6" s="591"/>
      <c r="DM6" s="598" t="s">
        <v>506</v>
      </c>
      <c r="DN6" s="591"/>
      <c r="DO6" s="591"/>
      <c r="DP6" s="598" t="s">
        <v>508</v>
      </c>
      <c r="DQ6" s="591"/>
      <c r="DR6" s="591"/>
      <c r="DS6" s="590"/>
      <c r="DT6" s="599" t="s">
        <v>942</v>
      </c>
      <c r="DU6" s="593" t="s">
        <v>511</v>
      </c>
      <c r="DV6" s="591"/>
      <c r="DW6" s="591"/>
      <c r="DX6" s="594"/>
      <c r="DY6" s="594"/>
      <c r="DZ6" s="2837" t="s">
        <v>517</v>
      </c>
      <c r="EA6" s="2838"/>
      <c r="EB6" s="2838"/>
      <c r="EC6" s="2839"/>
      <c r="ED6" s="2078" t="s">
        <v>523</v>
      </c>
      <c r="EE6" s="2074"/>
      <c r="EF6" s="2075"/>
      <c r="EG6" s="2076"/>
      <c r="EH6" s="1884" t="s">
        <v>529</v>
      </c>
      <c r="EI6" s="1885"/>
      <c r="EJ6" s="1312"/>
      <c r="EK6" s="591" t="s">
        <v>532</v>
      </c>
      <c r="EL6" s="591"/>
      <c r="EM6" s="593"/>
      <c r="EN6" s="605"/>
      <c r="EO6" s="599"/>
      <c r="EP6" s="594"/>
      <c r="EQ6" s="588" t="s">
        <v>153</v>
      </c>
      <c r="ER6" s="591"/>
      <c r="ES6" s="591"/>
      <c r="ET6" s="591"/>
      <c r="EU6" s="591"/>
      <c r="EV6" s="591"/>
      <c r="EW6" s="591"/>
      <c r="EX6" s="591"/>
      <c r="EY6" s="591"/>
      <c r="EZ6" s="591"/>
      <c r="FA6" s="591"/>
      <c r="FB6" s="591"/>
      <c r="FC6" s="591"/>
      <c r="FD6" s="591"/>
      <c r="FE6" s="591"/>
      <c r="FF6" s="591"/>
      <c r="FG6" s="591"/>
      <c r="FH6" s="591"/>
      <c r="FI6" s="591"/>
      <c r="FJ6" s="591"/>
      <c r="FK6" s="591"/>
      <c r="FL6" s="588" t="s">
        <v>548</v>
      </c>
      <c r="FM6" s="591"/>
      <c r="FN6" s="591"/>
      <c r="FO6" s="591"/>
      <c r="FP6" s="591"/>
      <c r="FQ6" s="591"/>
      <c r="FR6" s="591"/>
      <c r="FS6" s="588" t="s">
        <v>552</v>
      </c>
      <c r="FT6" s="591"/>
      <c r="FU6" s="591"/>
      <c r="FV6" s="591"/>
      <c r="FW6" s="591"/>
      <c r="FX6" s="591"/>
      <c r="FY6" s="591"/>
      <c r="FZ6" s="594"/>
      <c r="GA6" s="606"/>
      <c r="GB6" s="607"/>
      <c r="GC6" s="607"/>
      <c r="GD6" s="607"/>
      <c r="GE6" s="607"/>
      <c r="GF6" s="607"/>
      <c r="GG6" s="607"/>
      <c r="GH6" s="607"/>
      <c r="GI6" s="607"/>
      <c r="GJ6" s="607"/>
      <c r="GK6" s="607"/>
      <c r="GL6" s="607"/>
      <c r="GM6" s="607"/>
      <c r="GN6" s="607"/>
      <c r="GO6" s="607"/>
      <c r="GP6" s="607"/>
      <c r="GQ6" s="607"/>
      <c r="GR6" s="607"/>
      <c r="GS6" s="607"/>
      <c r="GT6" s="607"/>
      <c r="GU6" s="607"/>
      <c r="GV6" s="607"/>
      <c r="GW6" s="607"/>
      <c r="GX6" s="607"/>
      <c r="GY6" s="607"/>
      <c r="GZ6" s="607"/>
      <c r="HA6" s="607"/>
      <c r="HB6" s="608"/>
      <c r="HC6" s="588" t="s">
        <v>558</v>
      </c>
      <c r="HD6" s="591"/>
      <c r="HE6" s="591"/>
      <c r="HF6" s="591"/>
      <c r="HG6" s="591"/>
      <c r="HH6" s="591"/>
      <c r="HI6" s="591"/>
      <c r="HJ6" s="591"/>
      <c r="HK6" s="591"/>
      <c r="HL6" s="606"/>
      <c r="HM6" s="2775" t="s">
        <v>65</v>
      </c>
      <c r="HN6" s="2776"/>
      <c r="HO6" s="607"/>
      <c r="HP6" s="27"/>
      <c r="HQ6" s="586">
        <v>4.1700000000000001E-3</v>
      </c>
      <c r="HR6" s="586" t="s">
        <v>571</v>
      </c>
      <c r="HS6" s="607"/>
      <c r="HT6" s="607"/>
      <c r="HU6" s="1631"/>
      <c r="HV6" s="2817" t="s">
        <v>1267</v>
      </c>
      <c r="HW6" s="607"/>
      <c r="HX6" s="607"/>
      <c r="HY6" s="607"/>
      <c r="HZ6" s="607"/>
      <c r="IA6" s="607"/>
      <c r="IB6" s="607"/>
      <c r="IC6" s="607"/>
      <c r="ID6" s="607"/>
      <c r="IE6" s="607"/>
      <c r="IF6" s="607"/>
      <c r="IG6" s="607"/>
      <c r="IH6" s="607"/>
      <c r="II6" s="607"/>
      <c r="IJ6" s="607"/>
      <c r="IK6" s="607"/>
      <c r="IL6" s="607"/>
      <c r="IM6" s="607"/>
      <c r="IN6" s="607"/>
      <c r="IO6" s="607"/>
      <c r="IP6" s="607"/>
      <c r="IQ6" s="607"/>
      <c r="IR6" s="607"/>
      <c r="IS6" s="607"/>
      <c r="IT6" s="607"/>
      <c r="IU6" s="27"/>
    </row>
    <row r="7" spans="1:255" ht="17.100000000000001" customHeight="1">
      <c r="A7" s="607"/>
      <c r="B7" s="609" t="s">
        <v>310</v>
      </c>
      <c r="C7" s="610" t="s">
        <v>345</v>
      </c>
      <c r="D7" s="611"/>
      <c r="E7" s="611"/>
      <c r="F7" s="611"/>
      <c r="G7" s="611"/>
      <c r="H7" s="611"/>
      <c r="I7" s="612" t="s">
        <v>360</v>
      </c>
      <c r="J7" s="613"/>
      <c r="K7" s="614" t="s">
        <v>364</v>
      </c>
      <c r="L7" s="615" t="s">
        <v>366</v>
      </c>
      <c r="M7" s="612" t="s">
        <v>367</v>
      </c>
      <c r="N7" s="613"/>
      <c r="O7" s="612" t="s">
        <v>368</v>
      </c>
      <c r="P7" s="613"/>
      <c r="Q7" s="612" t="s">
        <v>373</v>
      </c>
      <c r="R7" s="613"/>
      <c r="S7" s="613"/>
      <c r="T7" s="613"/>
      <c r="U7" s="616" t="s">
        <v>378</v>
      </c>
      <c r="V7" s="617"/>
      <c r="W7" s="1797" t="s">
        <v>972</v>
      </c>
      <c r="X7" s="617"/>
      <c r="Y7" s="609" t="s">
        <v>310</v>
      </c>
      <c r="Z7" s="609" t="s">
        <v>310</v>
      </c>
      <c r="AA7" s="610" t="s">
        <v>383</v>
      </c>
      <c r="AB7" s="613"/>
      <c r="AC7" s="613"/>
      <c r="AD7" s="618" t="s">
        <v>387</v>
      </c>
      <c r="AE7" s="611"/>
      <c r="AF7" s="618" t="s">
        <v>359</v>
      </c>
      <c r="AG7" s="619" t="s">
        <v>1173</v>
      </c>
      <c r="AH7" s="620" t="s">
        <v>389</v>
      </c>
      <c r="AI7" s="621"/>
      <c r="AJ7" s="620" t="s">
        <v>395</v>
      </c>
      <c r="AK7" s="621"/>
      <c r="AL7" s="2835"/>
      <c r="AM7" s="621"/>
      <c r="AN7" s="616" t="s">
        <v>361</v>
      </c>
      <c r="AO7" s="617" t="s">
        <v>363</v>
      </c>
      <c r="AP7" s="2828"/>
      <c r="AQ7" s="2829"/>
      <c r="AR7" s="2832"/>
      <c r="AS7" s="2833"/>
      <c r="AT7" s="609" t="s">
        <v>310</v>
      </c>
      <c r="AU7" s="609" t="s">
        <v>310</v>
      </c>
      <c r="AV7" s="610" t="s">
        <v>404</v>
      </c>
      <c r="AW7" s="611"/>
      <c r="AX7" s="611"/>
      <c r="AY7" s="611"/>
      <c r="AZ7" s="611"/>
      <c r="BA7" s="618" t="s">
        <v>412</v>
      </c>
      <c r="BB7" s="613"/>
      <c r="BC7" s="613"/>
      <c r="BD7" s="611"/>
      <c r="BE7" s="611"/>
      <c r="BF7" s="618" t="s">
        <v>416</v>
      </c>
      <c r="BG7" s="611"/>
      <c r="BH7" s="611"/>
      <c r="BI7" s="611"/>
      <c r="BJ7" s="611"/>
      <c r="BK7" s="609" t="s">
        <v>418</v>
      </c>
      <c r="BL7" s="617"/>
      <c r="BM7" s="617"/>
      <c r="BN7" s="617"/>
      <c r="BO7" s="622" t="s">
        <v>365</v>
      </c>
      <c r="BP7" s="616" t="s">
        <v>153</v>
      </c>
      <c r="BQ7" s="617"/>
      <c r="BR7" s="617"/>
      <c r="BS7" s="622" t="s">
        <v>365</v>
      </c>
      <c r="BT7" s="623" t="s">
        <v>359</v>
      </c>
      <c r="BU7" s="624"/>
      <c r="BV7" s="611"/>
      <c r="BW7" s="618" t="s">
        <v>359</v>
      </c>
      <c r="BX7" s="611"/>
      <c r="BY7" s="611"/>
      <c r="BZ7" s="625" t="s">
        <v>434</v>
      </c>
      <c r="CA7" s="616" t="s">
        <v>436</v>
      </c>
      <c r="CB7" s="617"/>
      <c r="CC7" s="606" t="s">
        <v>310</v>
      </c>
      <c r="CD7" s="600"/>
      <c r="CE7" s="609" t="s">
        <v>310</v>
      </c>
      <c r="CF7" s="626" t="s">
        <v>440</v>
      </c>
      <c r="CG7" s="617"/>
      <c r="CH7" s="617"/>
      <c r="CI7" s="627"/>
      <c r="CJ7" s="617"/>
      <c r="CK7" s="614"/>
      <c r="CL7" s="614" t="s">
        <v>453</v>
      </c>
      <c r="CM7" s="614"/>
      <c r="CN7" s="614" t="s">
        <v>459</v>
      </c>
      <c r="CO7" s="615"/>
      <c r="CP7" s="615"/>
      <c r="CQ7" s="615"/>
      <c r="CR7" s="628" t="s">
        <v>469</v>
      </c>
      <c r="CS7" s="628" t="s">
        <v>389</v>
      </c>
      <c r="CT7" s="625" t="s">
        <v>465</v>
      </c>
      <c r="CU7" s="614" t="s">
        <v>481</v>
      </c>
      <c r="CV7" s="614" t="s">
        <v>453</v>
      </c>
      <c r="CW7" s="614" t="s">
        <v>450</v>
      </c>
      <c r="CX7" s="614" t="s">
        <v>482</v>
      </c>
      <c r="CY7" s="614" t="s">
        <v>486</v>
      </c>
      <c r="CZ7" s="612"/>
      <c r="DA7" s="612"/>
      <c r="DB7" s="612"/>
      <c r="DC7" s="609" t="s">
        <v>310</v>
      </c>
      <c r="DD7" s="609" t="s">
        <v>310</v>
      </c>
      <c r="DE7" s="629"/>
      <c r="DF7" s="630"/>
      <c r="DG7" s="630" t="s">
        <v>450</v>
      </c>
      <c r="DH7" s="630"/>
      <c r="DI7" s="630" t="s">
        <v>450</v>
      </c>
      <c r="DJ7" s="628"/>
      <c r="DK7" s="631"/>
      <c r="DL7" s="631"/>
      <c r="DM7" s="620" t="s">
        <v>507</v>
      </c>
      <c r="DN7" s="617"/>
      <c r="DO7" s="617"/>
      <c r="DP7" s="620" t="s">
        <v>678</v>
      </c>
      <c r="DQ7" s="617"/>
      <c r="DR7" s="627"/>
      <c r="DS7" s="627"/>
      <c r="DT7" s="625" t="s">
        <v>395</v>
      </c>
      <c r="DU7" s="616" t="s">
        <v>512</v>
      </c>
      <c r="DV7" s="627"/>
      <c r="DW7" s="627"/>
      <c r="DX7" s="609" t="s">
        <v>310</v>
      </c>
      <c r="DY7" s="609" t="s">
        <v>310</v>
      </c>
      <c r="DZ7" s="2840" t="s">
        <v>518</v>
      </c>
      <c r="EA7" s="2841"/>
      <c r="EB7" s="2841"/>
      <c r="EC7" s="2842"/>
      <c r="ED7" s="1313"/>
      <c r="EE7" s="2077" t="s">
        <v>524</v>
      </c>
      <c r="EF7" s="2071" t="s">
        <v>29</v>
      </c>
      <c r="EG7" s="2068" t="s">
        <v>528</v>
      </c>
      <c r="EH7" s="1313"/>
      <c r="EI7" s="612" t="s">
        <v>524</v>
      </c>
      <c r="EJ7" s="1314" t="s">
        <v>530</v>
      </c>
      <c r="EK7" s="1879"/>
      <c r="EL7" s="612" t="s">
        <v>524</v>
      </c>
      <c r="EM7" s="613"/>
      <c r="EN7" s="628" t="s">
        <v>534</v>
      </c>
      <c r="EO7" s="625" t="s">
        <v>310</v>
      </c>
      <c r="EP7" s="606" t="s">
        <v>310</v>
      </c>
      <c r="EQ7" s="632" t="s">
        <v>346</v>
      </c>
      <c r="ER7" s="633"/>
      <c r="ES7" s="633"/>
      <c r="ET7" s="633"/>
      <c r="EU7" s="633"/>
      <c r="EV7" s="633"/>
      <c r="EW7" s="633"/>
      <c r="EX7" s="632" t="s">
        <v>358</v>
      </c>
      <c r="EY7" s="633"/>
      <c r="EZ7" s="633"/>
      <c r="FA7" s="633"/>
      <c r="FB7" s="633"/>
      <c r="FC7" s="633"/>
      <c r="FD7" s="633"/>
      <c r="FE7" s="632" t="s">
        <v>547</v>
      </c>
      <c r="FF7" s="633"/>
      <c r="FG7" s="633"/>
      <c r="FH7" s="633"/>
      <c r="FI7" s="633"/>
      <c r="FJ7" s="633"/>
      <c r="FK7" s="633"/>
      <c r="FL7" s="29"/>
      <c r="FM7" s="27"/>
      <c r="FN7" s="27"/>
      <c r="FO7" s="27"/>
      <c r="FP7" s="27"/>
      <c r="FQ7" s="27"/>
      <c r="FR7" s="27"/>
      <c r="FS7" s="29"/>
      <c r="FT7" s="27"/>
      <c r="FU7" s="27"/>
      <c r="FV7" s="27"/>
      <c r="FW7" s="27"/>
      <c r="FX7" s="27"/>
      <c r="FY7" s="27"/>
      <c r="FZ7" s="606" t="s">
        <v>310</v>
      </c>
      <c r="GA7" s="594" t="s">
        <v>310</v>
      </c>
      <c r="GB7" s="2771" t="s">
        <v>1266</v>
      </c>
      <c r="GC7" s="2772"/>
      <c r="GD7" s="2772"/>
      <c r="GE7" s="2772"/>
      <c r="GF7" s="2772"/>
      <c r="GG7" s="2772"/>
      <c r="GH7" s="2772"/>
      <c r="GI7" s="2772"/>
      <c r="GJ7" s="2787" t="s">
        <v>1277</v>
      </c>
      <c r="GK7" s="2788"/>
      <c r="GL7" s="2788"/>
      <c r="GM7" s="2788"/>
      <c r="GN7" s="2788"/>
      <c r="GO7" s="2788"/>
      <c r="GP7" s="2788"/>
      <c r="GQ7" s="2788"/>
      <c r="GR7" s="2788"/>
      <c r="GS7" s="2788"/>
      <c r="GT7" s="2788"/>
      <c r="GU7" s="2789"/>
      <c r="GV7" s="591"/>
      <c r="GW7" s="591"/>
      <c r="GX7" s="591"/>
      <c r="GY7" s="634"/>
      <c r="GZ7" s="594" t="s">
        <v>310</v>
      </c>
      <c r="HA7" s="635"/>
      <c r="HB7" s="606" t="s">
        <v>310</v>
      </c>
      <c r="HC7" s="636" t="s">
        <v>559</v>
      </c>
      <c r="HD7" s="618" t="s">
        <v>560</v>
      </c>
      <c r="HE7" s="623" t="s">
        <v>560</v>
      </c>
      <c r="HF7" s="618" t="s">
        <v>563</v>
      </c>
      <c r="HG7" s="618" t="s">
        <v>564</v>
      </c>
      <c r="HH7" s="618" t="s">
        <v>565</v>
      </c>
      <c r="HI7" s="618" t="s">
        <v>566</v>
      </c>
      <c r="HJ7" s="618" t="s">
        <v>567</v>
      </c>
      <c r="HK7" s="618" t="s">
        <v>569</v>
      </c>
      <c r="HL7" s="606"/>
      <c r="HM7" s="2777"/>
      <c r="HN7" s="2778"/>
      <c r="HO7" s="607"/>
      <c r="HP7" s="27"/>
      <c r="HQ7" s="586">
        <v>64</v>
      </c>
      <c r="HR7" s="586" t="s">
        <v>572</v>
      </c>
      <c r="HS7" s="607"/>
      <c r="HT7" s="607"/>
      <c r="HU7" s="1631"/>
      <c r="HV7" s="2818"/>
      <c r="HW7" s="607"/>
      <c r="HX7" s="607"/>
      <c r="HY7" s="607"/>
      <c r="HZ7" s="607"/>
      <c r="IA7" s="607"/>
      <c r="IB7" s="607"/>
      <c r="IC7" s="607"/>
      <c r="ID7" s="607"/>
      <c r="IE7" s="607"/>
      <c r="IF7" s="607"/>
      <c r="IG7" s="607"/>
      <c r="IH7" s="607"/>
      <c r="II7" s="607"/>
      <c r="IJ7" s="607"/>
      <c r="IK7" s="607"/>
      <c r="IL7" s="607"/>
      <c r="IM7" s="607"/>
      <c r="IN7" s="607"/>
      <c r="IO7" s="607"/>
      <c r="IP7" s="607"/>
      <c r="IQ7" s="607"/>
      <c r="IR7" s="607"/>
      <c r="IS7" s="607"/>
      <c r="IT7" s="607"/>
      <c r="IU7" s="27"/>
    </row>
    <row r="8" spans="1:255" ht="17.100000000000001" customHeight="1" thickBot="1">
      <c r="A8" s="587"/>
      <c r="B8" s="609" t="s">
        <v>311</v>
      </c>
      <c r="C8" s="610" t="s">
        <v>346</v>
      </c>
      <c r="D8" s="611"/>
      <c r="E8" s="618" t="s">
        <v>358</v>
      </c>
      <c r="F8" s="611"/>
      <c r="G8" s="618" t="s">
        <v>359</v>
      </c>
      <c r="H8" s="611"/>
      <c r="I8" s="612" t="s">
        <v>361</v>
      </c>
      <c r="J8" s="612" t="s">
        <v>363</v>
      </c>
      <c r="K8" s="628" t="s">
        <v>365</v>
      </c>
      <c r="L8" s="625" t="s">
        <v>365</v>
      </c>
      <c r="M8" s="614" t="s">
        <v>361</v>
      </c>
      <c r="N8" s="614" t="s">
        <v>363</v>
      </c>
      <c r="O8" s="614" t="s">
        <v>361</v>
      </c>
      <c r="P8" s="614" t="s">
        <v>363</v>
      </c>
      <c r="Q8" s="612" t="s">
        <v>361</v>
      </c>
      <c r="R8" s="613"/>
      <c r="S8" s="612" t="s">
        <v>363</v>
      </c>
      <c r="T8" s="613"/>
      <c r="U8" s="616" t="s">
        <v>379</v>
      </c>
      <c r="V8" s="617"/>
      <c r="W8" s="614"/>
      <c r="X8" s="615"/>
      <c r="Y8" s="609" t="s">
        <v>311</v>
      </c>
      <c r="Z8" s="609" t="s">
        <v>311</v>
      </c>
      <c r="AA8" s="626" t="s">
        <v>384</v>
      </c>
      <c r="AB8" s="617"/>
      <c r="AC8" s="617" t="s">
        <v>364</v>
      </c>
      <c r="AD8" s="620" t="s">
        <v>952</v>
      </c>
      <c r="AE8" s="627"/>
      <c r="AF8" s="616" t="s">
        <v>972</v>
      </c>
      <c r="AG8" s="619" t="s">
        <v>681</v>
      </c>
      <c r="AH8" s="628"/>
      <c r="AI8" s="637"/>
      <c r="AJ8" s="616" t="s">
        <v>389</v>
      </c>
      <c r="AK8" s="621"/>
      <c r="AL8" s="2836"/>
      <c r="AM8" s="621"/>
      <c r="AN8" s="614" t="s">
        <v>400</v>
      </c>
      <c r="AO8" s="614" t="s">
        <v>400</v>
      </c>
      <c r="AP8" s="1407" t="s">
        <v>1192</v>
      </c>
      <c r="AQ8" s="617" t="s">
        <v>363</v>
      </c>
      <c r="AR8" s="616" t="s">
        <v>1192</v>
      </c>
      <c r="AS8" s="1408" t="s">
        <v>363</v>
      </c>
      <c r="AT8" s="609" t="s">
        <v>311</v>
      </c>
      <c r="AU8" s="609" t="s">
        <v>311</v>
      </c>
      <c r="AV8" s="609" t="s">
        <v>362</v>
      </c>
      <c r="AW8" s="617"/>
      <c r="AX8" s="617"/>
      <c r="AY8" s="617"/>
      <c r="AZ8" s="617"/>
      <c r="BA8" s="616" t="s">
        <v>362</v>
      </c>
      <c r="BB8" s="617"/>
      <c r="BC8" s="617"/>
      <c r="BD8" s="617"/>
      <c r="BE8" s="617"/>
      <c r="BF8" s="638"/>
      <c r="BK8" s="610" t="s">
        <v>361</v>
      </c>
      <c r="BL8" s="611"/>
      <c r="BM8" s="618" t="s">
        <v>363</v>
      </c>
      <c r="BN8" s="611"/>
      <c r="BO8" s="622" t="s">
        <v>421</v>
      </c>
      <c r="BP8" s="612" t="s">
        <v>425</v>
      </c>
      <c r="BQ8" s="612" t="s">
        <v>427</v>
      </c>
      <c r="BR8" s="612" t="s">
        <v>359</v>
      </c>
      <c r="BS8" s="622" t="s">
        <v>430</v>
      </c>
      <c r="BT8" s="616" t="s">
        <v>956</v>
      </c>
      <c r="BU8" s="639"/>
      <c r="BV8" s="617"/>
      <c r="BW8" s="616" t="s">
        <v>952</v>
      </c>
      <c r="BX8" s="617"/>
      <c r="BY8" s="617"/>
      <c r="BZ8" s="625" t="s">
        <v>435</v>
      </c>
      <c r="CA8" s="616" t="s">
        <v>437</v>
      </c>
      <c r="CB8" s="617"/>
      <c r="CC8" s="606" t="s">
        <v>311</v>
      </c>
      <c r="CD8" s="600"/>
      <c r="CE8" s="609" t="s">
        <v>311</v>
      </c>
      <c r="CF8" s="606"/>
      <c r="CG8" s="617"/>
      <c r="CH8" s="617"/>
      <c r="CI8" s="617"/>
      <c r="CJ8" s="617"/>
      <c r="CK8" s="628" t="s">
        <v>940</v>
      </c>
      <c r="CL8" s="628" t="s">
        <v>359</v>
      </c>
      <c r="CM8" s="628" t="s">
        <v>457</v>
      </c>
      <c r="CN8" s="628" t="s">
        <v>458</v>
      </c>
      <c r="CO8" s="628" t="s">
        <v>394</v>
      </c>
      <c r="CP8" s="640" t="s">
        <v>465</v>
      </c>
      <c r="CQ8" s="628" t="s">
        <v>423</v>
      </c>
      <c r="CR8" s="628" t="s">
        <v>470</v>
      </c>
      <c r="CS8" s="628" t="s">
        <v>378</v>
      </c>
      <c r="CT8" s="628" t="s">
        <v>464</v>
      </c>
      <c r="CU8" s="628" t="s">
        <v>450</v>
      </c>
      <c r="CV8" s="628" t="s">
        <v>483</v>
      </c>
      <c r="CW8" s="628" t="s">
        <v>482</v>
      </c>
      <c r="CX8" s="628" t="s">
        <v>485</v>
      </c>
      <c r="CY8" s="628" t="s">
        <v>482</v>
      </c>
      <c r="CZ8" s="628" t="s">
        <v>361</v>
      </c>
      <c r="DA8" s="628" t="s">
        <v>363</v>
      </c>
      <c r="DB8" s="628" t="s">
        <v>359</v>
      </c>
      <c r="DC8" s="609" t="s">
        <v>311</v>
      </c>
      <c r="DD8" s="609" t="s">
        <v>311</v>
      </c>
      <c r="DE8" s="641" t="s">
        <v>459</v>
      </c>
      <c r="DF8" s="642" t="s">
        <v>459</v>
      </c>
      <c r="DG8" s="642" t="s">
        <v>496</v>
      </c>
      <c r="DH8" s="642" t="s">
        <v>459</v>
      </c>
      <c r="DI8" s="642" t="s">
        <v>496</v>
      </c>
      <c r="DJ8" s="614" t="s">
        <v>459</v>
      </c>
      <c r="DK8" s="643" t="s">
        <v>504</v>
      </c>
      <c r="DL8" s="614" t="s">
        <v>505</v>
      </c>
      <c r="DM8" s="614" t="s">
        <v>459</v>
      </c>
      <c r="DN8" s="643" t="s">
        <v>504</v>
      </c>
      <c r="DO8" s="614" t="s">
        <v>505</v>
      </c>
      <c r="DP8" s="614" t="s">
        <v>459</v>
      </c>
      <c r="DQ8" s="643" t="s">
        <v>504</v>
      </c>
      <c r="DR8" s="643" t="s">
        <v>450</v>
      </c>
      <c r="DS8" s="614" t="s">
        <v>509</v>
      </c>
      <c r="DT8" s="625" t="s">
        <v>430</v>
      </c>
      <c r="DU8" s="614" t="s">
        <v>513</v>
      </c>
      <c r="DV8" s="615"/>
      <c r="DW8" s="614" t="s">
        <v>942</v>
      </c>
      <c r="DX8" s="609" t="s">
        <v>311</v>
      </c>
      <c r="DY8" s="609" t="s">
        <v>311</v>
      </c>
      <c r="DZ8" s="650" t="s">
        <v>519</v>
      </c>
      <c r="EA8" s="628" t="s">
        <v>520</v>
      </c>
      <c r="EB8" s="2079" t="s">
        <v>1051</v>
      </c>
      <c r="EC8" s="1680" t="s">
        <v>639</v>
      </c>
      <c r="ED8" s="1886" t="s">
        <v>498</v>
      </c>
      <c r="EE8" s="1677" t="s">
        <v>525</v>
      </c>
      <c r="EF8" s="2072"/>
      <c r="EG8" s="2069"/>
      <c r="EH8" s="1886" t="s">
        <v>1051</v>
      </c>
      <c r="EI8" s="614" t="s">
        <v>525</v>
      </c>
      <c r="EJ8" s="1887" t="s">
        <v>531</v>
      </c>
      <c r="EK8" s="1680" t="s">
        <v>1051</v>
      </c>
      <c r="EL8" s="614" t="s">
        <v>525</v>
      </c>
      <c r="EM8" s="614" t="s">
        <v>527</v>
      </c>
      <c r="EN8" s="628"/>
      <c r="EO8" s="625" t="s">
        <v>311</v>
      </c>
      <c r="EP8" s="606" t="s">
        <v>311</v>
      </c>
      <c r="EQ8" s="636" t="s">
        <v>536</v>
      </c>
      <c r="ER8" s="613"/>
      <c r="ES8" s="611"/>
      <c r="ET8" s="611"/>
      <c r="EU8" s="612" t="s">
        <v>539</v>
      </c>
      <c r="EV8" s="611"/>
      <c r="EW8" s="612" t="s">
        <v>544</v>
      </c>
      <c r="EX8" s="636" t="s">
        <v>536</v>
      </c>
      <c r="EY8" s="613"/>
      <c r="EZ8" s="611"/>
      <c r="FA8" s="611"/>
      <c r="FB8" s="612" t="s">
        <v>539</v>
      </c>
      <c r="FC8" s="611"/>
      <c r="FD8" s="612" t="s">
        <v>544</v>
      </c>
      <c r="FE8" s="636" t="s">
        <v>536</v>
      </c>
      <c r="FF8" s="613"/>
      <c r="FG8" s="611"/>
      <c r="FH8" s="611"/>
      <c r="FI8" s="612" t="s">
        <v>539</v>
      </c>
      <c r="FJ8" s="611"/>
      <c r="FK8" s="612" t="s">
        <v>544</v>
      </c>
      <c r="FL8" s="636" t="s">
        <v>536</v>
      </c>
      <c r="FM8" s="613"/>
      <c r="FN8" s="611"/>
      <c r="FO8" s="611"/>
      <c r="FP8" s="612" t="s">
        <v>550</v>
      </c>
      <c r="FQ8" s="611"/>
      <c r="FR8" s="612" t="s">
        <v>544</v>
      </c>
      <c r="FS8" s="636" t="s">
        <v>536</v>
      </c>
      <c r="FT8" s="613"/>
      <c r="FU8" s="611"/>
      <c r="FV8" s="611"/>
      <c r="FW8" s="612" t="s">
        <v>550</v>
      </c>
      <c r="FX8" s="611"/>
      <c r="FY8" s="612" t="s">
        <v>544</v>
      </c>
      <c r="FZ8" s="606" t="s">
        <v>311</v>
      </c>
      <c r="GA8" s="606" t="s">
        <v>311</v>
      </c>
      <c r="GB8" s="1964" t="s">
        <v>416</v>
      </c>
      <c r="GC8" s="2773" t="s">
        <v>536</v>
      </c>
      <c r="GD8" s="2774"/>
      <c r="GE8" s="833" t="s">
        <v>539</v>
      </c>
      <c r="GF8" s="833" t="s">
        <v>607</v>
      </c>
      <c r="GG8" s="833" t="s">
        <v>608</v>
      </c>
      <c r="GH8" s="833" t="s">
        <v>424</v>
      </c>
      <c r="GI8" s="833" t="s">
        <v>609</v>
      </c>
      <c r="GJ8" s="2790" t="s">
        <v>1002</v>
      </c>
      <c r="GK8" s="2783"/>
      <c r="GL8" s="2783" t="s">
        <v>1005</v>
      </c>
      <c r="GM8" s="2783"/>
      <c r="GN8" s="2783" t="s">
        <v>1007</v>
      </c>
      <c r="GO8" s="2783"/>
      <c r="GP8" s="2784" t="s">
        <v>412</v>
      </c>
      <c r="GQ8" s="2784"/>
      <c r="GR8" s="2784" t="s">
        <v>416</v>
      </c>
      <c r="GS8" s="2784"/>
      <c r="GT8" s="2785" t="s">
        <v>595</v>
      </c>
      <c r="GU8" s="2786"/>
      <c r="GV8" s="611"/>
      <c r="GW8" s="611"/>
      <c r="GX8" s="612"/>
      <c r="GY8" s="615"/>
      <c r="GZ8" s="606" t="s">
        <v>311</v>
      </c>
      <c r="HA8" s="635"/>
      <c r="HB8" s="606" t="s">
        <v>311</v>
      </c>
      <c r="HC8" s="645">
        <v>0.54</v>
      </c>
      <c r="HD8" s="646">
        <v>2.52</v>
      </c>
      <c r="HE8" s="646">
        <v>2.52</v>
      </c>
      <c r="HF8" s="646">
        <v>0.95399999999999996</v>
      </c>
      <c r="HG8" s="646">
        <v>0.91500000000000004</v>
      </c>
      <c r="HH8" s="646">
        <v>1.234</v>
      </c>
      <c r="HI8" s="647">
        <v>1.159</v>
      </c>
      <c r="HJ8" s="647">
        <v>1.155</v>
      </c>
      <c r="HK8" s="647">
        <v>1.095</v>
      </c>
      <c r="HL8" s="606"/>
      <c r="HM8" s="2779" t="s">
        <v>361</v>
      </c>
      <c r="HN8" s="2781" t="s">
        <v>363</v>
      </c>
      <c r="HO8" s="607"/>
      <c r="HP8" s="27"/>
      <c r="HQ8" s="586">
        <v>27</v>
      </c>
      <c r="HR8" s="586" t="s">
        <v>573</v>
      </c>
      <c r="HS8" s="607"/>
      <c r="HT8" s="607"/>
      <c r="HU8" s="1631"/>
      <c r="HV8" s="2818"/>
      <c r="HW8" s="607"/>
      <c r="HX8" s="607"/>
      <c r="HY8" s="607"/>
      <c r="HZ8" s="607"/>
      <c r="IA8" s="607"/>
      <c r="IB8" s="607"/>
      <c r="IC8" s="607"/>
      <c r="ID8" s="607"/>
      <c r="IE8" s="607"/>
      <c r="IF8" s="607"/>
      <c r="IG8" s="607"/>
      <c r="IH8" s="607"/>
      <c r="II8" s="607"/>
      <c r="IJ8" s="607"/>
      <c r="IK8" s="607"/>
      <c r="IL8" s="607"/>
      <c r="IM8" s="607"/>
      <c r="IN8" s="607"/>
      <c r="IO8" s="607"/>
      <c r="IP8" s="607"/>
      <c r="IQ8" s="607"/>
      <c r="IR8" s="607"/>
      <c r="IS8" s="607"/>
      <c r="IT8" s="607"/>
      <c r="IU8" s="27"/>
    </row>
    <row r="9" spans="1:255" ht="17.100000000000001" customHeight="1">
      <c r="A9" s="587"/>
      <c r="B9" s="609" t="s">
        <v>312</v>
      </c>
      <c r="C9" s="648" t="s">
        <v>1051</v>
      </c>
      <c r="D9" s="615" t="s">
        <v>357</v>
      </c>
      <c r="E9" s="615" t="s">
        <v>1051</v>
      </c>
      <c r="F9" s="615" t="s">
        <v>357</v>
      </c>
      <c r="G9" s="615" t="s">
        <v>1051</v>
      </c>
      <c r="H9" s="615" t="s">
        <v>357</v>
      </c>
      <c r="I9" s="625" t="s">
        <v>362</v>
      </c>
      <c r="J9" s="625" t="s">
        <v>362</v>
      </c>
      <c r="K9" s="625" t="s">
        <v>362</v>
      </c>
      <c r="L9" s="625" t="s">
        <v>362</v>
      </c>
      <c r="M9" s="625" t="s">
        <v>362</v>
      </c>
      <c r="N9" s="625" t="s">
        <v>362</v>
      </c>
      <c r="O9" s="625" t="s">
        <v>362</v>
      </c>
      <c r="P9" s="625" t="s">
        <v>362</v>
      </c>
      <c r="Q9" s="615" t="s">
        <v>362</v>
      </c>
      <c r="R9" s="618" t="s">
        <v>374</v>
      </c>
      <c r="S9" s="615" t="s">
        <v>362</v>
      </c>
      <c r="T9" s="618" t="s">
        <v>374</v>
      </c>
      <c r="U9" s="618" t="s">
        <v>361</v>
      </c>
      <c r="V9" s="618" t="s">
        <v>363</v>
      </c>
      <c r="W9" s="625"/>
      <c r="X9" s="640"/>
      <c r="Y9" s="609" t="s">
        <v>312</v>
      </c>
      <c r="Z9" s="609" t="s">
        <v>312</v>
      </c>
      <c r="AA9" s="636" t="s">
        <v>385</v>
      </c>
      <c r="AB9" s="612" t="s">
        <v>386</v>
      </c>
      <c r="AC9" s="612" t="s">
        <v>1051</v>
      </c>
      <c r="AD9" s="612" t="s">
        <v>361</v>
      </c>
      <c r="AE9" s="612" t="s">
        <v>363</v>
      </c>
      <c r="AF9" s="616" t="s">
        <v>952</v>
      </c>
      <c r="AG9" s="649" t="s">
        <v>1017</v>
      </c>
      <c r="AH9" s="623" t="s">
        <v>393</v>
      </c>
      <c r="AI9" s="623" t="s">
        <v>391</v>
      </c>
      <c r="AJ9" s="614" t="s">
        <v>396</v>
      </c>
      <c r="AK9" s="615" t="s">
        <v>397</v>
      </c>
      <c r="AL9" s="614" t="s">
        <v>453</v>
      </c>
      <c r="AM9" s="615"/>
      <c r="AN9" s="622" t="s">
        <v>972</v>
      </c>
      <c r="AO9" s="622" t="s">
        <v>972</v>
      </c>
      <c r="AP9" s="1849" t="s">
        <v>1253</v>
      </c>
      <c r="AQ9" s="1850" t="s">
        <v>1253</v>
      </c>
      <c r="AR9" s="614" t="s">
        <v>931</v>
      </c>
      <c r="AS9" s="615" t="s">
        <v>931</v>
      </c>
      <c r="AT9" s="609" t="s">
        <v>312</v>
      </c>
      <c r="AU9" s="609" t="s">
        <v>312</v>
      </c>
      <c r="AV9" s="648" t="s">
        <v>376</v>
      </c>
      <c r="AW9" s="615" t="s">
        <v>405</v>
      </c>
      <c r="AX9" s="615" t="s">
        <v>409</v>
      </c>
      <c r="AY9" s="615" t="s">
        <v>410</v>
      </c>
      <c r="AZ9" s="615" t="s">
        <v>411</v>
      </c>
      <c r="BA9" s="615" t="s">
        <v>376</v>
      </c>
      <c r="BB9" s="615" t="s">
        <v>405</v>
      </c>
      <c r="BC9" s="615" t="s">
        <v>409</v>
      </c>
      <c r="BD9" s="615" t="s">
        <v>410</v>
      </c>
      <c r="BE9" s="615" t="s">
        <v>411</v>
      </c>
      <c r="BF9" s="615" t="s">
        <v>376</v>
      </c>
      <c r="BG9" s="615" t="s">
        <v>405</v>
      </c>
      <c r="BH9" s="615" t="s">
        <v>409</v>
      </c>
      <c r="BI9" s="615" t="s">
        <v>410</v>
      </c>
      <c r="BJ9" s="615" t="s">
        <v>411</v>
      </c>
      <c r="BK9" s="610" t="s">
        <v>419</v>
      </c>
      <c r="BL9" s="618" t="s">
        <v>420</v>
      </c>
      <c r="BM9" s="618" t="s">
        <v>419</v>
      </c>
      <c r="BN9" s="618" t="s">
        <v>420</v>
      </c>
      <c r="BO9" s="616" t="s">
        <v>362</v>
      </c>
      <c r="BP9" s="616" t="s">
        <v>426</v>
      </c>
      <c r="BQ9" s="616" t="s">
        <v>426</v>
      </c>
      <c r="BR9" s="616" t="s">
        <v>956</v>
      </c>
      <c r="BS9" s="616" t="s">
        <v>431</v>
      </c>
      <c r="BT9" s="618" t="s">
        <v>432</v>
      </c>
      <c r="BU9" s="618" t="s">
        <v>256</v>
      </c>
      <c r="BV9" s="618" t="s">
        <v>131</v>
      </c>
      <c r="BW9" s="618" t="s">
        <v>432</v>
      </c>
      <c r="BX9" s="618" t="s">
        <v>256</v>
      </c>
      <c r="BY9" s="618" t="s">
        <v>131</v>
      </c>
      <c r="BZ9" s="640" t="s">
        <v>1017</v>
      </c>
      <c r="CA9" s="622" t="s">
        <v>438</v>
      </c>
      <c r="CB9" s="639"/>
      <c r="CC9" s="606" t="s">
        <v>312</v>
      </c>
      <c r="CD9" s="600"/>
      <c r="CE9" s="606" t="s">
        <v>312</v>
      </c>
      <c r="CF9" s="636" t="s">
        <v>441</v>
      </c>
      <c r="CG9" s="623" t="s">
        <v>450</v>
      </c>
      <c r="CH9" s="612" t="s">
        <v>432</v>
      </c>
      <c r="CI9" s="623" t="s">
        <v>256</v>
      </c>
      <c r="CJ9" s="615" t="s">
        <v>452</v>
      </c>
      <c r="CK9" s="628"/>
      <c r="CL9" s="628" t="s">
        <v>933</v>
      </c>
      <c r="CM9" s="628"/>
      <c r="CN9" s="628" t="s">
        <v>460</v>
      </c>
      <c r="CO9" s="628" t="s">
        <v>464</v>
      </c>
      <c r="CP9" s="628" t="s">
        <v>464</v>
      </c>
      <c r="CQ9" s="628" t="s">
        <v>464</v>
      </c>
      <c r="CR9" s="628" t="s">
        <v>471</v>
      </c>
      <c r="CS9" s="628" t="s">
        <v>379</v>
      </c>
      <c r="CT9" s="628" t="s">
        <v>472</v>
      </c>
      <c r="CU9" s="628" t="s">
        <v>482</v>
      </c>
      <c r="CV9" s="628"/>
      <c r="CW9" s="628" t="s">
        <v>484</v>
      </c>
      <c r="CX9" s="628" t="s">
        <v>456</v>
      </c>
      <c r="CY9" s="628" t="s">
        <v>481</v>
      </c>
      <c r="CZ9" s="628"/>
      <c r="DA9" s="628"/>
      <c r="DB9" s="628"/>
      <c r="DC9" s="609" t="s">
        <v>312</v>
      </c>
      <c r="DD9" s="609" t="s">
        <v>312</v>
      </c>
      <c r="DE9" s="641"/>
      <c r="DF9" s="642"/>
      <c r="DG9" s="642"/>
      <c r="DH9" s="642"/>
      <c r="DI9" s="642"/>
      <c r="DJ9" s="625" t="s">
        <v>503</v>
      </c>
      <c r="DK9" s="625" t="s">
        <v>503</v>
      </c>
      <c r="DL9" s="625" t="s">
        <v>503</v>
      </c>
      <c r="DM9" s="625" t="s">
        <v>503</v>
      </c>
      <c r="DN9" s="625" t="s">
        <v>503</v>
      </c>
      <c r="DO9" s="625" t="s">
        <v>503</v>
      </c>
      <c r="DP9" s="625" t="s">
        <v>503</v>
      </c>
      <c r="DQ9" s="625" t="s">
        <v>503</v>
      </c>
      <c r="DR9" s="640" t="s">
        <v>482</v>
      </c>
      <c r="DS9" s="628" t="s">
        <v>389</v>
      </c>
      <c r="DT9" s="625" t="s">
        <v>510</v>
      </c>
      <c r="DU9" s="628" t="s">
        <v>1051</v>
      </c>
      <c r="DV9" s="628" t="s">
        <v>515</v>
      </c>
      <c r="DW9" s="628" t="s">
        <v>516</v>
      </c>
      <c r="DX9" s="609" t="s">
        <v>312</v>
      </c>
      <c r="DY9" s="609" t="s">
        <v>312</v>
      </c>
      <c r="DZ9" s="650"/>
      <c r="EA9" s="628"/>
      <c r="EB9" s="2080"/>
      <c r="EC9" s="1680" t="s">
        <v>1293</v>
      </c>
      <c r="ED9" s="1886"/>
      <c r="EE9" s="1678" t="s">
        <v>526</v>
      </c>
      <c r="EF9" s="2073"/>
      <c r="EG9" s="2070"/>
      <c r="EH9" s="1886"/>
      <c r="EI9" s="625" t="s">
        <v>526</v>
      </c>
      <c r="EJ9" s="2081"/>
      <c r="EK9" s="1680"/>
      <c r="EL9" s="625" t="s">
        <v>526</v>
      </c>
      <c r="EM9" s="628" t="s">
        <v>526</v>
      </c>
      <c r="EN9" s="651"/>
      <c r="EO9" s="625" t="s">
        <v>312</v>
      </c>
      <c r="EP9" s="606" t="s">
        <v>312</v>
      </c>
      <c r="EQ9" s="636" t="s">
        <v>1002</v>
      </c>
      <c r="ER9" s="612" t="s">
        <v>1005</v>
      </c>
      <c r="ES9" s="612" t="s">
        <v>1007</v>
      </c>
      <c r="ET9" s="612" t="s">
        <v>1009</v>
      </c>
      <c r="EU9" s="612" t="s">
        <v>540</v>
      </c>
      <c r="EV9" s="612" t="s">
        <v>1051</v>
      </c>
      <c r="EW9" s="612" t="s">
        <v>545</v>
      </c>
      <c r="EX9" s="636" t="s">
        <v>1002</v>
      </c>
      <c r="EY9" s="612" t="s">
        <v>1005</v>
      </c>
      <c r="EZ9" s="612" t="s">
        <v>1007</v>
      </c>
      <c r="FA9" s="612" t="s">
        <v>1009</v>
      </c>
      <c r="FB9" s="612" t="s">
        <v>540</v>
      </c>
      <c r="FC9" s="612" t="s">
        <v>1051</v>
      </c>
      <c r="FD9" s="612" t="s">
        <v>545</v>
      </c>
      <c r="FE9" s="636" t="s">
        <v>1002</v>
      </c>
      <c r="FF9" s="612" t="s">
        <v>1005</v>
      </c>
      <c r="FG9" s="612" t="s">
        <v>1007</v>
      </c>
      <c r="FH9" s="612" t="s">
        <v>1009</v>
      </c>
      <c r="FI9" s="612" t="s">
        <v>540</v>
      </c>
      <c r="FJ9" s="612" t="s">
        <v>1051</v>
      </c>
      <c r="FK9" s="612" t="s">
        <v>545</v>
      </c>
      <c r="FL9" s="636" t="s">
        <v>1002</v>
      </c>
      <c r="FM9" s="612" t="s">
        <v>1005</v>
      </c>
      <c r="FN9" s="612" t="s">
        <v>1007</v>
      </c>
      <c r="FO9" s="612" t="s">
        <v>1009</v>
      </c>
      <c r="FP9" s="612" t="s">
        <v>540</v>
      </c>
      <c r="FQ9" s="612" t="s">
        <v>1051</v>
      </c>
      <c r="FR9" s="612" t="s">
        <v>545</v>
      </c>
      <c r="FS9" s="636" t="s">
        <v>1002</v>
      </c>
      <c r="FT9" s="612" t="s">
        <v>1005</v>
      </c>
      <c r="FU9" s="612" t="s">
        <v>1007</v>
      </c>
      <c r="FV9" s="612" t="s">
        <v>1009</v>
      </c>
      <c r="FW9" s="612" t="s">
        <v>540</v>
      </c>
      <c r="FX9" s="612" t="s">
        <v>1051</v>
      </c>
      <c r="FY9" s="612" t="s">
        <v>545</v>
      </c>
      <c r="FZ9" s="606" t="s">
        <v>312</v>
      </c>
      <c r="GA9" s="606" t="s">
        <v>312</v>
      </c>
      <c r="GB9" s="1965"/>
      <c r="GC9" s="854" t="s">
        <v>1007</v>
      </c>
      <c r="GD9" s="854" t="s">
        <v>1265</v>
      </c>
      <c r="GE9" s="854" t="s">
        <v>1051</v>
      </c>
      <c r="GF9" s="844" t="s">
        <v>362</v>
      </c>
      <c r="GG9" s="844" t="s">
        <v>453</v>
      </c>
      <c r="GH9" s="839" t="s">
        <v>362</v>
      </c>
      <c r="GI9" s="839" t="s">
        <v>362</v>
      </c>
      <c r="GJ9" s="2049" t="s">
        <v>1278</v>
      </c>
      <c r="GK9" s="2050" t="s">
        <v>365</v>
      </c>
      <c r="GL9" s="2050" t="s">
        <v>1278</v>
      </c>
      <c r="GM9" s="2050" t="s">
        <v>365</v>
      </c>
      <c r="GN9" s="2050" t="s">
        <v>1278</v>
      </c>
      <c r="GO9" s="2050" t="s">
        <v>365</v>
      </c>
      <c r="GP9" s="2050" t="s">
        <v>1278</v>
      </c>
      <c r="GQ9" s="2050" t="s">
        <v>365</v>
      </c>
      <c r="GR9" s="2050" t="s">
        <v>1278</v>
      </c>
      <c r="GS9" s="2050" t="s">
        <v>365</v>
      </c>
      <c r="GT9" s="2050" t="s">
        <v>1278</v>
      </c>
      <c r="GU9" s="2051" t="s">
        <v>365</v>
      </c>
      <c r="GV9" s="613"/>
      <c r="GW9" s="612"/>
      <c r="GX9" s="612"/>
      <c r="GY9" s="616"/>
      <c r="GZ9" s="606" t="s">
        <v>312</v>
      </c>
      <c r="HA9" s="635"/>
      <c r="HB9" s="606" t="s">
        <v>312</v>
      </c>
      <c r="HC9" s="609"/>
      <c r="HD9" s="616" t="s">
        <v>561</v>
      </c>
      <c r="HE9" s="616" t="s">
        <v>562</v>
      </c>
      <c r="HF9" s="646">
        <v>1.055E-2</v>
      </c>
      <c r="HG9" s="646">
        <v>1.2125E-2</v>
      </c>
      <c r="HH9" s="646">
        <v>1.3655E-2</v>
      </c>
      <c r="HI9" s="652">
        <v>1.2825E-2</v>
      </c>
      <c r="HJ9" s="652">
        <v>1.2775E-2</v>
      </c>
      <c r="HK9" s="652">
        <v>1.2109999999999999E-2</v>
      </c>
      <c r="HL9" s="653"/>
      <c r="HM9" s="2780"/>
      <c r="HN9" s="2782"/>
      <c r="HO9" s="607"/>
      <c r="HP9" s="607"/>
      <c r="HQ9" s="586">
        <v>63</v>
      </c>
      <c r="HR9" s="586" t="s">
        <v>574</v>
      </c>
      <c r="HS9" s="607"/>
      <c r="HT9" s="607"/>
      <c r="HU9" s="1631"/>
      <c r="HV9" s="2815" t="s">
        <v>416</v>
      </c>
      <c r="HW9" s="607"/>
      <c r="HX9" s="607"/>
      <c r="HY9" s="607"/>
      <c r="HZ9" s="607"/>
      <c r="IA9" s="607"/>
      <c r="IB9" s="607"/>
      <c r="IC9" s="607"/>
      <c r="ID9" s="607"/>
      <c r="IE9" s="607"/>
      <c r="IF9" s="607"/>
      <c r="IG9" s="607"/>
      <c r="IH9" s="607"/>
      <c r="II9" s="607"/>
      <c r="IJ9" s="607"/>
      <c r="IK9" s="607"/>
      <c r="IL9" s="607"/>
      <c r="IM9" s="607"/>
      <c r="IN9" s="607"/>
      <c r="IO9" s="607"/>
      <c r="IP9" s="607"/>
      <c r="IQ9" s="607"/>
      <c r="IR9" s="607"/>
      <c r="IS9" s="607"/>
      <c r="IT9" s="607"/>
      <c r="IU9" s="27"/>
    </row>
    <row r="10" spans="1:255" ht="17.100000000000001" customHeight="1" thickBot="1">
      <c r="A10" s="579"/>
      <c r="B10" s="609"/>
      <c r="C10" s="636">
        <v>1</v>
      </c>
      <c r="D10" s="612">
        <f t="shared" ref="D10:V10" si="0">C10+1</f>
        <v>2</v>
      </c>
      <c r="E10" s="612">
        <f t="shared" si="0"/>
        <v>3</v>
      </c>
      <c r="F10" s="612">
        <f t="shared" si="0"/>
        <v>4</v>
      </c>
      <c r="G10" s="612">
        <f t="shared" si="0"/>
        <v>5</v>
      </c>
      <c r="H10" s="612">
        <f t="shared" si="0"/>
        <v>6</v>
      </c>
      <c r="I10" s="612">
        <f t="shared" si="0"/>
        <v>7</v>
      </c>
      <c r="J10" s="612">
        <f t="shared" si="0"/>
        <v>8</v>
      </c>
      <c r="K10" s="612">
        <f t="shared" si="0"/>
        <v>9</v>
      </c>
      <c r="L10" s="612">
        <f t="shared" si="0"/>
        <v>10</v>
      </c>
      <c r="M10" s="612">
        <f t="shared" si="0"/>
        <v>11</v>
      </c>
      <c r="N10" s="612">
        <f t="shared" si="0"/>
        <v>12</v>
      </c>
      <c r="O10" s="612">
        <f t="shared" si="0"/>
        <v>13</v>
      </c>
      <c r="P10" s="612">
        <f t="shared" si="0"/>
        <v>14</v>
      </c>
      <c r="Q10" s="612">
        <f t="shared" si="0"/>
        <v>15</v>
      </c>
      <c r="R10" s="612">
        <f t="shared" si="0"/>
        <v>16</v>
      </c>
      <c r="S10" s="612">
        <f t="shared" si="0"/>
        <v>17</v>
      </c>
      <c r="T10" s="612">
        <f t="shared" si="0"/>
        <v>18</v>
      </c>
      <c r="U10" s="612">
        <f t="shared" si="0"/>
        <v>19</v>
      </c>
      <c r="V10" s="612">
        <f t="shared" si="0"/>
        <v>20</v>
      </c>
      <c r="W10" s="1176" t="s">
        <v>972</v>
      </c>
      <c r="X10" s="612"/>
      <c r="Y10" s="654" t="s">
        <v>972</v>
      </c>
      <c r="Z10" s="609"/>
      <c r="AA10" s="636">
        <f>+V10+1</f>
        <v>21</v>
      </c>
      <c r="AB10" s="612">
        <f t="shared" ref="AB10:AH10" si="1">AA10+1</f>
        <v>22</v>
      </c>
      <c r="AC10" s="612">
        <f t="shared" si="1"/>
        <v>23</v>
      </c>
      <c r="AD10" s="612">
        <f t="shared" si="1"/>
        <v>24</v>
      </c>
      <c r="AE10" s="612">
        <f t="shared" si="1"/>
        <v>25</v>
      </c>
      <c r="AF10" s="612">
        <f t="shared" si="1"/>
        <v>26</v>
      </c>
      <c r="AG10" s="612">
        <f t="shared" si="1"/>
        <v>27</v>
      </c>
      <c r="AH10" s="612">
        <f t="shared" si="1"/>
        <v>28</v>
      </c>
      <c r="AI10" s="612">
        <f t="shared" ref="AI10:AS10" si="2">AH10+1</f>
        <v>29</v>
      </c>
      <c r="AJ10" s="612">
        <f t="shared" si="2"/>
        <v>30</v>
      </c>
      <c r="AK10" s="612">
        <f t="shared" si="2"/>
        <v>31</v>
      </c>
      <c r="AL10" s="612">
        <f t="shared" si="2"/>
        <v>32</v>
      </c>
      <c r="AM10" s="612">
        <f t="shared" si="2"/>
        <v>33</v>
      </c>
      <c r="AN10" s="612">
        <f t="shared" si="2"/>
        <v>34</v>
      </c>
      <c r="AO10" s="612">
        <f t="shared" si="2"/>
        <v>35</v>
      </c>
      <c r="AP10" s="612">
        <f>+AO10+1</f>
        <v>36</v>
      </c>
      <c r="AQ10" s="612">
        <f>+AP10+1</f>
        <v>37</v>
      </c>
      <c r="AR10" s="612">
        <f t="shared" si="2"/>
        <v>38</v>
      </c>
      <c r="AS10" s="612">
        <f t="shared" si="2"/>
        <v>39</v>
      </c>
      <c r="AT10" s="654" t="s">
        <v>972</v>
      </c>
      <c r="AU10" s="609"/>
      <c r="AV10" s="636">
        <f>AS10+1</f>
        <v>40</v>
      </c>
      <c r="AW10" s="612">
        <f t="shared" ref="AW10:BQ10" si="3">AV10+1</f>
        <v>41</v>
      </c>
      <c r="AX10" s="612">
        <f t="shared" si="3"/>
        <v>42</v>
      </c>
      <c r="AY10" s="612">
        <f t="shared" si="3"/>
        <v>43</v>
      </c>
      <c r="AZ10" s="612">
        <f t="shared" si="3"/>
        <v>44</v>
      </c>
      <c r="BA10" s="612">
        <f t="shared" si="3"/>
        <v>45</v>
      </c>
      <c r="BB10" s="612">
        <f t="shared" si="3"/>
        <v>46</v>
      </c>
      <c r="BC10" s="612">
        <f t="shared" si="3"/>
        <v>47</v>
      </c>
      <c r="BD10" s="612">
        <f t="shared" si="3"/>
        <v>48</v>
      </c>
      <c r="BE10" s="612">
        <f t="shared" si="3"/>
        <v>49</v>
      </c>
      <c r="BF10" s="612">
        <f t="shared" si="3"/>
        <v>50</v>
      </c>
      <c r="BG10" s="612">
        <f t="shared" si="3"/>
        <v>51</v>
      </c>
      <c r="BH10" s="612">
        <f t="shared" si="3"/>
        <v>52</v>
      </c>
      <c r="BI10" s="612">
        <f t="shared" si="3"/>
        <v>53</v>
      </c>
      <c r="BJ10" s="612">
        <f t="shared" si="3"/>
        <v>54</v>
      </c>
      <c r="BK10" s="636">
        <f t="shared" si="3"/>
        <v>55</v>
      </c>
      <c r="BL10" s="612">
        <f t="shared" si="3"/>
        <v>56</v>
      </c>
      <c r="BM10" s="612">
        <f t="shared" si="3"/>
        <v>57</v>
      </c>
      <c r="BN10" s="612">
        <f t="shared" si="3"/>
        <v>58</v>
      </c>
      <c r="BO10" s="612">
        <f t="shared" si="3"/>
        <v>59</v>
      </c>
      <c r="BP10" s="612">
        <f t="shared" si="3"/>
        <v>60</v>
      </c>
      <c r="BQ10" s="612">
        <f t="shared" si="3"/>
        <v>61</v>
      </c>
      <c r="BR10" s="612">
        <f>1+BQ10</f>
        <v>62</v>
      </c>
      <c r="BS10" s="612">
        <f t="shared" ref="BS10:BZ10" si="4">BR10+1</f>
        <v>63</v>
      </c>
      <c r="BT10" s="612">
        <f t="shared" si="4"/>
        <v>64</v>
      </c>
      <c r="BU10" s="612">
        <f t="shared" si="4"/>
        <v>65</v>
      </c>
      <c r="BV10" s="612">
        <f t="shared" si="4"/>
        <v>66</v>
      </c>
      <c r="BW10" s="612">
        <f t="shared" si="4"/>
        <v>67</v>
      </c>
      <c r="BX10" s="612">
        <f t="shared" si="4"/>
        <v>68</v>
      </c>
      <c r="BY10" s="612">
        <f t="shared" si="4"/>
        <v>69</v>
      </c>
      <c r="BZ10" s="612">
        <f t="shared" si="4"/>
        <v>70</v>
      </c>
      <c r="CA10" s="1176" t="s">
        <v>972</v>
      </c>
      <c r="CB10" s="613">
        <f>BZ10+1</f>
        <v>71</v>
      </c>
      <c r="CC10" s="654" t="s">
        <v>972</v>
      </c>
      <c r="CD10" s="635"/>
      <c r="CE10" s="606"/>
      <c r="CF10" s="644">
        <v>1</v>
      </c>
      <c r="CG10" s="614">
        <v>2</v>
      </c>
      <c r="CH10" s="614">
        <v>3</v>
      </c>
      <c r="CI10" s="614">
        <v>4</v>
      </c>
      <c r="CJ10" s="614">
        <v>5</v>
      </c>
      <c r="CK10" s="614">
        <v>6</v>
      </c>
      <c r="CL10" s="614">
        <v>7</v>
      </c>
      <c r="CM10" s="614">
        <v>8</v>
      </c>
      <c r="CN10" s="614">
        <v>9</v>
      </c>
      <c r="CO10" s="614">
        <v>10</v>
      </c>
      <c r="CP10" s="614">
        <v>11</v>
      </c>
      <c r="CQ10" s="614">
        <v>12</v>
      </c>
      <c r="CR10" s="614">
        <v>13</v>
      </c>
      <c r="CS10" s="614">
        <v>14</v>
      </c>
      <c r="CT10" s="614">
        <v>15</v>
      </c>
      <c r="CU10" s="614">
        <v>16</v>
      </c>
      <c r="CV10" s="614">
        <v>17</v>
      </c>
      <c r="CW10" s="614">
        <v>18</v>
      </c>
      <c r="CX10" s="2022">
        <v>19</v>
      </c>
      <c r="CY10" s="614">
        <v>20</v>
      </c>
      <c r="CZ10" s="614">
        <v>21</v>
      </c>
      <c r="DA10" s="614">
        <v>22</v>
      </c>
      <c r="DB10" s="614">
        <v>23</v>
      </c>
      <c r="DC10" s="609"/>
      <c r="DD10" s="609"/>
      <c r="DE10" s="629">
        <v>24</v>
      </c>
      <c r="DF10" s="630">
        <f t="shared" ref="DF10:DW10" si="5">DE10+1</f>
        <v>25</v>
      </c>
      <c r="DG10" s="630">
        <f t="shared" si="5"/>
        <v>26</v>
      </c>
      <c r="DH10" s="630">
        <f t="shared" si="5"/>
        <v>27</v>
      </c>
      <c r="DI10" s="630">
        <f t="shared" si="5"/>
        <v>28</v>
      </c>
      <c r="DJ10" s="614">
        <f t="shared" si="5"/>
        <v>29</v>
      </c>
      <c r="DK10" s="614">
        <f t="shared" si="5"/>
        <v>30</v>
      </c>
      <c r="DL10" s="614">
        <f t="shared" si="5"/>
        <v>31</v>
      </c>
      <c r="DM10" s="614">
        <f t="shared" si="5"/>
        <v>32</v>
      </c>
      <c r="DN10" s="614">
        <f t="shared" si="5"/>
        <v>33</v>
      </c>
      <c r="DO10" s="614">
        <f t="shared" si="5"/>
        <v>34</v>
      </c>
      <c r="DP10" s="614">
        <f t="shared" si="5"/>
        <v>35</v>
      </c>
      <c r="DQ10" s="614">
        <f t="shared" si="5"/>
        <v>36</v>
      </c>
      <c r="DR10" s="614">
        <f t="shared" si="5"/>
        <v>37</v>
      </c>
      <c r="DS10" s="614">
        <f t="shared" si="5"/>
        <v>38</v>
      </c>
      <c r="DT10" s="614">
        <f t="shared" si="5"/>
        <v>39</v>
      </c>
      <c r="DU10" s="614">
        <f t="shared" si="5"/>
        <v>40</v>
      </c>
      <c r="DV10" s="614">
        <f t="shared" si="5"/>
        <v>41</v>
      </c>
      <c r="DW10" s="614">
        <f t="shared" si="5"/>
        <v>42</v>
      </c>
      <c r="DX10" s="609"/>
      <c r="DY10" s="609"/>
      <c r="DZ10" s="644">
        <f>DW10+1</f>
        <v>43</v>
      </c>
      <c r="EA10" s="614">
        <f>DZ10+1</f>
        <v>44</v>
      </c>
      <c r="EB10" s="2082">
        <f>EA10+1</f>
        <v>45</v>
      </c>
      <c r="EC10" s="1879">
        <f>+EB10+1</f>
        <v>46</v>
      </c>
      <c r="ED10" s="1313">
        <f t="shared" ref="ED10:EJ10" si="6">EC10+1</f>
        <v>47</v>
      </c>
      <c r="EE10" s="628">
        <f t="shared" si="6"/>
        <v>48</v>
      </c>
      <c r="EF10" s="614">
        <f t="shared" si="6"/>
        <v>49</v>
      </c>
      <c r="EG10" s="1314">
        <f t="shared" si="6"/>
        <v>50</v>
      </c>
      <c r="EH10" s="1313">
        <f t="shared" si="6"/>
        <v>51</v>
      </c>
      <c r="EI10" s="614">
        <f t="shared" si="6"/>
        <v>52</v>
      </c>
      <c r="EJ10" s="1314">
        <f t="shared" si="6"/>
        <v>53</v>
      </c>
      <c r="EK10" s="1879">
        <f>EJ10+1</f>
        <v>54</v>
      </c>
      <c r="EL10" s="614">
        <f>EK10+1</f>
        <v>55</v>
      </c>
      <c r="EM10" s="614">
        <f>EL10+1</f>
        <v>56</v>
      </c>
      <c r="EN10" s="614">
        <f>EM10+1</f>
        <v>57</v>
      </c>
      <c r="EO10" s="625"/>
      <c r="EP10" s="653"/>
      <c r="EQ10" s="648">
        <v>1</v>
      </c>
      <c r="ER10" s="615">
        <f t="shared" ref="ER10:FY10" si="7">EQ10+1</f>
        <v>2</v>
      </c>
      <c r="ES10" s="615">
        <f t="shared" si="7"/>
        <v>3</v>
      </c>
      <c r="ET10" s="615">
        <f t="shared" si="7"/>
        <v>4</v>
      </c>
      <c r="EU10" s="615">
        <f t="shared" si="7"/>
        <v>5</v>
      </c>
      <c r="EV10" s="615">
        <f t="shared" si="7"/>
        <v>6</v>
      </c>
      <c r="EW10" s="615">
        <f t="shared" si="7"/>
        <v>7</v>
      </c>
      <c r="EX10" s="648">
        <f t="shared" si="7"/>
        <v>8</v>
      </c>
      <c r="EY10" s="615">
        <f t="shared" si="7"/>
        <v>9</v>
      </c>
      <c r="EZ10" s="615">
        <f t="shared" si="7"/>
        <v>10</v>
      </c>
      <c r="FA10" s="615">
        <f t="shared" si="7"/>
        <v>11</v>
      </c>
      <c r="FB10" s="615">
        <f t="shared" si="7"/>
        <v>12</v>
      </c>
      <c r="FC10" s="615">
        <f t="shared" si="7"/>
        <v>13</v>
      </c>
      <c r="FD10" s="615">
        <f t="shared" si="7"/>
        <v>14</v>
      </c>
      <c r="FE10" s="648">
        <f t="shared" si="7"/>
        <v>15</v>
      </c>
      <c r="FF10" s="615">
        <f t="shared" si="7"/>
        <v>16</v>
      </c>
      <c r="FG10" s="615">
        <f t="shared" si="7"/>
        <v>17</v>
      </c>
      <c r="FH10" s="615">
        <f t="shared" si="7"/>
        <v>18</v>
      </c>
      <c r="FI10" s="615">
        <f t="shared" si="7"/>
        <v>19</v>
      </c>
      <c r="FJ10" s="615">
        <f t="shared" si="7"/>
        <v>20</v>
      </c>
      <c r="FK10" s="615">
        <f t="shared" si="7"/>
        <v>21</v>
      </c>
      <c r="FL10" s="648">
        <f t="shared" si="7"/>
        <v>22</v>
      </c>
      <c r="FM10" s="615">
        <f t="shared" si="7"/>
        <v>23</v>
      </c>
      <c r="FN10" s="615">
        <f t="shared" si="7"/>
        <v>24</v>
      </c>
      <c r="FO10" s="615">
        <f t="shared" si="7"/>
        <v>25</v>
      </c>
      <c r="FP10" s="615">
        <f t="shared" si="7"/>
        <v>26</v>
      </c>
      <c r="FQ10" s="615">
        <f t="shared" si="7"/>
        <v>27</v>
      </c>
      <c r="FR10" s="615">
        <f t="shared" si="7"/>
        <v>28</v>
      </c>
      <c r="FS10" s="648">
        <f t="shared" si="7"/>
        <v>29</v>
      </c>
      <c r="FT10" s="615">
        <f t="shared" si="7"/>
        <v>30</v>
      </c>
      <c r="FU10" s="615">
        <f t="shared" si="7"/>
        <v>31</v>
      </c>
      <c r="FV10" s="615">
        <f t="shared" si="7"/>
        <v>32</v>
      </c>
      <c r="FW10" s="615">
        <f t="shared" si="7"/>
        <v>33</v>
      </c>
      <c r="FX10" s="615">
        <f t="shared" si="7"/>
        <v>34</v>
      </c>
      <c r="FY10" s="615">
        <f t="shared" si="7"/>
        <v>35</v>
      </c>
      <c r="FZ10" s="653"/>
      <c r="GA10" s="653"/>
      <c r="GB10" s="1966">
        <f>FY10+1</f>
        <v>36</v>
      </c>
      <c r="GC10" s="615">
        <f t="shared" ref="GC10:GQ10" si="8">GB10+1</f>
        <v>37</v>
      </c>
      <c r="GD10" s="615">
        <f t="shared" si="8"/>
        <v>38</v>
      </c>
      <c r="GE10" s="615">
        <f t="shared" si="8"/>
        <v>39</v>
      </c>
      <c r="GF10" s="615">
        <f t="shared" si="8"/>
        <v>40</v>
      </c>
      <c r="GG10" s="615">
        <f t="shared" si="8"/>
        <v>41</v>
      </c>
      <c r="GH10" s="615">
        <f t="shared" si="8"/>
        <v>42</v>
      </c>
      <c r="GI10" s="615">
        <f t="shared" si="8"/>
        <v>43</v>
      </c>
      <c r="GJ10" s="2052">
        <f t="shared" si="8"/>
        <v>44</v>
      </c>
      <c r="GK10" s="2053">
        <f t="shared" si="8"/>
        <v>45</v>
      </c>
      <c r="GL10" s="2053">
        <f t="shared" si="8"/>
        <v>46</v>
      </c>
      <c r="GM10" s="2053">
        <f t="shared" si="8"/>
        <v>47</v>
      </c>
      <c r="GN10" s="2053">
        <f t="shared" si="8"/>
        <v>48</v>
      </c>
      <c r="GO10" s="2053">
        <f t="shared" si="8"/>
        <v>49</v>
      </c>
      <c r="GP10" s="2053">
        <f t="shared" si="8"/>
        <v>50</v>
      </c>
      <c r="GQ10" s="2053">
        <f t="shared" si="8"/>
        <v>51</v>
      </c>
      <c r="GR10" s="2053">
        <f>GQ10+1</f>
        <v>52</v>
      </c>
      <c r="GS10" s="2053">
        <f>GR10+1</f>
        <v>53</v>
      </c>
      <c r="GT10" s="2053">
        <f>GQ10+1</f>
        <v>52</v>
      </c>
      <c r="GU10" s="2054">
        <f>GT10+1</f>
        <v>53</v>
      </c>
      <c r="GV10" s="1731"/>
      <c r="GW10" s="615"/>
      <c r="GX10" s="615"/>
      <c r="GY10" s="615"/>
      <c r="GZ10" s="606"/>
      <c r="HA10" s="635"/>
      <c r="HB10" s="606"/>
      <c r="HC10" s="636">
        <v>1</v>
      </c>
      <c r="HD10" s="612">
        <f t="shared" ref="HD10:HK10" si="9">HC10+1</f>
        <v>2</v>
      </c>
      <c r="HE10" s="612">
        <f t="shared" si="9"/>
        <v>3</v>
      </c>
      <c r="HF10" s="612">
        <f t="shared" si="9"/>
        <v>4</v>
      </c>
      <c r="HG10" s="612">
        <f t="shared" si="9"/>
        <v>5</v>
      </c>
      <c r="HH10" s="612">
        <f t="shared" si="9"/>
        <v>6</v>
      </c>
      <c r="HI10" s="612">
        <f t="shared" si="9"/>
        <v>7</v>
      </c>
      <c r="HJ10" s="612">
        <f t="shared" si="9"/>
        <v>8</v>
      </c>
      <c r="HK10" s="612">
        <f t="shared" si="9"/>
        <v>9</v>
      </c>
      <c r="HL10" s="653"/>
      <c r="HM10" s="1313">
        <v>1</v>
      </c>
      <c r="HN10" s="1314">
        <v>2</v>
      </c>
      <c r="HQ10" s="586">
        <v>50</v>
      </c>
      <c r="HR10" s="586" t="s">
        <v>575</v>
      </c>
      <c r="HU10" s="730"/>
      <c r="HV10" s="2816"/>
      <c r="IU10" s="27"/>
    </row>
    <row r="11" spans="1:255" ht="15.75" customHeight="1">
      <c r="A11" s="579"/>
      <c r="B11" s="594" t="s">
        <v>313</v>
      </c>
      <c r="C11" s="655">
        <f>+CLA_!D11</f>
        <v>116</v>
      </c>
      <c r="D11" s="656" t="str">
        <f>+CLA_!E11</f>
        <v/>
      </c>
      <c r="E11" s="657">
        <f>+CLA_!F11</f>
        <v>120</v>
      </c>
      <c r="F11" s="656" t="str">
        <f>+CLA_!G11</f>
        <v/>
      </c>
      <c r="G11" s="657">
        <f>IF(C11="","",ROUND((IF(ISNUMBER(C11),C11,+$C$42)*DF_!$DY9+IF(ISNUMBER(E11),E11,$E$42)*DF_!$DZ9)/(DF_!$DY9+DF_!$DZ9),0))</f>
        <v>117</v>
      </c>
      <c r="H11" s="656" t="str">
        <f>IF(D11="","",ROUND((IF(+D11=0,+$D$42,+D11)*DF_!$DY9+IF(ISNUMBER(F11),F11,$F$42)*DF_!$DZ9)/(DF_!$DY9+DF_!$DZ9),1))</f>
        <v/>
      </c>
      <c r="I11" s="657" t="str">
        <f>+CLA_!H11</f>
        <v/>
      </c>
      <c r="J11" s="657" t="str">
        <f>+CLA_!I11</f>
        <v/>
      </c>
      <c r="K11" s="657">
        <f>+CLA_!J11</f>
        <v>3</v>
      </c>
      <c r="L11" s="657" t="str">
        <f>+CLA_!K11</f>
        <v/>
      </c>
      <c r="M11" s="658" t="str">
        <f>IF(SUM(CLA_!L11:N11)=0,"",ROUND(AVERAGE(CLA_!L11:N11),-2))</f>
        <v/>
      </c>
      <c r="N11" s="658" t="str">
        <f>IF(SUM(CLA_!O11:P11)=0,"",ROUND(AVERAGE(CLA_!O11:P11),-2))</f>
        <v/>
      </c>
      <c r="O11" s="658" t="str">
        <f>IF(SUM(CLA_!Q11:S11)=0,"",ROUND(AVERAGE(CLA_!Q11:S11),-2))</f>
        <v/>
      </c>
      <c r="P11" s="658" t="str">
        <f>IF(SUM(CLA_!T11:U11)=0,"",ROUND(AVERAGE(CLA_!T11:U11),-2))</f>
        <v/>
      </c>
      <c r="Q11" s="658" t="str">
        <f>+CLA_!V11</f>
        <v/>
      </c>
      <c r="R11" s="659" t="str">
        <f>+CLA_!W11</f>
        <v/>
      </c>
      <c r="S11" s="658" t="str">
        <f>+CLA_!X11</f>
        <v/>
      </c>
      <c r="T11" s="659" t="str">
        <f>+CLA_!Y11</f>
        <v/>
      </c>
      <c r="U11" s="656" t="str">
        <f>IF(M11="","",+M11/(PT_!Y11*10))</f>
        <v/>
      </c>
      <c r="V11" s="656" t="str">
        <f>IF(N11="","",+N11/(PT_!Z11*10))</f>
        <v/>
      </c>
      <c r="W11" s="656"/>
      <c r="X11" s="656"/>
      <c r="Y11" s="594" t="s">
        <v>313</v>
      </c>
      <c r="Z11" s="594" t="s">
        <v>313</v>
      </c>
      <c r="AA11" s="655">
        <f>IF(CLA_!Z11="","",+CLA_!Z11)</f>
        <v>138</v>
      </c>
      <c r="AB11" s="657">
        <f>IF(CLA_!AA11="","",+CLA_!AA11)</f>
        <v>157</v>
      </c>
      <c r="AC11" s="657">
        <f>IF(AA11="","",ROUND((IF(ISNUMBER(AA11),AA11,$AA$42)*DF_!$DY9+IF(ISNUMBER(AB11),AB11,$AB$42)*DF_!$DZ9)/(DF_!$DY9+DF_!$DZ9),0))</f>
        <v>145</v>
      </c>
      <c r="AD11" s="657" t="str">
        <f>IF(CLA_!AB11="","",+CLA_!AB11)</f>
        <v/>
      </c>
      <c r="AE11" s="657" t="str">
        <f>IF(CLA_!AC11="","",+CLA_!AC11)</f>
        <v/>
      </c>
      <c r="AF11" s="657">
        <f>IF(CLA_!AD11="","",+CLA_!AD11)</f>
        <v>2</v>
      </c>
      <c r="AG11" s="657" t="str">
        <f>IF(CLA_!AE11="","",+CLA_!AE11)</f>
        <v/>
      </c>
      <c r="AH11" s="675" t="str">
        <f>IF(CLA_!AF11="","",+CLA_!AF11)</f>
        <v/>
      </c>
      <c r="AI11" s="656" t="str">
        <f>IF(CLA_!AG11="","",+CLA_!AG11)</f>
        <v/>
      </c>
      <c r="AJ11" s="656" t="str">
        <f>IF(CLA_!AH11="","",+CLA_!AH11)</f>
        <v/>
      </c>
      <c r="AK11" s="656" t="str">
        <f>IF(CLA_!AI11="","",+CLA_!AI11)</f>
        <v/>
      </c>
      <c r="AL11" s="2191" t="str">
        <f>IF(ISNUMBER(AI11),ROUND(((AH11*AI11)-(AJ11*AK11))/(AH11*AI11),2),"")</f>
        <v/>
      </c>
      <c r="AM11" s="656"/>
      <c r="AN11" s="657">
        <f>PT_!Y11</f>
        <v>290</v>
      </c>
      <c r="AO11" s="657">
        <f>PT_!Z11</f>
        <v>400</v>
      </c>
      <c r="AP11" s="663">
        <f>IF(ISNUMBER(G11),IF(ISNUMBER(AD11),AD11,$AD$42)*8.34*$CJ11/(HD11+HE11)*HD11/(IF(ISNUMBER(O11),O11,$O$42)*HD11*2.52*8.34),"")</f>
        <v>9.2805939580133126E-2</v>
      </c>
      <c r="AQ11" s="663">
        <f>IF(ISNUMBER(G11),IF(ISNUMBER(AE11),AE11,$AE$42)*8.34*$CJ11/(HD11+HE11)*HE11/(IF(ISNUMBER(P11),P11,$P$42)*HE11*2.52*8.34),"")</f>
        <v>9.1689250225835586E-2</v>
      </c>
      <c r="AR11" s="656">
        <f ca="1">IF(DMREZ!D11&gt;TODAY()-2,"",((IF(ISNUMBER(O11),O11,$O$42)*2.52*HD11)/((CF11*IF(ISNUMBER(K11),K11,$K$42)*(+HD11/(HD11+HE11)))+($HQ$14*IF(ISNUMBER(AT_!Q11),AT_!Q11,AT_!$Q$42)))))</f>
        <v>6.163117061121457</v>
      </c>
      <c r="AS11" s="675">
        <f ca="1">IF(DMREZ!D11&gt;TODAY()-2,"",((IF(ISNUMBER(P11),P11,$P$42)*2.52*HE11)/((CF11*IF(ISNUMBER(K11),K11,$K$42)*(HE11/(HD11+HE11))+((PT_!BN11+2.5/3.5*PT_!BP11)*IF(ISNUMBER(AT_!S11),AT_!S11,AT_!$S$42))))))</f>
        <v>3.3439158448120203</v>
      </c>
      <c r="AT11" s="594" t="s">
        <v>313</v>
      </c>
      <c r="AU11" s="594" t="s">
        <v>313</v>
      </c>
      <c r="AV11" s="660" t="str">
        <f>IF(CLA_!AP11="","",+CLA_!AP11)</f>
        <v/>
      </c>
      <c r="AW11" s="661" t="str">
        <f>IF(CLA_!AQ11="","",+CLA_!AQ11)</f>
        <v/>
      </c>
      <c r="AX11" s="661" t="str">
        <f>IF(CLA_!AR11="","",+CLA_!AR11)</f>
        <v/>
      </c>
      <c r="AY11" s="661" t="str">
        <f>IF(CLA_!AS11="","",+CLA_!AS11)</f>
        <v/>
      </c>
      <c r="AZ11" s="661" t="str">
        <f>IF(CLA_!AT11="","",+CLA_!AT11)</f>
        <v/>
      </c>
      <c r="BA11" s="661" t="str">
        <f>IF(CLA_!AU11="","",+CLA_!AU11)</f>
        <v/>
      </c>
      <c r="BB11" s="661" t="str">
        <f>IF(CLA_!AV11="","",+CLA_!AV11)</f>
        <v/>
      </c>
      <c r="BC11" s="661" t="str">
        <f>IF(CLA_!AW11="","",+CLA_!AW11)</f>
        <v/>
      </c>
      <c r="BD11" s="661" t="str">
        <f>IF(CLA_!AX11="","",+CLA_!AX11)</f>
        <v/>
      </c>
      <c r="BE11" s="661" t="str">
        <f>IF(CLA_!AY11="","",+CLA_!AY11)</f>
        <v/>
      </c>
      <c r="BF11" s="656" t="str">
        <f>IF(CLA_!AZ11="","",+CLA_!AZ11)</f>
        <v/>
      </c>
      <c r="BG11" s="656" t="str">
        <f>IF(CLA_!BA11="","",+CLA_!BA11)</f>
        <v/>
      </c>
      <c r="BH11" s="656" t="str">
        <f>IF(CLA_!BB11="","",+CLA_!BB11)</f>
        <v/>
      </c>
      <c r="BI11" s="656" t="str">
        <f>IF(CLA_!BC11="","",+CLA_!BC11)</f>
        <v/>
      </c>
      <c r="BJ11" s="656" t="str">
        <f>IF(CLA_!BD11="","",+CLA_!BD11)</f>
        <v/>
      </c>
      <c r="BK11" s="662">
        <f>IF(PT_!U11="","",+PT_!U11)</f>
        <v>5.7</v>
      </c>
      <c r="BL11" s="656">
        <f>IF(PT_!V11="","",+PT_!V11)</f>
        <v>6.72</v>
      </c>
      <c r="BM11" s="656">
        <f>IF(PT_!W11="","",+PT_!W11)</f>
        <v>5.87</v>
      </c>
      <c r="BN11" s="656">
        <f>IF(PT_!X11="","",+PT_!X11)</f>
        <v>5.68</v>
      </c>
      <c r="BO11" s="656">
        <f>IF(PT_!T11="","",+PT_!T11)</f>
        <v>4.4800000000000004</v>
      </c>
      <c r="BP11" s="657" t="str">
        <f>IF(CLA_!BE11="","",+CLA_!BE11)</f>
        <v/>
      </c>
      <c r="BQ11" s="657" t="str">
        <f>IF(CLA_!BF11="","",+CLA_!BF11)</f>
        <v/>
      </c>
      <c r="BR11" s="657" t="str">
        <f>IF(ISNUMBER(BQ11+BP11),+ROUND((BP11*DF_!DY9+BQ11*DF_!DZ9)/(DF_!DY9+DF_!DZ9),-1),"")</f>
        <v/>
      </c>
      <c r="BS11" s="657">
        <f>IF(PT_!C11="","",ROUND(+PT_!C11,0))</f>
        <v>19</v>
      </c>
      <c r="BT11" s="656">
        <f>IF(PT_!H11="","",ROUND(MAX(PT_!H11,PT_!K11),1))</f>
        <v>7.1</v>
      </c>
      <c r="BU11" s="656">
        <f>IF(PT_!I11="","",ROUND(MIN(PT_!I11,PT_!L11),1))</f>
        <v>6.7</v>
      </c>
      <c r="BV11" s="656">
        <f>IF(PT_!G11="","",ROUND((PT_!G11*DF_!DZ9+DF_!DY9*PT_!J11)/DF_!DS9,1))</f>
        <v>6.8</v>
      </c>
      <c r="BW11" s="656">
        <f>IF(PT_!N11="","",+PT_!N11)</f>
        <v>6.7</v>
      </c>
      <c r="BX11" s="656">
        <f>IF(PT_!O11="","",+PT_!O11)</f>
        <v>6.5</v>
      </c>
      <c r="BY11" s="656">
        <f>IF(PT_!M11="","",+PT_!M11)</f>
        <v>6.6</v>
      </c>
      <c r="BZ11" s="663">
        <f>IF(PT_!R11="","",+PT_!R11)</f>
        <v>0.48</v>
      </c>
      <c r="CA11" s="664" t="str">
        <f>IF(PT_!P11="","",+PT_!P11)</f>
        <v/>
      </c>
      <c r="CB11" s="665">
        <f>IF(PT_!Q11="","",+PT_!Q11)</f>
        <v>16</v>
      </c>
      <c r="CC11" s="594" t="s">
        <v>313</v>
      </c>
      <c r="CD11" s="635"/>
      <c r="CE11" s="594" t="s">
        <v>313</v>
      </c>
      <c r="CF11" s="666">
        <f>IF(DF_!AA9="","",+DF_!AA9)</f>
        <v>87</v>
      </c>
      <c r="CG11" s="658">
        <f ca="1">IF(+DMREZ!D11&lt;TODAY(),+DF_!AD9,"")</f>
        <v>87</v>
      </c>
      <c r="CH11" s="658">
        <f>IF(DF_!AB9="","",+DF_!AB9)</f>
        <v>126</v>
      </c>
      <c r="CI11" s="658">
        <f>IF(DF_!AC9="","",+DF_!AC9)</f>
        <v>63</v>
      </c>
      <c r="CJ11" s="658">
        <f>IF(DF_!AG9="","",+DF_!AG9)</f>
        <v>87</v>
      </c>
      <c r="CK11" s="658">
        <f>IF(PT_!BL11="","",ROUND(PT_!BL11,0))</f>
        <v>61</v>
      </c>
      <c r="CL11" s="667">
        <f>IF( CK11="","",+CK11/CF11)</f>
        <v>0.70114942528735635</v>
      </c>
      <c r="CM11" s="656">
        <f>IF(PT_!AL11="","",+PT_!AL11)</f>
        <v>93</v>
      </c>
      <c r="CN11" s="668">
        <f t="shared" ref="CN11:CN41" si="10">IF(ISNUMBER(CJ11),+CM11/CJ11,"")</f>
        <v>1.0689655172413792</v>
      </c>
      <c r="CO11" s="659">
        <f t="shared" ref="CO11:CO41" si="11">IF(ISNUMBER(CF11),ROUND(+$HC$8*HC11*24/(CF11),1),"")</f>
        <v>1.9</v>
      </c>
      <c r="CP11" s="659">
        <f>IF(ISNUMBER(CJ11),ROUND(($HD$8*$HD11+$HE$8*HE11)*24/(CJ11*(1+CL11)),1),"")</f>
        <v>3.7</v>
      </c>
      <c r="CQ11" s="659">
        <f t="shared" ref="CQ11:CQ41" si="12">IF(ISNUMBER(CJ11),ROUND((+$HF$8*HF11+$HG$8*HG11+$HH$8*HH11+$HI$8*HI11+$HJ$8*HJ11+$HK$8*HK11)*24/(CJ11),1),"")</f>
        <v>4.9000000000000004</v>
      </c>
      <c r="CR11" s="658">
        <f t="shared" ref="CR11:CR41" si="13">IF(ISNUMBER(CJ11),ROUND(+CJ11/($HF$9*HF11+$HG$9*HG11+$HH$9*HH11+$HI$9*HI11+$HJ$9*HJ11+$HK$9*HK11),-1),"")</f>
        <v>420</v>
      </c>
      <c r="CS11" s="656" t="str">
        <f>IF((SUM(U11,V11)=0),"",ROUND((IF(ISNUMBER(U11),U11,$U$42)*0.5)+(IF(ISNUMBER(V11),V11,$V$42)*0.5),1))</f>
        <v/>
      </c>
      <c r="CT11" s="669"/>
      <c r="CU11" s="659">
        <f>IF(ISNUMBER(CF11),+ROUND(CF11*G11*$HQ$6,1),"")</f>
        <v>42.4</v>
      </c>
      <c r="CV11" s="658">
        <f t="shared" ref="CV11:CV18" si="14">IF(ISNUMBER(CW11),+CW11/CU11*100,"")</f>
        <v>97.405660377358487</v>
      </c>
      <c r="CW11" s="659">
        <f t="shared" ref="CW11:CW18" si="15">IF(ISNUMBER(CF11),ROUND(+CU11-(+$HQ$6*CF11*(IF(ISNUMBER(K11),K11,$K$42))),1),"")</f>
        <v>41.3</v>
      </c>
      <c r="CX11" s="1090">
        <f>IF(CF11="","",+ROUND($HQ$6*(($HD$8*$HD11*IF(O11="",$O$42,O11)+(IF(ISNUMBER(P11),P11,$P$42)*$HE$8*$HE11))),1))</f>
        <v>324.7</v>
      </c>
      <c r="CY11" s="659">
        <f>IF(CF11="","",+ROUND($HQ$6*((0.6*CJ11*IF(ISTEXT(I11),$I$42,I11))+(0.4*CJ11*IF(ISTEXT(J11),$J$42,J11))),1))</f>
        <v>27.4</v>
      </c>
      <c r="CZ11" s="659">
        <f>IF(CJ11="","",ROUND((+$HD$8*$HD11*8.34*IF(ISTEXT(O11),$O$42,O11))/((HD11/(HD11+HE11))*8.34*CJ11*IF(ISTEXT(I11),$I$42,I11)),1))</f>
        <v>11.9</v>
      </c>
      <c r="DA11" s="659">
        <f>IF(CJ11="","",ROUND((+$HE$8*$HE11*8.34*IF(ISTEXT(P11),$P$42,P11))/((HE11/(HD11+HE11))*8.34*CJ11*IF(ISTEXT(J11),$J$42,J11)),1))</f>
        <v>12.3</v>
      </c>
      <c r="DB11" s="659">
        <f>IF(CJ11="","",ROUND(+CX11/CY11,1))</f>
        <v>11.9</v>
      </c>
      <c r="DC11" s="594" t="s">
        <v>313</v>
      </c>
      <c r="DD11" s="594" t="s">
        <v>313</v>
      </c>
      <c r="DE11" s="670">
        <f>IF(Grit!AT8+Grit!AZ8=0,"",+Grit!AT8+Grit!AZ8*0.5)</f>
        <v>486</v>
      </c>
      <c r="DF11" s="671">
        <f>IF(Grit!AV8="0","",+Grit!AV8)</f>
        <v>324</v>
      </c>
      <c r="DG11" s="671">
        <f t="shared" ref="DG11:DG38" si="16">IF(DF11="","",ROUND(DF11*$HQ$7,-2))</f>
        <v>20700</v>
      </c>
      <c r="DH11" s="671" t="str">
        <f>IF(Grit!AX8+Grit!AY8=0,"",+Grit!AX8+Grit!AZ8*0.5)</f>
        <v/>
      </c>
      <c r="DI11" s="671" t="str">
        <f t="shared" ref="DI11:DI41" si="17">IF(DH11="","",ROUND(DH11*$HQ$8,-2))</f>
        <v/>
      </c>
      <c r="DJ11" s="656">
        <f ca="1">IF(+DMREZ!D11&lt;TODAY(),+PT_!AE11,"")</f>
        <v>74.5</v>
      </c>
      <c r="DK11" s="659">
        <f ca="1">IF(ISTEXT(DJ11),"",ROUND(+DJ11*$HQ$9*IF(ISTEXT(AH11),$AH$42,AH11)/100,1))</f>
        <v>154.9</v>
      </c>
      <c r="DL11" s="659">
        <f ca="1">IF(ISTEXT(DJ11),"",ROUND((+DK11*(IF(ISTEXT(AI11),$AI$42,AI11)/100)),1))</f>
        <v>128.69999999999999</v>
      </c>
      <c r="DM11" s="659">
        <f ca="1">DJ11</f>
        <v>74.5</v>
      </c>
      <c r="DN11" s="659">
        <f ca="1">IF(ISTEXT(DM11),"",ROUND(+DM11*$HQ$9*(IF(ISTEXT(AJ11),$AJ$42,AJ11)/100),1))</f>
        <v>79.8</v>
      </c>
      <c r="DO11" s="659">
        <f ca="1">IF(ISNUMBER(DN11),ROUND((+DN11*(IF(ISTEXT(AK11),$AK$42,AK11)/100)),1),"")</f>
        <v>57</v>
      </c>
      <c r="DP11" s="659">
        <f>IF(DW_!R11="","",+DW_!R11/1000)</f>
        <v>81.134625668449203</v>
      </c>
      <c r="DQ11" s="659">
        <f>IF(DW_!S11="","",+DW_!S11*2)</f>
        <v>86.4</v>
      </c>
      <c r="DR11" s="659">
        <f>+DW_!S11</f>
        <v>43.2</v>
      </c>
      <c r="DS11" s="656"/>
      <c r="DT11" s="658">
        <f>IF(PT_!AC11="","",+PT_!AC11)</f>
        <v>104</v>
      </c>
      <c r="DU11" s="671">
        <f>IF(ISNUMBER(CHEM_!G10),+CHEM_!G10,"")</f>
        <v>780</v>
      </c>
      <c r="DV11" s="656">
        <f t="shared" ref="DV11:DV41" si="18">IF(ISNUMBER(DU11),+ROUND(DU11/CF11,1),"")</f>
        <v>9</v>
      </c>
      <c r="DW11" s="668">
        <f>IF(PT_!S11="","",+PT_!S11)</f>
        <v>0.45</v>
      </c>
      <c r="DX11" s="594" t="s">
        <v>313</v>
      </c>
      <c r="DY11" s="594" t="s">
        <v>313</v>
      </c>
      <c r="DZ11" s="672" t="str">
        <f>PT_!AK11</f>
        <v/>
      </c>
      <c r="EA11" s="659">
        <f>IF(PT_!AJ11="","",+PT_!AJ11)</f>
        <v>147.20000000000002</v>
      </c>
      <c r="EB11" s="2085">
        <f t="shared" ref="EB11:EB41" si="19">IF(SUM(DZ11:EA11)=0,"",SUM(DZ11:EA11))</f>
        <v>147.20000000000002</v>
      </c>
      <c r="EC11" s="2093">
        <f>IF(PT_!BO11="","",+PT_!BO11)</f>
        <v>58.56</v>
      </c>
      <c r="ED11" s="1899"/>
      <c r="EE11" s="1900"/>
      <c r="EF11" s="656">
        <v>205.7</v>
      </c>
      <c r="EG11" s="1901">
        <v>617.1</v>
      </c>
      <c r="EH11" s="1888"/>
      <c r="EI11" s="671"/>
      <c r="EJ11" s="1889" t="str">
        <f>+PT_!AF11</f>
        <v/>
      </c>
      <c r="EK11" s="721" t="str">
        <f>+EM11</f>
        <v/>
      </c>
      <c r="EL11" s="671"/>
      <c r="EM11" s="671" t="str">
        <f>IF(PT_!AH11&gt;0,+PT_!AH11,"")</f>
        <v/>
      </c>
      <c r="EN11" s="601" t="str">
        <f>IF(PT_!AZ11="","",+PT_!AZ11)</f>
        <v>Clear</v>
      </c>
      <c r="EO11" s="599" t="s">
        <v>313</v>
      </c>
      <c r="EP11" s="588" t="s">
        <v>313</v>
      </c>
      <c r="EQ11" s="673">
        <f>CLA_!BG11</f>
        <v>0.04</v>
      </c>
      <c r="ER11" s="668">
        <f>CLA_!BH11</f>
        <v>0</v>
      </c>
      <c r="ES11" s="659">
        <f>CLA_!BI11</f>
        <v>30.5</v>
      </c>
      <c r="ET11" s="659">
        <f>CLA_!BJ11</f>
        <v>43.2</v>
      </c>
      <c r="EU11" s="668" t="str">
        <f>CLA_!BK11</f>
        <v/>
      </c>
      <c r="EV11" s="668" t="str">
        <f>CLA_!BL11</f>
        <v/>
      </c>
      <c r="EW11" s="658" t="str">
        <f>CLA_!BM11</f>
        <v/>
      </c>
      <c r="EX11" s="673">
        <f>CLA_!BN11</f>
        <v>0.04</v>
      </c>
      <c r="EY11" s="668">
        <f>CLA_!BO11</f>
        <v>0</v>
      </c>
      <c r="EZ11" s="659">
        <f>CLA_!BP11</f>
        <v>30</v>
      </c>
      <c r="FA11" s="659">
        <f>CLA_!BQ11</f>
        <v>40.4</v>
      </c>
      <c r="FB11" s="668" t="str">
        <f>CLA_!BR11</f>
        <v/>
      </c>
      <c r="FC11" s="668" t="str">
        <f>CLA_!BS11</f>
        <v/>
      </c>
      <c r="FD11" s="658" t="str">
        <f>CLA_!BT11</f>
        <v/>
      </c>
      <c r="FE11" s="673">
        <f>IF(ISNUMBER(EQ11+EX11),+EQ11*DF_!$EA9+EX11*DF_!$EB9,"")</f>
        <v>0.04</v>
      </c>
      <c r="FF11" s="668">
        <f>IF(ISNUMBER(+ER11+EY11),+ER11*DF_!$EA9+EY11*DF_!$EB9,"")</f>
        <v>0</v>
      </c>
      <c r="FG11" s="659">
        <f>IF(ISNUMBER(ES11)+ISNUMBER(EZ11)&gt;0,IF(ISNUMBER(ES11),ES11,$ET$42)*DF_!$EA9+IF(ISNUMBER(EZ11),EZ11,$FA$42)*DF_!$EB9,"")</f>
        <v>30.324999999999999</v>
      </c>
      <c r="FH11" s="659">
        <f>IF(ISNUMBER(ET11)+ISNUMBER(FA11)&gt;0,IF(ISNUMBER(ET11),ET11,$ET$42)*DF_!$EA9+IF(ISNUMBER(FA11),FA11,$FA$42)*DF_!$EB9,"")</f>
        <v>42.22</v>
      </c>
      <c r="FI11" s="668" t="str">
        <f>IF(EU11="","",+EU11*DF_!$EA9+FB11*DF_!$EB9)</f>
        <v/>
      </c>
      <c r="FJ11" s="668" t="str">
        <f>IF(EV11="","",+EV11*DF_!$EA9+FC11*DF_!$EB9)</f>
        <v/>
      </c>
      <c r="FK11" s="658" t="str">
        <f>IF(EW11="","",+EW11*DF_!$EA9+FD11*DF_!$EB9)</f>
        <v/>
      </c>
      <c r="FL11" s="673" t="str">
        <f>CLA_!BU11</f>
        <v/>
      </c>
      <c r="FM11" s="668" t="str">
        <f>CLA_!BV11</f>
        <v/>
      </c>
      <c r="FN11" s="659" t="str">
        <f>CLA_!BW11</f>
        <v/>
      </c>
      <c r="FO11" s="659" t="str">
        <f>CLA_!BX11</f>
        <v/>
      </c>
      <c r="FP11" s="668" t="str">
        <f>CLA_!BY11</f>
        <v/>
      </c>
      <c r="FQ11" s="668" t="str">
        <f>CLA_!BZ11</f>
        <v/>
      </c>
      <c r="FR11" s="658" t="str">
        <f>CLA_!CA11</f>
        <v/>
      </c>
      <c r="FS11" s="673">
        <f>CLA_!CB11</f>
        <v>0.62</v>
      </c>
      <c r="FT11" s="668">
        <f>CLA_!CC11</f>
        <v>3.25</v>
      </c>
      <c r="FU11" s="659">
        <f>CLA_!CD11</f>
        <v>9</v>
      </c>
      <c r="FV11" s="659">
        <f>CLA_!CE11</f>
        <v>9.8000000000000007</v>
      </c>
      <c r="FW11" s="668" t="str">
        <f>CLA_!CF11</f>
        <v/>
      </c>
      <c r="FX11" s="668" t="str">
        <f>CLA_!CG11</f>
        <v/>
      </c>
      <c r="FY11" s="658" t="str">
        <f>CLA_!CH11</f>
        <v/>
      </c>
      <c r="FZ11" s="588" t="s">
        <v>313</v>
      </c>
      <c r="GA11" s="588" t="s">
        <v>313</v>
      </c>
      <c r="GB11" s="1967">
        <f>IF(CLA_!CY11="","",+CLA_!CY11)</f>
        <v>7.57</v>
      </c>
      <c r="GC11" s="658" t="str">
        <f>IF(CLA_!CZ11="","",+CLA_!CZ11)</f>
        <v/>
      </c>
      <c r="GD11" s="658" t="str">
        <f>IF(CLA_!DA11="","",+CLA_!DA11)</f>
        <v/>
      </c>
      <c r="GE11" s="659" t="str">
        <f>IF(CLA_!DB11="","",+CLA_!DB11)</f>
        <v/>
      </c>
      <c r="GF11" s="658">
        <f>IF(CLA_!DO11="","",+CLA_!DO11)</f>
        <v>2980</v>
      </c>
      <c r="GG11" s="659" t="str">
        <f>IF(CLA_!DP11="","",+CLA_!DP11)</f>
        <v/>
      </c>
      <c r="GH11" s="658">
        <f>IF(CLA_!DQ11="","",+CLA_!DQ11)</f>
        <v>180</v>
      </c>
      <c r="GI11" s="658" t="str">
        <f>IF(CLA_!DR11="","",+CLA_!DR11)</f>
        <v/>
      </c>
      <c r="GJ11" s="2036"/>
      <c r="GK11" s="2038" t="str">
        <f>IF(CLA_!CQ11="","",+CLA_!CQ11)</f>
        <v/>
      </c>
      <c r="GL11" s="2037"/>
      <c r="GM11" s="2039" t="str">
        <f>IF(CLA_!CR11="","",+CLA_!CR11)</f>
        <v/>
      </c>
      <c r="GN11" s="2037" t="str">
        <f>IF(CLA_!CZ11="","",+CLA_!CZ11)</f>
        <v/>
      </c>
      <c r="GO11" s="2039" t="str">
        <f>IF(CLA_!CS11="","",+CLA_!CS11)</f>
        <v/>
      </c>
      <c r="GP11" s="2037" t="str">
        <f>IF(CLA_!DA11="","",+CLA_!DA11)</f>
        <v/>
      </c>
      <c r="GQ11" s="2038" t="str">
        <f>IF(CLA_!CT11="","",+CLA_!CT11)</f>
        <v/>
      </c>
      <c r="GR11" s="2037">
        <f>IF(CLA_!CY11="","",+CLA_!CY11)</f>
        <v>7.57</v>
      </c>
      <c r="GS11" s="2037" t="str">
        <f>IF(CLA_!CV11="","",+CLA_!CV11)</f>
        <v/>
      </c>
      <c r="GT11" s="2037">
        <f>IF(CLA_!DO11="","",+CLA_!DO11)</f>
        <v>2980</v>
      </c>
      <c r="GU11" s="2040" t="str">
        <f>IF(CLA_!CU11="","",+CLA_!CU11)</f>
        <v/>
      </c>
      <c r="GV11" s="709" t="str">
        <f>CLA_!DF11</f>
        <v/>
      </c>
      <c r="GW11" s="658" t="str">
        <f>CLA_!DG11</f>
        <v/>
      </c>
      <c r="GX11" s="658" t="str">
        <f>CLA_!DH11</f>
        <v/>
      </c>
      <c r="GY11" s="659" t="str">
        <f>CLA_!DC11</f>
        <v/>
      </c>
      <c r="GZ11" s="594" t="s">
        <v>313</v>
      </c>
      <c r="HA11" s="635"/>
      <c r="HB11" s="594" t="s">
        <v>313</v>
      </c>
      <c r="HC11" s="666">
        <f>IF(PT_!BC11="","",+PT_!BC11)</f>
        <v>13</v>
      </c>
      <c r="HD11" s="658">
        <f>IF(PT_!BD11="","",+PT_!BD11)</f>
        <v>6</v>
      </c>
      <c r="HE11" s="658">
        <f>IF(PT_!BE11="","",+PT_!BE11)</f>
        <v>3</v>
      </c>
      <c r="HF11" s="658">
        <f>IF(PT_!BF11="","",+PT_!BF11)</f>
        <v>4</v>
      </c>
      <c r="HG11" s="658">
        <f>IF(PT_!BG11="","",+PT_!BG11)</f>
        <v>4</v>
      </c>
      <c r="HH11" s="658">
        <f>IF(PT_!BH11="","",+PT_!BH11)</f>
        <v>2</v>
      </c>
      <c r="HI11" s="658">
        <f>IF(PT_!BI11="","",+PT_!BI11)</f>
        <v>1</v>
      </c>
      <c r="HJ11" s="658">
        <f>IF(PT_!BJ11="","",+PT_!BJ11)</f>
        <v>4</v>
      </c>
      <c r="HK11" s="658">
        <f>IF(PT_!BK11="","",+PT_!BK11)</f>
        <v>2</v>
      </c>
      <c r="HL11" s="653"/>
      <c r="HM11" s="1784">
        <f>IF(ISNUMBER(CF11),ROUND((IF(ISTEXT(M11),$M$42,M11)-IF(ISTEXT(I11),$I$42,I11))/(IF(ISTEXT(Q11),$Q$42,Q11)-IF(ISTEXT(M11),$M$42,M11))*CF11*0.5,0),"")</f>
        <v>62</v>
      </c>
      <c r="HN11" s="1785">
        <f>IF(ISNUMBER(CF11),ROUND(IF(ISNUMBER(CF11),(IF(ISTEXT(N11),$N$42,N11)-IF(ISTEXT(J11),$J$42,J11))/(IF(ISTEXT(S11),$S$42,S11)-IF(ISTEXT(N11),$N$42,N11)),"")*CF11*0.5,0),"")</f>
        <v>31</v>
      </c>
      <c r="HO11" s="719">
        <f>SUM(HM11:HN11)-CK11</f>
        <v>32</v>
      </c>
      <c r="HQ11" s="586">
        <v>80</v>
      </c>
      <c r="HR11" s="586" t="s">
        <v>576</v>
      </c>
      <c r="HU11" s="730"/>
      <c r="HV11" s="2442">
        <f>PT_!DL11</f>
        <v>5.45</v>
      </c>
      <c r="IU11" s="27"/>
    </row>
    <row r="12" spans="1:255" ht="17.100000000000001" customHeight="1">
      <c r="A12" s="579"/>
      <c r="B12" s="648" t="s">
        <v>314</v>
      </c>
      <c r="C12" s="674">
        <f>+CLA_!D12</f>
        <v>114</v>
      </c>
      <c r="D12" s="675" t="str">
        <f>+CLA_!E12</f>
        <v/>
      </c>
      <c r="E12" s="676">
        <f>+CLA_!F12</f>
        <v>116</v>
      </c>
      <c r="F12" s="675" t="str">
        <f>+CLA_!G12</f>
        <v/>
      </c>
      <c r="G12" s="676">
        <f>IF(C12="","",ROUND((IF(ISNUMBER(C12),C12,+$C$42)*DF_!$DY10+IF(ISNUMBER(E12),E12,$E$42)*DF_!$DZ10)/(DF_!$DY10+DF_!$DZ10),0))</f>
        <v>115</v>
      </c>
      <c r="H12" s="675" t="str">
        <f>IF(D12="","",ROUND((IF(+D12=0,+$D$42,+D12)*DF_!$DY10+IF(ISNUMBER(F12),F12,$F$42)*DF_!$DZ10)/(DF_!$DY10+DF_!$DZ10),1))</f>
        <v/>
      </c>
      <c r="I12" s="676" t="str">
        <f>+CLA_!H12</f>
        <v/>
      </c>
      <c r="J12" s="676" t="str">
        <f>+CLA_!I12</f>
        <v/>
      </c>
      <c r="K12" s="676">
        <f>+CLA_!J12</f>
        <v>3</v>
      </c>
      <c r="L12" s="676" t="str">
        <f>+CLA_!K12</f>
        <v/>
      </c>
      <c r="M12" s="677" t="str">
        <f>IF(SUM(CLA_!L12:N12)=0,"",ROUND(AVERAGE(CLA_!L12:N12),-2))</f>
        <v/>
      </c>
      <c r="N12" s="677" t="str">
        <f>IF(SUM(CLA_!O12:P12)=0,"",ROUND(AVERAGE(CLA_!O12:P12),-2))</f>
        <v/>
      </c>
      <c r="O12" s="677" t="str">
        <f>IF(SUM(CLA_!Q12:S12)=0,"",ROUND(AVERAGE(CLA_!Q12:S12),-2))</f>
        <v/>
      </c>
      <c r="P12" s="677" t="str">
        <f>IF(SUM(CLA_!T12:U12)=0,"",ROUND(AVERAGE(CLA_!T12:U12),-2))</f>
        <v/>
      </c>
      <c r="Q12" s="677" t="str">
        <f>+CLA_!V12</f>
        <v/>
      </c>
      <c r="R12" s="678" t="str">
        <f>+CLA_!W12</f>
        <v/>
      </c>
      <c r="S12" s="677" t="str">
        <f>+CLA_!X12</f>
        <v/>
      </c>
      <c r="T12" s="678" t="str">
        <f>+CLA_!Y12</f>
        <v/>
      </c>
      <c r="U12" s="675" t="str">
        <f>IF(M12="","",+M12/(PT_!Y12*10))</f>
        <v/>
      </c>
      <c r="V12" s="675" t="str">
        <f>IF(N12="","",+N12/(PT_!Z12*10))</f>
        <v/>
      </c>
      <c r="W12" s="675"/>
      <c r="X12" s="675"/>
      <c r="Y12" s="648" t="s">
        <v>314</v>
      </c>
      <c r="Z12" s="648" t="s">
        <v>314</v>
      </c>
      <c r="AA12" s="674">
        <f>IF(CLA_!Z12="","",+CLA_!Z12)</f>
        <v>137</v>
      </c>
      <c r="AB12" s="676">
        <f>IF(CLA_!AA12="","",+CLA_!AA12)</f>
        <v>143</v>
      </c>
      <c r="AC12" s="676">
        <f>IF(AA12="","",ROUND((IF(ISNUMBER(AA12),AA12,$AA$42)*DF_!$DY10+IF(ISNUMBER(AB12),AB12,$AB$42)*DF_!$DZ10)/(DF_!$DY10+DF_!$DZ10),0))</f>
        <v>139</v>
      </c>
      <c r="AD12" s="676" t="str">
        <f>IF(CLA_!AB12="","",+CLA_!AB12)</f>
        <v/>
      </c>
      <c r="AE12" s="676" t="str">
        <f>IF(CLA_!AC12="","",+CLA_!AC12)</f>
        <v/>
      </c>
      <c r="AF12" s="676">
        <f>IF(CLA_!AD12="","",+CLA_!AD12)</f>
        <v>2</v>
      </c>
      <c r="AG12" s="676" t="str">
        <f>IF(CLA_!AE12="","",+CLA_!AE12)</f>
        <v/>
      </c>
      <c r="AH12" s="675" t="str">
        <f>IF(CLA_!AF12="","",+CLA_!AF12)</f>
        <v/>
      </c>
      <c r="AI12" s="675" t="str">
        <f>IF(CLA_!AG12="","",+CLA_!AG12)</f>
        <v/>
      </c>
      <c r="AJ12" s="675" t="str">
        <f>IF(CLA_!AH12="","",+CLA_!AH12)</f>
        <v/>
      </c>
      <c r="AK12" s="675" t="str">
        <f>IF(CLA_!AI12="","",+CLA_!AI12)</f>
        <v/>
      </c>
      <c r="AL12" s="2192" t="str">
        <f t="shared" ref="AL12:AL41" si="20">IF(ISNUMBER(AI12),ROUND(((AH12*AI12)-(AJ12*AK12))/(AH12*AI12),2),"")</f>
        <v/>
      </c>
      <c r="AM12" s="675"/>
      <c r="AN12" s="676">
        <f>PT_!Y12</f>
        <v>350</v>
      </c>
      <c r="AO12" s="676">
        <f>PT_!Z12</f>
        <v>410</v>
      </c>
      <c r="AP12" s="682">
        <f>IF(ISNUMBER(G12),IF(ISNUMBER(AD12),AD12,$AD$42)*8.34*$CJ12/(HD12+HE12)*HD12/(IF(ISNUMBER(O12),O12,$O$42)*HD12*2.52*8.34),"")</f>
        <v>9.7072879330943856E-2</v>
      </c>
      <c r="AQ12" s="682">
        <f t="shared" ref="AQ12:AQ41" si="21">IF(ISNUMBER(G12),IF(ISNUMBER(AE12),AE12,$AE$42)*8.34*$CJ12/(HD12+HE12)*HE12/(IF(ISNUMBER(P12),P12,$P$42)*HE12*2.52*8.34),"")</f>
        <v>9.5904847937368254E-2</v>
      </c>
      <c r="AR12" s="675">
        <f ca="1">IF(DMREZ!D12&gt;TODAY()-2,"",((IF(ISNUMBER(O12),O12,$O$42)*2.52*HD12)/((CF12*IF(ISNUMBER(K12),K12,$K$42)*(+HD12/(HD12+HE12)))+($HQ$14*IF(ISNUMBER(AT_!Q12),AT_!Q12,AT_!$Q$42)))))</f>
        <v>6.156640853870103</v>
      </c>
      <c r="AS12" s="675">
        <f ca="1">IF(DMREZ!D12&gt;TODAY()-2,"",((IF(ISNUMBER(P12),P12,$P$42)*2.52*HE12)/((CF12*IF(ISNUMBER(K12),K12,$K$42)*(HE12/(HD12+HE12))+((PT_!BN12+2.5/3.5*PT_!BP12)*IF(ISNUMBER(AT_!S12),AT_!S12,AT_!$S$42))))))</f>
        <v>3.4330495023996321</v>
      </c>
      <c r="AT12" s="648" t="s">
        <v>314</v>
      </c>
      <c r="AU12" s="648" t="s">
        <v>314</v>
      </c>
      <c r="AV12" s="679" t="str">
        <f>IF(CLA_!AP12="","",+CLA_!AP12)</f>
        <v/>
      </c>
      <c r="AW12" s="680" t="str">
        <f>IF(CLA_!AQ12="","",+CLA_!AQ12)</f>
        <v/>
      </c>
      <c r="AX12" s="680" t="str">
        <f>IF(CLA_!AR12="","",+CLA_!AR12)</f>
        <v/>
      </c>
      <c r="AY12" s="680" t="str">
        <f>IF(CLA_!AS12="","",+CLA_!AS12)</f>
        <v/>
      </c>
      <c r="AZ12" s="680" t="str">
        <f>IF(CLA_!AT12="","",+CLA_!AT12)</f>
        <v/>
      </c>
      <c r="BA12" s="680" t="str">
        <f>IF(CLA_!AU12="","",+CLA_!AU12)</f>
        <v/>
      </c>
      <c r="BB12" s="680" t="str">
        <f>IF(CLA_!AV12="","",+CLA_!AV12)</f>
        <v/>
      </c>
      <c r="BC12" s="680" t="str">
        <f>IF(CLA_!AW12="","",+CLA_!AW12)</f>
        <v/>
      </c>
      <c r="BD12" s="680" t="str">
        <f>IF(CLA_!AX12="","",+CLA_!AX12)</f>
        <v/>
      </c>
      <c r="BE12" s="680" t="str">
        <f>IF(CLA_!AY12="","",+CLA_!AY12)</f>
        <v/>
      </c>
      <c r="BF12" s="675" t="str">
        <f>IF(CLA_!AZ12="","",+CLA_!AZ12)</f>
        <v/>
      </c>
      <c r="BG12" s="675" t="str">
        <f>IF(CLA_!BA12="","",+CLA_!BA12)</f>
        <v/>
      </c>
      <c r="BH12" s="675" t="str">
        <f>IF(CLA_!BB12="","",+CLA_!BB12)</f>
        <v/>
      </c>
      <c r="BI12" s="675" t="str">
        <f>IF(CLA_!BC12="","",+CLA_!BC12)</f>
        <v/>
      </c>
      <c r="BJ12" s="675" t="str">
        <f>IF(CLA_!BD12="","",+CLA_!BD12)</f>
        <v/>
      </c>
      <c r="BK12" s="681">
        <f>IF(PT_!U12="","",+PT_!U12)</f>
        <v>5.15</v>
      </c>
      <c r="BL12" s="675">
        <f>IF(PT_!V12="","",+PT_!V12)</f>
        <v>4.7300000000000004</v>
      </c>
      <c r="BM12" s="675">
        <f>IF(PT_!W12="","",+PT_!W12)</f>
        <v>5.69</v>
      </c>
      <c r="BN12" s="675">
        <f>IF(PT_!X12="","",+PT_!X12)</f>
        <v>5.37</v>
      </c>
      <c r="BO12" s="675">
        <f>IF(PT_!T12="","",+PT_!T12)</f>
        <v>4.1500000000000004</v>
      </c>
      <c r="BP12" s="676" t="str">
        <f>IF(CLA_!BE12="","",+CLA_!BE12)</f>
        <v/>
      </c>
      <c r="BQ12" s="676" t="str">
        <f>IF(CLA_!BF12="","",+CLA_!BF12)</f>
        <v/>
      </c>
      <c r="BR12" s="676" t="str">
        <f>IF(ISNUMBER(BQ12+BP12),+ROUND((BP12*DF_!DY10+BQ12*DF_!DZ10)/(DF_!DY10+DF_!DZ10),-1),"")</f>
        <v/>
      </c>
      <c r="BS12" s="676">
        <f>IF(PT_!C12="","",ROUND(+PT_!C12,0))</f>
        <v>19</v>
      </c>
      <c r="BT12" s="675">
        <f>IF(PT_!H12="","",ROUND(MAX(PT_!H12,PT_!K12),1))</f>
        <v>7</v>
      </c>
      <c r="BU12" s="675">
        <f>IF(PT_!I12="","",ROUND(MIN(PT_!I12,PT_!L12),1))</f>
        <v>6.6</v>
      </c>
      <c r="BV12" s="675">
        <f>IF(PT_!G12="","",ROUND((PT_!G12*DF_!DZ10+DF_!DY10*PT_!J12)/DF_!DS10,1))</f>
        <v>6.8</v>
      </c>
      <c r="BW12" s="675">
        <f>IF(PT_!N12="","",+PT_!N12)</f>
        <v>6.9</v>
      </c>
      <c r="BX12" s="675">
        <f>IF(PT_!O12="","",+PT_!O12)</f>
        <v>6.6</v>
      </c>
      <c r="BY12" s="675">
        <f>IF(PT_!M12="","",+PT_!M12)</f>
        <v>6.7</v>
      </c>
      <c r="BZ12" s="682">
        <f>IF(PT_!R12="","",+PT_!R12)</f>
        <v>0.46</v>
      </c>
      <c r="CA12" s="683" t="str">
        <f>IF(PT_!P12="","",+PT_!P12)</f>
        <v/>
      </c>
      <c r="CB12" s="684">
        <f>IF(PT_!Q12="","",+PT_!Q12)</f>
        <v>1</v>
      </c>
      <c r="CC12" s="648" t="s">
        <v>314</v>
      </c>
      <c r="CD12" s="635"/>
      <c r="CE12" s="648" t="s">
        <v>314</v>
      </c>
      <c r="CF12" s="685">
        <f>IF(DF_!AA10="","",+DF_!AA10)</f>
        <v>91</v>
      </c>
      <c r="CG12" s="677">
        <f ca="1">IF(+DMREZ!D12&lt;TODAY(),+DF_!AD10,"")</f>
        <v>91</v>
      </c>
      <c r="CH12" s="677">
        <f>IF(DF_!AB10="","",+DF_!AB10)</f>
        <v>118</v>
      </c>
      <c r="CI12" s="677">
        <f>IF(DF_!AC10="","",+DF_!AC10)</f>
        <v>59</v>
      </c>
      <c r="CJ12" s="677">
        <f>IF(DF_!AG10="","",+DF_!AG10)</f>
        <v>91</v>
      </c>
      <c r="CK12" s="677">
        <f>IF(PT_!BL12="","",ROUND(PT_!BL12,0))</f>
        <v>61</v>
      </c>
      <c r="CL12" s="686">
        <f t="shared" ref="CL12:CL41" si="22">IF( CK12="","",+CK12/CF12)</f>
        <v>0.67032967032967028</v>
      </c>
      <c r="CM12" s="675">
        <f>IF(PT_!AL12="","",+PT_!AL12)</f>
        <v>93.7</v>
      </c>
      <c r="CN12" s="687">
        <f t="shared" si="10"/>
        <v>1.0296703296703298</v>
      </c>
      <c r="CO12" s="678">
        <f t="shared" si="11"/>
        <v>1.9</v>
      </c>
      <c r="CP12" s="678">
        <f t="shared" ref="CP12:CP41" si="23">IF(ISNUMBER(CJ12),ROUND(($HD$8*$HD12+$HE$8*HE12)*24/(CJ12*(1+CL12)),1),"")</f>
        <v>3.6</v>
      </c>
      <c r="CQ12" s="678">
        <f t="shared" si="12"/>
        <v>4.7</v>
      </c>
      <c r="CR12" s="677">
        <f t="shared" si="13"/>
        <v>440</v>
      </c>
      <c r="CS12" s="675" t="str">
        <f t="shared" ref="CS12:CS41" si="24">IF((SUM(U12,V12)=0),"",ROUND((IF(ISNUMBER(U12),U12,$U$42)*0.5)+(IF(ISNUMBER(V12),V12,$V$42)*0.5),1))</f>
        <v/>
      </c>
      <c r="CT12" s="643" t="s">
        <v>473</v>
      </c>
      <c r="CU12" s="678">
        <f>IF(ISNUMBER(CF12),+ROUND(CF12*G12*$HQ$6,1),"")</f>
        <v>43.6</v>
      </c>
      <c r="CV12" s="677">
        <f t="shared" si="14"/>
        <v>97.477064220183479</v>
      </c>
      <c r="CW12" s="678">
        <f t="shared" si="15"/>
        <v>42.5</v>
      </c>
      <c r="CX12" s="678">
        <f>IF(CF12="","",+ROUND($HQ$6*(($HD$8*$HD12*IF(O12="",$O$42,O12)+(IF(ISNUMBER(P12),P12,$P$42)*$HE$8*$HE12))),1))</f>
        <v>324.7</v>
      </c>
      <c r="CY12" s="678">
        <f t="shared" ref="CY12:CY41" si="25">IF(CF12="","",+ROUND($HQ$6*((0.6*CJ12*IF(ISTEXT(I12),$I$42,I12))+(0.4*CJ12*IF(ISTEXT(J12),$J$42,J12))),1))</f>
        <v>28.7</v>
      </c>
      <c r="CZ12" s="678">
        <f t="shared" ref="CZ12:CZ41" si="26">IF(CJ12="","",ROUND((+$HD$8*$HD12*8.34*IF(ISTEXT(O12),$O$42,O12))/((HD12/(HD12+HE12))*8.34*CJ12*IF(ISTEXT(I12),$I$42,I12)),1))</f>
        <v>11.4</v>
      </c>
      <c r="DA12" s="2025">
        <f t="shared" ref="DA12:DA40" si="27">IF(CJ12="","",ROUND((+$HE$8*$HE12*8.34*IF(ISTEXT(P12),$P$42,P12))/((HE12/(HD12+HE12))*8.34*CJ12*IF(ISTEXT(J12),$J$42,J12)),1))</f>
        <v>11.7</v>
      </c>
      <c r="DB12" s="741">
        <f>IF(CJ12="","",ROUND(+CX12/CY12,1))</f>
        <v>11.3</v>
      </c>
      <c r="DC12" s="648" t="s">
        <v>314</v>
      </c>
      <c r="DD12" s="648" t="s">
        <v>314</v>
      </c>
      <c r="DE12" s="688" t="str">
        <f>IF(Grit!AT9+Grit!AZ9=0,"",+Grit!AT9+Grit!AZ9*0.5)</f>
        <v/>
      </c>
      <c r="DF12" s="689">
        <f>IF(Grit!AV9="0","",+Grit!AV9)</f>
        <v>0</v>
      </c>
      <c r="DG12" s="689">
        <f t="shared" si="16"/>
        <v>0</v>
      </c>
      <c r="DH12" s="689" t="str">
        <f>IF(Grit!AX9+Grit!AY9=0,"",+Grit!AX9+Grit!AZ9*0.5)</f>
        <v/>
      </c>
      <c r="DI12" s="689" t="str">
        <f t="shared" si="17"/>
        <v/>
      </c>
      <c r="DJ12" s="675">
        <f ca="1">IF(+DMREZ!D12&lt;TODAY(),+PT_!AE12,"")</f>
        <v>68.599999999999994</v>
      </c>
      <c r="DK12" s="678">
        <f ca="1">IF(ISTEXT(DJ12),"",ROUND(+DJ12*$HQ$9*IF(ISTEXT(AH12),$AH$42,AH12)/100,1))</f>
        <v>142.6</v>
      </c>
      <c r="DL12" s="678">
        <f ca="1">IF(ISTEXT(DJ12),"",ROUND((+DK12*(IF(ISTEXT(AI12),$AI$42,AI12)/100)),1))</f>
        <v>118.5</v>
      </c>
      <c r="DM12" s="678">
        <f ca="1">DJ12</f>
        <v>68.599999999999994</v>
      </c>
      <c r="DN12" s="678">
        <f ca="1">IF(ISTEXT(DM12),"",ROUND(+DM12*$HQ$9*(IF(ISTEXT(AJ12),$AJ$42,AJ12)/100),1))</f>
        <v>73.5</v>
      </c>
      <c r="DO12" s="678">
        <f ca="1">IF(ISNUMBER(DN12),ROUND((+DN12*(IF(ISTEXT(AK12),$AK$42,AK12)/100)),1),"")</f>
        <v>52.5</v>
      </c>
      <c r="DP12" s="687">
        <f>IF(DW_!R12="","",+DW_!R12/1000)</f>
        <v>55.262165775401066</v>
      </c>
      <c r="DQ12" s="678">
        <f>IF(DW_!S12="","",+DW_!S12*2)</f>
        <v>59.2</v>
      </c>
      <c r="DR12" s="678">
        <f>+DW_!S12</f>
        <v>29.6</v>
      </c>
      <c r="DS12" s="675"/>
      <c r="DT12" s="677">
        <f>IF(PT_!AC12="","",+PT_!AC12)</f>
        <v>101</v>
      </c>
      <c r="DU12" s="689">
        <f>IF(ISNUMBER(CHEM_!G11),+CHEM_!G11,"")</f>
        <v>830</v>
      </c>
      <c r="DV12" s="675">
        <f t="shared" si="18"/>
        <v>9.1</v>
      </c>
      <c r="DW12" s="687">
        <f>IF(PT_!S12="","",+PT_!S12)</f>
        <v>0.47</v>
      </c>
      <c r="DX12" s="648" t="s">
        <v>314</v>
      </c>
      <c r="DY12" s="648" t="s">
        <v>314</v>
      </c>
      <c r="DZ12" s="690" t="str">
        <f>PT_!AK12</f>
        <v/>
      </c>
      <c r="EA12" s="678">
        <f>IF(PT_!AJ12="","",+PT_!AJ12)</f>
        <v>140.80000000000001</v>
      </c>
      <c r="EB12" s="2086">
        <f t="shared" si="19"/>
        <v>140.80000000000001</v>
      </c>
      <c r="EC12" s="2094">
        <f>IF(PT_!BO12="","",+PT_!BO12)</f>
        <v>58.891919999999999</v>
      </c>
      <c r="ED12" s="1902" t="s">
        <v>480</v>
      </c>
      <c r="EE12" s="1316" t="s">
        <v>32</v>
      </c>
      <c r="EF12" s="2083">
        <v>205.7</v>
      </c>
      <c r="EG12" s="2084">
        <v>617.1</v>
      </c>
      <c r="EH12" s="1890"/>
      <c r="EI12" s="689"/>
      <c r="EJ12" s="1891" t="str">
        <f>+PT_!AF12</f>
        <v/>
      </c>
      <c r="EK12" s="759" t="str">
        <f t="shared" ref="EK12:EK41" si="28">+EM12</f>
        <v/>
      </c>
      <c r="EL12" s="689"/>
      <c r="EM12" s="689" t="str">
        <f>IF(PT_!AH12&gt;0,+PT_!AH12,"")</f>
        <v/>
      </c>
      <c r="EN12" s="614" t="str">
        <f>IF(PT_!AZ12="","",+PT_!AZ12)</f>
        <v>Clear</v>
      </c>
      <c r="EO12" s="615" t="s">
        <v>314</v>
      </c>
      <c r="EP12" s="610" t="s">
        <v>314</v>
      </c>
      <c r="EQ12" s="691">
        <f>CLA_!BG12</f>
        <v>0.04</v>
      </c>
      <c r="ER12" s="687">
        <f>CLA_!BH12</f>
        <v>0.01</v>
      </c>
      <c r="ES12" s="678">
        <f>CLA_!BI12</f>
        <v>22</v>
      </c>
      <c r="ET12" s="678">
        <f>CLA_!BJ12</f>
        <v>36</v>
      </c>
      <c r="EU12" s="687" t="str">
        <f>CLA_!BK12</f>
        <v/>
      </c>
      <c r="EV12" s="687" t="str">
        <f>CLA_!BL12</f>
        <v/>
      </c>
      <c r="EW12" s="677" t="str">
        <f>CLA_!BM12</f>
        <v/>
      </c>
      <c r="EX12" s="691">
        <f>CLA_!BN12</f>
        <v>0.04</v>
      </c>
      <c r="EY12" s="687">
        <f>CLA_!BO12</f>
        <v>0</v>
      </c>
      <c r="EZ12" s="678">
        <f>CLA_!BP12</f>
        <v>23.2</v>
      </c>
      <c r="FA12" s="678">
        <f>CLA_!BQ12</f>
        <v>35.4</v>
      </c>
      <c r="FB12" s="687" t="str">
        <f>CLA_!BR12</f>
        <v/>
      </c>
      <c r="FC12" s="687" t="str">
        <f>CLA_!BS12</f>
        <v/>
      </c>
      <c r="FD12" s="677" t="str">
        <f>CLA_!BT12</f>
        <v/>
      </c>
      <c r="FE12" s="691">
        <f>IF(ISNUMBER(EQ12+EX12),+EQ12*DF_!$EA10+EX12*DF_!$EB10,"")</f>
        <v>0.04</v>
      </c>
      <c r="FF12" s="687">
        <f>IF(ISNUMBER(+ER12+EY12),+ER12*DF_!$EA10+EY12*DF_!$EB10,"")</f>
        <v>6.5000000000000006E-3</v>
      </c>
      <c r="FG12" s="678">
        <f>IF(ISNUMBER(ES12)+ISNUMBER(EZ12)&gt;0,IF(ISNUMBER(ES12),ES12,$ET$42)*DF_!$EA10+IF(ISNUMBER(EZ12),EZ12,$FA$42)*DF_!$EB10,"")</f>
        <v>22.42</v>
      </c>
      <c r="FH12" s="678">
        <f>IF(ISNUMBER(ET12)+ISNUMBER(FA12)&gt;0,IF(ISNUMBER(ET12),ET12,$ET$42)*DF_!$EA10+IF(ISNUMBER(FA12),FA12,$FA$42)*DF_!$EB10,"")</f>
        <v>35.79</v>
      </c>
      <c r="FI12" s="687" t="str">
        <f>IF(EU12="","",+EU12*DF_!$EA10+FB12*DF_!$EB10)</f>
        <v/>
      </c>
      <c r="FJ12" s="687" t="str">
        <f>IF(EV12="","",+EV12*DF_!$EA10+FC12*DF_!$EB10)</f>
        <v/>
      </c>
      <c r="FK12" s="677" t="str">
        <f>IF(EW12="","",+EW12*DF_!$EA10+FD12*DF_!$EB10)</f>
        <v/>
      </c>
      <c r="FL12" s="691" t="str">
        <f>CLA_!BU12</f>
        <v/>
      </c>
      <c r="FM12" s="687" t="str">
        <f>CLA_!BV12</f>
        <v/>
      </c>
      <c r="FN12" s="678" t="str">
        <f>CLA_!BW12</f>
        <v/>
      </c>
      <c r="FO12" s="678" t="str">
        <f>CLA_!BX12</f>
        <v/>
      </c>
      <c r="FP12" s="687" t="str">
        <f>CLA_!BY12</f>
        <v/>
      </c>
      <c r="FQ12" s="687" t="str">
        <f>CLA_!BZ12</f>
        <v/>
      </c>
      <c r="FR12" s="677" t="str">
        <f>CLA_!CA12</f>
        <v/>
      </c>
      <c r="FS12" s="691">
        <f>CLA_!CB12</f>
        <v>0.74</v>
      </c>
      <c r="FT12" s="687">
        <f>CLA_!CC12</f>
        <v>4.51</v>
      </c>
      <c r="FU12" s="678">
        <f>CLA_!CD12</f>
        <v>8.4</v>
      </c>
      <c r="FV12" s="678">
        <f>CLA_!CE12</f>
        <v>9.8000000000000007</v>
      </c>
      <c r="FW12" s="687" t="str">
        <f>CLA_!CF12</f>
        <v/>
      </c>
      <c r="FX12" s="687" t="str">
        <f>CLA_!CG12</f>
        <v/>
      </c>
      <c r="FY12" s="677" t="str">
        <f>CLA_!CH12</f>
        <v/>
      </c>
      <c r="FZ12" s="610" t="s">
        <v>314</v>
      </c>
      <c r="GA12" s="610" t="s">
        <v>314</v>
      </c>
      <c r="GB12" s="1968">
        <f>IF(CLA_!CY12="","",+CLA_!CY12)</f>
        <v>7.6</v>
      </c>
      <c r="GC12" s="677" t="str">
        <f>IF(CLA_!CZ12="","",+CLA_!CZ12)</f>
        <v/>
      </c>
      <c r="GD12" s="677" t="str">
        <f>IF(CLA_!DA12="","",+CLA_!DA12)</f>
        <v/>
      </c>
      <c r="GE12" s="678" t="str">
        <f>IF(CLA_!DB12="","",+CLA_!DB12)</f>
        <v/>
      </c>
      <c r="GF12" s="677">
        <f>IF(CLA_!DO12="","",+CLA_!DO12)</f>
        <v>3120</v>
      </c>
      <c r="GG12" s="678" t="str">
        <f>IF(CLA_!DP12="","",+CLA_!DP12)</f>
        <v/>
      </c>
      <c r="GH12" s="677">
        <f>IF(CLA_!DQ12="","",+CLA_!DQ12)</f>
        <v>242</v>
      </c>
      <c r="GI12" s="677" t="str">
        <f>IF(CLA_!DR12="","",+CLA_!DR12)</f>
        <v/>
      </c>
      <c r="GJ12" s="2030"/>
      <c r="GK12" s="2025" t="str">
        <f>IF(CLA_!CQ12="","",+CLA_!CQ12)</f>
        <v/>
      </c>
      <c r="GL12" s="2024"/>
      <c r="GM12" s="2026" t="str">
        <f>IF(CLA_!CR12="","",+CLA_!CR12)</f>
        <v/>
      </c>
      <c r="GN12" s="2024" t="str">
        <f>IF(CLA_!CZ12="","",+CLA_!CZ12)</f>
        <v/>
      </c>
      <c r="GO12" s="2026" t="str">
        <f>IF(CLA_!CS12="","",+CLA_!CS12)</f>
        <v/>
      </c>
      <c r="GP12" s="2024" t="str">
        <f>IF(CLA_!DA12="","",+CLA_!DA12)</f>
        <v/>
      </c>
      <c r="GQ12" s="2025" t="str">
        <f>IF(CLA_!CT12="","",+CLA_!CT12)</f>
        <v/>
      </c>
      <c r="GR12" s="2024">
        <f>IF(CLA_!CY12="","",+CLA_!CY12)</f>
        <v>7.6</v>
      </c>
      <c r="GS12" s="2024" t="str">
        <f>IF(CLA_!CV12="","",+CLA_!CV12)</f>
        <v/>
      </c>
      <c r="GT12" s="2024">
        <f>IF(CLA_!DO12="","",+CLA_!DO12)</f>
        <v>3120</v>
      </c>
      <c r="GU12" s="2031" t="str">
        <f>IF(CLA_!CU12="","",+CLA_!CU12)</f>
        <v/>
      </c>
      <c r="GV12" s="1913" t="str">
        <f>CLA_!DF12</f>
        <v/>
      </c>
      <c r="GW12" s="677" t="str">
        <f>CLA_!DG12</f>
        <v/>
      </c>
      <c r="GX12" s="677" t="str">
        <f>CLA_!DH12</f>
        <v/>
      </c>
      <c r="GY12" s="678" t="str">
        <f>CLA_!DC12</f>
        <v/>
      </c>
      <c r="GZ12" s="648" t="s">
        <v>314</v>
      </c>
      <c r="HA12" s="635"/>
      <c r="HB12" s="648" t="s">
        <v>314</v>
      </c>
      <c r="HC12" s="685">
        <f>IF(PT_!BC12="","",+PT_!BC12)</f>
        <v>13</v>
      </c>
      <c r="HD12" s="677">
        <f>IF(PT_!BD12="","",+PT_!BD12)</f>
        <v>6</v>
      </c>
      <c r="HE12" s="677">
        <f>IF(PT_!BE12="","",+PT_!BE12)</f>
        <v>3</v>
      </c>
      <c r="HF12" s="677">
        <f>IF(PT_!BF12="","",+PT_!BF12)</f>
        <v>4</v>
      </c>
      <c r="HG12" s="677">
        <f>IF(PT_!BG12="","",+PT_!BG12)</f>
        <v>4</v>
      </c>
      <c r="HH12" s="677">
        <f>IF(PT_!BH12="","",+PT_!BH12)</f>
        <v>2</v>
      </c>
      <c r="HI12" s="677">
        <f>IF(PT_!BI12="","",+PT_!BI12)</f>
        <v>1</v>
      </c>
      <c r="HJ12" s="677">
        <f>IF(PT_!BJ12="","",+PT_!BJ12)</f>
        <v>4</v>
      </c>
      <c r="HK12" s="677">
        <f>IF(PT_!BK12="","",+PT_!BK12)</f>
        <v>2</v>
      </c>
      <c r="HL12" s="653"/>
      <c r="HM12" s="1782">
        <f t="shared" ref="HM12:HM41" si="29">IF(ISNUMBER(CF12),ROUND((IF(ISTEXT(M12),$M$42,M12)-IF(ISTEXT(I12),$I$42,I12))/(IF(ISTEXT(Q12),$Q$42,Q12)-IF(ISTEXT(M12),$M$42,M12))*CF12*0.5,0),"")</f>
        <v>65</v>
      </c>
      <c r="HN12" s="1787">
        <f t="shared" ref="HN12:HN41" si="30">IF(ISNUMBER(CF12),ROUND(IF(ISNUMBER(CF12),(IF(ISTEXT(N12),$N$42,N12)-IF(ISTEXT(J12),$J$42,J12))/(IF(ISTEXT(S12),$S$42,S12)-IF(ISTEXT(N12),$N$42,N12)),"")*CF12*0.5,0),"")</f>
        <v>32</v>
      </c>
      <c r="HO12" s="719">
        <f t="shared" ref="HO12:HO41" si="31">SUM(HM12:HN12)-CK12</f>
        <v>36</v>
      </c>
      <c r="HQ12" s="586">
        <v>60</v>
      </c>
      <c r="HR12" s="586" t="s">
        <v>577</v>
      </c>
      <c r="HU12" s="730"/>
      <c r="HV12" s="2442">
        <f>PT_!DL12</f>
        <v>5.43</v>
      </c>
      <c r="IU12" s="27"/>
    </row>
    <row r="13" spans="1:255" ht="17.100000000000001" customHeight="1">
      <c r="A13" s="579"/>
      <c r="B13" s="648" t="s">
        <v>315</v>
      </c>
      <c r="C13" s="674">
        <f>+CLA_!D13</f>
        <v>130</v>
      </c>
      <c r="D13" s="675" t="str">
        <f>+CLA_!E13</f>
        <v/>
      </c>
      <c r="E13" s="676">
        <f>+CLA_!F13</f>
        <v>132</v>
      </c>
      <c r="F13" s="675" t="str">
        <f>+CLA_!G13</f>
        <v/>
      </c>
      <c r="G13" s="676">
        <f>IF(C13="","",ROUND((IF(ISNUMBER(C13),C13,+$C$42)*DF_!$DY11+IF(ISNUMBER(E13),E13,$E$42)*DF_!$DZ11)/(DF_!$DY11+DF_!$DZ11),0))</f>
        <v>131</v>
      </c>
      <c r="H13" s="675" t="str">
        <f>IF(D13="","",ROUND((IF(+D13=0,+$D$42,+D13)*DF_!$DY11+IF(ISNUMBER(F13),F13,$F$42)*DF_!$DZ11)/(DF_!$DY11+DF_!$DZ11),1))</f>
        <v/>
      </c>
      <c r="I13" s="676">
        <f>+CLA_!H13</f>
        <v>72</v>
      </c>
      <c r="J13" s="676">
        <f>+CLA_!I13</f>
        <v>70</v>
      </c>
      <c r="K13" s="676">
        <f>+CLA_!J13</f>
        <v>3</v>
      </c>
      <c r="L13" s="676" t="str">
        <f>+CLA_!K13</f>
        <v/>
      </c>
      <c r="M13" s="677">
        <f>IF(SUM(CLA_!L13:N13)=0,"",ROUND(AVERAGE(CLA_!L13:N13),-2))</f>
        <v>2700</v>
      </c>
      <c r="N13" s="677">
        <f>IF(SUM(CLA_!O13:P13)=0,"",ROUND(AVERAGE(CLA_!O13:P13),-2))</f>
        <v>2600</v>
      </c>
      <c r="O13" s="677">
        <f>IF(SUM(CLA_!Q13:S13)=0,"",ROUND(AVERAGE(CLA_!Q13:S13),-2))</f>
        <v>2900</v>
      </c>
      <c r="P13" s="677">
        <f>IF(SUM(CLA_!T13:U13)=0,"",ROUND(AVERAGE(CLA_!T13:U13),-2))</f>
        <v>2400</v>
      </c>
      <c r="Q13" s="677">
        <f>+CLA_!V13</f>
        <v>5360</v>
      </c>
      <c r="R13" s="678" t="str">
        <f>+CLA_!W13</f>
        <v/>
      </c>
      <c r="S13" s="677">
        <f>+CLA_!X13</f>
        <v>4340</v>
      </c>
      <c r="T13" s="678" t="str">
        <f>+CLA_!Y13</f>
        <v/>
      </c>
      <c r="U13" s="675">
        <f>IF(M13="","",+M13/(PT_!Y13*10))</f>
        <v>1</v>
      </c>
      <c r="V13" s="675">
        <f>IF(N13="","",+N13/(PT_!Z13*10))</f>
        <v>0.65</v>
      </c>
      <c r="W13" s="675"/>
      <c r="X13" s="675"/>
      <c r="Y13" s="648" t="s">
        <v>315</v>
      </c>
      <c r="Z13" s="648" t="s">
        <v>315</v>
      </c>
      <c r="AA13" s="674">
        <f>IF(CLA_!Z13="","",+CLA_!Z13)</f>
        <v>153</v>
      </c>
      <c r="AB13" s="676">
        <f>IF(CLA_!AA13="","",+CLA_!AA13)</f>
        <v>164</v>
      </c>
      <c r="AC13" s="676">
        <f>IF(AA13="","",ROUND((IF(ISNUMBER(AA13),AA13,$AA$42)*DF_!$DY11+IF(ISNUMBER(AB13),AB13,$AB$42)*DF_!$DZ11)/(DF_!$DY11+DF_!$DZ11),0))</f>
        <v>157</v>
      </c>
      <c r="AD13" s="676" t="str">
        <f>IF(CLA_!AB13="","",+CLA_!AB13)</f>
        <v/>
      </c>
      <c r="AE13" s="676" t="str">
        <f>IF(CLA_!AC13="","",+CLA_!AC13)</f>
        <v/>
      </c>
      <c r="AF13" s="676">
        <f>IF(CLA_!AD13="","",+CLA_!AD13)</f>
        <v>2</v>
      </c>
      <c r="AG13" s="676" t="str">
        <f>IF(CLA_!AE13="","",+CLA_!AE13)</f>
        <v/>
      </c>
      <c r="AH13" s="675" t="str">
        <f>IF(CLA_!AF13="","",+CLA_!AF13)</f>
        <v/>
      </c>
      <c r="AI13" s="675" t="str">
        <f>IF(CLA_!AG13="","",+CLA_!AG13)</f>
        <v/>
      </c>
      <c r="AJ13" s="675" t="str">
        <f>IF(CLA_!AH13="","",+CLA_!AH13)</f>
        <v/>
      </c>
      <c r="AK13" s="675" t="str">
        <f>IF(CLA_!AI13="","",+CLA_!AI13)</f>
        <v/>
      </c>
      <c r="AL13" s="2192" t="str">
        <f t="shared" si="20"/>
        <v/>
      </c>
      <c r="AM13" s="675"/>
      <c r="AN13" s="676">
        <f>PT_!Y13</f>
        <v>270</v>
      </c>
      <c r="AO13" s="676">
        <f>PT_!Z13</f>
        <v>400</v>
      </c>
      <c r="AP13" s="682">
        <f>IF(ISNUMBER(G13),IF(ISNUMBER(AD13),AD13,$AD$42)*8.34*$CJ13/(HD13+HE13)*HD13/(IF(ISNUMBER(O13),O13,$O$42)*HD13*2.52*8.34),"")</f>
        <v>0.10604816639299398</v>
      </c>
      <c r="AQ13" s="682">
        <f t="shared" si="21"/>
        <v>0.16743827160493827</v>
      </c>
      <c r="AR13" s="675">
        <f ca="1">IF(DMREZ!D13&gt;TODAY()-2,"",((IF(ISNUMBER(O13),O13,$O$42)*2.52*HD13)/((CF13*IF(ISNUMBER(K13),K13,$K$42)*(+HD13/(HD13+HE13)))+($HQ$14*IF(ISNUMBER(AT_!Q13),AT_!Q13,AT_!$Q$42)))))</f>
        <v>4.5345860167918737</v>
      </c>
      <c r="AS13" s="675">
        <f ca="1">IF(DMREZ!D13&gt;TODAY()-2,"",((IF(ISNUMBER(P13),P13,$P$42)*2.52*HE13)/((CF13*IF(ISNUMBER(K13),K13,$K$42)*(HE13/(HD13+HE13))+((PT_!BN13+2.5/3.5*PT_!BP13)*IF(ISNUMBER(AT_!S13),AT_!S13,AT_!$S$42))))))</f>
        <v>3.1381150522142729</v>
      </c>
      <c r="AT13" s="648" t="s">
        <v>315</v>
      </c>
      <c r="AU13" s="648" t="s">
        <v>315</v>
      </c>
      <c r="AV13" s="679" t="str">
        <f>IF(CLA_!AP13="","",+CLA_!AP13)</f>
        <v/>
      </c>
      <c r="AW13" s="680" t="str">
        <f>IF(CLA_!AQ13="","",+CLA_!AQ13)</f>
        <v/>
      </c>
      <c r="AX13" s="680" t="str">
        <f>IF(CLA_!AR13="","",+CLA_!AR13)</f>
        <v/>
      </c>
      <c r="AY13" s="680" t="str">
        <f>IF(CLA_!AS13="","",+CLA_!AS13)</f>
        <v/>
      </c>
      <c r="AZ13" s="680" t="str">
        <f>IF(CLA_!AT13="","",+CLA_!AT13)</f>
        <v/>
      </c>
      <c r="BA13" s="680" t="str">
        <f>IF(CLA_!AU13="","",+CLA_!AU13)</f>
        <v/>
      </c>
      <c r="BB13" s="680" t="str">
        <f>IF(CLA_!AV13="","",+CLA_!AV13)</f>
        <v/>
      </c>
      <c r="BC13" s="680" t="str">
        <f>IF(CLA_!AW13="","",+CLA_!AW13)</f>
        <v/>
      </c>
      <c r="BD13" s="680" t="str">
        <f>IF(CLA_!AX13="","",+CLA_!AX13)</f>
        <v/>
      </c>
      <c r="BE13" s="680" t="str">
        <f>IF(CLA_!AY13="","",+CLA_!AY13)</f>
        <v/>
      </c>
      <c r="BF13" s="675" t="str">
        <f>IF(CLA_!AZ13="","",+CLA_!AZ13)</f>
        <v/>
      </c>
      <c r="BG13" s="675" t="str">
        <f>IF(CLA_!BA13="","",+CLA_!BA13)</f>
        <v/>
      </c>
      <c r="BH13" s="675" t="str">
        <f>IF(CLA_!BB13="","",+CLA_!BB13)</f>
        <v/>
      </c>
      <c r="BI13" s="675" t="str">
        <f>IF(CLA_!BC13="","",+CLA_!BC13)</f>
        <v/>
      </c>
      <c r="BJ13" s="675" t="str">
        <f>IF(CLA_!BD13="","",+CLA_!BD13)</f>
        <v/>
      </c>
      <c r="BK13" s="681">
        <f>IF(PT_!U13="","",+PT_!U13)</f>
        <v>4.0599999999999996</v>
      </c>
      <c r="BL13" s="675">
        <f>IF(PT_!V13="","",+PT_!V13)</f>
        <v>4.74</v>
      </c>
      <c r="BM13" s="675">
        <f>IF(PT_!W13="","",+PT_!W13)</f>
        <v>4.51</v>
      </c>
      <c r="BN13" s="675">
        <f>IF(PT_!X13="","",+PT_!X13)</f>
        <v>5.12</v>
      </c>
      <c r="BO13" s="675">
        <f>IF(PT_!T13="","",+PT_!T13)</f>
        <v>5.1100000000000003</v>
      </c>
      <c r="BP13" s="676" t="str">
        <f>IF(CLA_!BE13="","",+CLA_!BE13)</f>
        <v/>
      </c>
      <c r="BQ13" s="676" t="str">
        <f>IF(CLA_!BF13="","",+CLA_!BF13)</f>
        <v/>
      </c>
      <c r="BR13" s="676" t="str">
        <f>IF(ISNUMBER(BQ13+BP13),+ROUND((BP13*DF_!DY11+BQ13*DF_!DZ11)/(DF_!DY11+DF_!DZ11),-1),"")</f>
        <v/>
      </c>
      <c r="BS13" s="676">
        <f>IF(PT_!C13="","",ROUND(+PT_!C13,0))</f>
        <v>19</v>
      </c>
      <c r="BT13" s="675">
        <f>IF(PT_!H13="","",ROUND(MAX(PT_!H13,PT_!K13),1))</f>
        <v>7</v>
      </c>
      <c r="BU13" s="675">
        <f>IF(PT_!I13="","",ROUND(MIN(PT_!I13,PT_!L13),1))</f>
        <v>6.6</v>
      </c>
      <c r="BV13" s="675">
        <f>IF(PT_!G13="","",ROUND((PT_!G13*DF_!DZ11+DF_!DY11*PT_!J13)/DF_!DS11,1))</f>
        <v>6.8</v>
      </c>
      <c r="BW13" s="675">
        <f>IF(PT_!N13="","",+PT_!N13)</f>
        <v>6.8</v>
      </c>
      <c r="BX13" s="675">
        <f>IF(PT_!O13="","",+PT_!O13)</f>
        <v>6.5</v>
      </c>
      <c r="BY13" s="675">
        <f>IF(PT_!M13="","",+PT_!M13)</f>
        <v>6.7</v>
      </c>
      <c r="BZ13" s="683">
        <f>IF(PT_!R13="","",+PT_!R13)</f>
        <v>0.54</v>
      </c>
      <c r="CA13" s="683" t="str">
        <f>IF(PT_!P13="","",+PT_!P13)</f>
        <v/>
      </c>
      <c r="CB13" s="684">
        <f>IF(PT_!Q13="","",+PT_!Q13)</f>
        <v>98</v>
      </c>
      <c r="CC13" s="648" t="s">
        <v>315</v>
      </c>
      <c r="CD13" s="635"/>
      <c r="CE13" s="648" t="s">
        <v>315</v>
      </c>
      <c r="CF13" s="685">
        <f>IF(DF_!AA11="","",+DF_!AA11)</f>
        <v>93</v>
      </c>
      <c r="CG13" s="677">
        <f ca="1">IF(+DMREZ!D13&lt;TODAY(),+DF_!AD11,"")</f>
        <v>93</v>
      </c>
      <c r="CH13" s="677">
        <f>IF(DF_!AB11="","",+DF_!AB11)</f>
        <v>120</v>
      </c>
      <c r="CI13" s="677">
        <f>IF(DF_!AC11="","",+DF_!AC11)</f>
        <v>57</v>
      </c>
      <c r="CJ13" s="677">
        <f>IF(DF_!AG11="","",+DF_!AG11)</f>
        <v>93</v>
      </c>
      <c r="CK13" s="677">
        <f>IF(PT_!BL13="","",ROUND(PT_!BL13,0))</f>
        <v>61</v>
      </c>
      <c r="CL13" s="686">
        <f t="shared" si="22"/>
        <v>0.65591397849462363</v>
      </c>
      <c r="CM13" s="675">
        <f>IF(PT_!AL13="","",+PT_!AL13)</f>
        <v>92.6</v>
      </c>
      <c r="CN13" s="687">
        <f t="shared" si="10"/>
        <v>0.99569892473118271</v>
      </c>
      <c r="CO13" s="678">
        <f t="shared" si="11"/>
        <v>1.8</v>
      </c>
      <c r="CP13" s="678">
        <f t="shared" si="23"/>
        <v>3.5</v>
      </c>
      <c r="CQ13" s="678">
        <f t="shared" si="12"/>
        <v>4.5999999999999996</v>
      </c>
      <c r="CR13" s="677">
        <f t="shared" si="13"/>
        <v>450</v>
      </c>
      <c r="CS13" s="675">
        <f t="shared" si="24"/>
        <v>0.8</v>
      </c>
      <c r="CT13" s="643"/>
      <c r="CU13" s="678">
        <f>IF(ISNUMBER(CF13),+ROUND(CF13*G13*$HQ$6,1),"")</f>
        <v>50.8</v>
      </c>
      <c r="CV13" s="677">
        <f t="shared" si="14"/>
        <v>97.637795275590548</v>
      </c>
      <c r="CW13" s="678">
        <f t="shared" si="15"/>
        <v>49.6</v>
      </c>
      <c r="CX13" s="678">
        <f>IF(CF13="","",+ROUND($HQ$6*(($HD$8*$HD13*IF(O13="",$O$42,O13)+(IF(ISNUMBER(P13),P13,$P$42)*$HE$8*$HE13))),1))</f>
        <v>258.5</v>
      </c>
      <c r="CY13" s="678">
        <f t="shared" si="25"/>
        <v>27.6</v>
      </c>
      <c r="CZ13" s="678">
        <f t="shared" si="26"/>
        <v>9.8000000000000007</v>
      </c>
      <c r="DA13" s="2025">
        <f t="shared" si="27"/>
        <v>8.4</v>
      </c>
      <c r="DB13" s="741">
        <f>IF(CJ13="","",ROUND(+CX13/CY13,1))</f>
        <v>9.4</v>
      </c>
      <c r="DC13" s="648" t="s">
        <v>315</v>
      </c>
      <c r="DD13" s="648" t="s">
        <v>315</v>
      </c>
      <c r="DE13" s="688" t="str">
        <f>IF(Grit!AT10+Grit!AZ10=0,"",+Grit!AT10+Grit!AZ10*0.5)</f>
        <v/>
      </c>
      <c r="DF13" s="689">
        <f>IF(Grit!AV10="0","",+Grit!AV10)</f>
        <v>0</v>
      </c>
      <c r="DG13" s="689">
        <f t="shared" si="16"/>
        <v>0</v>
      </c>
      <c r="DH13" s="689" t="str">
        <f>IF(Grit!AX10+Grit!AY10=0,"",+Grit!AX10+Grit!AZ10*0.5)</f>
        <v/>
      </c>
      <c r="DI13" s="689" t="str">
        <f t="shared" si="17"/>
        <v/>
      </c>
      <c r="DJ13" s="675">
        <f ca="1">IF(+DMREZ!D13&lt;TODAY(),+PT_!AE13,"")</f>
        <v>66.400000000000006</v>
      </c>
      <c r="DK13" s="678">
        <f ca="1">IF(ISTEXT(DJ13),"",ROUND(+DJ13*$HQ$9*IF(ISTEXT(AH13),$AH$42,AH13)/100,1))</f>
        <v>138</v>
      </c>
      <c r="DL13" s="678">
        <f ca="1">IF(ISTEXT(DJ13),"",ROUND((+DK13*(IF(ISTEXT(AI13),$AI$42,AI13)/100)),1))</f>
        <v>114.7</v>
      </c>
      <c r="DM13" s="678">
        <f ca="1">DJ13</f>
        <v>66.400000000000006</v>
      </c>
      <c r="DN13" s="678">
        <f ca="1">IF(ISTEXT(DM13),"",ROUND(+DM13*$HQ$9*(IF(ISTEXT(AJ13),$AJ$42,AJ13)/100),1))</f>
        <v>71.099999999999994</v>
      </c>
      <c r="DO13" s="678">
        <f ca="1">IF(ISNUMBER(DN13),ROUND((+DN13*(IF(ISTEXT(AK13),$AK$42,AK13)/100)),1),"")</f>
        <v>50.8</v>
      </c>
      <c r="DP13" s="687">
        <f>IF(DW_!R13="","",+DW_!R13/1000)</f>
        <v>35.900668449197859</v>
      </c>
      <c r="DQ13" s="678">
        <f>IF(DW_!S13="","",+DW_!S13*2)</f>
        <v>40.799999999999997</v>
      </c>
      <c r="DR13" s="678">
        <f>+DW_!S13</f>
        <v>20.399999999999999</v>
      </c>
      <c r="DS13" s="675"/>
      <c r="DT13" s="677">
        <f>IF(PT_!AC13="","",+PT_!AC13)</f>
        <v>100</v>
      </c>
      <c r="DU13" s="689">
        <f>IF(ISNUMBER(CHEM_!G12),+CHEM_!G12,"")</f>
        <v>730</v>
      </c>
      <c r="DV13" s="675">
        <f t="shared" si="18"/>
        <v>7.8</v>
      </c>
      <c r="DW13" s="687">
        <f>IF(PT_!S13="","",+PT_!S13)</f>
        <v>0.46</v>
      </c>
      <c r="DX13" s="648" t="s">
        <v>315</v>
      </c>
      <c r="DY13" s="648" t="s">
        <v>315</v>
      </c>
      <c r="DZ13" s="690" t="str">
        <f>PT_!AK13</f>
        <v/>
      </c>
      <c r="EA13" s="678">
        <f>IF(PT_!AJ13="","",+PT_!AJ13)</f>
        <v>134.4</v>
      </c>
      <c r="EB13" s="2086">
        <f t="shared" si="19"/>
        <v>134.4</v>
      </c>
      <c r="EC13" s="2094">
        <f>IF(PT_!BO13="","",+PT_!BO13)</f>
        <v>58.459919999999997</v>
      </c>
      <c r="ED13" s="1902" t="s">
        <v>479</v>
      </c>
      <c r="EE13" s="1316" t="s">
        <v>30</v>
      </c>
      <c r="EF13" s="2083">
        <v>205.7</v>
      </c>
      <c r="EG13" s="2084">
        <v>617.1</v>
      </c>
      <c r="EH13" s="1890"/>
      <c r="EI13" s="689"/>
      <c r="EJ13" s="1891" t="str">
        <f>+PT_!AF13</f>
        <v/>
      </c>
      <c r="EK13" s="759" t="str">
        <f t="shared" si="28"/>
        <v/>
      </c>
      <c r="EL13" s="689"/>
      <c r="EM13" s="689" t="str">
        <f>IF(PT_!AH13&gt;0,+PT_!AH13,"")</f>
        <v/>
      </c>
      <c r="EN13" s="614" t="str">
        <f>IF(PT_!AZ13="","",+PT_!AZ13)</f>
        <v>Clear</v>
      </c>
      <c r="EO13" s="615" t="s">
        <v>315</v>
      </c>
      <c r="EP13" s="610" t="s">
        <v>315</v>
      </c>
      <c r="EQ13" s="691">
        <f>CLA_!BG13</f>
        <v>0.05</v>
      </c>
      <c r="ER13" s="687">
        <f>CLA_!BH13</f>
        <v>0.01</v>
      </c>
      <c r="ES13" s="678">
        <f>CLA_!BI13</f>
        <v>25.2</v>
      </c>
      <c r="ET13" s="678">
        <f>CLA_!BJ13</f>
        <v>38.200000000000003</v>
      </c>
      <c r="EU13" s="687" t="str">
        <f>CLA_!BK13</f>
        <v/>
      </c>
      <c r="EV13" s="687" t="str">
        <f>CLA_!BL13</f>
        <v/>
      </c>
      <c r="EW13" s="677" t="str">
        <f>CLA_!BM13</f>
        <v/>
      </c>
      <c r="EX13" s="691">
        <f>CLA_!BN13</f>
        <v>0.05</v>
      </c>
      <c r="EY13" s="687">
        <f>CLA_!BO13</f>
        <v>0</v>
      </c>
      <c r="EZ13" s="678">
        <f>CLA_!BP13</f>
        <v>24.6</v>
      </c>
      <c r="FA13" s="678">
        <f>CLA_!BQ13</f>
        <v>38</v>
      </c>
      <c r="FB13" s="687" t="str">
        <f>CLA_!BR13</f>
        <v/>
      </c>
      <c r="FC13" s="687" t="str">
        <f>CLA_!BS13</f>
        <v/>
      </c>
      <c r="FD13" s="677" t="str">
        <f>CLA_!BT13</f>
        <v/>
      </c>
      <c r="FE13" s="691">
        <f>IF(ISNUMBER(EQ13+EX13),+EQ13*DF_!$EA11+EX13*DF_!$EB11,"")</f>
        <v>0.05</v>
      </c>
      <c r="FF13" s="687">
        <f>IF(ISNUMBER(+ER13+EY13),+ER13*DF_!$EA11+EY13*DF_!$EB11,"")</f>
        <v>6.5000000000000006E-3</v>
      </c>
      <c r="FG13" s="678">
        <f>IF(ISNUMBER(ES13)+ISNUMBER(EZ13)&gt;0,IF(ISNUMBER(ES13),ES13,$ET$42)*DF_!$EA11+IF(ISNUMBER(EZ13),EZ13,$FA$42)*DF_!$EB11,"")</f>
        <v>24.99</v>
      </c>
      <c r="FH13" s="678">
        <f>IF(ISNUMBER(ET13)+ISNUMBER(FA13)&gt;0,IF(ISNUMBER(ET13),ET13,$ET$42)*DF_!$EA11+IF(ISNUMBER(FA13),FA13,$FA$42)*DF_!$EB11,"")</f>
        <v>38.130000000000003</v>
      </c>
      <c r="FI13" s="687" t="str">
        <f>IF(EU13="","",+EU13*DF_!$EA11+FB13*DF_!$EB11)</f>
        <v/>
      </c>
      <c r="FJ13" s="687" t="str">
        <f>IF(EV13="","",+EV13*DF_!$EA11+FC13*DF_!$EB11)</f>
        <v/>
      </c>
      <c r="FK13" s="677" t="str">
        <f>IF(EW13="","",+EW13*DF_!$EA11+FD13*DF_!$EB11)</f>
        <v/>
      </c>
      <c r="FL13" s="691" t="str">
        <f>CLA_!BU13</f>
        <v/>
      </c>
      <c r="FM13" s="687" t="str">
        <f>CLA_!BV13</f>
        <v/>
      </c>
      <c r="FN13" s="678" t="str">
        <f>CLA_!BW13</f>
        <v/>
      </c>
      <c r="FO13" s="678" t="str">
        <f>CLA_!BX13</f>
        <v/>
      </c>
      <c r="FP13" s="687" t="str">
        <f>CLA_!BY13</f>
        <v/>
      </c>
      <c r="FQ13" s="687" t="str">
        <f>CLA_!BZ13</f>
        <v/>
      </c>
      <c r="FR13" s="677" t="str">
        <f>CLA_!CA13</f>
        <v/>
      </c>
      <c r="FS13" s="691">
        <f>CLA_!CB13</f>
        <v>0.64</v>
      </c>
      <c r="FT13" s="687">
        <f>CLA_!CC13</f>
        <v>3.37</v>
      </c>
      <c r="FU13" s="678">
        <f>CLA_!CD13</f>
        <v>9.1</v>
      </c>
      <c r="FV13" s="678">
        <f>CLA_!CE13</f>
        <v>10.8</v>
      </c>
      <c r="FW13" s="687" t="str">
        <f>CLA_!CF13</f>
        <v/>
      </c>
      <c r="FX13" s="687" t="str">
        <f>CLA_!CG13</f>
        <v/>
      </c>
      <c r="FY13" s="677" t="str">
        <f>CLA_!CH13</f>
        <v/>
      </c>
      <c r="FZ13" s="610" t="s">
        <v>315</v>
      </c>
      <c r="GA13" s="610" t="s">
        <v>315</v>
      </c>
      <c r="GB13" s="1968">
        <f>IF(CLA_!CY13="","",+CLA_!CY13)</f>
        <v>7.6</v>
      </c>
      <c r="GC13" s="677" t="str">
        <f>IF(CLA_!CZ13="","",+CLA_!CZ13)</f>
        <v/>
      </c>
      <c r="GD13" s="677" t="str">
        <f>IF(CLA_!DA13="","",+CLA_!DA13)</f>
        <v/>
      </c>
      <c r="GE13" s="678" t="str">
        <f>IF(CLA_!DB13="","",+CLA_!DB13)</f>
        <v/>
      </c>
      <c r="GF13" s="677">
        <f>IF(CLA_!DO13="","",+CLA_!DO13)</f>
        <v>3320</v>
      </c>
      <c r="GG13" s="678" t="str">
        <f>IF(CLA_!DP13="","",+CLA_!DP13)</f>
        <v/>
      </c>
      <c r="GH13" s="677">
        <f>IF(CLA_!DQ13="","",+CLA_!DQ13)</f>
        <v>164</v>
      </c>
      <c r="GI13" s="677" t="str">
        <f>IF(CLA_!DR13="","",+CLA_!DR13)</f>
        <v/>
      </c>
      <c r="GJ13" s="2030"/>
      <c r="GK13" s="2025" t="str">
        <f>IF(CLA_!CQ13="","",+CLA_!CQ13)</f>
        <v/>
      </c>
      <c r="GL13" s="2024"/>
      <c r="GM13" s="2026" t="str">
        <f>IF(CLA_!CR13="","",+CLA_!CR13)</f>
        <v/>
      </c>
      <c r="GN13" s="2024" t="str">
        <f>IF(CLA_!CZ13="","",+CLA_!CZ13)</f>
        <v/>
      </c>
      <c r="GO13" s="2026" t="str">
        <f>IF(CLA_!CS13="","",+CLA_!CS13)</f>
        <v/>
      </c>
      <c r="GP13" s="2024" t="str">
        <f>IF(CLA_!DA13="","",+CLA_!DA13)</f>
        <v/>
      </c>
      <c r="GQ13" s="2025" t="str">
        <f>IF(CLA_!CT13="","",+CLA_!CT13)</f>
        <v/>
      </c>
      <c r="GR13" s="2024">
        <f>IF(CLA_!CY13="","",+CLA_!CY13)</f>
        <v>7.6</v>
      </c>
      <c r="GS13" s="2024" t="str">
        <f>IF(CLA_!CV13="","",+CLA_!CV13)</f>
        <v/>
      </c>
      <c r="GT13" s="2024">
        <f>IF(CLA_!DO13="","",+CLA_!DO13)</f>
        <v>3320</v>
      </c>
      <c r="GU13" s="2031" t="str">
        <f>IF(CLA_!CU13="","",+CLA_!CU13)</f>
        <v/>
      </c>
      <c r="GV13" s="1913" t="str">
        <f>CLA_!DF13</f>
        <v/>
      </c>
      <c r="GW13" s="677" t="str">
        <f>CLA_!DG13</f>
        <v/>
      </c>
      <c r="GX13" s="677" t="str">
        <f>CLA_!DH13</f>
        <v/>
      </c>
      <c r="GY13" s="678" t="str">
        <f>CLA_!DC13</f>
        <v/>
      </c>
      <c r="GZ13" s="648" t="s">
        <v>315</v>
      </c>
      <c r="HA13" s="635"/>
      <c r="HB13" s="648" t="s">
        <v>315</v>
      </c>
      <c r="HC13" s="685">
        <f>IF(PT_!BC13="","",+PT_!BC13)</f>
        <v>13</v>
      </c>
      <c r="HD13" s="677">
        <f>IF(PT_!BD13="","",+PT_!BD13)</f>
        <v>6</v>
      </c>
      <c r="HE13" s="677">
        <f>IF(PT_!BE13="","",+PT_!BE13)</f>
        <v>3</v>
      </c>
      <c r="HF13" s="677">
        <f>IF(PT_!BF13="","",+PT_!BF13)</f>
        <v>4</v>
      </c>
      <c r="HG13" s="677">
        <f>IF(PT_!BG13="","",+PT_!BG13)</f>
        <v>4</v>
      </c>
      <c r="HH13" s="677">
        <f>IF(PT_!BH13="","",+PT_!BH13)</f>
        <v>2</v>
      </c>
      <c r="HI13" s="677">
        <f>IF(PT_!BI13="","",+PT_!BI13)</f>
        <v>1</v>
      </c>
      <c r="HJ13" s="677">
        <f>IF(PT_!BJ13="","",+PT_!BJ13)</f>
        <v>4</v>
      </c>
      <c r="HK13" s="677">
        <f>IF(PT_!BK13="","",+PT_!BK13)</f>
        <v>2</v>
      </c>
      <c r="HL13" s="653"/>
      <c r="HM13" s="1782">
        <f t="shared" si="29"/>
        <v>46</v>
      </c>
      <c r="HN13" s="1787">
        <f t="shared" si="30"/>
        <v>68</v>
      </c>
      <c r="HO13" s="719">
        <f t="shared" si="31"/>
        <v>53</v>
      </c>
      <c r="HU13" s="730"/>
      <c r="HV13" s="2442">
        <f>PT_!DL13</f>
        <v>5.36</v>
      </c>
      <c r="IU13" s="27"/>
    </row>
    <row r="14" spans="1:255" ht="17.100000000000001" customHeight="1">
      <c r="A14" s="579"/>
      <c r="B14" s="648" t="s">
        <v>316</v>
      </c>
      <c r="C14" s="674">
        <f>+CLA_!D14</f>
        <v>133</v>
      </c>
      <c r="D14" s="675">
        <f>+CLA_!E14</f>
        <v>83.5</v>
      </c>
      <c r="E14" s="676">
        <f>+CLA_!F14</f>
        <v>152</v>
      </c>
      <c r="F14" s="675">
        <f>+CLA_!G14</f>
        <v>84.2</v>
      </c>
      <c r="G14" s="676">
        <f>IF(C14="","",ROUND((IF(ISNUMBER(C14),C14,+$C$42)*DF_!$DY12+IF(ISNUMBER(E14),E14,$E$42)*DF_!$DZ12)/(DF_!$DY12+DF_!$DZ12),0))</f>
        <v>140</v>
      </c>
      <c r="H14" s="675">
        <f>IF(D14="","",ROUND((IF(+D14=0,+$D$42,+D14)*DF_!$DY12+IF(ISNUMBER(F14),F14,$F$42)*DF_!$DZ12)/(DF_!$DY12+DF_!$DZ12),1))</f>
        <v>83.7</v>
      </c>
      <c r="I14" s="676">
        <f>+CLA_!H14</f>
        <v>68</v>
      </c>
      <c r="J14" s="676">
        <f>+CLA_!I14</f>
        <v>86</v>
      </c>
      <c r="K14" s="676">
        <f>+CLA_!J14</f>
        <v>5</v>
      </c>
      <c r="L14" s="676">
        <f>+CLA_!K14</f>
        <v>160</v>
      </c>
      <c r="M14" s="677">
        <f>IF(SUM(CLA_!L14:N14)=0,"",ROUND(AVERAGE(CLA_!L14:N14),-2))</f>
        <v>3200</v>
      </c>
      <c r="N14" s="677">
        <f>IF(SUM(CLA_!O14:P14)=0,"",ROUND(AVERAGE(CLA_!O14:P14),-2))</f>
        <v>2400</v>
      </c>
      <c r="O14" s="677">
        <f>IF(SUM(CLA_!Q14:S14)=0,"",ROUND(AVERAGE(CLA_!Q14:S14),-2))</f>
        <v>4100</v>
      </c>
      <c r="P14" s="677">
        <f>IF(SUM(CLA_!T14:U14)=0,"",ROUND(AVERAGE(CLA_!T14:U14),-2))</f>
        <v>3300</v>
      </c>
      <c r="Q14" s="677">
        <f>+CLA_!V14</f>
        <v>5480</v>
      </c>
      <c r="R14" s="678">
        <f>+CLA_!W14</f>
        <v>83.6</v>
      </c>
      <c r="S14" s="677">
        <f>+CLA_!X14</f>
        <v>5980</v>
      </c>
      <c r="T14" s="678">
        <f>+CLA_!Y14</f>
        <v>84.6</v>
      </c>
      <c r="U14" s="675">
        <f>IF(M14="","",+M14/(PT_!Y14*10))</f>
        <v>0.65306122448979587</v>
      </c>
      <c r="V14" s="675">
        <f>IF(N14="","",+N14/(PT_!Z14*10))</f>
        <v>0.82758620689655171</v>
      </c>
      <c r="W14" s="675"/>
      <c r="X14" s="675"/>
      <c r="Y14" s="648" t="s">
        <v>316</v>
      </c>
      <c r="Z14" s="648" t="s">
        <v>316</v>
      </c>
      <c r="AA14" s="674">
        <f>IF(CLA_!Z14="","",+CLA_!Z14)</f>
        <v>327</v>
      </c>
      <c r="AB14" s="676">
        <f>IF(CLA_!AA14="","",+CLA_!AA14)</f>
        <v>141</v>
      </c>
      <c r="AC14" s="676">
        <f>IF(AA14="","",ROUND((IF(ISNUMBER(AA14),AA14,$AA$42)*DF_!$DY12+IF(ISNUMBER(AB14),AB14,$AB$42)*DF_!$DZ12)/(DF_!$DY12+DF_!$DZ12),0))</f>
        <v>262</v>
      </c>
      <c r="AD14" s="676">
        <f>IF(CLA_!AB14="","",+CLA_!AB14)</f>
        <v>92</v>
      </c>
      <c r="AE14" s="676">
        <f>IF(CLA_!AC14="","",+CLA_!AC14)</f>
        <v>93</v>
      </c>
      <c r="AF14" s="676">
        <f>IF(CLA_!AD14="","",+CLA_!AD14)</f>
        <v>2</v>
      </c>
      <c r="AG14" s="676">
        <f>IF(CLA_!AE14="","",+CLA_!AE14)</f>
        <v>3940</v>
      </c>
      <c r="AH14" s="675">
        <f>IF(CLA_!AF14="","",+CLA_!AF14)</f>
        <v>2.84</v>
      </c>
      <c r="AI14" s="675">
        <f>IF(CLA_!AG14="","",+CLA_!AG14)</f>
        <v>84.7</v>
      </c>
      <c r="AJ14" s="675">
        <f>IF(CLA_!AH14="","",+CLA_!AH14)</f>
        <v>1.88</v>
      </c>
      <c r="AK14" s="675">
        <f>IF(CLA_!AI14="","",+CLA_!AI14)</f>
        <v>72.3</v>
      </c>
      <c r="AL14" s="2192">
        <f t="shared" si="20"/>
        <v>0.43</v>
      </c>
      <c r="AM14" s="675"/>
      <c r="AN14" s="676">
        <f>PT_!Y14</f>
        <v>490</v>
      </c>
      <c r="AO14" s="676">
        <f>PT_!Z14</f>
        <v>290</v>
      </c>
      <c r="AP14" s="682">
        <f t="shared" ref="AP14:AP41" si="32">IF(ISNUMBER(G14),IF(ISNUMBER(AD14),AD14,$AD$42)*8.34*$CJ14/(HD14+HE14)*HD14/(IF(ISNUMBER(O14),O14,$O$42)*HD14*2.52*8.34),"")</f>
        <v>8.5086247687873706E-2</v>
      </c>
      <c r="AQ14" s="682">
        <f t="shared" si="21"/>
        <v>0.1068622735289402</v>
      </c>
      <c r="AR14" s="675">
        <f ca="1">IF(DMREZ!D14&gt;TODAY()-2,"",((IF(ISNUMBER(O14),O14,$O$42)*2.52*HD14)/((CF14*IF(ISNUMBER(K14),K14,$K$42)*(+HD14/(HD14+HE14)))+($HQ$14*IF(ISNUMBER(AT_!Q14),AT_!Q14,AT_!$Q$42)))))</f>
        <v>6.2099625936996521</v>
      </c>
      <c r="AS14" s="675">
        <f ca="1">IF(DMREZ!D14&gt;TODAY()-2,"",((IF(ISNUMBER(P14),P14,$P$42)*2.52*HE14)/((CF14*IF(ISNUMBER(K14),K14,$K$42)*(HE14/(HD14+HE14))+((PT_!BN14+2.5/3.5*PT_!BP14)*IF(ISNUMBER(AT_!S14),AT_!S14,AT_!$S$42))))))</f>
        <v>4.1758802824666486</v>
      </c>
      <c r="AT14" s="648" t="s">
        <v>316</v>
      </c>
      <c r="AU14" s="648" t="s">
        <v>316</v>
      </c>
      <c r="AV14" s="679">
        <f>IF(CLA_!AP14="","",+CLA_!AP14)</f>
        <v>150</v>
      </c>
      <c r="AW14" s="680" t="str">
        <f>IF(CLA_!AQ14="","",+CLA_!AQ14)</f>
        <v/>
      </c>
      <c r="AX14" s="680">
        <f>IF(CLA_!AR14="","",+CLA_!AR14)</f>
        <v>240</v>
      </c>
      <c r="AY14" s="680">
        <f>IF(CLA_!AS14="","",+CLA_!AS14)</f>
        <v>180</v>
      </c>
      <c r="AZ14" s="680">
        <f>IF(CLA_!AT14="","",+CLA_!AT14)</f>
        <v>100</v>
      </c>
      <c r="BA14" s="680">
        <f>IF(CLA_!AU14="","",+CLA_!AU14)</f>
        <v>2500</v>
      </c>
      <c r="BB14" s="680" t="str">
        <f>IF(CLA_!AV14="","",+CLA_!AV14)</f>
        <v/>
      </c>
      <c r="BC14" s="680">
        <f>IF(CLA_!AW14="","",+CLA_!AW14)</f>
        <v>2400</v>
      </c>
      <c r="BD14" s="680">
        <f>IF(CLA_!AX14="","",+CLA_!AX14)</f>
        <v>2600</v>
      </c>
      <c r="BE14" s="680">
        <f>IF(CLA_!AY14="","",+CLA_!AY14)</f>
        <v>2700</v>
      </c>
      <c r="BF14" s="675">
        <f>IF(CLA_!AZ14="","",+CLA_!AZ14)</f>
        <v>7</v>
      </c>
      <c r="BG14" s="675" t="str">
        <f>IF(CLA_!BA14="","",+CLA_!BA14)</f>
        <v/>
      </c>
      <c r="BH14" s="675">
        <f>IF(CLA_!BB14="","",+CLA_!BB14)</f>
        <v>6.85</v>
      </c>
      <c r="BI14" s="675">
        <f>IF(CLA_!BC14="","",+CLA_!BC14)</f>
        <v>7</v>
      </c>
      <c r="BJ14" s="675">
        <f>IF(CLA_!BD14="","",+CLA_!BD14)</f>
        <v>7.1</v>
      </c>
      <c r="BK14" s="681">
        <f>IF(PT_!U14="","",+PT_!U14)</f>
        <v>3.99</v>
      </c>
      <c r="BL14" s="675">
        <f>IF(PT_!V14="","",+PT_!V14)</f>
        <v>4.68</v>
      </c>
      <c r="BM14" s="675">
        <f>IF(PT_!W14="","",+PT_!W14)</f>
        <v>4.34</v>
      </c>
      <c r="BN14" s="675">
        <f>IF(PT_!X14="","",+PT_!X14)</f>
        <v>5.33</v>
      </c>
      <c r="BO14" s="675">
        <f>IF(PT_!T14="","",+PT_!T14)</f>
        <v>5.92</v>
      </c>
      <c r="BP14" s="676" t="str">
        <f>IF(CLA_!BE14="","",+CLA_!BE14)</f>
        <v/>
      </c>
      <c r="BQ14" s="676" t="str">
        <f>IF(CLA_!BF14="","",+CLA_!BF14)</f>
        <v/>
      </c>
      <c r="BR14" s="676" t="str">
        <f>IF(ISNUMBER(BQ14+BP14),+ROUND((BP14*DF_!DY12+BQ14*DF_!DZ12)/(DF_!DY12+DF_!DZ12),-1),"")</f>
        <v/>
      </c>
      <c r="BS14" s="676">
        <f>IF(PT_!C14="","",ROUND(+PT_!C14,0))</f>
        <v>19</v>
      </c>
      <c r="BT14" s="675">
        <f>IF(PT_!H14="","",ROUND(MAX(PT_!H14,PT_!K14),1))</f>
        <v>7</v>
      </c>
      <c r="BU14" s="675">
        <f>IF(PT_!I14="","",ROUND(MIN(PT_!I14,PT_!L14),1))</f>
        <v>6.6</v>
      </c>
      <c r="BV14" s="675">
        <f>IF(PT_!G14="","",ROUND((PT_!G14*DF_!DZ12+DF_!DY12*PT_!J14)/DF_!DS12,1))</f>
        <v>6.8</v>
      </c>
      <c r="BW14" s="675">
        <f>IF(PT_!N14="","",+PT_!N14)</f>
        <v>6.7</v>
      </c>
      <c r="BX14" s="675">
        <f>IF(PT_!O14="","",+PT_!O14)</f>
        <v>6.4</v>
      </c>
      <c r="BY14" s="675">
        <f>IF(PT_!M14="","",+PT_!M14)</f>
        <v>6.5</v>
      </c>
      <c r="BZ14" s="682">
        <f>IF(PT_!R14="","",+PT_!R14)</f>
        <v>0.42</v>
      </c>
      <c r="CA14" s="683" t="str">
        <f>IF(PT_!P14="","",+PT_!P14)</f>
        <v/>
      </c>
      <c r="CB14" s="684">
        <f>IF(PT_!Q14="","",+PT_!Q14)</f>
        <v>3</v>
      </c>
      <c r="CC14" s="648" t="s">
        <v>316</v>
      </c>
      <c r="CD14" s="635"/>
      <c r="CE14" s="648" t="s">
        <v>316</v>
      </c>
      <c r="CF14" s="685">
        <f>IF(DF_!AA12="","",+DF_!AA12)</f>
        <v>86</v>
      </c>
      <c r="CG14" s="677">
        <f ca="1">IF(+DMREZ!D14&lt;TODAY(),+DF_!AD12,"")</f>
        <v>86</v>
      </c>
      <c r="CH14" s="677">
        <f>IF(DF_!AB12="","",+DF_!AB12)</f>
        <v>114</v>
      </c>
      <c r="CI14" s="677">
        <f>IF(DF_!AC12="","",+DF_!AC12)</f>
        <v>59</v>
      </c>
      <c r="CJ14" s="677">
        <f>IF(DF_!AG12="","",+DF_!AG12)</f>
        <v>86</v>
      </c>
      <c r="CK14" s="677">
        <f>IF(PT_!BL14="","",ROUND(PT_!BL14,0))</f>
        <v>62</v>
      </c>
      <c r="CL14" s="686">
        <f t="shared" si="22"/>
        <v>0.72093023255813948</v>
      </c>
      <c r="CM14" s="675">
        <f>IF(PT_!AL14="","",+PT_!AL14)</f>
        <v>94.9</v>
      </c>
      <c r="CN14" s="687">
        <f t="shared" si="10"/>
        <v>1.1034883720930233</v>
      </c>
      <c r="CO14" s="678">
        <f t="shared" si="11"/>
        <v>2</v>
      </c>
      <c r="CP14" s="678">
        <f t="shared" si="23"/>
        <v>3.7</v>
      </c>
      <c r="CQ14" s="678">
        <f t="shared" si="12"/>
        <v>5</v>
      </c>
      <c r="CR14" s="677">
        <f t="shared" si="13"/>
        <v>420</v>
      </c>
      <c r="CS14" s="675">
        <f t="shared" si="24"/>
        <v>0.7</v>
      </c>
      <c r="CT14" s="643" t="s">
        <v>474</v>
      </c>
      <c r="CU14" s="678">
        <f t="shared" ref="CU14:CU41" si="33">IF(ISNUMBER(CF14),+ROUND(CF14*G14*$HQ$6,1),"")</f>
        <v>50.2</v>
      </c>
      <c r="CV14" s="677">
        <f t="shared" si="14"/>
        <v>96.414342629482064</v>
      </c>
      <c r="CW14" s="678">
        <f t="shared" si="15"/>
        <v>48.4</v>
      </c>
      <c r="CX14" s="678">
        <f t="shared" ref="CX14:CX40" si="34">IF(CF14="","",+ROUND($HQ$6*(($HD$8*$HD14*IF(O14="",$O$42,O14)+(IF(ISNUMBER(P14),P14,$P$42)*$HE$8*$HE14))),1))</f>
        <v>362.5</v>
      </c>
      <c r="CY14" s="678">
        <f t="shared" si="25"/>
        <v>27</v>
      </c>
      <c r="CZ14" s="678">
        <f t="shared" si="26"/>
        <v>15.9</v>
      </c>
      <c r="DA14" s="2025">
        <f t="shared" si="27"/>
        <v>10.1</v>
      </c>
      <c r="DB14" s="741">
        <f t="shared" ref="DB14:DB40" si="35">IF(CJ14="","",ROUND(+CX14/CY14,1))</f>
        <v>13.4</v>
      </c>
      <c r="DC14" s="648" t="s">
        <v>316</v>
      </c>
      <c r="DD14" s="648" t="s">
        <v>316</v>
      </c>
      <c r="DE14" s="688" t="str">
        <f>IF(Grit!AT11+Grit!AZ11=0,"",+Grit!AT11+Grit!AZ11*0.5)</f>
        <v/>
      </c>
      <c r="DF14" s="689">
        <f>IF(Grit!AV11="0","",+Grit!AV11)</f>
        <v>0</v>
      </c>
      <c r="DG14" s="689">
        <f t="shared" si="16"/>
        <v>0</v>
      </c>
      <c r="DH14" s="689" t="str">
        <f>IF(Grit!AX11+Grit!AY11=0,"",+Grit!AX11+Grit!AZ11*0.5)</f>
        <v/>
      </c>
      <c r="DI14" s="689" t="str">
        <f t="shared" si="17"/>
        <v/>
      </c>
      <c r="DJ14" s="675">
        <f ca="1">IF(+DMREZ!D14&lt;TODAY(),+PT_!AE14,"")</f>
        <v>63.2</v>
      </c>
      <c r="DK14" s="678">
        <f t="shared" ref="DK14:DK36" ca="1" si="36">IF(ISTEXT(DJ14),"",ROUND(+DJ14*$HQ$9*IF(ISTEXT(AH14),$AH$42,AH14)/100,1))</f>
        <v>113.1</v>
      </c>
      <c r="DL14" s="678">
        <f t="shared" ref="DL14:DL36" ca="1" si="37">IF(ISTEXT(DJ14),"",ROUND((+DK14*(IF(ISTEXT(AI14),$AI$42,AI14)/100)),1))</f>
        <v>95.8</v>
      </c>
      <c r="DM14" s="678">
        <f t="shared" ref="DM14:DM36" ca="1" si="38">DJ14</f>
        <v>63.2</v>
      </c>
      <c r="DN14" s="678">
        <f t="shared" ref="DN14:DN36" ca="1" si="39">IF(ISTEXT(DM14),"",ROUND(+DM14*$HQ$9*(IF(ISTEXT(AJ14),$AJ$42,AJ14)/100),1))</f>
        <v>74.900000000000006</v>
      </c>
      <c r="DO14" s="678">
        <f t="shared" ref="DO14:DO36" ca="1" si="40">IF(ISNUMBER(DN14),ROUND((+DN14*(IF(ISTEXT(AK14),$AK$42,AK14)/100)),1),"")</f>
        <v>54.2</v>
      </c>
      <c r="DP14" s="687" t="str">
        <f>IF(DW_!R14="","",+DW_!R14/1000)</f>
        <v/>
      </c>
      <c r="DQ14" s="678" t="str">
        <f>IF(DW_!S14="","",+DW_!S14*2)</f>
        <v/>
      </c>
      <c r="DR14" s="678" t="str">
        <f>+DW_!S14</f>
        <v/>
      </c>
      <c r="DS14" s="675"/>
      <c r="DT14" s="677">
        <f>IF(PT_!AC14="","",+PT_!AC14)</f>
        <v>98</v>
      </c>
      <c r="DU14" s="689">
        <f>IF(ISNUMBER(CHEM_!G13),+CHEM_!G13,"")</f>
        <v>730</v>
      </c>
      <c r="DV14" s="675">
        <f t="shared" si="18"/>
        <v>8.5</v>
      </c>
      <c r="DW14" s="687">
        <f>IF(PT_!S14="","",+PT_!S14)</f>
        <v>0.45</v>
      </c>
      <c r="DX14" s="648" t="s">
        <v>316</v>
      </c>
      <c r="DY14" s="648" t="s">
        <v>316</v>
      </c>
      <c r="DZ14" s="690" t="str">
        <f>PT_!AK14</f>
        <v/>
      </c>
      <c r="EA14" s="678">
        <f>IF(PT_!AJ14="","",+PT_!AJ14)</f>
        <v>144</v>
      </c>
      <c r="EB14" s="2086">
        <f t="shared" si="19"/>
        <v>144</v>
      </c>
      <c r="EC14" s="2094">
        <f>IF(PT_!BO14="","",+PT_!BO14)</f>
        <v>59.980080000000001</v>
      </c>
      <c r="ED14" s="1902"/>
      <c r="EE14" s="1316" t="s">
        <v>31</v>
      </c>
      <c r="EF14" s="2083">
        <v>205.7</v>
      </c>
      <c r="EG14" s="2084">
        <v>617.1</v>
      </c>
      <c r="EH14" s="1890"/>
      <c r="EI14" s="689"/>
      <c r="EJ14" s="1891" t="str">
        <f>+PT_!AF14</f>
        <v/>
      </c>
      <c r="EK14" s="759" t="str">
        <f t="shared" si="28"/>
        <v/>
      </c>
      <c r="EL14" s="689"/>
      <c r="EM14" s="689" t="str">
        <f>IF(PT_!AH14&gt;0,+PT_!AH14,"")</f>
        <v/>
      </c>
      <c r="EN14" s="614" t="str">
        <f>IF(PT_!AZ14="","",+PT_!AZ14)</f>
        <v>Clear</v>
      </c>
      <c r="EO14" s="615" t="s">
        <v>316</v>
      </c>
      <c r="EP14" s="610" t="s">
        <v>316</v>
      </c>
      <c r="EQ14" s="691">
        <f>CLA_!BG14</f>
        <v>0.04</v>
      </c>
      <c r="ER14" s="687">
        <f>CLA_!BH14</f>
        <v>0.03</v>
      </c>
      <c r="ES14" s="678">
        <f>CLA_!BI14</f>
        <v>26.4</v>
      </c>
      <c r="ET14" s="678">
        <f>CLA_!BJ14</f>
        <v>46.3</v>
      </c>
      <c r="EU14" s="687" t="str">
        <f>CLA_!BK14</f>
        <v/>
      </c>
      <c r="EV14" s="687" t="str">
        <f>CLA_!BL14</f>
        <v/>
      </c>
      <c r="EW14" s="677" t="str">
        <f>CLA_!BM14</f>
        <v/>
      </c>
      <c r="EX14" s="691">
        <f>CLA_!BN14</f>
        <v>0.04</v>
      </c>
      <c r="EY14" s="687">
        <f>CLA_!BO14</f>
        <v>0</v>
      </c>
      <c r="EZ14" s="678">
        <f>CLA_!BP14</f>
        <v>26.4</v>
      </c>
      <c r="FA14" s="678">
        <f>CLA_!BQ14</f>
        <v>40.799999999999997</v>
      </c>
      <c r="FB14" s="687" t="str">
        <f>CLA_!BR14</f>
        <v/>
      </c>
      <c r="FC14" s="687" t="str">
        <f>CLA_!BS14</f>
        <v/>
      </c>
      <c r="FD14" s="677" t="str">
        <f>CLA_!BT14</f>
        <v/>
      </c>
      <c r="FE14" s="691">
        <f>IF(ISNUMBER(EQ14+EX14),+EQ14*DF_!$EA12+EX14*DF_!$EB12,"")</f>
        <v>0.04</v>
      </c>
      <c r="FF14" s="687">
        <f>IF(ISNUMBER(+ER14+EY14),+ER14*DF_!$EA12+EY14*DF_!$EB12,"")</f>
        <v>1.95E-2</v>
      </c>
      <c r="FG14" s="678">
        <f>IF(ISNUMBER(ES14)+ISNUMBER(EZ14)&gt;0,IF(ISNUMBER(ES14),ES14,$ET$42)*DF_!$EA12+IF(ISNUMBER(EZ14),EZ14,$FA$42)*DF_!$EB12,"")</f>
        <v>26.4</v>
      </c>
      <c r="FH14" s="678">
        <f>IF(ISNUMBER(ET14)+ISNUMBER(FA14)&gt;0,IF(ISNUMBER(ET14),ET14,$ET$42)*DF_!$EA12+IF(ISNUMBER(FA14),FA14,$FA$42)*DF_!$EB12,"")</f>
        <v>44.375</v>
      </c>
      <c r="FI14" s="687" t="str">
        <f>IF(EU14="","",+EU14*DF_!$EA12+FB14*DF_!$EB12)</f>
        <v/>
      </c>
      <c r="FJ14" s="687" t="str">
        <f>IF(EV14="","",+EV14*DF_!$EA12+FC14*DF_!$EB12)</f>
        <v/>
      </c>
      <c r="FK14" s="677" t="str">
        <f>IF(EW14="","",+EW14*DF_!$EA12+FD14*DF_!$EB12)</f>
        <v/>
      </c>
      <c r="FL14" s="691" t="str">
        <f>CLA_!BU14</f>
        <v/>
      </c>
      <c r="FM14" s="687" t="str">
        <f>CLA_!BV14</f>
        <v/>
      </c>
      <c r="FN14" s="678" t="str">
        <f>CLA_!BW14</f>
        <v/>
      </c>
      <c r="FO14" s="678" t="str">
        <f>CLA_!BX14</f>
        <v/>
      </c>
      <c r="FP14" s="687" t="str">
        <f>CLA_!BY14</f>
        <v/>
      </c>
      <c r="FQ14" s="687" t="str">
        <f>CLA_!BZ14</f>
        <v/>
      </c>
      <c r="FR14" s="677" t="str">
        <f>CLA_!CA14</f>
        <v/>
      </c>
      <c r="FS14" s="691">
        <f>CLA_!CB14</f>
        <v>0.65</v>
      </c>
      <c r="FT14" s="687">
        <f>CLA_!CC14</f>
        <v>3.47</v>
      </c>
      <c r="FU14" s="678">
        <f>CLA_!CD14</f>
        <v>8.5</v>
      </c>
      <c r="FV14" s="678">
        <f>CLA_!CE14</f>
        <v>10.7</v>
      </c>
      <c r="FW14" s="687" t="str">
        <f>CLA_!CF14</f>
        <v/>
      </c>
      <c r="FX14" s="687" t="str">
        <f>CLA_!CG14</f>
        <v/>
      </c>
      <c r="FY14" s="677" t="str">
        <f>CLA_!CH14</f>
        <v/>
      </c>
      <c r="FZ14" s="610" t="s">
        <v>316</v>
      </c>
      <c r="GA14" s="610" t="s">
        <v>316</v>
      </c>
      <c r="GB14" s="1968" t="str">
        <f>IF(CLA_!CY14="","",+CLA_!CY14)</f>
        <v/>
      </c>
      <c r="GC14" s="677" t="str">
        <f>IF(CLA_!CZ14="","",+CLA_!CZ14)</f>
        <v/>
      </c>
      <c r="GD14" s="677" t="str">
        <f>IF(CLA_!DA14="","",+CLA_!DA14)</f>
        <v/>
      </c>
      <c r="GE14" s="678" t="str">
        <f>IF(CLA_!DB14="","",+CLA_!DB14)</f>
        <v/>
      </c>
      <c r="GF14" s="677" t="str">
        <f>IF(CLA_!DO14="","",+CLA_!DO14)</f>
        <v/>
      </c>
      <c r="GG14" s="678" t="str">
        <f>IF(CLA_!DP14="","",+CLA_!DP14)</f>
        <v/>
      </c>
      <c r="GH14" s="677" t="str">
        <f>IF(CLA_!DQ14="","",+CLA_!DQ14)</f>
        <v/>
      </c>
      <c r="GI14" s="677" t="str">
        <f>IF(CLA_!DR14="","",+CLA_!DR14)</f>
        <v/>
      </c>
      <c r="GJ14" s="2030"/>
      <c r="GK14" s="2025">
        <f>IF(CLA_!CQ14="","",+CLA_!CQ14)</f>
        <v>34.4</v>
      </c>
      <c r="GL14" s="2024"/>
      <c r="GM14" s="2026">
        <f>IF(CLA_!CR14="","",+CLA_!CR14)</f>
        <v>41.9</v>
      </c>
      <c r="GN14" s="2024" t="str">
        <f>IF(CLA_!CZ14="","",+CLA_!CZ14)</f>
        <v/>
      </c>
      <c r="GO14" s="2026">
        <f>IF(CLA_!CS14="","",+CLA_!CS14)</f>
        <v>48</v>
      </c>
      <c r="GP14" s="2024" t="str">
        <f>IF(CLA_!DA14="","",+CLA_!DA14)</f>
        <v/>
      </c>
      <c r="GQ14" s="2025">
        <f>IF(CLA_!CT14="","",+CLA_!CT14)</f>
        <v>34</v>
      </c>
      <c r="GR14" s="2024" t="str">
        <f>IF(CLA_!CY14="","",+CLA_!CY14)</f>
        <v/>
      </c>
      <c r="GS14" s="2024">
        <f>IF(CLA_!CV14="","",+CLA_!CV14)</f>
        <v>5.67</v>
      </c>
      <c r="GT14" s="2024" t="str">
        <f>IF(CLA_!DO14="","",+CLA_!DO14)</f>
        <v/>
      </c>
      <c r="GU14" s="2031">
        <f>IF(CLA_!CU14="","",+CLA_!CU14)</f>
        <v>4280</v>
      </c>
      <c r="GV14" s="1913" t="str">
        <f>CLA_!DF14</f>
        <v/>
      </c>
      <c r="GW14" s="677" t="str">
        <f>CLA_!DG14</f>
        <v/>
      </c>
      <c r="GX14" s="677" t="str">
        <f>CLA_!DH14</f>
        <v/>
      </c>
      <c r="GY14" s="678" t="str">
        <f>CLA_!DC14</f>
        <v/>
      </c>
      <c r="GZ14" s="648" t="s">
        <v>316</v>
      </c>
      <c r="HA14" s="635"/>
      <c r="HB14" s="648" t="s">
        <v>316</v>
      </c>
      <c r="HC14" s="685">
        <f>IF(PT_!BC14="","",+PT_!BC14)</f>
        <v>13</v>
      </c>
      <c r="HD14" s="677">
        <f>IF(PT_!BD14="","",+PT_!BD14)</f>
        <v>6</v>
      </c>
      <c r="HE14" s="677">
        <f>IF(PT_!BE14="","",+PT_!BE14)</f>
        <v>3</v>
      </c>
      <c r="HF14" s="677">
        <f>IF(PT_!BF14="","",+PT_!BF14)</f>
        <v>4</v>
      </c>
      <c r="HG14" s="677">
        <f>IF(PT_!BG14="","",+PT_!BG14)</f>
        <v>4</v>
      </c>
      <c r="HH14" s="677">
        <f>IF(PT_!BH14="","",+PT_!BH14)</f>
        <v>2</v>
      </c>
      <c r="HI14" s="677">
        <f>IF(PT_!BI14="","",+PT_!BI14)</f>
        <v>1</v>
      </c>
      <c r="HJ14" s="677">
        <f>IF(PT_!BJ14="","",+PT_!BJ14)</f>
        <v>4</v>
      </c>
      <c r="HK14" s="677">
        <f>IF(PT_!BK14="","",+PT_!BK14)</f>
        <v>2</v>
      </c>
      <c r="HL14" s="653"/>
      <c r="HM14" s="1782">
        <f t="shared" si="29"/>
        <v>59</v>
      </c>
      <c r="HN14" s="1787">
        <f t="shared" si="30"/>
        <v>28</v>
      </c>
      <c r="HO14" s="719">
        <f t="shared" si="31"/>
        <v>25</v>
      </c>
      <c r="HQ14" s="692">
        <f>+PT_!BM42</f>
        <v>1.7693434598865854</v>
      </c>
      <c r="HR14" s="578" t="s">
        <v>578</v>
      </c>
      <c r="HU14" s="730"/>
      <c r="HV14" s="2442">
        <f>PT_!DL14</f>
        <v>5.85</v>
      </c>
      <c r="IU14" s="27"/>
    </row>
    <row r="15" spans="1:255" ht="17.100000000000001" customHeight="1">
      <c r="A15" s="579"/>
      <c r="B15" s="648" t="s">
        <v>317</v>
      </c>
      <c r="C15" s="674">
        <f>+CLA_!D15</f>
        <v>132</v>
      </c>
      <c r="D15" s="675" t="str">
        <f>+CLA_!E15</f>
        <v/>
      </c>
      <c r="E15" s="676">
        <f>+CLA_!F15</f>
        <v>126</v>
      </c>
      <c r="F15" s="675" t="str">
        <f>+CLA_!G15</f>
        <v/>
      </c>
      <c r="G15" s="676">
        <f>IF(C15="","",ROUND((IF(ISNUMBER(C15),C15,+$C$42)*DF_!$DY13+IF(ISNUMBER(E15),E15,$E$42)*DF_!$DZ13)/(DF_!$DY13+DF_!$DZ13),0))</f>
        <v>130</v>
      </c>
      <c r="H15" s="675" t="str">
        <f>IF(D15="","",ROUND((IF(+D15=0,+$D$42,+D15)*DF_!$DY13+IF(ISNUMBER(F15),F15,$F$42)*DF_!$DZ13)/(DF_!$DY13+DF_!$DZ13),1))</f>
        <v/>
      </c>
      <c r="I15" s="676">
        <f>+CLA_!H15</f>
        <v>48</v>
      </c>
      <c r="J15" s="676">
        <f>+CLA_!I15</f>
        <v>82</v>
      </c>
      <c r="K15" s="676" t="s">
        <v>1390</v>
      </c>
      <c r="L15" s="676">
        <f>+CLA_!K15</f>
        <v>210</v>
      </c>
      <c r="M15" s="677">
        <f>IF(SUM(CLA_!L15:N15)=0,"",ROUND(AVERAGE(CLA_!L15:N15),-2))</f>
        <v>3100</v>
      </c>
      <c r="N15" s="677">
        <f>IF(SUM(CLA_!O15:P15)=0,"",ROUND(AVERAGE(CLA_!O15:P15),-2))</f>
        <v>2500</v>
      </c>
      <c r="O15" s="677">
        <f>IF(SUM(CLA_!Q15:S15)=0,"",ROUND(AVERAGE(CLA_!Q15:S15),-2))</f>
        <v>4300</v>
      </c>
      <c r="P15" s="677">
        <f>IF(SUM(CLA_!T15:U15)=0,"",ROUND(AVERAGE(CLA_!T15:U15),-2))</f>
        <v>3400</v>
      </c>
      <c r="Q15" s="677">
        <f>+CLA_!V15</f>
        <v>6160</v>
      </c>
      <c r="R15" s="678" t="str">
        <f>+CLA_!W15</f>
        <v/>
      </c>
      <c r="S15" s="677">
        <f>+CLA_!X15</f>
        <v>4740</v>
      </c>
      <c r="T15" s="678" t="str">
        <f>+CLA_!Y15</f>
        <v/>
      </c>
      <c r="U15" s="675">
        <f>IF(M15="","",+M15/(PT_!Y15*10))</f>
        <v>0.75609756097560976</v>
      </c>
      <c r="V15" s="675">
        <f>IF(N15="","",+N15/(PT_!Z15*10))</f>
        <v>0.92592592592592593</v>
      </c>
      <c r="W15" s="675"/>
      <c r="X15" s="675"/>
      <c r="Y15" s="648" t="s">
        <v>317</v>
      </c>
      <c r="Z15" s="648" t="s">
        <v>317</v>
      </c>
      <c r="AA15" s="674">
        <f>IF(CLA_!Z15="","",+CLA_!Z15)</f>
        <v>140</v>
      </c>
      <c r="AB15" s="676">
        <f>IF(CLA_!AA15="","",+CLA_!AA15)</f>
        <v>166</v>
      </c>
      <c r="AC15" s="676">
        <f>IF(AA15="","",ROUND((IF(ISNUMBER(AA15),AA15,$AA$42)*DF_!$DY13+IF(ISNUMBER(AB15),AB15,$AB$42)*DF_!$DZ13)/(DF_!$DY13+DF_!$DZ13),0))</f>
        <v>149</v>
      </c>
      <c r="AD15" s="676">
        <f>IF(CLA_!AB15="","",+CLA_!AB15)</f>
        <v>72</v>
      </c>
      <c r="AE15" s="676">
        <f>IF(CLA_!AC15="","",+CLA_!AC15)</f>
        <v>204</v>
      </c>
      <c r="AF15" s="676" t="s">
        <v>1389</v>
      </c>
      <c r="AG15" s="676">
        <f>IF(CLA_!AE15="","",+CLA_!AE15)</f>
        <v>2200</v>
      </c>
      <c r="AH15" s="675">
        <f>IF(CLA_!AF15="","",+CLA_!AF15)</f>
        <v>2.89</v>
      </c>
      <c r="AI15" s="675">
        <f>IF(CLA_!AG15="","",+CLA_!AG15)</f>
        <v>84.9</v>
      </c>
      <c r="AJ15" s="675">
        <f>IF(CLA_!AH15="","",+CLA_!AH15)</f>
        <v>1.72</v>
      </c>
      <c r="AK15" s="675">
        <f>IF(CLA_!AI15="","",+CLA_!AI15)</f>
        <v>73.8</v>
      </c>
      <c r="AL15" s="2192">
        <f t="shared" si="20"/>
        <v>0.48</v>
      </c>
      <c r="AM15" s="675"/>
      <c r="AN15" s="676">
        <f>PT_!Y15</f>
        <v>410</v>
      </c>
      <c r="AO15" s="676">
        <f>PT_!Z15</f>
        <v>270</v>
      </c>
      <c r="AP15" s="682">
        <f t="shared" si="32"/>
        <v>6.4230343300110751E-2</v>
      </c>
      <c r="AQ15" s="682">
        <f t="shared" si="21"/>
        <v>0.23015873015873012</v>
      </c>
      <c r="AR15" s="675">
        <f ca="1">IF(DMREZ!D15&gt;TODAY()-2,"",((IF(ISNUMBER(O15),O15,$O$42)*2.52*HD15)/((CF15*IF(ISNUMBER(K15),K15,$K$42)*(+HD15/(HD15+HE15)))+($HQ$14*IF(ISNUMBER(AT_!Q15),AT_!Q15,AT_!$Q$42)))))</f>
        <v>5.497179675167283</v>
      </c>
      <c r="AS15" s="675" t="s">
        <v>1416</v>
      </c>
      <c r="AT15" s="648" t="s">
        <v>317</v>
      </c>
      <c r="AU15" s="648" t="s">
        <v>317</v>
      </c>
      <c r="AV15" s="679" t="str">
        <f>IF(CLA_!AP15="","",+CLA_!AP15)</f>
        <v/>
      </c>
      <c r="AW15" s="680" t="str">
        <f>IF(CLA_!AQ15="","",+CLA_!AQ15)</f>
        <v/>
      </c>
      <c r="AX15" s="680" t="str">
        <f>IF(CLA_!AR15="","",+CLA_!AR15)</f>
        <v/>
      </c>
      <c r="AY15" s="680" t="str">
        <f>IF(CLA_!AS15="","",+CLA_!AS15)</f>
        <v/>
      </c>
      <c r="AZ15" s="680" t="str">
        <f>IF(CLA_!AT15="","",+CLA_!AT15)</f>
        <v/>
      </c>
      <c r="BA15" s="680" t="str">
        <f>IF(CLA_!AU15="","",+CLA_!AU15)</f>
        <v/>
      </c>
      <c r="BB15" s="680" t="str">
        <f>IF(CLA_!AV15="","",+CLA_!AV15)</f>
        <v/>
      </c>
      <c r="BC15" s="680" t="str">
        <f>IF(CLA_!AW15="","",+CLA_!AW15)</f>
        <v/>
      </c>
      <c r="BD15" s="680" t="str">
        <f>IF(CLA_!AX15="","",+CLA_!AX15)</f>
        <v/>
      </c>
      <c r="BE15" s="680" t="str">
        <f>IF(CLA_!AY15="","",+CLA_!AY15)</f>
        <v/>
      </c>
      <c r="BF15" s="675" t="str">
        <f>IF(CLA_!AZ15="","",+CLA_!AZ15)</f>
        <v/>
      </c>
      <c r="BG15" s="675" t="str">
        <f>IF(CLA_!BA15="","",+CLA_!BA15)</f>
        <v/>
      </c>
      <c r="BH15" s="675" t="str">
        <f>IF(CLA_!BB15="","",+CLA_!BB15)</f>
        <v/>
      </c>
      <c r="BI15" s="675" t="str">
        <f>IF(CLA_!BC15="","",+CLA_!BC15)</f>
        <v/>
      </c>
      <c r="BJ15" s="675" t="str">
        <f>IF(CLA_!BD15="","",+CLA_!BD15)</f>
        <v/>
      </c>
      <c r="BK15" s="681">
        <f>IF(PT_!U15="","",+PT_!U15)</f>
        <v>4.75</v>
      </c>
      <c r="BL15" s="675">
        <f>IF(PT_!V15="","",+PT_!V15)</f>
        <v>4.42</v>
      </c>
      <c r="BM15" s="675">
        <f>IF(PT_!W15="","",+PT_!W15)</f>
        <v>4.9400000000000004</v>
      </c>
      <c r="BN15" s="675">
        <f>IF(PT_!X15="","",+PT_!X15)</f>
        <v>6.98</v>
      </c>
      <c r="BO15" s="675">
        <f>IF(PT_!T15="","",+PT_!T15)</f>
        <v>5.08</v>
      </c>
      <c r="BP15" s="676">
        <f>IF(CLA_!BE15="","",+CLA_!BE15)</f>
        <v>92</v>
      </c>
      <c r="BQ15" s="676">
        <f>IF(CLA_!BF15="","",+CLA_!BF15)</f>
        <v>191</v>
      </c>
      <c r="BR15" s="676">
        <f>IF(ISNUMBER(BQ15+BP15),+ROUND((BP15*DF_!DY13+BQ15*DF_!DZ13)/(DF_!DY13+DF_!DZ13),-1),"")</f>
        <v>130</v>
      </c>
      <c r="BS15" s="676">
        <f>IF(PT_!C15="","",ROUND(+PT_!C15,0))</f>
        <v>18</v>
      </c>
      <c r="BT15" s="675">
        <f>IF(PT_!H15="","",ROUND(MAX(PT_!H15,PT_!K15),1))</f>
        <v>7.1</v>
      </c>
      <c r="BU15" s="675">
        <f>IF(PT_!I15="","",ROUND(MIN(PT_!I15,PT_!L15),1))</f>
        <v>6.6</v>
      </c>
      <c r="BV15" s="675">
        <f>IF(PT_!G15="","",ROUND((PT_!G15*DF_!DZ13+DF_!DY13*PT_!J15)/DF_!DS13,1))</f>
        <v>6.9</v>
      </c>
      <c r="BW15" s="675">
        <f>IF(PT_!N15="","",+PT_!N15)</f>
        <v>7</v>
      </c>
      <c r="BX15" s="675">
        <f>IF(PT_!O15="","",+PT_!O15)</f>
        <v>6.3</v>
      </c>
      <c r="BY15" s="675">
        <f>IF(PT_!M15="","",+PT_!M15)</f>
        <v>6.5</v>
      </c>
      <c r="BZ15" s="682">
        <f>IF(PT_!R15="","",+PT_!R15)</f>
        <v>0.53</v>
      </c>
      <c r="CA15" s="683" t="str">
        <f>IF(PT_!P15="","",+PT_!P15)</f>
        <v/>
      </c>
      <c r="CB15" s="684">
        <f>IF(PT_!Q15="","",+PT_!Q15)</f>
        <v>3</v>
      </c>
      <c r="CC15" s="648" t="s">
        <v>317</v>
      </c>
      <c r="CD15" s="635"/>
      <c r="CE15" s="648" t="s">
        <v>317</v>
      </c>
      <c r="CF15" s="685">
        <f>IF(DF_!AA13="","",+DF_!AA13)</f>
        <v>87</v>
      </c>
      <c r="CG15" s="677">
        <f ca="1">IF(+DMREZ!D15&lt;TODAY(),+DF_!AD13,"")</f>
        <v>87</v>
      </c>
      <c r="CH15" s="677">
        <f>IF(DF_!AB13="","",+DF_!AB13)</f>
        <v>113</v>
      </c>
      <c r="CI15" s="677">
        <f>IF(DF_!AC13="","",+DF_!AC13)</f>
        <v>59</v>
      </c>
      <c r="CJ15" s="677">
        <f>IF(DF_!AG13="","",+DF_!AG13)</f>
        <v>87</v>
      </c>
      <c r="CK15" s="677">
        <f>IF(PT_!BL15="","",ROUND(PT_!BL15,0))</f>
        <v>59</v>
      </c>
      <c r="CL15" s="686">
        <f t="shared" si="22"/>
        <v>0.67816091954022983</v>
      </c>
      <c r="CM15" s="675">
        <f>IF(PT_!AL15="","",+PT_!AL15)</f>
        <v>95.7</v>
      </c>
      <c r="CN15" s="687">
        <f t="shared" si="10"/>
        <v>1.1000000000000001</v>
      </c>
      <c r="CO15" s="678">
        <f t="shared" si="11"/>
        <v>2.1</v>
      </c>
      <c r="CP15" s="678">
        <f t="shared" si="23"/>
        <v>3.7</v>
      </c>
      <c r="CQ15" s="678">
        <f>IF(ISNUMBER(CJ15),ROUND((+$HF$8*HF15+$HG$8*HG15+$HH$8*HH15+$HI$8*HI15+$HJ$8*HJ15+$HK$8*HK15)*24/(CJ15),1),"")</f>
        <v>4.9000000000000004</v>
      </c>
      <c r="CR15" s="677">
        <f t="shared" si="13"/>
        <v>420</v>
      </c>
      <c r="CS15" s="675">
        <f t="shared" si="24"/>
        <v>0.8</v>
      </c>
      <c r="CT15" s="643"/>
      <c r="CU15" s="678">
        <f t="shared" si="33"/>
        <v>47.2</v>
      </c>
      <c r="CV15" s="677">
        <f t="shared" si="14"/>
        <v>87.711864406779654</v>
      </c>
      <c r="CW15" s="678">
        <f t="shared" si="15"/>
        <v>41.4</v>
      </c>
      <c r="CX15" s="678">
        <f t="shared" si="34"/>
        <v>378.3</v>
      </c>
      <c r="CY15" s="678">
        <f t="shared" si="25"/>
        <v>22.3</v>
      </c>
      <c r="CZ15" s="678">
        <f t="shared" si="26"/>
        <v>23.4</v>
      </c>
      <c r="DA15" s="2025">
        <f t="shared" si="27"/>
        <v>10.8</v>
      </c>
      <c r="DB15" s="741">
        <f>IF(CJ15="","",ROUND(+CX15/CY15,1))</f>
        <v>17</v>
      </c>
      <c r="DC15" s="648" t="s">
        <v>317</v>
      </c>
      <c r="DD15" s="648" t="s">
        <v>317</v>
      </c>
      <c r="DE15" s="688">
        <f>IF(Grit!AT12+Grit!AZ12=0,"",+Grit!AT12+Grit!AZ12*0.5)</f>
        <v>162</v>
      </c>
      <c r="DF15" s="689">
        <f>IF(Grit!AV12="0","",+Grit!AV12)</f>
        <v>162</v>
      </c>
      <c r="DG15" s="689">
        <f t="shared" si="16"/>
        <v>10400</v>
      </c>
      <c r="DH15" s="689" t="str">
        <f>IF(Grit!AX12+Grit!AY12=0,"",+Grit!AX12+Grit!AZ12*0.5)</f>
        <v/>
      </c>
      <c r="DI15" s="689" t="str">
        <f t="shared" si="17"/>
        <v/>
      </c>
      <c r="DJ15" s="675">
        <f ca="1">IF(+DMREZ!D15&lt;TODAY(),+PT_!AE15,"")</f>
        <v>40.5</v>
      </c>
      <c r="DK15" s="678">
        <f t="shared" ca="1" si="36"/>
        <v>73.7</v>
      </c>
      <c r="DL15" s="678">
        <f t="shared" ca="1" si="37"/>
        <v>62.6</v>
      </c>
      <c r="DM15" s="678">
        <f t="shared" ca="1" si="38"/>
        <v>40.5</v>
      </c>
      <c r="DN15" s="678">
        <f t="shared" ca="1" si="39"/>
        <v>43.9</v>
      </c>
      <c r="DO15" s="678">
        <f t="shared" ca="1" si="40"/>
        <v>32.4</v>
      </c>
      <c r="DP15" s="687" t="str">
        <f>IF(DW_!R15="","",+DW_!R15/1000)</f>
        <v/>
      </c>
      <c r="DQ15" s="678" t="str">
        <f>IF(DW_!S15="","",+DW_!S15*2)</f>
        <v/>
      </c>
      <c r="DR15" s="678" t="str">
        <f>+DW_!S15</f>
        <v/>
      </c>
      <c r="DS15" s="675"/>
      <c r="DT15" s="677">
        <f>IF(PT_!AC15="","",+PT_!AC15)</f>
        <v>100</v>
      </c>
      <c r="DU15" s="689">
        <f>IF(ISNUMBER(CHEM_!G14),+CHEM_!G14,"")</f>
        <v>960</v>
      </c>
      <c r="DV15" s="675">
        <f t="shared" si="18"/>
        <v>11</v>
      </c>
      <c r="DW15" s="687">
        <f>IF(PT_!S15="","",+PT_!S15)</f>
        <v>0.49</v>
      </c>
      <c r="DX15" s="648" t="s">
        <v>317</v>
      </c>
      <c r="DY15" s="648" t="s">
        <v>317</v>
      </c>
      <c r="DZ15" s="690" t="str">
        <f>PT_!AK15</f>
        <v/>
      </c>
      <c r="EA15" s="678">
        <f>IF(PT_!AJ15="","",+PT_!AJ15)</f>
        <v>140.80000000000001</v>
      </c>
      <c r="EB15" s="2086">
        <f t="shared" si="19"/>
        <v>140.80000000000001</v>
      </c>
      <c r="EC15" s="2094">
        <f>IF(PT_!BO15="","",+PT_!BO15)</f>
        <v>59.323920000000001</v>
      </c>
      <c r="ED15" s="1902" t="s">
        <v>717</v>
      </c>
      <c r="EE15" s="1316"/>
      <c r="EF15" s="2083">
        <v>205.7</v>
      </c>
      <c r="EG15" s="2084">
        <v>617.1</v>
      </c>
      <c r="EH15" s="1890"/>
      <c r="EI15" s="689"/>
      <c r="EJ15" s="1891" t="str">
        <f>+PT_!AF15</f>
        <v/>
      </c>
      <c r="EK15" s="759" t="str">
        <f t="shared" si="28"/>
        <v/>
      </c>
      <c r="EL15" s="689"/>
      <c r="EM15" s="689" t="str">
        <f>IF(PT_!AH15&gt;0,+PT_!AH15,"")</f>
        <v/>
      </c>
      <c r="EN15" s="614" t="str">
        <f>IF(PT_!AZ15="","",+PT_!AZ15)</f>
        <v>Clear</v>
      </c>
      <c r="EO15" s="615" t="s">
        <v>317</v>
      </c>
      <c r="EP15" s="610" t="s">
        <v>317</v>
      </c>
      <c r="EQ15" s="691">
        <f>CLA_!BG15</f>
        <v>0.03</v>
      </c>
      <c r="ER15" s="687">
        <f>CLA_!BH15</f>
        <v>0.02</v>
      </c>
      <c r="ES15" s="678">
        <f>CLA_!BI15</f>
        <v>25.4</v>
      </c>
      <c r="ET15" s="678">
        <f>CLA_!BJ15</f>
        <v>40.4</v>
      </c>
      <c r="EU15" s="687" t="str">
        <f>CLA_!BK15</f>
        <v/>
      </c>
      <c r="EV15" s="687" t="str">
        <f>CLA_!BL15</f>
        <v/>
      </c>
      <c r="EW15" s="677" t="str">
        <f>CLA_!BM15</f>
        <v/>
      </c>
      <c r="EX15" s="691">
        <f>CLA_!BN15</f>
        <v>0.03</v>
      </c>
      <c r="EY15" s="687">
        <f>CLA_!BO15</f>
        <v>0</v>
      </c>
      <c r="EZ15" s="678">
        <f>CLA_!BP15</f>
        <v>25.7</v>
      </c>
      <c r="FA15" s="678">
        <f>CLA_!BQ15</f>
        <v>39.299999999999997</v>
      </c>
      <c r="FB15" s="687" t="str">
        <f>CLA_!BR15</f>
        <v/>
      </c>
      <c r="FC15" s="687" t="str">
        <f>CLA_!BS15</f>
        <v/>
      </c>
      <c r="FD15" s="677" t="str">
        <f>CLA_!BT15</f>
        <v/>
      </c>
      <c r="FE15" s="691">
        <f>IF(ISNUMBER(EQ15+EX15),+EQ15*DF_!$EA13+EX15*DF_!$EB13,"")</f>
        <v>0.03</v>
      </c>
      <c r="FF15" s="687">
        <f>IF(ISNUMBER(+ER15+EY15),+ER15*DF_!$EA13+EY15*DF_!$EB13,"")</f>
        <v>1.3000000000000001E-2</v>
      </c>
      <c r="FG15" s="678">
        <f>IF(ISNUMBER(ES15)+ISNUMBER(EZ15)&gt;0,IF(ISNUMBER(ES15),ES15,$ET$42)*DF_!$EA13+IF(ISNUMBER(EZ15),EZ15,$FA$42)*DF_!$EB13,"")</f>
        <v>25.504999999999995</v>
      </c>
      <c r="FH15" s="678">
        <f>IF(ISNUMBER(ET15)+ISNUMBER(FA15)&gt;0,IF(ISNUMBER(ET15),ET15,$ET$42)*DF_!$EA13+IF(ISNUMBER(FA15),FA15,$FA$42)*DF_!$EB13,"")</f>
        <v>40.015000000000001</v>
      </c>
      <c r="FI15" s="687" t="str">
        <f>IF(EU15="","",+EU15*DF_!$EA13+FB17*DF_!$EB13)</f>
        <v/>
      </c>
      <c r="FJ15" s="687" t="str">
        <f>IF(EV15="","",+EV15*DF_!$EA13+FC17*DF_!$EB13)</f>
        <v/>
      </c>
      <c r="FK15" s="677" t="str">
        <f>IF(EW15="","",+EW15*DF_!$EA13+FD15*DF_!$EB13)</f>
        <v/>
      </c>
      <c r="FL15" s="691" t="str">
        <f>CLA_!BU15</f>
        <v/>
      </c>
      <c r="FM15" s="687" t="str">
        <f>CLA_!BV15</f>
        <v/>
      </c>
      <c r="FN15" s="678" t="str">
        <f>CLA_!BW15</f>
        <v/>
      </c>
      <c r="FO15" s="678" t="str">
        <f>CLA_!BX15</f>
        <v/>
      </c>
      <c r="FP15" s="687" t="str">
        <f>CLA_!BY15</f>
        <v/>
      </c>
      <c r="FQ15" s="687" t="str">
        <f>CLA_!BZ15</f>
        <v/>
      </c>
      <c r="FR15" s="677" t="str">
        <f>CLA_!CA15</f>
        <v/>
      </c>
      <c r="FS15" s="691">
        <f>CLA_!CB15</f>
        <v>0.72</v>
      </c>
      <c r="FT15" s="687">
        <f>CLA_!CC15</f>
        <v>4.55</v>
      </c>
      <c r="FU15" s="678">
        <f>CLA_!CD15</f>
        <v>6.9</v>
      </c>
      <c r="FV15" s="678">
        <f>CLA_!CE15</f>
        <v>8.6</v>
      </c>
      <c r="FW15" s="687" t="str">
        <f>CLA_!CF15</f>
        <v/>
      </c>
      <c r="FX15" s="687" t="str">
        <f>CLA_!CG15</f>
        <v/>
      </c>
      <c r="FY15" s="677" t="str">
        <f>CLA_!CH15</f>
        <v/>
      </c>
      <c r="FZ15" s="610" t="s">
        <v>317</v>
      </c>
      <c r="GA15" s="610" t="s">
        <v>317</v>
      </c>
      <c r="GB15" s="1968" t="str">
        <f>IF(CLA_!CY15="","",+CLA_!CY15)</f>
        <v/>
      </c>
      <c r="GC15" s="677" t="str">
        <f>IF(CLA_!CZ15="","",+CLA_!CZ15)</f>
        <v/>
      </c>
      <c r="GD15" s="677" t="str">
        <f>IF(CLA_!DA15="","",+CLA_!DA15)</f>
        <v/>
      </c>
      <c r="GE15" s="678" t="str">
        <f>IF(CLA_!DB15="","",+CLA_!DB15)</f>
        <v/>
      </c>
      <c r="GF15" s="677" t="str">
        <f>IF(CLA_!DO15="","",+CLA_!DO15)</f>
        <v/>
      </c>
      <c r="GG15" s="678" t="str">
        <f>IF(CLA_!DP15="","",+CLA_!DP15)</f>
        <v/>
      </c>
      <c r="GH15" s="677" t="str">
        <f>IF(CLA_!DQ15="","",+CLA_!DQ15)</f>
        <v/>
      </c>
      <c r="GI15" s="677" t="str">
        <f>IF(CLA_!DR15="","",+CLA_!DR15)</f>
        <v/>
      </c>
      <c r="GJ15" s="2030"/>
      <c r="GK15" s="2025" t="str">
        <f>IF(CLA_!CQ15="","",+CLA_!CQ15)</f>
        <v/>
      </c>
      <c r="GL15" s="2024"/>
      <c r="GM15" s="2026" t="str">
        <f>IF(CLA_!CR15="","",+CLA_!CR15)</f>
        <v/>
      </c>
      <c r="GN15" s="2024" t="str">
        <f>IF(CLA_!CZ15="","",+CLA_!CZ15)</f>
        <v/>
      </c>
      <c r="GO15" s="2026" t="str">
        <f>IF(CLA_!CS15="","",+CLA_!CS15)</f>
        <v/>
      </c>
      <c r="GP15" s="2024" t="str">
        <f>IF(CLA_!DA15="","",+CLA_!DA15)</f>
        <v/>
      </c>
      <c r="GQ15" s="2025" t="str">
        <f>IF(CLA_!CT15="","",+CLA_!CT15)</f>
        <v/>
      </c>
      <c r="GR15" s="2024" t="str">
        <f>IF(CLA_!CY15="","",+CLA_!CY15)</f>
        <v/>
      </c>
      <c r="GS15" s="2024" t="str">
        <f>IF(CLA_!CV15="","",+CLA_!CV15)</f>
        <v/>
      </c>
      <c r="GT15" s="2024" t="str">
        <f>IF(CLA_!DO15="","",+CLA_!DO15)</f>
        <v/>
      </c>
      <c r="GU15" s="2031" t="str">
        <f>IF(CLA_!CU15="","",+CLA_!CU15)</f>
        <v/>
      </c>
      <c r="GV15" s="1913" t="str">
        <f>CLA_!DF15</f>
        <v/>
      </c>
      <c r="GW15" s="677" t="str">
        <f>CLA_!DG15</f>
        <v/>
      </c>
      <c r="GX15" s="677" t="str">
        <f>CLA_!DH15</f>
        <v/>
      </c>
      <c r="GY15" s="678" t="str">
        <f>CLA_!DC15</f>
        <v/>
      </c>
      <c r="GZ15" s="648" t="s">
        <v>317</v>
      </c>
      <c r="HA15" s="635"/>
      <c r="HB15" s="648" t="s">
        <v>317</v>
      </c>
      <c r="HC15" s="685">
        <f>IF(PT_!BC15="","",+PT_!BC15)</f>
        <v>14</v>
      </c>
      <c r="HD15" s="677">
        <f>IF(PT_!BD15="","",+PT_!BD15)</f>
        <v>6</v>
      </c>
      <c r="HE15" s="677">
        <f>IF(PT_!BE15="","",+PT_!BE15)</f>
        <v>3</v>
      </c>
      <c r="HF15" s="677">
        <f>IF(PT_!BF15="","",+PT_!BF15)</f>
        <v>4</v>
      </c>
      <c r="HG15" s="677">
        <f>IF(PT_!BG15="","",+PT_!BG15)</f>
        <v>4</v>
      </c>
      <c r="HH15" s="677">
        <f>IF(PT_!BH15="","",+PT_!BH15)</f>
        <v>2</v>
      </c>
      <c r="HI15" s="677">
        <f>IF(PT_!BI15="","",+PT_!BI15)</f>
        <v>1</v>
      </c>
      <c r="HJ15" s="677">
        <f>IF(PT_!BJ15="","",+PT_!BJ15)</f>
        <v>4</v>
      </c>
      <c r="HK15" s="677">
        <f>IF(PT_!BK15="","",+PT_!BK15)</f>
        <v>2</v>
      </c>
      <c r="HL15" s="653"/>
      <c r="HM15" s="1782">
        <f t="shared" si="29"/>
        <v>43</v>
      </c>
      <c r="HN15" s="1787">
        <f t="shared" si="30"/>
        <v>47</v>
      </c>
      <c r="HO15" s="719">
        <f t="shared" si="31"/>
        <v>31</v>
      </c>
      <c r="HQ15" s="692">
        <f>+PT_!BN42</f>
        <v>0.47930650492702426</v>
      </c>
      <c r="HR15" s="578" t="s">
        <v>579</v>
      </c>
      <c r="HU15" s="730"/>
      <c r="HV15" s="2442"/>
      <c r="IU15" s="27"/>
    </row>
    <row r="16" spans="1:255" ht="17.100000000000001" customHeight="1">
      <c r="A16" s="579"/>
      <c r="B16" s="648" t="s">
        <v>318</v>
      </c>
      <c r="C16" s="674">
        <f>+CLA_!D16</f>
        <v>238</v>
      </c>
      <c r="D16" s="675">
        <f>+CLA_!E16</f>
        <v>80.7</v>
      </c>
      <c r="E16" s="676">
        <f>+CLA_!F16</f>
        <v>184</v>
      </c>
      <c r="F16" s="675">
        <f>+CLA_!G16</f>
        <v>80.400000000000006</v>
      </c>
      <c r="G16" s="676">
        <f>IF(C16="","",ROUND((IF(ISNUMBER(C16),C16,+$C$42)*DF_!$DY14+IF(ISNUMBER(E16),E16,$E$42)*DF_!$DZ14)/(DF_!$DY14+DF_!$DZ14),0))</f>
        <v>219</v>
      </c>
      <c r="H16" s="675">
        <f>IF(D16="","",ROUND((IF(+D16=0,+$D$42,+D16)*DF_!$DY14+IF(ISNUMBER(F16),F16,$F$42)*DF_!$DZ14)/(DF_!$DY14+DF_!$DZ14),1))</f>
        <v>80.599999999999994</v>
      </c>
      <c r="I16" s="676">
        <f>+CLA_!H16</f>
        <v>48</v>
      </c>
      <c r="J16" s="676">
        <f>+CLA_!I16</f>
        <v>108</v>
      </c>
      <c r="K16" s="676">
        <f>+CLA_!J16</f>
        <v>4</v>
      </c>
      <c r="L16" s="676">
        <f>+CLA_!K16</f>
        <v>102</v>
      </c>
      <c r="M16" s="677">
        <f>IF(SUM(CLA_!L16:N16)=0,"",ROUND(AVERAGE(CLA_!L16:N16),-2))</f>
        <v>3100</v>
      </c>
      <c r="N16" s="677">
        <f>IF(SUM(CLA_!O16:P16)=0,"",ROUND(AVERAGE(CLA_!O16:P16),-2))</f>
        <v>2800</v>
      </c>
      <c r="O16" s="677">
        <f>IF(SUM(CLA_!Q16:S16)=0,"",ROUND(AVERAGE(CLA_!Q16:S16),-2))</f>
        <v>3800</v>
      </c>
      <c r="P16" s="677">
        <f>IF(SUM(CLA_!T16:U16)=0,"",ROUND(AVERAGE(CLA_!T16:U16),-2))</f>
        <v>3900</v>
      </c>
      <c r="Q16" s="677">
        <f>+CLA_!V16</f>
        <v>5500</v>
      </c>
      <c r="R16" s="678">
        <f>+CLA_!W16</f>
        <v>80</v>
      </c>
      <c r="S16" s="677">
        <f>+CLA_!X16</f>
        <v>5140</v>
      </c>
      <c r="T16" s="678">
        <f>+CLA_!Y16</f>
        <v>79</v>
      </c>
      <c r="U16" s="675">
        <f>IF(M16="","",+M16/(PT_!Y16*10))</f>
        <v>0.83783783783783783</v>
      </c>
      <c r="V16" s="675">
        <f>IF(N16="","",+N16/(PT_!Z16*10))</f>
        <v>0.90322580645161288</v>
      </c>
      <c r="W16" s="675"/>
      <c r="X16" s="675"/>
      <c r="Y16" s="648" t="s">
        <v>318</v>
      </c>
      <c r="Z16" s="648" t="s">
        <v>318</v>
      </c>
      <c r="AA16" s="674">
        <f>IF(CLA_!Z16="","",+CLA_!Z16)</f>
        <v>177</v>
      </c>
      <c r="AB16" s="676">
        <f>IF(CLA_!AA16="","",+CLA_!AA16)</f>
        <v>174</v>
      </c>
      <c r="AC16" s="676">
        <f>IF(AA16="","",ROUND((IF(ISNUMBER(AA16),AA16,$AA$42)*DF_!$DY14+IF(ISNUMBER(AB16),AB16,$AB$42)*DF_!$DZ14)/(DF_!$DY14+DF_!$DZ14),0))</f>
        <v>176</v>
      </c>
      <c r="AD16" s="676">
        <f>IF(CLA_!AB16="","",+CLA_!AB16)</f>
        <v>98</v>
      </c>
      <c r="AE16" s="676">
        <f>IF(CLA_!AC16="","",+CLA_!AC16)</f>
        <v>171</v>
      </c>
      <c r="AF16" s="676">
        <f>IF(CLA_!AD16="","",+CLA_!AD16)</f>
        <v>3</v>
      </c>
      <c r="AG16" s="676">
        <f>IF(CLA_!AE16="","",+CLA_!AE16)</f>
        <v>1680</v>
      </c>
      <c r="AH16" s="675">
        <f>IF(CLA_!AF16="","",+CLA_!AF16)</f>
        <v>2.83</v>
      </c>
      <c r="AI16" s="675">
        <f>IF(CLA_!AG16="","",+CLA_!AG16)</f>
        <v>83.8</v>
      </c>
      <c r="AJ16" s="675">
        <f>IF(CLA_!AH16="","",+CLA_!AH16)</f>
        <v>1.8</v>
      </c>
      <c r="AK16" s="675">
        <f>IF(CLA_!AI16="","",+CLA_!AI16)</f>
        <v>73.5</v>
      </c>
      <c r="AL16" s="2192">
        <f t="shared" si="20"/>
        <v>0.44</v>
      </c>
      <c r="AM16" s="675"/>
      <c r="AN16" s="676">
        <f>PT_!Y16</f>
        <v>370</v>
      </c>
      <c r="AO16" s="676">
        <f>PT_!Z16</f>
        <v>310</v>
      </c>
      <c r="AP16" s="682">
        <f t="shared" ref="AP16:AP22" si="41">IF(ISNUMBER(G16),IF(ISNUMBER(AD16),AD16,$AD$42)*8.34*$CJ16/(HD16+HE16)*HD16/(IF(ISNUMBER(O16),O16,$O$42)*HD16*2.52*8.34),"")</f>
        <v>0.10006497725795969</v>
      </c>
      <c r="AQ16" s="682">
        <f t="shared" ref="AQ16:AQ22" si="42">IF(ISNUMBER(G16),IF(ISNUMBER(AE16),AE16,$AE$42)*8.34*$CJ16/(HD16+HE16)*HE16/(IF(ISNUMBER(P16),P16,$P$42)*HE16*2.52*8.34),"")</f>
        <v>0.17012617012617015</v>
      </c>
      <c r="AR16" s="675">
        <f ca="1">IF(DMREZ!D16&gt;TODAY()-2,"",((IF(ISNUMBER(O16),O16,$O$42)*2.52*HD16)/((CF16*IF(ISNUMBER(K16),K16,$K$42)*(+HD16/(HD16+HE16)))+($HQ$14*IF(ISNUMBER(AT_!Q16),AT_!Q16,AT_!$Q$42)))))</f>
        <v>5.7651694664734245</v>
      </c>
      <c r="AS16" s="675" t="s">
        <v>1417</v>
      </c>
      <c r="AT16" s="648" t="s">
        <v>318</v>
      </c>
      <c r="AU16" s="648" t="s">
        <v>318</v>
      </c>
      <c r="AV16" s="679" t="str">
        <f>IF(CLA_!AP16="","",+CLA_!AP16)</f>
        <v/>
      </c>
      <c r="AW16" s="680" t="str">
        <f>IF(CLA_!AQ16="","",+CLA_!AQ16)</f>
        <v/>
      </c>
      <c r="AX16" s="680" t="str">
        <f>IF(CLA_!AR16="","",+CLA_!AR16)</f>
        <v/>
      </c>
      <c r="AY16" s="680" t="str">
        <f>IF(CLA_!AS16="","",+CLA_!AS16)</f>
        <v/>
      </c>
      <c r="AZ16" s="680" t="str">
        <f>IF(CLA_!AT16="","",+CLA_!AT16)</f>
        <v/>
      </c>
      <c r="BA16" s="680" t="str">
        <f>IF(CLA_!AU16="","",+CLA_!AU16)</f>
        <v/>
      </c>
      <c r="BB16" s="680" t="str">
        <f>IF(CLA_!AV16="","",+CLA_!AV16)</f>
        <v/>
      </c>
      <c r="BC16" s="680" t="str">
        <f>IF(CLA_!AW16="","",+CLA_!AW16)</f>
        <v/>
      </c>
      <c r="BD16" s="680" t="str">
        <f>IF(CLA_!AX16="","",+CLA_!AX16)</f>
        <v/>
      </c>
      <c r="BE16" s="680" t="str">
        <f>IF(CLA_!AY16="","",+CLA_!AY16)</f>
        <v/>
      </c>
      <c r="BF16" s="675" t="str">
        <f>IF(CLA_!AZ16="","",+CLA_!AZ16)</f>
        <v/>
      </c>
      <c r="BG16" s="675" t="str">
        <f>IF(CLA_!BA16="","",+CLA_!BA16)</f>
        <v/>
      </c>
      <c r="BH16" s="675" t="str">
        <f>IF(CLA_!BB16="","",+CLA_!BB16)</f>
        <v/>
      </c>
      <c r="BI16" s="675" t="str">
        <f>IF(CLA_!BC16="","",+CLA_!BC16)</f>
        <v/>
      </c>
      <c r="BJ16" s="675" t="str">
        <f>IF(CLA_!BD16="","",+CLA_!BD16)</f>
        <v/>
      </c>
      <c r="BK16" s="681">
        <f>IF(PT_!U16="","",+PT_!U16)</f>
        <v>4.92</v>
      </c>
      <c r="BL16" s="675">
        <f>IF(PT_!V16="","",+PT_!V16)</f>
        <v>5.13</v>
      </c>
      <c r="BM16" s="675">
        <f>IF(PT_!W16="","",+PT_!W16)</f>
        <v>4.5199999999999996</v>
      </c>
      <c r="BN16" s="675">
        <f>IF(PT_!X16="","",+PT_!X16)</f>
        <v>4.7300000000000004</v>
      </c>
      <c r="BO16" s="675">
        <f>IF(PT_!T16="","",+PT_!T16)</f>
        <v>5.73</v>
      </c>
      <c r="BP16" s="676" t="str">
        <f>IF(CLA_!BE16="","",+CLA_!BE16)</f>
        <v/>
      </c>
      <c r="BQ16" s="676" t="str">
        <f>IF(CLA_!BF16="","",+CLA_!BF16)</f>
        <v/>
      </c>
      <c r="BR16" s="676" t="str">
        <f>IF(ISNUMBER(BQ16+BP16),+ROUND((BP16*DF_!DY14+BQ16*DF_!DZ14)/(DF_!DY14+DF_!DZ14),-1),"")</f>
        <v/>
      </c>
      <c r="BS16" s="676">
        <f>IF(PT_!C16="","",ROUND(+PT_!C16,0))</f>
        <v>19</v>
      </c>
      <c r="BT16" s="675">
        <f>IF(PT_!H16="","",ROUND(MAX(PT_!H16,PT_!K16),1))</f>
        <v>7.2</v>
      </c>
      <c r="BU16" s="675">
        <f>IF(PT_!I16="","",ROUND(MIN(PT_!I16,PT_!L16),1))</f>
        <v>6.6</v>
      </c>
      <c r="BV16" s="675">
        <f>IF(PT_!G16="","",ROUND((PT_!G16*DF_!DZ14+DF_!DY14*PT_!J16)/DF_!DS14,1))</f>
        <v>6.9</v>
      </c>
      <c r="BW16" s="675">
        <f>IF(PT_!N16="","",+PT_!N16)</f>
        <v>6.7</v>
      </c>
      <c r="BX16" s="675">
        <f>IF(PT_!O16="","",+PT_!O16)</f>
        <v>6.5</v>
      </c>
      <c r="BY16" s="675">
        <f>IF(PT_!M16="","",+PT_!M16)</f>
        <v>6.6</v>
      </c>
      <c r="BZ16" s="682">
        <f>IF(PT_!R16="","",+PT_!R16)</f>
        <v>0.34</v>
      </c>
      <c r="CA16" s="683" t="str">
        <f>IF(PT_!P16="","",+PT_!P16)</f>
        <v/>
      </c>
      <c r="CB16" s="684">
        <f>IF(PT_!Q16="","",+PT_!Q16)</f>
        <v>27</v>
      </c>
      <c r="CC16" s="648" t="s">
        <v>318</v>
      </c>
      <c r="CD16" s="635"/>
      <c r="CE16" s="648" t="s">
        <v>318</v>
      </c>
      <c r="CF16" s="685">
        <f>IF(DF_!AA14="","",+DF_!AA14)</f>
        <v>88</v>
      </c>
      <c r="CG16" s="677">
        <f ca="1">IF(+DMREZ!D16&lt;TODAY(),+DF_!AD14,"")</f>
        <v>88</v>
      </c>
      <c r="CH16" s="677">
        <f>IF(DF_!AB14="","",+DF_!AB14)</f>
        <v>158</v>
      </c>
      <c r="CI16" s="677">
        <f>IF(DF_!AC14="","",+DF_!AC14)</f>
        <v>40</v>
      </c>
      <c r="CJ16" s="677">
        <f>IF(DF_!AG14="","",+DF_!AG14)</f>
        <v>88</v>
      </c>
      <c r="CK16" s="677">
        <f>IF(PT_!BL16="","",ROUND(PT_!BL16,0))</f>
        <v>63</v>
      </c>
      <c r="CL16" s="686">
        <f t="shared" si="22"/>
        <v>0.71590909090909094</v>
      </c>
      <c r="CM16" s="675">
        <f>IF(PT_!AL16="","",+PT_!AL16)</f>
        <v>94.3</v>
      </c>
      <c r="CN16" s="687">
        <f t="shared" si="10"/>
        <v>1.071590909090909</v>
      </c>
      <c r="CO16" s="678">
        <f t="shared" si="11"/>
        <v>2.1</v>
      </c>
      <c r="CP16" s="678">
        <f t="shared" si="23"/>
        <v>3.6</v>
      </c>
      <c r="CQ16" s="678">
        <f t="shared" si="12"/>
        <v>4.9000000000000004</v>
      </c>
      <c r="CR16" s="677">
        <f t="shared" si="13"/>
        <v>430</v>
      </c>
      <c r="CS16" s="675">
        <f t="shared" si="24"/>
        <v>0.9</v>
      </c>
      <c r="CT16" s="643" t="s">
        <v>475</v>
      </c>
      <c r="CU16" s="678">
        <f t="shared" si="33"/>
        <v>80.400000000000006</v>
      </c>
      <c r="CV16" s="677">
        <f t="shared" si="14"/>
        <v>98.134328358208961</v>
      </c>
      <c r="CW16" s="678">
        <f t="shared" si="15"/>
        <v>78.900000000000006</v>
      </c>
      <c r="CX16" s="678">
        <f t="shared" si="34"/>
        <v>362.5</v>
      </c>
      <c r="CY16" s="678">
        <f t="shared" si="25"/>
        <v>26.4</v>
      </c>
      <c r="CZ16" s="678">
        <f t="shared" si="26"/>
        <v>20.399999999999999</v>
      </c>
      <c r="DA16" s="2025">
        <f t="shared" si="27"/>
        <v>9.3000000000000007</v>
      </c>
      <c r="DB16" s="741">
        <f t="shared" si="35"/>
        <v>13.7</v>
      </c>
      <c r="DC16" s="648" t="s">
        <v>318</v>
      </c>
      <c r="DD16" s="648" t="s">
        <v>318</v>
      </c>
      <c r="DE16" s="688">
        <f>IF(Grit!AT13+Grit!AZ13=0,"",+Grit!AT13+Grit!AZ13*0.5)</f>
        <v>432</v>
      </c>
      <c r="DF16" s="689">
        <f>IF(Grit!AV13="0","",+Grit!AV13)</f>
        <v>0</v>
      </c>
      <c r="DG16" s="689">
        <f t="shared" si="16"/>
        <v>0</v>
      </c>
      <c r="DH16" s="689" t="str">
        <f>IF(Grit!AX13+Grit!AY13=0,"",+Grit!AX13+Grit!AZ13*0.5)</f>
        <v/>
      </c>
      <c r="DI16" s="689" t="str">
        <f t="shared" si="17"/>
        <v/>
      </c>
      <c r="DJ16" s="675">
        <f ca="1">IF(+DMREZ!D16&lt;TODAY(),+PT_!AE16,"")</f>
        <v>76</v>
      </c>
      <c r="DK16" s="678">
        <f t="shared" ca="1" si="36"/>
        <v>135.5</v>
      </c>
      <c r="DL16" s="678">
        <f t="shared" ca="1" si="37"/>
        <v>113.5</v>
      </c>
      <c r="DM16" s="678">
        <f t="shared" ca="1" si="38"/>
        <v>76</v>
      </c>
      <c r="DN16" s="678">
        <f t="shared" ca="1" si="39"/>
        <v>86.2</v>
      </c>
      <c r="DO16" s="678">
        <f t="shared" ca="1" si="40"/>
        <v>63.4</v>
      </c>
      <c r="DP16" s="687" t="str">
        <f>IF(DW_!R16="","",+DW_!R16/1000)</f>
        <v/>
      </c>
      <c r="DQ16" s="678" t="str">
        <f>IF(DW_!S16="","",+DW_!S16*2)</f>
        <v/>
      </c>
      <c r="DR16" s="678" t="str">
        <f>+DW_!S16</f>
        <v/>
      </c>
      <c r="DS16" s="675"/>
      <c r="DT16" s="677">
        <f>IF(PT_!AC16="","",+PT_!AC16)</f>
        <v>101</v>
      </c>
      <c r="DU16" s="689">
        <f>IF(ISNUMBER(CHEM_!G15),+CHEM_!G15,"")</f>
        <v>730</v>
      </c>
      <c r="DV16" s="675">
        <f t="shared" si="18"/>
        <v>8.3000000000000007</v>
      </c>
      <c r="DW16" s="687">
        <f>IF(PT_!S16="","",+PT_!S16)</f>
        <v>0.46</v>
      </c>
      <c r="DX16" s="648" t="s">
        <v>318</v>
      </c>
      <c r="DY16" s="648" t="s">
        <v>318</v>
      </c>
      <c r="DZ16" s="690" t="str">
        <f>PT_!AK16</f>
        <v/>
      </c>
      <c r="EA16" s="678">
        <f>IF(PT_!AJ16="","",+PT_!AJ16)</f>
        <v>134.4</v>
      </c>
      <c r="EB16" s="2086">
        <f t="shared" si="19"/>
        <v>134.4</v>
      </c>
      <c r="EC16" s="2094">
        <f>IF(PT_!BO16="","",+PT_!BO16)</f>
        <v>57.988080000000004</v>
      </c>
      <c r="ED16" s="1902" t="s">
        <v>475</v>
      </c>
      <c r="EE16" s="1316"/>
      <c r="EF16" s="2083">
        <v>205.7</v>
      </c>
      <c r="EG16" s="2084">
        <v>617.1</v>
      </c>
      <c r="EH16" s="1890"/>
      <c r="EI16" s="689"/>
      <c r="EJ16" s="1891" t="str">
        <f>+PT_!AF16</f>
        <v/>
      </c>
      <c r="EK16" s="759" t="str">
        <f t="shared" si="28"/>
        <v/>
      </c>
      <c r="EL16" s="689"/>
      <c r="EM16" s="689" t="str">
        <f>IF(PT_!AH16&gt;0,+PT_!AH16,"")</f>
        <v/>
      </c>
      <c r="EN16" s="614" t="str">
        <f>IF(PT_!AZ16="","",+PT_!AZ16)</f>
        <v>Clear</v>
      </c>
      <c r="EO16" s="615" t="s">
        <v>318</v>
      </c>
      <c r="EP16" s="610" t="s">
        <v>318</v>
      </c>
      <c r="EQ16" s="691">
        <f>CLA_!BG16</f>
        <v>0.03</v>
      </c>
      <c r="ER16" s="687">
        <f>CLA_!BH16</f>
        <v>0.06</v>
      </c>
      <c r="ES16" s="678">
        <f>CLA_!BI16</f>
        <v>26.4</v>
      </c>
      <c r="ET16" s="678">
        <f>CLA_!BJ16</f>
        <v>39.200000000000003</v>
      </c>
      <c r="EU16" s="687">
        <f>CLA_!BK16</f>
        <v>2.87</v>
      </c>
      <c r="EV16" s="687">
        <f>CLA_!BL16</f>
        <v>5.08</v>
      </c>
      <c r="EW16" s="677">
        <f>CLA_!BM16</f>
        <v>377</v>
      </c>
      <c r="EX16" s="691">
        <f>CLA_!BN16</f>
        <v>0.03</v>
      </c>
      <c r="EY16" s="687">
        <f>CLA_!BO16</f>
        <v>0.04</v>
      </c>
      <c r="EZ16" s="678">
        <f>CLA_!BP16</f>
        <v>25.7</v>
      </c>
      <c r="FA16" s="678">
        <f>CLA_!BQ16</f>
        <v>36.6</v>
      </c>
      <c r="FB16" s="687">
        <f>CLA_!BR16</f>
        <v>2.83</v>
      </c>
      <c r="FC16" s="687">
        <f>CLA_!BS16</f>
        <v>4.63</v>
      </c>
      <c r="FD16" s="677">
        <f>CLA_!BT16</f>
        <v>389</v>
      </c>
      <c r="FE16" s="691">
        <f>IF(ISNUMBER(EQ16+EX16),+EQ16*DF_!$EA14+EX16*DF_!$EB14,"")</f>
        <v>0.03</v>
      </c>
      <c r="FF16" s="687">
        <f>IF(ISNUMBER(+ER16+EY16),+ER16*DF_!$EA14+EY16*DF_!$EB14,"")</f>
        <v>5.2999999999999999E-2</v>
      </c>
      <c r="FG16" s="678">
        <f>IF(ISNUMBER(ES16)+ISNUMBER(EZ16)&gt;0,IF(ISNUMBER(ES16),ES16,$ET$42)*DF_!$EA14+IF(ISNUMBER(EZ16),EZ16,$FA$42)*DF_!$EB14,"")</f>
        <v>26.155000000000001</v>
      </c>
      <c r="FH16" s="678">
        <f>IF(ISNUMBER(ET16)+ISNUMBER(FA16)&gt;0,IF(ISNUMBER(ET16),ET16,$ET$42)*DF_!$EA14+IF(ISNUMBER(FA16),FA16,$FA$42)*DF_!$EB14,"")</f>
        <v>38.290000000000006</v>
      </c>
      <c r="FI16" s="687">
        <f>IF(EU16="","",+EU16*DF_!$EA14+FB16*DF_!$EB14)</f>
        <v>2.8559999999999999</v>
      </c>
      <c r="FJ16" s="687">
        <f>IF(EV16="","",+EV16*DF_!$EA14+FC16*DF_!$EB14)</f>
        <v>4.9224999999999994</v>
      </c>
      <c r="FK16" s="677">
        <f>IF(EW16="","",+EW16*DF_!$EA14+FD16*DF_!$EB14)</f>
        <v>381.2</v>
      </c>
      <c r="FL16" s="691">
        <f>CLA_!BU16</f>
        <v>0.03</v>
      </c>
      <c r="FM16" s="687">
        <f>CLA_!BV16</f>
        <v>0.74</v>
      </c>
      <c r="FN16" s="678">
        <f>CLA_!BW16</f>
        <v>25</v>
      </c>
      <c r="FO16" s="678">
        <f>CLA_!BX16</f>
        <v>34.9</v>
      </c>
      <c r="FP16" s="687">
        <f>CLA_!BY16</f>
        <v>3.52</v>
      </c>
      <c r="FQ16" s="687">
        <f>CLA_!BZ16</f>
        <v>5.6</v>
      </c>
      <c r="FR16" s="677">
        <f>CLA_!CA16</f>
        <v>346</v>
      </c>
      <c r="FS16" s="691">
        <f>CLA_!CB16</f>
        <v>0.67</v>
      </c>
      <c r="FT16" s="687">
        <f>CLA_!CC16</f>
        <v>4.43</v>
      </c>
      <c r="FU16" s="678">
        <f>CLA_!CD16</f>
        <v>7.1</v>
      </c>
      <c r="FV16" s="678">
        <f>CLA_!CE16</f>
        <v>8.6999999999999993</v>
      </c>
      <c r="FW16" s="687">
        <f>CLA_!CF16</f>
        <v>2.56</v>
      </c>
      <c r="FX16" s="687">
        <f>CLA_!CG16</f>
        <v>2.75</v>
      </c>
      <c r="FY16" s="677">
        <f>CLA_!CH16</f>
        <v>36</v>
      </c>
      <c r="FZ16" s="610" t="s">
        <v>318</v>
      </c>
      <c r="GA16" s="610" t="s">
        <v>318</v>
      </c>
      <c r="GB16" s="1968" t="str">
        <f>IF(CLA_!CY16="","",+CLA_!CY16)</f>
        <v/>
      </c>
      <c r="GC16" s="677" t="str">
        <f>IF(CLA_!CZ16="","",+CLA_!CZ16)</f>
        <v/>
      </c>
      <c r="GD16" s="677" t="str">
        <f>IF(CLA_!DA16="","",+CLA_!DA16)</f>
        <v/>
      </c>
      <c r="GE16" s="678" t="str">
        <f>IF(CLA_!DB16="","",+CLA_!DB16)</f>
        <v/>
      </c>
      <c r="GF16" s="677" t="str">
        <f>IF(CLA_!DO16="","",+CLA_!DO16)</f>
        <v/>
      </c>
      <c r="GG16" s="678" t="str">
        <f>IF(CLA_!DP16="","",+CLA_!DP16)</f>
        <v/>
      </c>
      <c r="GH16" s="677" t="str">
        <f>IF(CLA_!DQ16="","",+CLA_!DQ16)</f>
        <v/>
      </c>
      <c r="GI16" s="677" t="str">
        <f>IF(CLA_!DR16="","",+CLA_!DR16)</f>
        <v/>
      </c>
      <c r="GJ16" s="2030"/>
      <c r="GK16" s="2025" t="str">
        <f>IF(CLA_!CQ16="","",+CLA_!CQ16)</f>
        <v/>
      </c>
      <c r="GL16" s="2024"/>
      <c r="GM16" s="2026" t="str">
        <f>IF(CLA_!CR16="","",+CLA_!CR16)</f>
        <v/>
      </c>
      <c r="GN16" s="2024" t="str">
        <f>IF(CLA_!CZ16="","",+CLA_!CZ16)</f>
        <v/>
      </c>
      <c r="GO16" s="2026" t="str">
        <f>IF(CLA_!CS16="","",+CLA_!CS16)</f>
        <v/>
      </c>
      <c r="GP16" s="2024" t="str">
        <f>IF(CLA_!DA16="","",+CLA_!DA16)</f>
        <v/>
      </c>
      <c r="GQ16" s="2025" t="str">
        <f>IF(CLA_!CT16="","",+CLA_!CT16)</f>
        <v/>
      </c>
      <c r="GR16" s="2024" t="str">
        <f>IF(CLA_!CY16="","",+CLA_!CY16)</f>
        <v/>
      </c>
      <c r="GS16" s="2024" t="str">
        <f>IF(CLA_!CV16="","",+CLA_!CV16)</f>
        <v/>
      </c>
      <c r="GT16" s="2024" t="str">
        <f>IF(CLA_!DO16="","",+CLA_!DO16)</f>
        <v/>
      </c>
      <c r="GU16" s="2031" t="str">
        <f>IF(CLA_!CU16="","",+CLA_!CU16)</f>
        <v/>
      </c>
      <c r="GV16" s="1913" t="str">
        <f>CLA_!DF16</f>
        <v/>
      </c>
      <c r="GW16" s="677" t="str">
        <f>CLA_!DG16</f>
        <v/>
      </c>
      <c r="GX16" s="677" t="str">
        <f>CLA_!DH16</f>
        <v/>
      </c>
      <c r="GY16" s="678" t="str">
        <f>CLA_!DC16</f>
        <v/>
      </c>
      <c r="GZ16" s="648" t="s">
        <v>318</v>
      </c>
      <c r="HA16" s="635"/>
      <c r="HB16" s="648" t="s">
        <v>318</v>
      </c>
      <c r="HC16" s="685">
        <f>IF(PT_!BC16="","",+PT_!BC16)</f>
        <v>14</v>
      </c>
      <c r="HD16" s="677">
        <f>IF(PT_!BD16="","",+PT_!BD16)</f>
        <v>6</v>
      </c>
      <c r="HE16" s="677">
        <f>IF(PT_!BE16="","",+PT_!BE16)</f>
        <v>3</v>
      </c>
      <c r="HF16" s="677">
        <f>IF(PT_!BF16="","",+PT_!BF16)</f>
        <v>4</v>
      </c>
      <c r="HG16" s="677">
        <f>IF(PT_!BG16="","",+PT_!BG16)</f>
        <v>4</v>
      </c>
      <c r="HH16" s="677">
        <f>IF(PT_!BH16="","",+PT_!BH16)</f>
        <v>2</v>
      </c>
      <c r="HI16" s="677">
        <f>IF(PT_!BI16="","",+PT_!BI16)</f>
        <v>1</v>
      </c>
      <c r="HJ16" s="677">
        <f>IF(PT_!BJ16="","",+PT_!BJ16)</f>
        <v>4</v>
      </c>
      <c r="HK16" s="677">
        <f>IF(PT_!BK16="","",+PT_!BK16)</f>
        <v>2</v>
      </c>
      <c r="HL16" s="653"/>
      <c r="HM16" s="1782">
        <f t="shared" si="29"/>
        <v>56</v>
      </c>
      <c r="HN16" s="1787">
        <f t="shared" si="30"/>
        <v>51</v>
      </c>
      <c r="HO16" s="719">
        <f t="shared" si="31"/>
        <v>44</v>
      </c>
      <c r="HU16" s="730"/>
      <c r="HV16" s="2442"/>
      <c r="IU16" s="27"/>
    </row>
    <row r="17" spans="1:255" ht="17.100000000000001" customHeight="1">
      <c r="A17" s="579"/>
      <c r="B17" s="648" t="s">
        <v>319</v>
      </c>
      <c r="C17" s="674">
        <f>+CLA_!D17</f>
        <v>152</v>
      </c>
      <c r="D17" s="675" t="str">
        <f>+CLA_!E17</f>
        <v/>
      </c>
      <c r="E17" s="676">
        <f>+CLA_!F17</f>
        <v>148</v>
      </c>
      <c r="F17" s="675" t="str">
        <f>+CLA_!G17</f>
        <v/>
      </c>
      <c r="G17" s="676">
        <f>IF(C17="","",ROUND((IF(ISNUMBER(C17),C17,+$C$42)*DF_!$DY15+IF(ISNUMBER(E17),E17,$E$42)*DF_!$DZ15)/(DF_!$DY15+DF_!$DZ15),0))</f>
        <v>151</v>
      </c>
      <c r="H17" s="675" t="str">
        <f>IF(D17="","",ROUND((IF(+D17=0,+$D$42,+D17)*DF_!$DY15+IF(ISNUMBER(F17),F17,$F$42)*DF_!$DZ15)/(DF_!$DY15+DF_!$DZ15),1))</f>
        <v/>
      </c>
      <c r="I17" s="676">
        <f>+CLA_!H17</f>
        <v>63</v>
      </c>
      <c r="J17" s="676">
        <f>+CLA_!I17</f>
        <v>60</v>
      </c>
      <c r="K17" s="676">
        <f>+CLA_!J17</f>
        <v>4</v>
      </c>
      <c r="L17" s="676">
        <f>+CLA_!K17</f>
        <v>90</v>
      </c>
      <c r="M17" s="677">
        <f>IF(SUM(CLA_!L17:N17)=0,"",ROUND(AVERAGE(CLA_!L17:N17),-2))</f>
        <v>3400</v>
      </c>
      <c r="N17" s="677">
        <f>IF(SUM(CLA_!O17:P17)=0,"",ROUND(AVERAGE(CLA_!O17:P17),-2))</f>
        <v>2000</v>
      </c>
      <c r="O17" s="677">
        <f>IF(SUM(CLA_!Q17:S17)=0,"",ROUND(AVERAGE(CLA_!Q17:S17),-2))</f>
        <v>1800</v>
      </c>
      <c r="P17" s="677">
        <f>IF(SUM(CLA_!T17:U17)=0,"",ROUND(AVERAGE(CLA_!T17:U17),-2))</f>
        <v>3100</v>
      </c>
      <c r="Q17" s="677">
        <f>+CLA_!V17</f>
        <v>3920</v>
      </c>
      <c r="R17" s="678" t="str">
        <f>+CLA_!W17</f>
        <v/>
      </c>
      <c r="S17" s="677">
        <f>+CLA_!X17</f>
        <v>7750</v>
      </c>
      <c r="T17" s="678" t="str">
        <f>+CLA_!Y17</f>
        <v/>
      </c>
      <c r="U17" s="675">
        <f>IF(M17="","",+M17/(PT_!Y17*10))</f>
        <v>1</v>
      </c>
      <c r="V17" s="675">
        <f>IF(N17="","",+N17/(PT_!Z17*10))</f>
        <v>0.625</v>
      </c>
      <c r="W17" s="675"/>
      <c r="X17" s="675"/>
      <c r="Y17" s="648" t="s">
        <v>319</v>
      </c>
      <c r="Z17" s="648" t="s">
        <v>319</v>
      </c>
      <c r="AA17" s="674">
        <f>IF(CLA_!Z17="","",+CLA_!Z17)</f>
        <v>167</v>
      </c>
      <c r="AB17" s="676">
        <f>IF(CLA_!AA17="","",+CLA_!AA17)</f>
        <v>143</v>
      </c>
      <c r="AC17" s="676">
        <f>IF(AA17="","",ROUND((IF(ISNUMBER(AA17),AA17,$AA$42)*DF_!$DY15+IF(ISNUMBER(AB17),AB17,$AB$42)*DF_!$DZ15)/(DF_!$DY15+DF_!$DZ15),0))</f>
        <v>159</v>
      </c>
      <c r="AD17" s="676">
        <f>IF(CLA_!AB17="","",+CLA_!AB17)</f>
        <v>106</v>
      </c>
      <c r="AE17" s="676">
        <f>IF(CLA_!AC17="","",+CLA_!AC17)</f>
        <v>106</v>
      </c>
      <c r="AF17" s="676">
        <f>IF(CLA_!AD17="","",+CLA_!AD17)</f>
        <v>2</v>
      </c>
      <c r="AG17" s="676">
        <f>IF(CLA_!AE17="","",+CLA_!AE17)</f>
        <v>1150</v>
      </c>
      <c r="AH17" s="675">
        <f>IF(CLA_!AF17="","",+CLA_!AF17)</f>
        <v>2.88</v>
      </c>
      <c r="AI17" s="675">
        <f>IF(CLA_!AG17="","",+CLA_!AG17)</f>
        <v>85.9</v>
      </c>
      <c r="AJ17" s="675">
        <f>IF(CLA_!AH17="","",+CLA_!AH17)</f>
        <v>1.8</v>
      </c>
      <c r="AK17" s="675">
        <f>IF(CLA_!AI17="","",+CLA_!AI17)</f>
        <v>73.3</v>
      </c>
      <c r="AL17" s="2192">
        <f t="shared" si="20"/>
        <v>0.47</v>
      </c>
      <c r="AM17" s="675"/>
      <c r="AN17" s="676">
        <f>PT_!Y17</f>
        <v>340</v>
      </c>
      <c r="AO17" s="676">
        <f>PT_!Z17</f>
        <v>320</v>
      </c>
      <c r="AP17" s="682">
        <f t="shared" si="41"/>
        <v>0.23628257887517148</v>
      </c>
      <c r="AQ17" s="682">
        <f t="shared" si="42"/>
        <v>0.13719633612106732</v>
      </c>
      <c r="AR17" s="675">
        <f ca="1">IF(DMREZ!D17&gt;TODAY()-2,"",((IF(ISNUMBER(O17),O17,$O$42)*2.52*HD17)/((CF17*IF(ISNUMBER(K17),K17,$K$42)*(+HD17/(HD17+HE17)))+($HQ$14*IF(ISNUMBER(AT_!Q17),AT_!Q17,AT_!$Q$42)))))</f>
        <v>3.7913249881906035</v>
      </c>
      <c r="AS17" s="675">
        <f ca="1">IF(DMREZ!D17&gt;TODAY()-2,"",((IF(ISNUMBER(P17),P17,$P$42)*2.52*HE17)/((CF17*IF(ISNUMBER(K17),K17,$K$42)*(HE17/(HD17+HE17))+((PT_!BN17+2.5/3.5*PT_!BP17)*IF(ISNUMBER(AT_!S17),AT_!S17,AT_!$S$42))))))</f>
        <v>10.154417547752258</v>
      </c>
      <c r="AT17" s="648" t="s">
        <v>319</v>
      </c>
      <c r="AU17" s="648" t="s">
        <v>319</v>
      </c>
      <c r="AV17" s="679">
        <f>IF(CLA_!AP17="","",+CLA_!AP17)</f>
        <v>190</v>
      </c>
      <c r="AW17" s="680" t="str">
        <f>IF(CLA_!AQ17="","",+CLA_!AQ17)</f>
        <v/>
      </c>
      <c r="AX17" s="680">
        <f>IF(CLA_!AR17="","",+CLA_!AR17)</f>
        <v>180</v>
      </c>
      <c r="AY17" s="680">
        <f>IF(CLA_!AS17="","",+CLA_!AS17)</f>
        <v>200</v>
      </c>
      <c r="AZ17" s="680">
        <f>IF(CLA_!AT17="","",+CLA_!AT17)</f>
        <v>110</v>
      </c>
      <c r="BA17" s="680">
        <f>IF(CLA_!AU17="","",+CLA_!AU17)</f>
        <v>2600</v>
      </c>
      <c r="BB17" s="680" t="str">
        <f>IF(CLA_!AV17="","",+CLA_!AV17)</f>
        <v/>
      </c>
      <c r="BC17" s="680">
        <f>IF(CLA_!AW17="","",+CLA_!AW17)</f>
        <v>2600</v>
      </c>
      <c r="BD17" s="680">
        <f>IF(CLA_!AX17="","",+CLA_!AX17)</f>
        <v>2700</v>
      </c>
      <c r="BE17" s="680">
        <f>IF(CLA_!AY17="","",+CLA_!AY17)</f>
        <v>2800</v>
      </c>
      <c r="BF17" s="675">
        <f>IF(CLA_!AZ17="","",+CLA_!AZ17)</f>
        <v>7.1</v>
      </c>
      <c r="BG17" s="675" t="str">
        <f>IF(CLA_!BA17="","",+CLA_!BA17)</f>
        <v/>
      </c>
      <c r="BH17" s="675">
        <f>IF(CLA_!BB17="","",+CLA_!BB17)</f>
        <v>6.88</v>
      </c>
      <c r="BI17" s="675">
        <f>IF(CLA_!BC17="","",+CLA_!BC17)</f>
        <v>7</v>
      </c>
      <c r="BJ17" s="675">
        <f>IF(CLA_!BD17="","",+CLA_!BD17)</f>
        <v>7.1</v>
      </c>
      <c r="BK17" s="681">
        <f>IF(PT_!U17="","",+PT_!U17)</f>
        <v>4.45</v>
      </c>
      <c r="BL17" s="675">
        <f>IF(PT_!V17="","",+PT_!V17)</f>
        <v>4.93</v>
      </c>
      <c r="BM17" s="675">
        <f>IF(PT_!W17="","",+PT_!W17)</f>
        <v>3.63</v>
      </c>
      <c r="BN17" s="675">
        <f>IF(PT_!X17="","",+PT_!X17)</f>
        <v>3.65</v>
      </c>
      <c r="BO17" s="675">
        <f>IF(PT_!T17="","",+PT_!T17)</f>
        <v>4.6900000000000004</v>
      </c>
      <c r="BP17" s="676" t="str">
        <f>IF(CLA_!BE17="","",+CLA_!BE17)</f>
        <v/>
      </c>
      <c r="BQ17" s="676" t="str">
        <f>IF(CLA_!BF17="","",+CLA_!BF17)</f>
        <v/>
      </c>
      <c r="BR17" s="676" t="str">
        <f>IF(ISNUMBER(BQ17+BP17),+ROUND((BP17*DF_!DY15+BQ17*DF_!DZ15)/(DF_!DY15+DF_!DZ15),-1),"")</f>
        <v/>
      </c>
      <c r="BS17" s="676">
        <f>IF(PT_!C17="","",ROUND(+PT_!C17,0))</f>
        <v>19</v>
      </c>
      <c r="BT17" s="675">
        <f>IF(PT_!H17="","",ROUND(MAX(PT_!H17,PT_!K17),1))</f>
        <v>7.4</v>
      </c>
      <c r="BU17" s="675">
        <f>IF(PT_!I17="","",ROUND(MIN(PT_!I17,PT_!L17),1))</f>
        <v>6.6</v>
      </c>
      <c r="BV17" s="675">
        <f>IF(PT_!G17="","",ROUND((PT_!G17*DF_!DZ15+DF_!DY15*PT_!J17)/DF_!DS15,1))</f>
        <v>6.8</v>
      </c>
      <c r="BW17" s="675">
        <f>IF(PT_!N17="","",+PT_!N17)</f>
        <v>6.6</v>
      </c>
      <c r="BX17" s="675">
        <f>IF(PT_!O17="","",+PT_!O17)</f>
        <v>6.3</v>
      </c>
      <c r="BY17" s="675">
        <f>IF(PT_!M17="","",+PT_!M17)</f>
        <v>6.5</v>
      </c>
      <c r="BZ17" s="682">
        <f>IF(PT_!R17="","",+PT_!R17)</f>
        <v>0.34</v>
      </c>
      <c r="CA17" s="683" t="str">
        <f>IF(PT_!P17="","",+PT_!P17)</f>
        <v/>
      </c>
      <c r="CB17" s="684">
        <f>IF(PT_!Q17="","",+PT_!Q17)</f>
        <v>54</v>
      </c>
      <c r="CC17" s="648" t="s">
        <v>319</v>
      </c>
      <c r="CD17" s="635"/>
      <c r="CE17" s="648" t="s">
        <v>319</v>
      </c>
      <c r="CF17" s="685">
        <f>IF(DF_!AA15="","",+DF_!AA15)</f>
        <v>91</v>
      </c>
      <c r="CG17" s="677">
        <f ca="1">IF(+DMREZ!D17&lt;TODAY(),+DF_!AD15,"")</f>
        <v>91</v>
      </c>
      <c r="CH17" s="677">
        <f>IF(DF_!AB15="","",+DF_!AB15)</f>
        <v>109</v>
      </c>
      <c r="CI17" s="677">
        <f>IF(DF_!AC15="","",+DF_!AC15)</f>
        <v>54</v>
      </c>
      <c r="CJ17" s="677">
        <f>IF(DF_!AG15="","",+DF_!AG15)</f>
        <v>91</v>
      </c>
      <c r="CK17" s="677">
        <f>IF(PT_!BL17="","",ROUND(PT_!BL17,0))</f>
        <v>63</v>
      </c>
      <c r="CL17" s="686">
        <f t="shared" si="22"/>
        <v>0.69230769230769229</v>
      </c>
      <c r="CM17" s="675">
        <f>IF(PT_!AL17="","",+PT_!AL17)</f>
        <v>93</v>
      </c>
      <c r="CN17" s="687">
        <f t="shared" si="10"/>
        <v>1.0219780219780219</v>
      </c>
      <c r="CO17" s="678">
        <f t="shared" si="11"/>
        <v>2</v>
      </c>
      <c r="CP17" s="678">
        <f t="shared" si="23"/>
        <v>3.5</v>
      </c>
      <c r="CQ17" s="678">
        <f t="shared" si="12"/>
        <v>4.7</v>
      </c>
      <c r="CR17" s="677">
        <f t="shared" si="13"/>
        <v>440</v>
      </c>
      <c r="CS17" s="675">
        <f t="shared" si="24"/>
        <v>0.8</v>
      </c>
      <c r="CT17" s="643"/>
      <c r="CU17" s="678">
        <f t="shared" si="33"/>
        <v>57.3</v>
      </c>
      <c r="CV17" s="677">
        <f t="shared" si="14"/>
        <v>97.382198952879577</v>
      </c>
      <c r="CW17" s="678">
        <f t="shared" si="15"/>
        <v>55.8</v>
      </c>
      <c r="CX17" s="678">
        <f t="shared" si="34"/>
        <v>211.2</v>
      </c>
      <c r="CY17" s="678">
        <f t="shared" si="25"/>
        <v>23.5</v>
      </c>
      <c r="CZ17" s="678">
        <f t="shared" si="26"/>
        <v>7.1</v>
      </c>
      <c r="DA17" s="2025">
        <f t="shared" si="27"/>
        <v>12.9</v>
      </c>
      <c r="DB17" s="741">
        <f t="shared" si="35"/>
        <v>9</v>
      </c>
      <c r="DC17" s="648" t="s">
        <v>319</v>
      </c>
      <c r="DD17" s="648" t="s">
        <v>319</v>
      </c>
      <c r="DE17" s="688" t="str">
        <f>IF(Grit!AT14+Grit!AZ14=0,"",+Grit!AT14+Grit!AZ14*0.5)</f>
        <v/>
      </c>
      <c r="DF17" s="689">
        <f>IF(Grit!AV14="0","",+Grit!AV14)</f>
        <v>324</v>
      </c>
      <c r="DG17" s="689">
        <f t="shared" si="16"/>
        <v>20700</v>
      </c>
      <c r="DH17" s="689" t="str">
        <f>IF(Grit!AX14+Grit!AY14=0,"",+Grit!AX14+Grit!AZ14*0.5)</f>
        <v/>
      </c>
      <c r="DI17" s="689" t="str">
        <f t="shared" si="17"/>
        <v/>
      </c>
      <c r="DJ17" s="675">
        <f ca="1">IF(+DMREZ!D17&lt;TODAY(),+PT_!AE17,"")</f>
        <v>59.8</v>
      </c>
      <c r="DK17" s="678">
        <f t="shared" ca="1" si="36"/>
        <v>108.5</v>
      </c>
      <c r="DL17" s="678">
        <f t="shared" ca="1" si="37"/>
        <v>93.2</v>
      </c>
      <c r="DM17" s="678">
        <f t="shared" ca="1" si="38"/>
        <v>59.8</v>
      </c>
      <c r="DN17" s="678">
        <f t="shared" ca="1" si="39"/>
        <v>67.8</v>
      </c>
      <c r="DO17" s="678">
        <f t="shared" ca="1" si="40"/>
        <v>49.7</v>
      </c>
      <c r="DP17" s="687" t="str">
        <f>IF(DW_!R17="","",+DW_!R17/1000)</f>
        <v/>
      </c>
      <c r="DQ17" s="678" t="str">
        <f>IF(DW_!S17="","",+DW_!S17*2)</f>
        <v/>
      </c>
      <c r="DR17" s="678" t="str">
        <f>+DW_!S17</f>
        <v/>
      </c>
      <c r="DS17" s="675"/>
      <c r="DT17" s="677">
        <f>IF(PT_!AC17="","",+PT_!AC17)</f>
        <v>101</v>
      </c>
      <c r="DU17" s="689">
        <f>IF(ISNUMBER(CHEM_!G16),+CHEM_!G16,"")</f>
        <v>730</v>
      </c>
      <c r="DV17" s="675">
        <f t="shared" si="18"/>
        <v>8</v>
      </c>
      <c r="DW17" s="687">
        <f>IF(PT_!S17="","",+PT_!S17)</f>
        <v>0.49</v>
      </c>
      <c r="DX17" s="648" t="s">
        <v>319</v>
      </c>
      <c r="DY17" s="648" t="s">
        <v>319</v>
      </c>
      <c r="DZ17" s="690" t="str">
        <f>PT_!AK17</f>
        <v/>
      </c>
      <c r="EA17" s="678">
        <f>IF(PT_!AJ17="","",+PT_!AJ17)</f>
        <v>128</v>
      </c>
      <c r="EB17" s="2086">
        <f t="shared" si="19"/>
        <v>128</v>
      </c>
      <c r="EC17" s="2094">
        <f>IF(PT_!BO17="","",+PT_!BO17)</f>
        <v>57.216000000000001</v>
      </c>
      <c r="ED17" s="1902" t="s">
        <v>474</v>
      </c>
      <c r="EE17" s="1316"/>
      <c r="EF17" s="2083">
        <v>205.7</v>
      </c>
      <c r="EG17" s="2084">
        <v>617.1</v>
      </c>
      <c r="EH17" s="1890"/>
      <c r="EI17" s="689"/>
      <c r="EJ17" s="1891" t="str">
        <f>+PT_!AF17</f>
        <v/>
      </c>
      <c r="EK17" s="759" t="str">
        <f t="shared" si="28"/>
        <v/>
      </c>
      <c r="EL17" s="689"/>
      <c r="EM17" s="689" t="str">
        <f>IF(PT_!AH17&gt;0,+PT_!AH17,"")</f>
        <v/>
      </c>
      <c r="EN17" s="614" t="str">
        <f>IF(PT_!AZ17="","",+PT_!AZ17)</f>
        <v>Clear</v>
      </c>
      <c r="EO17" s="615" t="s">
        <v>319</v>
      </c>
      <c r="EP17" s="610" t="s">
        <v>319</v>
      </c>
      <c r="EQ17" s="691">
        <f>CLA_!BG17</f>
        <v>0.03</v>
      </c>
      <c r="ER17" s="687">
        <f>CLA_!BH17</f>
        <v>0.06</v>
      </c>
      <c r="ES17" s="678">
        <f>CLA_!BI17</f>
        <v>25.4</v>
      </c>
      <c r="ET17" s="678">
        <f>CLA_!BJ17</f>
        <v>39.5</v>
      </c>
      <c r="EU17" s="687" t="str">
        <f>CLA_!BK17</f>
        <v/>
      </c>
      <c r="EV17" s="687" t="str">
        <f>CLA_!BL17</f>
        <v/>
      </c>
      <c r="EW17" s="677" t="str">
        <f>CLA_!BM17</f>
        <v/>
      </c>
      <c r="EX17" s="691">
        <f>CLA_!BN17</f>
        <v>0.03</v>
      </c>
      <c r="EY17" s="687">
        <f>CLA_!BO17</f>
        <v>0.04</v>
      </c>
      <c r="EZ17" s="678">
        <f>CLA_!BP17</f>
        <v>25.5</v>
      </c>
      <c r="FA17" s="678">
        <f>CLA_!BQ17</f>
        <v>39.299999999999997</v>
      </c>
      <c r="FB17" s="687" t="str">
        <f>CLA_!BR17</f>
        <v/>
      </c>
      <c r="FC17" s="687" t="str">
        <f>CLA_!BS17</f>
        <v/>
      </c>
      <c r="FD17" s="677" t="str">
        <f>CLA_!BT17</f>
        <v/>
      </c>
      <c r="FE17" s="691">
        <f>IF(ISNUMBER(EQ17+EX17),+EQ17*DF_!$EA15+EX17*DF_!$EB15,"")</f>
        <v>0.03</v>
      </c>
      <c r="FF17" s="687">
        <f>IF(ISNUMBER(+ER17+EY17),+ER17*DF_!$EA15+EY17*DF_!$EB15,"")</f>
        <v>5.2999999999999999E-2</v>
      </c>
      <c r="FG17" s="678">
        <f>IF(ISNUMBER(ES17)+ISNUMBER(EZ17)&gt;0,IF(ISNUMBER(ES17),ES17,$ET$42)*DF_!$EA15+IF(ISNUMBER(EZ17),EZ17,$FA$42)*DF_!$EB15,"")</f>
        <v>25.434999999999995</v>
      </c>
      <c r="FH17" s="678">
        <f>IF(ISNUMBER(ET17)+ISNUMBER(FA17)&gt;0,IF(ISNUMBER(ET17),ET17,$ET$42)*DF_!$EA15+IF(ISNUMBER(FA17),FA17,$FA$42)*DF_!$EB15,"")</f>
        <v>39.43</v>
      </c>
      <c r="FI17" s="687" t="str">
        <f>IF(EU17="","",+EU17*DF_!$EA15+FB17*DF_!$EB15)</f>
        <v/>
      </c>
      <c r="FJ17" s="687" t="str">
        <f>IF(EV17="","",+EV17*DF_!$EA15+FC17*DF_!$EB15)</f>
        <v/>
      </c>
      <c r="FK17" s="677" t="str">
        <f>IF(EW17="","",+EW17*DF_!$EA15+FD17*DF_!$EB15)</f>
        <v/>
      </c>
      <c r="FL17" s="691" t="str">
        <f>CLA_!BU17</f>
        <v/>
      </c>
      <c r="FM17" s="687" t="str">
        <f>CLA_!BV17</f>
        <v/>
      </c>
      <c r="FN17" s="678" t="str">
        <f>CLA_!BW17</f>
        <v/>
      </c>
      <c r="FO17" s="678" t="str">
        <f>CLA_!BX17</f>
        <v/>
      </c>
      <c r="FP17" s="687" t="str">
        <f>CLA_!BY17</f>
        <v/>
      </c>
      <c r="FQ17" s="687" t="str">
        <f>CLA_!BZ17</f>
        <v/>
      </c>
      <c r="FR17" s="677" t="str">
        <f>CLA_!CA17</f>
        <v/>
      </c>
      <c r="FS17" s="691">
        <f>CLA_!CB17</f>
        <v>0.65</v>
      </c>
      <c r="FT17" s="687">
        <f>CLA_!CC17</f>
        <v>3.33</v>
      </c>
      <c r="FU17" s="678">
        <f>CLA_!CD17</f>
        <v>9.3000000000000007</v>
      </c>
      <c r="FV17" s="678">
        <f>CLA_!CE17</f>
        <v>10.7</v>
      </c>
      <c r="FW17" s="687" t="str">
        <f>CLA_!CF17</f>
        <v/>
      </c>
      <c r="FX17" s="687" t="str">
        <f>CLA_!CG17</f>
        <v/>
      </c>
      <c r="FY17" s="677" t="str">
        <f>CLA_!CH17</f>
        <v/>
      </c>
      <c r="FZ17" s="610" t="s">
        <v>319</v>
      </c>
      <c r="GA17" s="610" t="s">
        <v>319</v>
      </c>
      <c r="GB17" s="1968" t="str">
        <f>IF(CLA_!CY17="","",+CLA_!CY17)</f>
        <v/>
      </c>
      <c r="GC17" s="677" t="str">
        <f>IF(CLA_!CZ17="","",+CLA_!CZ17)</f>
        <v/>
      </c>
      <c r="GD17" s="677" t="str">
        <f>IF(CLA_!DA17="","",+CLA_!DA17)</f>
        <v/>
      </c>
      <c r="GE17" s="678" t="str">
        <f>IF(CLA_!DB17="","",+CLA_!DB17)</f>
        <v/>
      </c>
      <c r="GF17" s="677" t="str">
        <f>IF(CLA_!DO17="","",+CLA_!DO17)</f>
        <v/>
      </c>
      <c r="GG17" s="678" t="str">
        <f>IF(CLA_!DP17="","",+CLA_!DP17)</f>
        <v/>
      </c>
      <c r="GH17" s="677" t="str">
        <f>IF(CLA_!DQ17="","",+CLA_!DQ17)</f>
        <v/>
      </c>
      <c r="GI17" s="677" t="str">
        <f>IF(CLA_!DR17="","",+CLA_!DR17)</f>
        <v/>
      </c>
      <c r="GJ17" s="2030"/>
      <c r="GK17" s="2025" t="str">
        <f>IF(CLA_!CQ17="","",+CLA_!CQ17)</f>
        <v/>
      </c>
      <c r="GL17" s="2024"/>
      <c r="GM17" s="2026" t="str">
        <f>IF(CLA_!CR17="","",+CLA_!CR17)</f>
        <v/>
      </c>
      <c r="GN17" s="2024" t="str">
        <f>IF(CLA_!CZ17="","",+CLA_!CZ17)</f>
        <v/>
      </c>
      <c r="GO17" s="2026">
        <f>IF(CLA_!CS17="","",+CLA_!CS17)</f>
        <v>17</v>
      </c>
      <c r="GP17" s="2024" t="str">
        <f>IF(CLA_!DA17="","",+CLA_!DA17)</f>
        <v/>
      </c>
      <c r="GQ17" s="2025">
        <f>IF(CLA_!CT17="","",+CLA_!CT17)</f>
        <v>14</v>
      </c>
      <c r="GR17" s="2024" t="str">
        <f>IF(CLA_!CY17="","",+CLA_!CY17)</f>
        <v/>
      </c>
      <c r="GS17" s="2024">
        <f>IF(CLA_!CV17="","",+CLA_!CV17)</f>
        <v>5.6</v>
      </c>
      <c r="GT17" s="2024" t="str">
        <f>IF(CLA_!DO17="","",+CLA_!DO17)</f>
        <v/>
      </c>
      <c r="GU17" s="2031">
        <f>IF(CLA_!CU17="","",+CLA_!CU17)</f>
        <v>3020</v>
      </c>
      <c r="GV17" s="1913" t="str">
        <f>CLA_!DF17</f>
        <v/>
      </c>
      <c r="GW17" s="677" t="str">
        <f>CLA_!DG17</f>
        <v/>
      </c>
      <c r="GX17" s="677" t="str">
        <f>CLA_!DH17</f>
        <v/>
      </c>
      <c r="GY17" s="678" t="str">
        <f>CLA_!DC17</f>
        <v/>
      </c>
      <c r="GZ17" s="648" t="s">
        <v>319</v>
      </c>
      <c r="HA17" s="635"/>
      <c r="HB17" s="648" t="s">
        <v>319</v>
      </c>
      <c r="HC17" s="685">
        <f>IF(PT_!BC17="","",+PT_!BC17)</f>
        <v>14</v>
      </c>
      <c r="HD17" s="677">
        <f>IF(PT_!BD17="","",+PT_!BD17)</f>
        <v>6</v>
      </c>
      <c r="HE17" s="677">
        <f>IF(PT_!BE17="","",+PT_!BE17)</f>
        <v>3</v>
      </c>
      <c r="HF17" s="677">
        <f>IF(PT_!BF17="","",+PT_!BF17)</f>
        <v>4</v>
      </c>
      <c r="HG17" s="677">
        <f>IF(PT_!BG17="","",+PT_!BG17)</f>
        <v>4</v>
      </c>
      <c r="HH17" s="677">
        <f>IF(PT_!BH17="","",+PT_!BH17)</f>
        <v>2</v>
      </c>
      <c r="HI17" s="677">
        <f>IF(PT_!BI17="","",+PT_!BI17)</f>
        <v>1</v>
      </c>
      <c r="HJ17" s="677">
        <f>IF(PT_!BJ17="","",+PT_!BJ17)</f>
        <v>4</v>
      </c>
      <c r="HK17" s="677">
        <f>IF(PT_!BK17="","",+PT_!BK17)</f>
        <v>2</v>
      </c>
      <c r="HL17" s="653"/>
      <c r="HM17" s="1782">
        <f t="shared" si="29"/>
        <v>292</v>
      </c>
      <c r="HN17" s="1787">
        <f t="shared" si="30"/>
        <v>15</v>
      </c>
      <c r="HO17" s="719">
        <f t="shared" si="31"/>
        <v>244</v>
      </c>
      <c r="HU17" s="730"/>
      <c r="HV17" s="2442"/>
      <c r="IU17" s="27"/>
    </row>
    <row r="18" spans="1:255" ht="17.100000000000001" customHeight="1">
      <c r="A18" s="579"/>
      <c r="B18" s="648" t="s">
        <v>320</v>
      </c>
      <c r="C18" s="674">
        <f>+CLA_!D18</f>
        <v>166</v>
      </c>
      <c r="D18" s="675" t="str">
        <f>+CLA_!E18</f>
        <v/>
      </c>
      <c r="E18" s="676">
        <f>+CLA_!F18</f>
        <v>136</v>
      </c>
      <c r="F18" s="675" t="str">
        <f>+CLA_!G18</f>
        <v/>
      </c>
      <c r="G18" s="676">
        <f>IF(C18="","",ROUND((IF(ISNUMBER(C18),C18,+$C$42)*DF_!$DY16+IF(ISNUMBER(E18),E18,$E$42)*DF_!$DZ16)/(DF_!$DY16+DF_!$DZ16),0))</f>
        <v>156</v>
      </c>
      <c r="H18" s="675" t="str">
        <f>IF(D18="","",ROUND((IF(+D18=0,+$D$42,+D18)*DF_!$DY16+IF(ISNUMBER(F18),F18,$F$42)*DF_!$DZ16)/(DF_!$DY16+DF_!$DZ16),1))</f>
        <v/>
      </c>
      <c r="I18" s="676" t="str">
        <f>+CLA_!H18</f>
        <v/>
      </c>
      <c r="J18" s="676" t="str">
        <f>+CLA_!I18</f>
        <v/>
      </c>
      <c r="K18" s="676">
        <f>+CLA_!J18</f>
        <v>4</v>
      </c>
      <c r="L18" s="676" t="str">
        <f>+CLA_!K18</f>
        <v/>
      </c>
      <c r="M18" s="677" t="str">
        <f>IF(SUM(CLA_!L18:N18)=0,"",ROUND(AVERAGE(CLA_!L18:N18),-2))</f>
        <v/>
      </c>
      <c r="N18" s="677" t="str">
        <f>IF(SUM(CLA_!O18:P18)=0,"",ROUND(AVERAGE(CLA_!O18:P18),-2))</f>
        <v/>
      </c>
      <c r="O18" s="677" t="str">
        <f>IF(SUM(CLA_!Q18:S18)=0,"",ROUND(AVERAGE(CLA_!Q18:S18),-2))</f>
        <v/>
      </c>
      <c r="P18" s="677" t="str">
        <f>IF(SUM(CLA_!T18:U18)=0,"",ROUND(AVERAGE(CLA_!T18:U18),-2))</f>
        <v/>
      </c>
      <c r="Q18" s="677" t="str">
        <f>+CLA_!V18</f>
        <v/>
      </c>
      <c r="R18" s="678" t="str">
        <f>+CLA_!W18</f>
        <v/>
      </c>
      <c r="S18" s="677" t="str">
        <f>+CLA_!X18</f>
        <v/>
      </c>
      <c r="T18" s="678" t="str">
        <f>+CLA_!Y18</f>
        <v/>
      </c>
      <c r="U18" s="675" t="str">
        <f>IF(M18="","",+M18/(PT_!Y18*10))</f>
        <v/>
      </c>
      <c r="V18" s="675" t="str">
        <f>IF(N18="","",+N18/(PT_!Z18*10))</f>
        <v/>
      </c>
      <c r="W18" s="675"/>
      <c r="X18" s="675"/>
      <c r="Y18" s="648" t="s">
        <v>320</v>
      </c>
      <c r="Z18" s="648" t="s">
        <v>320</v>
      </c>
      <c r="AA18" s="674">
        <f>IF(CLA_!Z18="","",+CLA_!Z18)</f>
        <v>135</v>
      </c>
      <c r="AB18" s="676">
        <f>IF(CLA_!AA18="","",+CLA_!AA18)</f>
        <v>133</v>
      </c>
      <c r="AC18" s="676">
        <f>IF(AA18="","",ROUND((IF(ISNUMBER(AA18),AA18,$AA$42)*DF_!$DY16+IF(ISNUMBER(AB18),AB18,$AB$42)*DF_!$DZ16)/(DF_!$DY16+DF_!$DZ16),0))</f>
        <v>134</v>
      </c>
      <c r="AD18" s="676" t="str">
        <f>IF(CLA_!AB18="","",+CLA_!AB18)</f>
        <v/>
      </c>
      <c r="AE18" s="676" t="str">
        <f>IF(CLA_!AC18="","",+CLA_!AC18)</f>
        <v/>
      </c>
      <c r="AF18" s="676">
        <f>IF(CLA_!AD18="","",+CLA_!AD18)</f>
        <v>3</v>
      </c>
      <c r="AG18" s="676" t="str">
        <f>IF(CLA_!AE18="","",+CLA_!AE18)</f>
        <v/>
      </c>
      <c r="AH18" s="675" t="str">
        <f>IF(CLA_!AF18="","",+CLA_!AF18)</f>
        <v/>
      </c>
      <c r="AI18" s="675" t="str">
        <f>IF(CLA_!AG18="","",+CLA_!AG18)</f>
        <v/>
      </c>
      <c r="AJ18" s="675" t="str">
        <f>IF(CLA_!AH18="","",+CLA_!AH18)</f>
        <v/>
      </c>
      <c r="AK18" s="675" t="str">
        <f>IF(CLA_!AI18="","",+CLA_!AI18)</f>
        <v/>
      </c>
      <c r="AL18" s="2192" t="str">
        <f t="shared" si="20"/>
        <v/>
      </c>
      <c r="AM18" s="675"/>
      <c r="AN18" s="676">
        <f>PT_!Y18</f>
        <v>280</v>
      </c>
      <c r="AO18" s="676">
        <f>PT_!Z18</f>
        <v>420</v>
      </c>
      <c r="AP18" s="682">
        <f t="shared" si="41"/>
        <v>9.2805939580133126E-2</v>
      </c>
      <c r="AQ18" s="682">
        <f t="shared" si="42"/>
        <v>9.1689250225835586E-2</v>
      </c>
      <c r="AR18" s="675">
        <f ca="1">IF(DMREZ!D18&gt;TODAY()-2,"",((IF(ISNUMBER(O18),O18,$O$42)*2.52*HD18)/((CF18*IF(ISNUMBER(K18),K18,$K$42)*(+HD18/(HD18+HE18)))+($HQ$14*IF(ISNUMBER(AT_!Q18),AT_!Q18,AT_!$Q$42)))))</f>
        <v>6.1164709073458736</v>
      </c>
      <c r="AS18" s="675" t="s">
        <v>1418</v>
      </c>
      <c r="AT18" s="648" t="s">
        <v>320</v>
      </c>
      <c r="AU18" s="648" t="s">
        <v>320</v>
      </c>
      <c r="AV18" s="679" t="str">
        <f>IF(CLA_!AP18="","",+CLA_!AP18)</f>
        <v/>
      </c>
      <c r="AW18" s="680" t="str">
        <f>IF(CLA_!AQ18="","",+CLA_!AQ18)</f>
        <v/>
      </c>
      <c r="AX18" s="680" t="str">
        <f>IF(CLA_!AR18="","",+CLA_!AR18)</f>
        <v/>
      </c>
      <c r="AY18" s="680" t="str">
        <f>IF(CLA_!AS18="","",+CLA_!AS18)</f>
        <v/>
      </c>
      <c r="AZ18" s="680" t="str">
        <f>IF(CLA_!AT18="","",+CLA_!AT18)</f>
        <v/>
      </c>
      <c r="BA18" s="680" t="str">
        <f>IF(CLA_!AU18="","",+CLA_!AU18)</f>
        <v/>
      </c>
      <c r="BB18" s="680" t="str">
        <f>IF(CLA_!AV18="","",+CLA_!AV18)</f>
        <v/>
      </c>
      <c r="BC18" s="680" t="str">
        <f>IF(CLA_!AW18="","",+CLA_!AW18)</f>
        <v/>
      </c>
      <c r="BD18" s="680" t="str">
        <f>IF(CLA_!AX18="","",+CLA_!AX18)</f>
        <v/>
      </c>
      <c r="BE18" s="680" t="str">
        <f>IF(CLA_!AY18="","",+CLA_!AY18)</f>
        <v/>
      </c>
      <c r="BF18" s="675" t="str">
        <f>IF(CLA_!AZ18="","",+CLA_!AZ18)</f>
        <v/>
      </c>
      <c r="BG18" s="675" t="str">
        <f>IF(CLA_!BA18="","",+CLA_!BA18)</f>
        <v/>
      </c>
      <c r="BH18" s="675" t="str">
        <f>IF(CLA_!BB18="","",+CLA_!BB18)</f>
        <v/>
      </c>
      <c r="BI18" s="675" t="str">
        <f>IF(CLA_!BC18="","",+CLA_!BC18)</f>
        <v/>
      </c>
      <c r="BJ18" s="675" t="str">
        <f>IF(CLA_!BD18="","",+CLA_!BD18)</f>
        <v/>
      </c>
      <c r="BK18" s="681">
        <f>IF(PT_!U18="","",+PT_!U18)</f>
        <v>4.71</v>
      </c>
      <c r="BL18" s="675">
        <f>IF(PT_!V18="","",+PT_!V18)</f>
        <v>4.93</v>
      </c>
      <c r="BM18" s="675">
        <f>IF(PT_!W18="","",+PT_!W18)</f>
        <v>2.2000000000000002</v>
      </c>
      <c r="BN18" s="675">
        <f>IF(PT_!X18="","",+PT_!X18)</f>
        <v>4.0999999999999996</v>
      </c>
      <c r="BO18" s="675">
        <f>IF(PT_!T18="","",+PT_!T18)</f>
        <v>4.55</v>
      </c>
      <c r="BP18" s="676" t="str">
        <f>IF(CLA_!BE18="","",+CLA_!BE18)</f>
        <v/>
      </c>
      <c r="BQ18" s="676" t="str">
        <f>IF(CLA_!BF18="","",+CLA_!BF18)</f>
        <v/>
      </c>
      <c r="BR18" s="676" t="str">
        <f>IF(ISNUMBER(BQ18+BP18),+ROUND((BP18*DF_!DY16+BQ18*DF_!DZ16)/(DF_!DY16+DF_!DZ16),-1),"")</f>
        <v/>
      </c>
      <c r="BS18" s="676">
        <f>IF(PT_!C18="","",ROUND(+PT_!C18,0))</f>
        <v>19</v>
      </c>
      <c r="BT18" s="675">
        <f>IF(PT_!H18="","",ROUND(MAX(PT_!H18,PT_!K18),1))</f>
        <v>7.5</v>
      </c>
      <c r="BU18" s="675">
        <f>IF(PT_!I18="","",ROUND(MIN(PT_!I18,PT_!L18),1))</f>
        <v>6.7</v>
      </c>
      <c r="BV18" s="675">
        <f>IF(PT_!G18="","",ROUND((PT_!G18*DF_!DZ16+DF_!DY16*PT_!J18)/DF_!DS16,1))</f>
        <v>7</v>
      </c>
      <c r="BW18" s="675">
        <f>IF(PT_!N18="","",+PT_!N18)</f>
        <v>6.7</v>
      </c>
      <c r="BX18" s="675">
        <f>IF(PT_!O18="","",+PT_!O18)</f>
        <v>6.4</v>
      </c>
      <c r="BY18" s="675">
        <f>IF(PT_!M18="","",+PT_!M18)</f>
        <v>6.6</v>
      </c>
      <c r="BZ18" s="682">
        <f>IF(PT_!R18="","",+PT_!R18)</f>
        <v>0.34</v>
      </c>
      <c r="CA18" s="683" t="str">
        <f>IF(PT_!P18="","",+PT_!P18)</f>
        <v/>
      </c>
      <c r="CB18" s="684">
        <f>IF(PT_!Q18="","",+PT_!Q18)</f>
        <v>36</v>
      </c>
      <c r="CC18" s="648" t="s">
        <v>320</v>
      </c>
      <c r="CD18" s="635"/>
      <c r="CE18" s="648" t="s">
        <v>320</v>
      </c>
      <c r="CF18" s="685">
        <f>IF(DF_!AA16="","",+DF_!AA16)</f>
        <v>87</v>
      </c>
      <c r="CG18" s="677">
        <f ca="1">IF(+DMREZ!D18&lt;TODAY(),+DF_!AD16,"")</f>
        <v>87</v>
      </c>
      <c r="CH18" s="677">
        <f>IF(DF_!AB16="","",+DF_!AB16)</f>
        <v>112</v>
      </c>
      <c r="CI18" s="677">
        <f>IF(DF_!AC16="","",+DF_!AC16)</f>
        <v>61</v>
      </c>
      <c r="CJ18" s="677">
        <f>IF(DF_!AG16="","",+DF_!AG16)</f>
        <v>87</v>
      </c>
      <c r="CK18" s="677">
        <f>IF(PT_!BL18="","",ROUND(PT_!BL18,0))</f>
        <v>63</v>
      </c>
      <c r="CL18" s="686">
        <f t="shared" si="22"/>
        <v>0.72413793103448276</v>
      </c>
      <c r="CM18" s="675">
        <f>IF(PT_!AL18="","",+PT_!AL18)</f>
        <v>93.2</v>
      </c>
      <c r="CN18" s="687">
        <f t="shared" si="10"/>
        <v>1.071264367816092</v>
      </c>
      <c r="CO18" s="678">
        <f t="shared" si="11"/>
        <v>2.1</v>
      </c>
      <c r="CP18" s="678">
        <f t="shared" si="23"/>
        <v>3.6</v>
      </c>
      <c r="CQ18" s="678">
        <f t="shared" si="12"/>
        <v>4.9000000000000004</v>
      </c>
      <c r="CR18" s="677">
        <f t="shared" si="13"/>
        <v>420</v>
      </c>
      <c r="CS18" s="675" t="str">
        <f t="shared" si="24"/>
        <v/>
      </c>
      <c r="CT18" s="643" t="s">
        <v>476</v>
      </c>
      <c r="CU18" s="678">
        <f t="shared" si="33"/>
        <v>56.6</v>
      </c>
      <c r="CV18" s="677">
        <f t="shared" si="14"/>
        <v>97.34982332155478</v>
      </c>
      <c r="CW18" s="678">
        <f t="shared" si="15"/>
        <v>55.1</v>
      </c>
      <c r="CX18" s="678">
        <f t="shared" si="34"/>
        <v>324.7</v>
      </c>
      <c r="CY18" s="678">
        <f t="shared" si="25"/>
        <v>27.4</v>
      </c>
      <c r="CZ18" s="678">
        <f t="shared" si="26"/>
        <v>11.9</v>
      </c>
      <c r="DA18" s="2025">
        <f t="shared" si="27"/>
        <v>12.3</v>
      </c>
      <c r="DB18" s="741">
        <f t="shared" si="35"/>
        <v>11.9</v>
      </c>
      <c r="DC18" s="648" t="s">
        <v>320</v>
      </c>
      <c r="DD18" s="648" t="s">
        <v>320</v>
      </c>
      <c r="DE18" s="688" t="str">
        <f>IF(Grit!AT15+Grit!AZ15=0,"",+Grit!AT15+Grit!AZ15*0.5)</f>
        <v/>
      </c>
      <c r="DF18" s="689">
        <f>IF(Grit!AV15="0","",+Grit!AV15)</f>
        <v>324</v>
      </c>
      <c r="DG18" s="689">
        <f t="shared" si="16"/>
        <v>20700</v>
      </c>
      <c r="DH18" s="689" t="str">
        <f>IF(Grit!AX15+Grit!AY15=0,"",+Grit!AX15+Grit!AZ15*0.5)</f>
        <v/>
      </c>
      <c r="DI18" s="689" t="str">
        <f t="shared" si="17"/>
        <v/>
      </c>
      <c r="DJ18" s="675">
        <f ca="1">IF(+DMREZ!D18&lt;TODAY(),+PT_!AE18,"")</f>
        <v>57.5</v>
      </c>
      <c r="DK18" s="678">
        <f t="shared" ca="1" si="36"/>
        <v>119.5</v>
      </c>
      <c r="DL18" s="678">
        <f t="shared" ca="1" si="37"/>
        <v>99.3</v>
      </c>
      <c r="DM18" s="678">
        <f t="shared" ca="1" si="38"/>
        <v>57.5</v>
      </c>
      <c r="DN18" s="678">
        <f t="shared" ca="1" si="39"/>
        <v>61.6</v>
      </c>
      <c r="DO18" s="678">
        <f t="shared" ca="1" si="40"/>
        <v>44</v>
      </c>
      <c r="DP18" s="687" t="str">
        <f>IF(DW_!R18="","",+DW_!R18/1000)</f>
        <v/>
      </c>
      <c r="DQ18" s="678" t="str">
        <f>IF(DW_!S18="","",+DW_!S18*2)</f>
        <v/>
      </c>
      <c r="DR18" s="678" t="str">
        <f>+DW_!S18</f>
        <v/>
      </c>
      <c r="DS18" s="675"/>
      <c r="DT18" s="677">
        <f>IF(PT_!AC18="","",+PT_!AC18)</f>
        <v>102</v>
      </c>
      <c r="DU18" s="689">
        <f>IF(ISNUMBER(CHEM_!G17),+CHEM_!G17,"")</f>
        <v>830</v>
      </c>
      <c r="DV18" s="675">
        <f t="shared" si="18"/>
        <v>9.5</v>
      </c>
      <c r="DW18" s="687">
        <f>IF(PT_!S18="","",+PT_!S18)</f>
        <v>0.46</v>
      </c>
      <c r="DX18" s="648" t="s">
        <v>320</v>
      </c>
      <c r="DY18" s="648" t="s">
        <v>320</v>
      </c>
      <c r="DZ18" s="690" t="str">
        <f>PT_!AK18</f>
        <v/>
      </c>
      <c r="EA18" s="678">
        <f>IF(PT_!AJ18="","",+PT_!AJ18)</f>
        <v>134.4</v>
      </c>
      <c r="EB18" s="2086">
        <f t="shared" si="19"/>
        <v>134.4</v>
      </c>
      <c r="EC18" s="2094">
        <f>IF(PT_!BO18="","",+PT_!BO18)</f>
        <v>56.932079999999999</v>
      </c>
      <c r="ED18" s="1902" t="s">
        <v>475</v>
      </c>
      <c r="EE18" s="1316"/>
      <c r="EF18" s="2083">
        <v>205.7</v>
      </c>
      <c r="EG18" s="2084">
        <v>617.1</v>
      </c>
      <c r="EH18" s="1890"/>
      <c r="EI18" s="689"/>
      <c r="EJ18" s="1891" t="str">
        <f>+PT_!AF18</f>
        <v/>
      </c>
      <c r="EK18" s="759" t="str">
        <f t="shared" si="28"/>
        <v/>
      </c>
      <c r="EL18" s="689"/>
      <c r="EM18" s="689" t="str">
        <f>IF(PT_!AH18&gt;0,+PT_!AH18,"")</f>
        <v/>
      </c>
      <c r="EN18" s="614" t="str">
        <f>IF(PT_!AZ18="","",+PT_!AZ18)</f>
        <v>Clear</v>
      </c>
      <c r="EO18" s="615" t="s">
        <v>320</v>
      </c>
      <c r="EP18" s="610" t="s">
        <v>320</v>
      </c>
      <c r="EQ18" s="691">
        <f>CLA_!BG18</f>
        <v>0.04</v>
      </c>
      <c r="ER18" s="687">
        <f>CLA_!BH18</f>
        <v>0.03</v>
      </c>
      <c r="ES18" s="678">
        <f>CLA_!BI18</f>
        <v>26.4</v>
      </c>
      <c r="ET18" s="678">
        <f>CLA_!BJ18</f>
        <v>41.6</v>
      </c>
      <c r="EU18" s="687" t="str">
        <f>CLA_!BK18</f>
        <v/>
      </c>
      <c r="EV18" s="687" t="str">
        <f>CLA_!BL18</f>
        <v/>
      </c>
      <c r="EW18" s="677" t="str">
        <f>CLA_!BM18</f>
        <v/>
      </c>
      <c r="EX18" s="691">
        <f>CLA_!BN18</f>
        <v>0.04</v>
      </c>
      <c r="EY18" s="687">
        <f>CLA_!BO18</f>
        <v>0.03</v>
      </c>
      <c r="EZ18" s="678">
        <f>CLA_!BP18</f>
        <v>24.8</v>
      </c>
      <c r="FA18" s="678">
        <f>CLA_!BQ18</f>
        <v>37.9</v>
      </c>
      <c r="FB18" s="687" t="str">
        <f>CLA_!BR18</f>
        <v/>
      </c>
      <c r="FC18" s="687" t="str">
        <f>CLA_!BS18</f>
        <v/>
      </c>
      <c r="FD18" s="677" t="str">
        <f>CLA_!BT18</f>
        <v/>
      </c>
      <c r="FE18" s="691">
        <f>IF(ISNUMBER(EQ18+EX18),+EQ18*DF_!$EA16+EX18*DF_!$EB16,"")</f>
        <v>0.04</v>
      </c>
      <c r="FF18" s="687">
        <f>IF(ISNUMBER(+ER18+EY18),+ER18*DF_!$EA16+EY18*DF_!$EB16,"")</f>
        <v>0.03</v>
      </c>
      <c r="FG18" s="678">
        <f>IF(ISNUMBER(ES18)+ISNUMBER(EZ18)&gt;0,IF(ISNUMBER(ES18),ES18,$ET$42)*DF_!$EA16+IF(ISNUMBER(EZ18),EZ18,$FA$42)*DF_!$EB16,"")</f>
        <v>25.84</v>
      </c>
      <c r="FH18" s="678">
        <f>IF(ISNUMBER(ET18)+ISNUMBER(FA18)&gt;0,IF(ISNUMBER(ET18),ET18,$ET$42)*DF_!$EA16+IF(ISNUMBER(FA18),FA18,$FA$42)*DF_!$EB16,"")</f>
        <v>40.305</v>
      </c>
      <c r="FI18" s="687" t="str">
        <f>IF(EU18="","",+EU18*DF_!$EA16+FB18*DF_!$EB16)</f>
        <v/>
      </c>
      <c r="FJ18" s="687" t="str">
        <f>IF(EV18="","",+EV18*DF_!$EA16+FC18*DF_!$EB16)</f>
        <v/>
      </c>
      <c r="FK18" s="677" t="str">
        <f>IF(EW18="","",+EW18*DF_!$EA16+FD18*DF_!$EB16)</f>
        <v/>
      </c>
      <c r="FL18" s="691" t="str">
        <f>CLA_!BU18</f>
        <v/>
      </c>
      <c r="FM18" s="687" t="str">
        <f>CLA_!BV18</f>
        <v/>
      </c>
      <c r="FN18" s="678" t="str">
        <f>CLA_!BW18</f>
        <v/>
      </c>
      <c r="FO18" s="678" t="str">
        <f>CLA_!BX18</f>
        <v/>
      </c>
      <c r="FP18" s="687" t="str">
        <f>CLA_!BY18</f>
        <v/>
      </c>
      <c r="FQ18" s="687" t="str">
        <f>CLA_!BZ18</f>
        <v/>
      </c>
      <c r="FR18" s="677" t="str">
        <f>CLA_!CA18</f>
        <v/>
      </c>
      <c r="FS18" s="691">
        <f>CLA_!CB18</f>
        <v>0.62</v>
      </c>
      <c r="FT18" s="687">
        <f>CLA_!CC18</f>
        <v>3.61</v>
      </c>
      <c r="FU18" s="678">
        <f>CLA_!CD18</f>
        <v>8.6</v>
      </c>
      <c r="FV18" s="678">
        <f>CLA_!CE18</f>
        <v>9.8000000000000007</v>
      </c>
      <c r="FW18" s="687" t="str">
        <f>CLA_!CF18</f>
        <v/>
      </c>
      <c r="FX18" s="687" t="str">
        <f>CLA_!CG18</f>
        <v/>
      </c>
      <c r="FY18" s="677" t="str">
        <f>CLA_!CH18</f>
        <v/>
      </c>
      <c r="FZ18" s="610" t="s">
        <v>320</v>
      </c>
      <c r="GA18" s="610" t="s">
        <v>320</v>
      </c>
      <c r="GB18" s="1968" t="str">
        <f>IF(CLA_!CY18="","",+CLA_!CY18)</f>
        <v/>
      </c>
      <c r="GC18" s="677" t="str">
        <f>IF(CLA_!CZ18="","",+CLA_!CZ18)</f>
        <v/>
      </c>
      <c r="GD18" s="677" t="str">
        <f>IF(CLA_!DA18="","",+CLA_!DA18)</f>
        <v/>
      </c>
      <c r="GE18" s="678" t="str">
        <f>IF(CLA_!DB18="","",+CLA_!DB18)</f>
        <v/>
      </c>
      <c r="GF18" s="677" t="str">
        <f>IF(CLA_!DO18="","",+CLA_!DO18)</f>
        <v/>
      </c>
      <c r="GG18" s="678" t="str">
        <f>IF(CLA_!DP18="","",+CLA_!DP18)</f>
        <v/>
      </c>
      <c r="GH18" s="677" t="str">
        <f>IF(CLA_!DQ18="","",+CLA_!DQ18)</f>
        <v/>
      </c>
      <c r="GI18" s="677" t="str">
        <f>IF(CLA_!DR18="","",+CLA_!DR18)</f>
        <v/>
      </c>
      <c r="GJ18" s="2030"/>
      <c r="GK18" s="2025" t="str">
        <f>IF(CLA_!CQ18="","",+CLA_!CQ18)</f>
        <v/>
      </c>
      <c r="GL18" s="2024"/>
      <c r="GM18" s="2026" t="str">
        <f>IF(CLA_!CR18="","",+CLA_!CR18)</f>
        <v/>
      </c>
      <c r="GN18" s="2024" t="str">
        <f>IF(CLA_!CZ18="","",+CLA_!CZ18)</f>
        <v/>
      </c>
      <c r="GO18" s="2026" t="str">
        <f>IF(CLA_!CS18="","",+CLA_!CS18)</f>
        <v/>
      </c>
      <c r="GP18" s="2024" t="str">
        <f>IF(CLA_!DA18="","",+CLA_!DA18)</f>
        <v/>
      </c>
      <c r="GQ18" s="2025" t="str">
        <f>IF(CLA_!CT18="","",+CLA_!CT18)</f>
        <v/>
      </c>
      <c r="GR18" s="2024" t="str">
        <f>IF(CLA_!CY18="","",+CLA_!CY18)</f>
        <v/>
      </c>
      <c r="GS18" s="2024" t="str">
        <f>IF(CLA_!CV18="","",+CLA_!CV18)</f>
        <v/>
      </c>
      <c r="GT18" s="2024" t="str">
        <f>IF(CLA_!DO18="","",+CLA_!DO18)</f>
        <v/>
      </c>
      <c r="GU18" s="2031" t="str">
        <f>IF(CLA_!CU18="","",+CLA_!CU18)</f>
        <v/>
      </c>
      <c r="GV18" s="1913" t="str">
        <f>CLA_!DF18</f>
        <v/>
      </c>
      <c r="GW18" s="677" t="str">
        <f>CLA_!DG18</f>
        <v/>
      </c>
      <c r="GX18" s="677" t="str">
        <f>CLA_!DH18</f>
        <v/>
      </c>
      <c r="GY18" s="678" t="str">
        <f>CLA_!DC18</f>
        <v/>
      </c>
      <c r="GZ18" s="648" t="s">
        <v>320</v>
      </c>
      <c r="HA18" s="635"/>
      <c r="HB18" s="648" t="s">
        <v>320</v>
      </c>
      <c r="HC18" s="685">
        <f>IF(PT_!BC18="","",+PT_!BC18)</f>
        <v>14</v>
      </c>
      <c r="HD18" s="677">
        <f>IF(PT_!BD18="","",+PT_!BD18)</f>
        <v>6</v>
      </c>
      <c r="HE18" s="677">
        <f>IF(PT_!BE18="","",+PT_!BE18)</f>
        <v>3</v>
      </c>
      <c r="HF18" s="677">
        <f>IF(PT_!BF18="","",+PT_!BF18)</f>
        <v>4</v>
      </c>
      <c r="HG18" s="677">
        <f>IF(PT_!BG18="","",+PT_!BG18)</f>
        <v>4</v>
      </c>
      <c r="HH18" s="677">
        <f>IF(PT_!BH18="","",+PT_!BH18)</f>
        <v>2</v>
      </c>
      <c r="HI18" s="677">
        <f>IF(PT_!BI18="","",+PT_!BI18)</f>
        <v>1</v>
      </c>
      <c r="HJ18" s="677">
        <f>IF(PT_!BJ18="","",+PT_!BJ18)</f>
        <v>4</v>
      </c>
      <c r="HK18" s="677">
        <f>IF(PT_!BK18="","",+PT_!BK18)</f>
        <v>2</v>
      </c>
      <c r="HL18" s="653"/>
      <c r="HM18" s="1782">
        <f t="shared" si="29"/>
        <v>62</v>
      </c>
      <c r="HN18" s="1787">
        <f t="shared" si="30"/>
        <v>31</v>
      </c>
      <c r="HO18" s="719">
        <f t="shared" si="31"/>
        <v>30</v>
      </c>
      <c r="HU18" s="730"/>
      <c r="HV18" s="2442"/>
      <c r="IU18" s="27"/>
    </row>
    <row r="19" spans="1:255" ht="17.100000000000001" customHeight="1">
      <c r="A19" s="579"/>
      <c r="B19" s="648" t="s">
        <v>321</v>
      </c>
      <c r="C19" s="674">
        <f>+CLA_!D19</f>
        <v>192</v>
      </c>
      <c r="D19" s="675" t="str">
        <f>+CLA_!E19</f>
        <v/>
      </c>
      <c r="E19" s="676">
        <f>+CLA_!F19</f>
        <v>140</v>
      </c>
      <c r="F19" s="675" t="str">
        <f>+CLA_!G19</f>
        <v/>
      </c>
      <c r="G19" s="676">
        <f>IF(C19="","",ROUND((IF(ISNUMBER(C19),C19,+$C$42)*DF_!$DY17+IF(ISNUMBER(E19),E19,$E$42)*DF_!$DZ17)/(DF_!$DY17+DF_!$DZ17),0))</f>
        <v>174</v>
      </c>
      <c r="H19" s="675" t="str">
        <f>IF(D19="","",ROUND((IF(+D19=0,+$D$42,+D19)*DF_!$DY17+IF(ISNUMBER(F19),F19,$F$42)*DF_!$DZ17)/(DF_!$DY17+DF_!$DZ17),1))</f>
        <v/>
      </c>
      <c r="I19" s="676" t="str">
        <f>+CLA_!H19</f>
        <v/>
      </c>
      <c r="J19" s="676" t="str">
        <f>+CLA_!I19</f>
        <v/>
      </c>
      <c r="K19" s="676">
        <f>+CLA_!J19</f>
        <v>8</v>
      </c>
      <c r="L19" s="676" t="str">
        <f>+CLA_!K19</f>
        <v/>
      </c>
      <c r="M19" s="677" t="str">
        <f>IF(SUM(CLA_!L19:N19)=0,"",ROUND(AVERAGE(CLA_!L19:N19),-2))</f>
        <v/>
      </c>
      <c r="N19" s="677" t="str">
        <f>IF(SUM(CLA_!O19:P19)=0,"",ROUND(AVERAGE(CLA_!O19:P19),-2))</f>
        <v/>
      </c>
      <c r="O19" s="677" t="str">
        <f>IF(SUM(CLA_!Q19:S19)=0,"",ROUND(AVERAGE(CLA_!Q19:S19),-2))</f>
        <v/>
      </c>
      <c r="P19" s="677" t="str">
        <f>IF(SUM(CLA_!T19:U19)=0,"",ROUND(AVERAGE(CLA_!T19:U19),-2))</f>
        <v/>
      </c>
      <c r="Q19" s="677" t="str">
        <f>+CLA_!V19</f>
        <v/>
      </c>
      <c r="R19" s="678" t="str">
        <f>+CLA_!W19</f>
        <v/>
      </c>
      <c r="S19" s="677" t="str">
        <f>+CLA_!X19</f>
        <v/>
      </c>
      <c r="T19" s="678" t="str">
        <f>+CLA_!Y19</f>
        <v/>
      </c>
      <c r="U19" s="675" t="str">
        <f>IF(M19="","",+M19/(PT_!Y19*10))</f>
        <v/>
      </c>
      <c r="V19" s="675" t="str">
        <f>IF(N19="","",+N19/(PT_!Z19*10))</f>
        <v/>
      </c>
      <c r="W19" s="675"/>
      <c r="X19" s="675"/>
      <c r="Y19" s="648" t="s">
        <v>321</v>
      </c>
      <c r="Z19" s="648" t="s">
        <v>321</v>
      </c>
      <c r="AA19" s="674">
        <f>IF(CLA_!Z19="","",+CLA_!Z19)</f>
        <v>165</v>
      </c>
      <c r="AB19" s="676">
        <f>IF(CLA_!AA19="","",+CLA_!AA19)</f>
        <v>149</v>
      </c>
      <c r="AC19" s="676">
        <f>IF(AA19="","",ROUND((IF(ISNUMBER(AA19),AA19,$AA$42)*DF_!$DY17+IF(ISNUMBER(AB19),AB19,$AB$42)*DF_!$DZ17)/(DF_!$DY17+DF_!$DZ17),0))</f>
        <v>159</v>
      </c>
      <c r="AD19" s="676" t="str">
        <f>IF(CLA_!AB19="","",+CLA_!AB19)</f>
        <v/>
      </c>
      <c r="AE19" s="676" t="str">
        <f>IF(CLA_!AC19="","",+CLA_!AC19)</f>
        <v/>
      </c>
      <c r="AF19" s="676">
        <f>IF(CLA_!AD19="","",+CLA_!AD19)</f>
        <v>4</v>
      </c>
      <c r="AG19" s="676" t="str">
        <f>IF(CLA_!AE19="","",+CLA_!AE19)</f>
        <v/>
      </c>
      <c r="AH19" s="675" t="str">
        <f>IF(CLA_!AF19="","",+CLA_!AF19)</f>
        <v/>
      </c>
      <c r="AI19" s="675" t="str">
        <f>IF(CLA_!AG19="","",+CLA_!AG19)</f>
        <v/>
      </c>
      <c r="AJ19" s="675" t="str">
        <f>IF(CLA_!AH19="","",+CLA_!AH19)</f>
        <v/>
      </c>
      <c r="AK19" s="675" t="str">
        <f>IF(CLA_!AI19="","",+CLA_!AI19)</f>
        <v/>
      </c>
      <c r="AL19" s="2192" t="str">
        <f t="shared" si="20"/>
        <v/>
      </c>
      <c r="AM19" s="675"/>
      <c r="AN19" s="676">
        <f>PT_!Y19</f>
        <v>200</v>
      </c>
      <c r="AO19" s="676">
        <f>PT_!Z19</f>
        <v>380</v>
      </c>
      <c r="AP19" s="682">
        <f t="shared" si="41"/>
        <v>0.12267451783580817</v>
      </c>
      <c r="AQ19" s="682">
        <f t="shared" si="42"/>
        <v>0.12119843420656429</v>
      </c>
      <c r="AR19" s="675">
        <f ca="1">IF(DMREZ!D19&gt;TODAY()-2,"",((IF(ISNUMBER(O19),O19,$O$42)*2.52*HD19)/((CF19*IF(ISNUMBER(K19),K19,$K$42)*(+HD19/(HD19+HE19)))+($HQ$14*IF(ISNUMBER(AT_!Q19),AT_!Q19,AT_!$Q$42)))))</f>
        <v>5.8265346473717718</v>
      </c>
      <c r="AS19" s="675">
        <f ca="1">IF(DMREZ!D19&gt;TODAY()-2,"",((IF(ISNUMBER(P19),P19,$P$42)*2.52*HE19)/((CF19*IF(ISNUMBER(K19),K19,$K$42)*(HE19/(HD19+HE19))+((PT_!BN19+2.5/3.5*PT_!BP19)*IF(ISNUMBER(AT_!S19),AT_!S19,AT_!$S$42))))))</f>
        <v>12.148900594743033</v>
      </c>
      <c r="AT19" s="648" t="s">
        <v>321</v>
      </c>
      <c r="AU19" s="648" t="s">
        <v>321</v>
      </c>
      <c r="AV19" s="679" t="str">
        <f>IF(CLA_!AP19="","",+CLA_!AP19)</f>
        <v/>
      </c>
      <c r="AW19" s="680" t="str">
        <f>IF(CLA_!AQ19="","",+CLA_!AQ19)</f>
        <v/>
      </c>
      <c r="AX19" s="680" t="str">
        <f>IF(CLA_!AR19="","",+CLA_!AR19)</f>
        <v/>
      </c>
      <c r="AY19" s="680" t="str">
        <f>IF(CLA_!AS19="","",+CLA_!AS19)</f>
        <v/>
      </c>
      <c r="AZ19" s="680" t="str">
        <f>IF(CLA_!AT19="","",+CLA_!AT19)</f>
        <v/>
      </c>
      <c r="BA19" s="680" t="str">
        <f>IF(CLA_!AU19="","",+CLA_!AU19)</f>
        <v/>
      </c>
      <c r="BB19" s="680" t="str">
        <f>IF(CLA_!AV19="","",+CLA_!AV19)</f>
        <v/>
      </c>
      <c r="BC19" s="680" t="str">
        <f>IF(CLA_!AW19="","",+CLA_!AW19)</f>
        <v/>
      </c>
      <c r="BD19" s="680" t="str">
        <f>IF(CLA_!AX19="","",+CLA_!AX19)</f>
        <v/>
      </c>
      <c r="BE19" s="680" t="str">
        <f>IF(CLA_!AY19="","",+CLA_!AY19)</f>
        <v/>
      </c>
      <c r="BF19" s="675" t="str">
        <f>IF(CLA_!AZ19="","",+CLA_!AZ19)</f>
        <v/>
      </c>
      <c r="BG19" s="675" t="str">
        <f>IF(CLA_!BA19="","",+CLA_!BA19)</f>
        <v/>
      </c>
      <c r="BH19" s="675" t="str">
        <f>IF(CLA_!BB19="","",+CLA_!BB19)</f>
        <v/>
      </c>
      <c r="BI19" s="675" t="str">
        <f>IF(CLA_!BC19="","",+CLA_!BC19)</f>
        <v/>
      </c>
      <c r="BJ19" s="675" t="str">
        <f>IF(CLA_!BD19="","",+CLA_!BD19)</f>
        <v/>
      </c>
      <c r="BK19" s="681">
        <f>IF(PT_!U19="","",+PT_!U19)</f>
        <v>5.75</v>
      </c>
      <c r="BL19" s="675">
        <f>IF(PT_!V19="","",+PT_!V19)</f>
        <v>4.57</v>
      </c>
      <c r="BM19" s="675">
        <f>IF(PT_!W19="","",+PT_!W19)</f>
        <v>3.9</v>
      </c>
      <c r="BN19" s="675">
        <f>IF(PT_!X19="","",+PT_!X19)</f>
        <v>3.39</v>
      </c>
      <c r="BO19" s="675">
        <f>IF(PT_!T19="","",+PT_!T19)</f>
        <v>4.9000000000000004</v>
      </c>
      <c r="BP19" s="676" t="str">
        <f>IF(CLA_!BE19="","",+CLA_!BE19)</f>
        <v/>
      </c>
      <c r="BQ19" s="676" t="str">
        <f>IF(CLA_!BF19="","",+CLA_!BF19)</f>
        <v/>
      </c>
      <c r="BR19" s="676" t="str">
        <f>IF(ISNUMBER(BQ19+BP19),+ROUND((BP19*DF_!DY17+BQ19*DF_!DZ17)/(DF_!DY17+DF_!DZ17),-1),"")</f>
        <v/>
      </c>
      <c r="BS19" s="676">
        <f>IF(PT_!C19="","",ROUND(+PT_!C19,0))</f>
        <v>19</v>
      </c>
      <c r="BT19" s="675">
        <f>IF(PT_!H19="","",ROUND(MAX(PT_!H19,PT_!K19),1))</f>
        <v>7.3</v>
      </c>
      <c r="BU19" s="675">
        <f>IF(PT_!I19="","",ROUND(MIN(PT_!I19,PT_!L19),1))</f>
        <v>6.7</v>
      </c>
      <c r="BV19" s="675">
        <f>IF(PT_!G19="","",ROUND((PT_!G19*DF_!DZ17+DF_!DY17*PT_!J19)/DF_!DS17,1))</f>
        <v>6.9</v>
      </c>
      <c r="BW19" s="675">
        <f>IF(PT_!N19="","",+PT_!N19)</f>
        <v>7.1</v>
      </c>
      <c r="BX19" s="675">
        <f>IF(PT_!O19="","",+PT_!O19)</f>
        <v>6.4</v>
      </c>
      <c r="BY19" s="675">
        <f>IF(PT_!M19="","",+PT_!M19)</f>
        <v>6.7</v>
      </c>
      <c r="BZ19" s="682">
        <f>IF(PT_!R19="","",+PT_!R19)</f>
        <v>0.42</v>
      </c>
      <c r="CA19" s="683" t="str">
        <f>IF(PT_!P19="","",+PT_!P19)</f>
        <v/>
      </c>
      <c r="CB19" s="684">
        <f>IF(PT_!Q19="","",+PT_!Q19)</f>
        <v>38</v>
      </c>
      <c r="CC19" s="648" t="s">
        <v>321</v>
      </c>
      <c r="CD19" s="635"/>
      <c r="CE19" s="648" t="s">
        <v>321</v>
      </c>
      <c r="CF19" s="685">
        <f>IF(DF_!AA17="","",+DF_!AA17)</f>
        <v>115</v>
      </c>
      <c r="CG19" s="677">
        <f ca="1">IF(+DMREZ!D19&lt;TODAY(),+DF_!AD17,"")</f>
        <v>104</v>
      </c>
      <c r="CH19" s="677">
        <f>IF(DF_!AB17="","",+DF_!AB17)</f>
        <v>210</v>
      </c>
      <c r="CI19" s="677">
        <f>IF(DF_!AC17="","",+DF_!AC17)</f>
        <v>59</v>
      </c>
      <c r="CJ19" s="677">
        <f>IF(DF_!AG17="","",+DF_!AG17)</f>
        <v>115</v>
      </c>
      <c r="CK19" s="677">
        <f>IF(PT_!BL19="","",ROUND(PT_!BL19,0))</f>
        <v>63</v>
      </c>
      <c r="CL19" s="686">
        <f t="shared" si="22"/>
        <v>0.54782608695652169</v>
      </c>
      <c r="CM19" s="675">
        <f>IF(PT_!AL19="","",+PT_!AL19)</f>
        <v>92.2</v>
      </c>
      <c r="CN19" s="687">
        <f t="shared" si="10"/>
        <v>0.80173913043478262</v>
      </c>
      <c r="CO19" s="678">
        <f t="shared" si="11"/>
        <v>1.6</v>
      </c>
      <c r="CP19" s="678">
        <f t="shared" si="23"/>
        <v>3.1</v>
      </c>
      <c r="CQ19" s="678">
        <f t="shared" si="12"/>
        <v>3.7</v>
      </c>
      <c r="CR19" s="677">
        <f>IF(ISNUMBER(CJ19),ROUND(+CJ19/($HF$9*HF19+$HG$9*HG19+$HH$9*HH19+$HI$9*HI19+$HJ$9*HJ19+$HK$9*HK19),-1),"")</f>
        <v>560</v>
      </c>
      <c r="CS19" s="675" t="str">
        <f t="shared" si="24"/>
        <v/>
      </c>
      <c r="CT19" s="643"/>
      <c r="CU19" s="678">
        <f t="shared" ref="CU19:CU29" si="43">IF(ISNUMBER(CF19),+ROUND(CF19*G19*$HQ$6,1),"")</f>
        <v>83.4</v>
      </c>
      <c r="CV19" s="677">
        <f t="shared" ref="CV19:CV29" si="44">IF(ISNUMBER(CW19),+CW19/CU19*100,"")</f>
        <v>95.443645083932836</v>
      </c>
      <c r="CW19" s="678">
        <f t="shared" ref="CW19:CW29" si="45">IF(ISNUMBER(CF19),ROUND(+CU19-(+$HQ$6*CF19*(IF(ISNUMBER(K19),K19,$K$42))),1),"")</f>
        <v>79.599999999999994</v>
      </c>
      <c r="CX19" s="678">
        <f t="shared" si="34"/>
        <v>324.7</v>
      </c>
      <c r="CY19" s="678">
        <f t="shared" si="25"/>
        <v>36.299999999999997</v>
      </c>
      <c r="CZ19" s="678">
        <f t="shared" si="26"/>
        <v>9</v>
      </c>
      <c r="DA19" s="2025">
        <f t="shared" si="27"/>
        <v>9.3000000000000007</v>
      </c>
      <c r="DB19" s="741">
        <f t="shared" si="35"/>
        <v>8.9</v>
      </c>
      <c r="DC19" s="648" t="s">
        <v>321</v>
      </c>
      <c r="DD19" s="648" t="s">
        <v>321</v>
      </c>
      <c r="DE19" s="688" t="str">
        <f>IF(Grit!AT16+Grit!AZ16=0,"",+Grit!AT16+Grit!AZ16*0.5)</f>
        <v/>
      </c>
      <c r="DF19" s="689">
        <f>IF(Grit!AV16="0","",+Grit!AV16)</f>
        <v>162</v>
      </c>
      <c r="DG19" s="689">
        <f t="shared" si="16"/>
        <v>10400</v>
      </c>
      <c r="DH19" s="689" t="str">
        <f>IF(Grit!AX16+Grit!AY16=0,"",+Grit!AX16+Grit!AZ16*0.5)</f>
        <v/>
      </c>
      <c r="DI19" s="689" t="str">
        <f t="shared" si="17"/>
        <v/>
      </c>
      <c r="DJ19" s="675">
        <f ca="1">IF(+DMREZ!D19&lt;TODAY(),+PT_!AE19,"")</f>
        <v>81.3</v>
      </c>
      <c r="DK19" s="678">
        <f t="shared" ca="1" si="36"/>
        <v>169</v>
      </c>
      <c r="DL19" s="678">
        <f t="shared" ca="1" si="37"/>
        <v>140.4</v>
      </c>
      <c r="DM19" s="678">
        <f t="shared" ca="1" si="38"/>
        <v>81.3</v>
      </c>
      <c r="DN19" s="678">
        <f t="shared" ca="1" si="39"/>
        <v>87.1</v>
      </c>
      <c r="DO19" s="678">
        <f t="shared" ca="1" si="40"/>
        <v>62.2</v>
      </c>
      <c r="DP19" s="687" t="str">
        <f>IF(DW_!R19="","",+DW_!R19/1000)</f>
        <v/>
      </c>
      <c r="DQ19" s="678" t="str">
        <f>IF(DW_!S19="","",+DW_!S19*2)</f>
        <v/>
      </c>
      <c r="DR19" s="678" t="str">
        <f>+DW_!S19</f>
        <v/>
      </c>
      <c r="DS19" s="675"/>
      <c r="DT19" s="677">
        <f>IF(PT_!AC19="","",+PT_!AC19)</f>
        <v>103</v>
      </c>
      <c r="DU19" s="689">
        <f>IF(ISNUMBER(CHEM_!G18),+CHEM_!G18,"")</f>
        <v>1270</v>
      </c>
      <c r="DV19" s="675">
        <f t="shared" si="18"/>
        <v>11</v>
      </c>
      <c r="DW19" s="687">
        <f>IF(PT_!S19="","",+PT_!S19)</f>
        <v>0.46</v>
      </c>
      <c r="DX19" s="648" t="s">
        <v>321</v>
      </c>
      <c r="DY19" s="648" t="s">
        <v>321</v>
      </c>
      <c r="DZ19" s="690" t="str">
        <f>PT_!AK19</f>
        <v/>
      </c>
      <c r="EA19" s="678">
        <f>IF(PT_!AJ19="","",+PT_!AJ19)</f>
        <v>147.20000000000002</v>
      </c>
      <c r="EB19" s="2086">
        <f t="shared" si="19"/>
        <v>147.20000000000002</v>
      </c>
      <c r="EC19" s="2094">
        <f>IF(PT_!BO19="","",+PT_!BO19)</f>
        <v>56.372160000000001</v>
      </c>
      <c r="ED19" s="1902" t="s">
        <v>477</v>
      </c>
      <c r="EE19" s="1316"/>
      <c r="EF19" s="2083">
        <v>205.7</v>
      </c>
      <c r="EG19" s="2084">
        <v>617.1</v>
      </c>
      <c r="EH19" s="1890"/>
      <c r="EI19" s="689"/>
      <c r="EJ19" s="1891" t="str">
        <f>+PT_!AF19</f>
        <v/>
      </c>
      <c r="EK19" s="759" t="str">
        <f t="shared" si="28"/>
        <v/>
      </c>
      <c r="EL19" s="689"/>
      <c r="EM19" s="689" t="str">
        <f>IF(PT_!AH19&gt;0,+PT_!AH19,"")</f>
        <v/>
      </c>
      <c r="EN19" s="614" t="str">
        <f>IF(PT_!AZ19="","",+PT_!AZ19)</f>
        <v>Rain</v>
      </c>
      <c r="EO19" s="615" t="s">
        <v>321</v>
      </c>
      <c r="EP19" s="610" t="s">
        <v>321</v>
      </c>
      <c r="EQ19" s="691">
        <f>CLA_!BG19</f>
        <v>0.05</v>
      </c>
      <c r="ER19" s="687">
        <f>CLA_!BH19</f>
        <v>0.09</v>
      </c>
      <c r="ES19" s="678">
        <f>CLA_!BI19</f>
        <v>26.7</v>
      </c>
      <c r="ET19" s="678">
        <f>CLA_!BJ19</f>
        <v>49.4</v>
      </c>
      <c r="EU19" s="687" t="str">
        <f>CLA_!BK19</f>
        <v/>
      </c>
      <c r="EV19" s="687" t="str">
        <f>CLA_!BL19</f>
        <v/>
      </c>
      <c r="EW19" s="677" t="str">
        <f>CLA_!BM19</f>
        <v/>
      </c>
      <c r="EX19" s="691">
        <f>CLA_!BN19</f>
        <v>0.04</v>
      </c>
      <c r="EY19" s="687">
        <f>CLA_!BO19</f>
        <v>7.0000000000000007E-2</v>
      </c>
      <c r="EZ19" s="678">
        <f>CLA_!BP19</f>
        <v>23.9</v>
      </c>
      <c r="FA19" s="678">
        <f>CLA_!BQ19</f>
        <v>38.9</v>
      </c>
      <c r="FB19" s="687" t="str">
        <f>CLA_!BR19</f>
        <v/>
      </c>
      <c r="FC19" s="687" t="str">
        <f>CLA_!BS19</f>
        <v/>
      </c>
      <c r="FD19" s="677" t="str">
        <f>CLA_!BT19</f>
        <v/>
      </c>
      <c r="FE19" s="691">
        <f>IF(ISNUMBER(EQ19+EX19),+EQ19*DF_!$EA17+EX19*DF_!$EB17,"")</f>
        <v>4.65E-2</v>
      </c>
      <c r="FF19" s="687">
        <f>IF(ISNUMBER(+ER19+EY19),+ER19*DF_!$EA17+EY19*DF_!$EB17,"")</f>
        <v>8.299999999999999E-2</v>
      </c>
      <c r="FG19" s="678">
        <f>IF(ISNUMBER(ES19)+ISNUMBER(EZ19)&gt;0,IF(ISNUMBER(ES19),ES19,$ET$42)*DF_!$EA17+IF(ISNUMBER(EZ19),EZ19,$FA$42)*DF_!$EB17,"")</f>
        <v>25.72</v>
      </c>
      <c r="FH19" s="678">
        <f>IF(ISNUMBER(ET19)+ISNUMBER(FA19)&gt;0,IF(ISNUMBER(ET19),ET19,$ET$42)*DF_!$EA17+IF(ISNUMBER(FA19),FA19,$FA$42)*DF_!$EB17,"")</f>
        <v>45.724999999999994</v>
      </c>
      <c r="FI19" s="687" t="str">
        <f>IF(EU19="","",+EU19*DF_!$EA17+FB19*DF_!$EB17)</f>
        <v/>
      </c>
      <c r="FJ19" s="687" t="str">
        <f>IF(EV19="","",+EV19*DF_!$EA17+FC19*DF_!$EB17)</f>
        <v/>
      </c>
      <c r="FK19" s="677" t="str">
        <f>IF(EW19="","",+EW19*DF_!$EA17+FD19*DF_!$EB17)</f>
        <v/>
      </c>
      <c r="FL19" s="691" t="str">
        <f>CLA_!BU19</f>
        <v/>
      </c>
      <c r="FM19" s="687" t="str">
        <f>CLA_!BV19</f>
        <v/>
      </c>
      <c r="FN19" s="678" t="str">
        <f>CLA_!BW19</f>
        <v/>
      </c>
      <c r="FO19" s="678" t="str">
        <f>CLA_!BX19</f>
        <v/>
      </c>
      <c r="FP19" s="687" t="str">
        <f>CLA_!BY19</f>
        <v/>
      </c>
      <c r="FQ19" s="687" t="str">
        <f>CLA_!BZ19</f>
        <v/>
      </c>
      <c r="FR19" s="677" t="str">
        <f>CLA_!CA19</f>
        <v/>
      </c>
      <c r="FS19" s="691">
        <f>CLA_!CB19</f>
        <v>0.54</v>
      </c>
      <c r="FT19" s="687">
        <f>CLA_!CC19</f>
        <v>3.24</v>
      </c>
      <c r="FU19" s="678">
        <f>CLA_!CD19</f>
        <v>10.199999999999999</v>
      </c>
      <c r="FV19" s="678">
        <f>CLA_!CE19</f>
        <v>12.3</v>
      </c>
      <c r="FW19" s="687" t="str">
        <f>CLA_!CF19</f>
        <v/>
      </c>
      <c r="FX19" s="687" t="str">
        <f>CLA_!CG19</f>
        <v/>
      </c>
      <c r="FY19" s="677" t="str">
        <f>CLA_!CH19</f>
        <v/>
      </c>
      <c r="FZ19" s="610" t="s">
        <v>321</v>
      </c>
      <c r="GA19" s="610" t="s">
        <v>321</v>
      </c>
      <c r="GB19" s="1968" t="str">
        <f>IF(CLA_!CY19="","",+CLA_!CY19)</f>
        <v/>
      </c>
      <c r="GC19" s="677" t="str">
        <f>IF(CLA_!CZ19="","",+CLA_!CZ19)</f>
        <v/>
      </c>
      <c r="GD19" s="677" t="str">
        <f>IF(CLA_!DA19="","",+CLA_!DA19)</f>
        <v/>
      </c>
      <c r="GE19" s="678" t="str">
        <f>IF(CLA_!DB19="","",+CLA_!DB19)</f>
        <v/>
      </c>
      <c r="GF19" s="677" t="str">
        <f>IF(CLA_!DO19="","",+CLA_!DO19)</f>
        <v/>
      </c>
      <c r="GG19" s="678" t="str">
        <f>IF(CLA_!DP19="","",+CLA_!DP19)</f>
        <v/>
      </c>
      <c r="GH19" s="677" t="str">
        <f>IF(CLA_!DQ19="","",+CLA_!DQ19)</f>
        <v/>
      </c>
      <c r="GI19" s="677" t="str">
        <f>IF(CLA_!DR19="","",+CLA_!DR19)</f>
        <v/>
      </c>
      <c r="GJ19" s="2030"/>
      <c r="GK19" s="2025" t="str">
        <f>IF(CLA_!CQ19="","",+CLA_!CQ19)</f>
        <v/>
      </c>
      <c r="GL19" s="2024"/>
      <c r="GM19" s="2026" t="str">
        <f>IF(CLA_!CR19="","",+CLA_!CR19)</f>
        <v/>
      </c>
      <c r="GN19" s="2024" t="str">
        <f>IF(CLA_!CZ19="","",+CLA_!CZ19)</f>
        <v/>
      </c>
      <c r="GO19" s="2026" t="str">
        <f>IF(CLA_!CS19="","",+CLA_!CS19)</f>
        <v/>
      </c>
      <c r="GP19" s="2024" t="str">
        <f>IF(CLA_!DA19="","",+CLA_!DA19)</f>
        <v/>
      </c>
      <c r="GQ19" s="2025" t="str">
        <f>IF(CLA_!CT19="","",+CLA_!CT19)</f>
        <v/>
      </c>
      <c r="GR19" s="2024" t="str">
        <f>IF(CLA_!CY19="","",+CLA_!CY19)</f>
        <v/>
      </c>
      <c r="GS19" s="2024" t="str">
        <f>IF(CLA_!CV19="","",+CLA_!CV19)</f>
        <v/>
      </c>
      <c r="GT19" s="2024" t="str">
        <f>IF(CLA_!DO19="","",+CLA_!DO19)</f>
        <v/>
      </c>
      <c r="GU19" s="2031" t="str">
        <f>IF(CLA_!CU19="","",+CLA_!CU19)</f>
        <v/>
      </c>
      <c r="GV19" s="1913" t="str">
        <f>CLA_!DF19</f>
        <v/>
      </c>
      <c r="GW19" s="677" t="str">
        <f>CLA_!DG19</f>
        <v/>
      </c>
      <c r="GX19" s="677" t="str">
        <f>CLA_!DH19</f>
        <v/>
      </c>
      <c r="GY19" s="678" t="str">
        <f>CLA_!DC19</f>
        <v/>
      </c>
      <c r="GZ19" s="648" t="s">
        <v>321</v>
      </c>
      <c r="HA19" s="635"/>
      <c r="HB19" s="648" t="s">
        <v>321</v>
      </c>
      <c r="HC19" s="685">
        <f>IF(PT_!BC19="","",+PT_!BC19)</f>
        <v>14</v>
      </c>
      <c r="HD19" s="677">
        <f>IF(PT_!BD19="","",+PT_!BD19)</f>
        <v>6</v>
      </c>
      <c r="HE19" s="677">
        <f>IF(PT_!BE19="","",+PT_!BE19)</f>
        <v>3</v>
      </c>
      <c r="HF19" s="677">
        <f>IF(PT_!BF19="","",+PT_!BF19)</f>
        <v>4</v>
      </c>
      <c r="HG19" s="677">
        <f>IF(PT_!BG19="","",+PT_!BG19)</f>
        <v>4</v>
      </c>
      <c r="HH19" s="677">
        <f>IF(PT_!BH19="","",+PT_!BH19)</f>
        <v>2</v>
      </c>
      <c r="HI19" s="677">
        <f>IF(PT_!BI19="","",+PT_!BI19)</f>
        <v>1</v>
      </c>
      <c r="HJ19" s="677">
        <f>IF(PT_!BJ19="","",+PT_!BJ19)</f>
        <v>4</v>
      </c>
      <c r="HK19" s="677">
        <f>IF(PT_!BK19="","",+PT_!BK19)</f>
        <v>2</v>
      </c>
      <c r="HL19" s="653"/>
      <c r="HM19" s="1782">
        <f t="shared" si="29"/>
        <v>82</v>
      </c>
      <c r="HN19" s="1787">
        <f t="shared" si="30"/>
        <v>40</v>
      </c>
      <c r="HO19" s="719">
        <f t="shared" si="31"/>
        <v>59</v>
      </c>
      <c r="HU19" s="730"/>
      <c r="HV19" s="2442"/>
      <c r="IU19" s="27"/>
    </row>
    <row r="20" spans="1:255" ht="17.100000000000001" customHeight="1">
      <c r="A20" s="579"/>
      <c r="B20" s="648" t="s">
        <v>322</v>
      </c>
      <c r="C20" s="674">
        <f>+CLA_!D20</f>
        <v>120</v>
      </c>
      <c r="D20" s="675" t="str">
        <f>+CLA_!E20</f>
        <v/>
      </c>
      <c r="E20" s="676">
        <f>+CLA_!F20</f>
        <v>84</v>
      </c>
      <c r="F20" s="675" t="str">
        <f>+CLA_!G20</f>
        <v/>
      </c>
      <c r="G20" s="676">
        <f>IF(C20="","",ROUND((IF(ISNUMBER(C20),C20,+$C$42)*DF_!$DY18+IF(ISNUMBER(E20),E20,$E$42)*DF_!$DZ18)/(DF_!$DY18+DF_!$DZ18),0))</f>
        <v>107</v>
      </c>
      <c r="H20" s="675" t="str">
        <f>IF(D20="","",ROUND((IF(+D20=0,+$D$42,+D20)*DF_!$DY18+IF(ISNUMBER(F20),F20,$F$42)*DF_!$DZ18)/(DF_!$DY18+DF_!$DZ18),1))</f>
        <v/>
      </c>
      <c r="I20" s="676">
        <f>+CLA_!H20</f>
        <v>122</v>
      </c>
      <c r="J20" s="676">
        <f>+CLA_!I20</f>
        <v>114</v>
      </c>
      <c r="K20" s="676">
        <f>+CLA_!J20</f>
        <v>18</v>
      </c>
      <c r="L20" s="676" t="str">
        <f>+CLA_!K20</f>
        <v/>
      </c>
      <c r="M20" s="677">
        <f>IF(SUM(CLA_!L20:N20)=0,"",ROUND(AVERAGE(CLA_!L20:N20),-2))</f>
        <v>1500</v>
      </c>
      <c r="N20" s="677">
        <f>IF(SUM(CLA_!O20:P20)=0,"",ROUND(AVERAGE(CLA_!O20:P20),-2))</f>
        <v>2200</v>
      </c>
      <c r="O20" s="677">
        <f>IF(SUM(CLA_!Q20:S20)=0,"",ROUND(AVERAGE(CLA_!Q20:S20),-2))</f>
        <v>2400</v>
      </c>
      <c r="P20" s="677">
        <f>IF(SUM(CLA_!T20:U20)=0,"",ROUND(AVERAGE(CLA_!T20:U20),-2))</f>
        <v>2900</v>
      </c>
      <c r="Q20" s="677">
        <f>+CLA_!V20</f>
        <v>5600</v>
      </c>
      <c r="R20" s="678" t="str">
        <f>+CLA_!W20</f>
        <v/>
      </c>
      <c r="S20" s="677">
        <f>+CLA_!X20</f>
        <v>10100</v>
      </c>
      <c r="T20" s="678" t="str">
        <f>+CLA_!Y20</f>
        <v/>
      </c>
      <c r="U20" s="675">
        <f>IF(M20="","",+M20/(PT_!Y20*10))</f>
        <v>1</v>
      </c>
      <c r="V20" s="675">
        <f>IF(N20="","",+N20/(PT_!Z20*10))</f>
        <v>0.91666666666666663</v>
      </c>
      <c r="W20" s="675"/>
      <c r="X20" s="675"/>
      <c r="Y20" s="648" t="s">
        <v>322</v>
      </c>
      <c r="Z20" s="648" t="s">
        <v>322</v>
      </c>
      <c r="AA20" s="674">
        <f>IF(CLA_!Z20="","",+CLA_!Z20)</f>
        <v>79</v>
      </c>
      <c r="AB20" s="676">
        <f>IF(CLA_!AA20="","",+CLA_!AA20)</f>
        <v>69</v>
      </c>
      <c r="AC20" s="676">
        <f>IF(AA20="","",ROUND((IF(ISNUMBER(AA20),AA20,$AA$42)*DF_!$DY18+IF(ISNUMBER(AB20),AB20,$AB$42)*DF_!$DZ18)/(DF_!$DY18+DF_!$DZ18),0))</f>
        <v>76</v>
      </c>
      <c r="AD20" s="676" t="str">
        <f>IF(CLA_!AB20="","",+CLA_!AB20)</f>
        <v/>
      </c>
      <c r="AE20" s="676" t="str">
        <f>IF(CLA_!AC20="","",+CLA_!AC20)</f>
        <v/>
      </c>
      <c r="AF20" s="676">
        <f>IF(CLA_!AD20="","",+CLA_!AD20)</f>
        <v>12</v>
      </c>
      <c r="AG20" s="676" t="str">
        <f>IF(CLA_!AE20="","",+CLA_!AE20)</f>
        <v/>
      </c>
      <c r="AH20" s="675" t="str">
        <f>IF(CLA_!AF20="","",+CLA_!AF20)</f>
        <v/>
      </c>
      <c r="AI20" s="675" t="str">
        <f>IF(CLA_!AG20="","",+CLA_!AG20)</f>
        <v/>
      </c>
      <c r="AJ20" s="675" t="str">
        <f>IF(CLA_!AH20="","",+CLA_!AH20)</f>
        <v/>
      </c>
      <c r="AK20" s="675" t="str">
        <f>IF(CLA_!AI20="","",+CLA_!AI20)</f>
        <v/>
      </c>
      <c r="AL20" s="2192" t="str">
        <f t="shared" si="20"/>
        <v/>
      </c>
      <c r="AM20" s="675"/>
      <c r="AN20" s="676">
        <f>PT_!Y20</f>
        <v>150</v>
      </c>
      <c r="AO20" s="676">
        <f>PT_!Z20</f>
        <v>240</v>
      </c>
      <c r="AP20" s="682">
        <f t="shared" si="41"/>
        <v>0.23699294532627868</v>
      </c>
      <c r="AQ20" s="682">
        <f t="shared" si="42"/>
        <v>0.25627926777352061</v>
      </c>
      <c r="AR20" s="675">
        <f ca="1">IF(DMREZ!D20&gt;TODAY()-2,"",((IF(ISNUMBER(O20),O20,$O$42)*2.52*HD20)/((CF20*IF(ISNUMBER(K20),K20,$K$42)*(+HD20/(HD20+HE20)))+($HQ$14*IF(ISNUMBER(AT_!Q20),AT_!Q20,AT_!$Q$42)))))</f>
        <v>3.030990632500691</v>
      </c>
      <c r="AS20" s="675">
        <f ca="1">IF(DMREZ!D20&gt;TODAY()-2,"",((IF(ISNUMBER(P20),P20,$P$42)*2.52*HE20)/((CF20*IF(ISNUMBER(K20),K20,$K$42)*(HE20/(HD20+HE20))+((PT_!BN20+2.5/3.5*PT_!BP20)*IF(ISNUMBER(AT_!S20),AT_!S20,AT_!$S$42))))))</f>
        <v>5.0776162865177836</v>
      </c>
      <c r="AT20" s="648" t="s">
        <v>322</v>
      </c>
      <c r="AU20" s="648" t="s">
        <v>322</v>
      </c>
      <c r="AV20" s="679" t="str">
        <f>IF(CLA_!AP20="","",+CLA_!AP20)</f>
        <v/>
      </c>
      <c r="AW20" s="680" t="str">
        <f>IF(CLA_!AQ20="","",+CLA_!AQ20)</f>
        <v/>
      </c>
      <c r="AX20" s="680" t="str">
        <f>IF(CLA_!AR20="","",+CLA_!AR20)</f>
        <v/>
      </c>
      <c r="AY20" s="680" t="str">
        <f>IF(CLA_!AS20="","",+CLA_!AS20)</f>
        <v/>
      </c>
      <c r="AZ20" s="680" t="str">
        <f>IF(CLA_!AT20="","",+CLA_!AT20)</f>
        <v/>
      </c>
      <c r="BA20" s="680" t="str">
        <f>IF(CLA_!AU20="","",+CLA_!AU20)</f>
        <v/>
      </c>
      <c r="BB20" s="680" t="str">
        <f>IF(CLA_!AV20="","",+CLA_!AV20)</f>
        <v/>
      </c>
      <c r="BC20" s="680" t="str">
        <f>IF(CLA_!AW20="","",+CLA_!AW20)</f>
        <v/>
      </c>
      <c r="BD20" s="680" t="str">
        <f>IF(CLA_!AX20="","",+CLA_!AX20)</f>
        <v/>
      </c>
      <c r="BE20" s="680" t="str">
        <f>IF(CLA_!AY20="","",+CLA_!AY20)</f>
        <v/>
      </c>
      <c r="BF20" s="675" t="str">
        <f>IF(CLA_!AZ20="","",+CLA_!AZ20)</f>
        <v/>
      </c>
      <c r="BG20" s="675" t="str">
        <f>IF(CLA_!BA20="","",+CLA_!BA20)</f>
        <v/>
      </c>
      <c r="BH20" s="675" t="str">
        <f>IF(CLA_!BB20="","",+CLA_!BB20)</f>
        <v/>
      </c>
      <c r="BI20" s="675" t="str">
        <f>IF(CLA_!BC20="","",+CLA_!BC20)</f>
        <v/>
      </c>
      <c r="BJ20" s="675" t="str">
        <f>IF(CLA_!BD20="","",+CLA_!BD20)</f>
        <v/>
      </c>
      <c r="BK20" s="681">
        <f>IF(PT_!U20="","",+PT_!U20)</f>
        <v>3.19</v>
      </c>
      <c r="BL20" s="675">
        <f>IF(PT_!V20="","",+PT_!V20)</f>
        <v>7.39</v>
      </c>
      <c r="BM20" s="675">
        <f>IF(PT_!W20="","",+PT_!W20)</f>
        <v>3.43</v>
      </c>
      <c r="BN20" s="675">
        <f>IF(PT_!X20="","",+PT_!X20)</f>
        <v>7.03</v>
      </c>
      <c r="BO20" s="675">
        <f>IF(PT_!T20="","",+PT_!T20)</f>
        <v>4.09</v>
      </c>
      <c r="BP20" s="676" t="str">
        <f>IF(CLA_!BE20="","",+CLA_!BE20)</f>
        <v/>
      </c>
      <c r="BQ20" s="676" t="str">
        <f>IF(CLA_!BF20="","",+CLA_!BF20)</f>
        <v/>
      </c>
      <c r="BR20" s="676" t="str">
        <f>IF(ISNUMBER(BQ20+BP20),+ROUND((BP20*DF_!DY18+BQ20*DF_!DZ18)/(DF_!DY18+DF_!DZ18),-1),"")</f>
        <v/>
      </c>
      <c r="BS20" s="676">
        <f>IF(PT_!C20="","",ROUND(+PT_!C20,0))</f>
        <v>19</v>
      </c>
      <c r="BT20" s="675">
        <f>IF(PT_!H20="","",ROUND(MAX(PT_!H20,PT_!K20),1))</f>
        <v>6.8</v>
      </c>
      <c r="BU20" s="675">
        <f>IF(PT_!I20="","",ROUND(MIN(PT_!I20,PT_!L20),1))</f>
        <v>6.3</v>
      </c>
      <c r="BV20" s="675">
        <f>IF(PT_!G20="","",ROUND((PT_!G20*DF_!DZ18+DF_!DY18*PT_!J20)/DF_!DS18,1))</f>
        <v>6.7</v>
      </c>
      <c r="BW20" s="675">
        <f>IF(PT_!N20="","",+PT_!N20)</f>
        <v>6.7</v>
      </c>
      <c r="BX20" s="675">
        <f>IF(PT_!O20="","",+PT_!O20)</f>
        <v>6.3</v>
      </c>
      <c r="BY20" s="675">
        <f>IF(PT_!M20="","",+PT_!M20)</f>
        <v>6.5</v>
      </c>
      <c r="BZ20" s="682">
        <f>IF(PT_!R20="","",+PT_!R20)</f>
        <v>0.55000000000000004</v>
      </c>
      <c r="CA20" s="1644" t="str">
        <f>IF(PT_!P20="","",+PT_!P20)</f>
        <v/>
      </c>
      <c r="CB20" s="1645">
        <f>IF(PT_!Q20="","",+PT_!Q20)</f>
        <v>232</v>
      </c>
      <c r="CC20" s="648" t="s">
        <v>322</v>
      </c>
      <c r="CD20" s="635"/>
      <c r="CE20" s="648" t="s">
        <v>322</v>
      </c>
      <c r="CF20" s="685">
        <f>IF(DF_!AA18="","",+DF_!AA18)</f>
        <v>172</v>
      </c>
      <c r="CG20" s="677">
        <f ca="1">IF(+DMREZ!D20&lt;TODAY(),+DF_!AD18,"")</f>
        <v>96</v>
      </c>
      <c r="CH20" s="677">
        <f>IF(DF_!AB18="","",+DF_!AB18)</f>
        <v>224</v>
      </c>
      <c r="CI20" s="677">
        <f>IF(DF_!AC18="","",+DF_!AC18)</f>
        <v>69</v>
      </c>
      <c r="CJ20" s="677">
        <f>IF(DF_!AG18="","",+DF_!AG18)</f>
        <v>172</v>
      </c>
      <c r="CK20" s="677">
        <f>IF(PT_!BL20="","",ROUND(PT_!BL20,0))</f>
        <v>63</v>
      </c>
      <c r="CL20" s="686">
        <f t="shared" si="22"/>
        <v>0.36627906976744184</v>
      </c>
      <c r="CM20" s="675">
        <f>IF(PT_!AL20="","",+PT_!AL20)</f>
        <v>87.5</v>
      </c>
      <c r="CN20" s="687">
        <f t="shared" si="10"/>
        <v>0.50872093023255816</v>
      </c>
      <c r="CO20" s="678">
        <f t="shared" si="11"/>
        <v>1.1000000000000001</v>
      </c>
      <c r="CP20" s="678">
        <f t="shared" si="23"/>
        <v>2.2999999999999998</v>
      </c>
      <c r="CQ20" s="678">
        <f t="shared" si="12"/>
        <v>2.5</v>
      </c>
      <c r="CR20" s="677">
        <f t="shared" si="13"/>
        <v>830</v>
      </c>
      <c r="CS20" s="675">
        <f t="shared" si="24"/>
        <v>1</v>
      </c>
      <c r="CT20" s="643"/>
      <c r="CU20" s="678">
        <f t="shared" si="43"/>
        <v>76.7</v>
      </c>
      <c r="CV20" s="677">
        <f t="shared" si="44"/>
        <v>83.181225554106902</v>
      </c>
      <c r="CW20" s="678">
        <f t="shared" si="45"/>
        <v>63.8</v>
      </c>
      <c r="CX20" s="678">
        <f t="shared" si="34"/>
        <v>242.7</v>
      </c>
      <c r="CY20" s="678">
        <f t="shared" si="25"/>
        <v>85.2</v>
      </c>
      <c r="CZ20" s="678">
        <f t="shared" si="26"/>
        <v>2.6</v>
      </c>
      <c r="DA20" s="2025">
        <f t="shared" si="27"/>
        <v>3.4</v>
      </c>
      <c r="DB20" s="741">
        <f t="shared" si="35"/>
        <v>2.8</v>
      </c>
      <c r="DC20" s="648" t="s">
        <v>322</v>
      </c>
      <c r="DD20" s="648" t="s">
        <v>322</v>
      </c>
      <c r="DE20" s="688">
        <f>IF(Grit!AT17+Grit!AZ17=0,"",+Grit!AT17+Grit!AZ17*0.5)</f>
        <v>162</v>
      </c>
      <c r="DF20" s="689">
        <f>IF(Grit!AV17="0","",+Grit!AV17)</f>
        <v>810</v>
      </c>
      <c r="DG20" s="689">
        <f t="shared" si="16"/>
        <v>51800</v>
      </c>
      <c r="DH20" s="689" t="str">
        <f>IF(Grit!AX17+Grit!AY17=0,"",+Grit!AX17+Grit!AZ17*0.5)</f>
        <v/>
      </c>
      <c r="DI20" s="689" t="str">
        <f t="shared" si="17"/>
        <v/>
      </c>
      <c r="DJ20" s="675">
        <f ca="1">IF(+DMREZ!D20&lt;TODAY(),+PT_!AE20,"")</f>
        <v>65.599999999999994</v>
      </c>
      <c r="DK20" s="678">
        <f t="shared" ca="1" si="36"/>
        <v>136.4</v>
      </c>
      <c r="DL20" s="678">
        <f t="shared" ca="1" si="37"/>
        <v>113.3</v>
      </c>
      <c r="DM20" s="678">
        <f t="shared" ca="1" si="38"/>
        <v>65.599999999999994</v>
      </c>
      <c r="DN20" s="678">
        <f t="shared" ca="1" si="39"/>
        <v>70.3</v>
      </c>
      <c r="DO20" s="678">
        <f t="shared" ca="1" si="40"/>
        <v>50.2</v>
      </c>
      <c r="DP20" s="687" t="str">
        <f>IF(DW_!R20="","",+DW_!R20/1000)</f>
        <v/>
      </c>
      <c r="DQ20" s="678" t="str">
        <f>IF(DW_!S20="","",+DW_!S20*2)</f>
        <v/>
      </c>
      <c r="DR20" s="678" t="str">
        <f>+DW_!S20</f>
        <v/>
      </c>
      <c r="DS20" s="675"/>
      <c r="DT20" s="677">
        <f>IF(PT_!AC20="","",+PT_!AC20)</f>
        <v>102</v>
      </c>
      <c r="DU20" s="689">
        <f>IF(ISNUMBER(CHEM_!G19),+CHEM_!G19,"")</f>
        <v>1850</v>
      </c>
      <c r="DV20" s="675">
        <f t="shared" si="18"/>
        <v>10.8</v>
      </c>
      <c r="DW20" s="687">
        <f>IF(PT_!S20="","",+PT_!S20)</f>
        <v>0.46</v>
      </c>
      <c r="DX20" s="648" t="s">
        <v>322</v>
      </c>
      <c r="DY20" s="648" t="s">
        <v>322</v>
      </c>
      <c r="DZ20" s="690" t="str">
        <f>PT_!AK20</f>
        <v/>
      </c>
      <c r="EA20" s="678">
        <f>IF(PT_!AJ20="","",+PT_!AJ20)</f>
        <v>140.80000000000001</v>
      </c>
      <c r="EB20" s="2086">
        <f t="shared" si="19"/>
        <v>140.80000000000001</v>
      </c>
      <c r="EC20" s="2094">
        <f>IF(PT_!BO20="","",+PT_!BO20)</f>
        <v>54.680160000000001</v>
      </c>
      <c r="ED20" s="1903"/>
      <c r="EE20" s="1316"/>
      <c r="EF20" s="2083">
        <v>205.7</v>
      </c>
      <c r="EG20" s="2084">
        <v>617.1</v>
      </c>
      <c r="EH20" s="1890"/>
      <c r="EI20" s="689"/>
      <c r="EJ20" s="1891" t="str">
        <f>+PT_!AF20</f>
        <v/>
      </c>
      <c r="EK20" s="759" t="str">
        <f t="shared" si="28"/>
        <v/>
      </c>
      <c r="EL20" s="689"/>
      <c r="EM20" s="689" t="str">
        <f>IF(PT_!AH20&gt;0,+PT_!AH20,"")</f>
        <v/>
      </c>
      <c r="EN20" s="614" t="str">
        <f>IF(PT_!AZ20="","",+PT_!AZ20)</f>
        <v>Rain</v>
      </c>
      <c r="EO20" s="615" t="s">
        <v>322</v>
      </c>
      <c r="EP20" s="610" t="s">
        <v>322</v>
      </c>
      <c r="EQ20" s="691">
        <f>CLA_!BG20</f>
        <v>0.06</v>
      </c>
      <c r="ER20" s="687">
        <f>CLA_!BH20</f>
        <v>0.36</v>
      </c>
      <c r="ES20" s="678">
        <f>CLA_!BI20</f>
        <v>7.6</v>
      </c>
      <c r="ET20" s="678">
        <f>CLA_!BJ20</f>
        <v>18.5</v>
      </c>
      <c r="EU20" s="687" t="str">
        <f>CLA_!BK20</f>
        <v/>
      </c>
      <c r="EV20" s="687" t="str">
        <f>CLA_!BL20</f>
        <v/>
      </c>
      <c r="EW20" s="677" t="str">
        <f>CLA_!BM20</f>
        <v/>
      </c>
      <c r="EX20" s="691">
        <f>CLA_!BN20</f>
        <v>7.0000000000000007E-2</v>
      </c>
      <c r="EY20" s="687">
        <f>CLA_!BO20</f>
        <v>0.33</v>
      </c>
      <c r="EZ20" s="678">
        <f>CLA_!BP20</f>
        <v>8.9</v>
      </c>
      <c r="FA20" s="678">
        <f>CLA_!BQ20</f>
        <v>18.8</v>
      </c>
      <c r="FB20" s="687" t="str">
        <f>CLA_!BR20</f>
        <v/>
      </c>
      <c r="FC20" s="687" t="str">
        <f>CLA_!BS20</f>
        <v/>
      </c>
      <c r="FD20" s="677" t="str">
        <f>CLA_!BT20</f>
        <v/>
      </c>
      <c r="FE20" s="691">
        <f>IF(ISNUMBER(EQ20+EX20),+EQ20*DF_!$EA18+EX20*DF_!$EB18,"")</f>
        <v>6.3500000000000001E-2</v>
      </c>
      <c r="FF20" s="687">
        <f>IF(ISNUMBER(+ER20+EY20),+ER20*DF_!$EA18+EY20*DF_!$EB18,"")</f>
        <v>0.34949999999999998</v>
      </c>
      <c r="FG20" s="678">
        <f>IF(ISNUMBER(ES20)+ISNUMBER(EZ20)&gt;0,IF(ISNUMBER(ES20),ES20,$ET$42)*DF_!$EA18+IF(ISNUMBER(EZ20),EZ20,$FA$42)*DF_!$EB18,"")</f>
        <v>8.0549999999999997</v>
      </c>
      <c r="FH20" s="678">
        <f>IF(ISNUMBER(ET20)+ISNUMBER(FA20)&gt;0,IF(ISNUMBER(ET20),ET20,$ET$42)*DF_!$EA18+IF(ISNUMBER(FA20),FA20,$FA$42)*DF_!$EB18,"")</f>
        <v>18.605</v>
      </c>
      <c r="FI20" s="687" t="str">
        <f>IF(EU20="","",+EU20*DF_!$EA18+FB20*DF_!$EB18)</f>
        <v/>
      </c>
      <c r="FJ20" s="687" t="str">
        <f>IF(EV20="","",+EV20*DF_!$EA18+FC20*DF_!$EB18)</f>
        <v/>
      </c>
      <c r="FK20" s="677" t="str">
        <f>IF(EW20="","",+EW20*DF_!$EA18+FD20*DF_!$EB18)</f>
        <v/>
      </c>
      <c r="FL20" s="691" t="str">
        <f>CLA_!BU20</f>
        <v/>
      </c>
      <c r="FM20" s="687" t="str">
        <f>CLA_!BV20</f>
        <v/>
      </c>
      <c r="FN20" s="678" t="str">
        <f>CLA_!BW20</f>
        <v/>
      </c>
      <c r="FO20" s="678" t="str">
        <f>CLA_!BX20</f>
        <v/>
      </c>
      <c r="FP20" s="687" t="str">
        <f>CLA_!BY20</f>
        <v/>
      </c>
      <c r="FQ20" s="687" t="str">
        <f>CLA_!BZ20</f>
        <v/>
      </c>
      <c r="FR20" s="677" t="str">
        <f>CLA_!CA20</f>
        <v/>
      </c>
      <c r="FS20" s="691">
        <f>CLA_!CB20</f>
        <v>0.39</v>
      </c>
      <c r="FT20" s="687">
        <f>CLA_!CC20</f>
        <v>2.7</v>
      </c>
      <c r="FU20" s="678">
        <f>CLA_!CD20</f>
        <v>5.5</v>
      </c>
      <c r="FV20" s="678">
        <f>CLA_!CE20</f>
        <v>8.1999999999999993</v>
      </c>
      <c r="FW20" s="687" t="str">
        <f>CLA_!CF20</f>
        <v/>
      </c>
      <c r="FX20" s="687" t="str">
        <f>CLA_!CG20</f>
        <v/>
      </c>
      <c r="FY20" s="677" t="str">
        <f>CLA_!CH20</f>
        <v/>
      </c>
      <c r="FZ20" s="610" t="s">
        <v>322</v>
      </c>
      <c r="GA20" s="610" t="s">
        <v>322</v>
      </c>
      <c r="GB20" s="1968" t="str">
        <f>IF(CLA_!CY20="","",+CLA_!CY20)</f>
        <v/>
      </c>
      <c r="GC20" s="677" t="str">
        <f>IF(CLA_!CZ20="","",+CLA_!CZ20)</f>
        <v/>
      </c>
      <c r="GD20" s="677" t="str">
        <f>IF(CLA_!DA20="","",+CLA_!DA20)</f>
        <v/>
      </c>
      <c r="GE20" s="678" t="str">
        <f>IF(CLA_!DB20="","",+CLA_!DB20)</f>
        <v/>
      </c>
      <c r="GF20" s="677" t="str">
        <f>IF(CLA_!DO20="","",+CLA_!DO20)</f>
        <v/>
      </c>
      <c r="GG20" s="678" t="str">
        <f>IF(CLA_!DP20="","",+CLA_!DP20)</f>
        <v/>
      </c>
      <c r="GH20" s="677" t="str">
        <f>IF(CLA_!DQ20="","",+CLA_!DQ20)</f>
        <v/>
      </c>
      <c r="GI20" s="677" t="str">
        <f>IF(CLA_!DR20="","",+CLA_!DR20)</f>
        <v/>
      </c>
      <c r="GJ20" s="2030"/>
      <c r="GK20" s="2025" t="str">
        <f>IF(CLA_!CQ20="","",+CLA_!CQ20)</f>
        <v/>
      </c>
      <c r="GL20" s="2024"/>
      <c r="GM20" s="2026" t="str">
        <f>IF(CLA_!CR20="","",+CLA_!CR20)</f>
        <v/>
      </c>
      <c r="GN20" s="2024" t="str">
        <f>IF(CLA_!CZ20="","",+CLA_!CZ20)</f>
        <v/>
      </c>
      <c r="GO20" s="2026" t="str">
        <f>IF(CLA_!CS20="","",+CLA_!CS20)</f>
        <v/>
      </c>
      <c r="GP20" s="2024" t="str">
        <f>IF(CLA_!DA20="","",+CLA_!DA20)</f>
        <v/>
      </c>
      <c r="GQ20" s="2025" t="str">
        <f>IF(CLA_!CT20="","",+CLA_!CT20)</f>
        <v/>
      </c>
      <c r="GR20" s="2024" t="str">
        <f>IF(CLA_!CY20="","",+CLA_!CY20)</f>
        <v/>
      </c>
      <c r="GS20" s="2024" t="str">
        <f>IF(CLA_!CV20="","",+CLA_!CV20)</f>
        <v/>
      </c>
      <c r="GT20" s="2024" t="str">
        <f>IF(CLA_!DO20="","",+CLA_!DO20)</f>
        <v/>
      </c>
      <c r="GU20" s="2031" t="str">
        <f>IF(CLA_!CU20="","",+CLA_!CU20)</f>
        <v/>
      </c>
      <c r="GV20" s="1913" t="str">
        <f>CLA_!DF20</f>
        <v/>
      </c>
      <c r="GW20" s="677" t="str">
        <f>CLA_!DG20</f>
        <v/>
      </c>
      <c r="GX20" s="677" t="str">
        <f>CLA_!DH20</f>
        <v/>
      </c>
      <c r="GY20" s="678" t="str">
        <f>CLA_!DC20</f>
        <v/>
      </c>
      <c r="GZ20" s="648" t="s">
        <v>322</v>
      </c>
      <c r="HA20" s="635"/>
      <c r="HB20" s="648" t="s">
        <v>322</v>
      </c>
      <c r="HC20" s="685">
        <f>IF(PT_!BC20="","",+PT_!BC20)</f>
        <v>14</v>
      </c>
      <c r="HD20" s="677">
        <f>IF(PT_!BD20="","",+PT_!BD20)</f>
        <v>6</v>
      </c>
      <c r="HE20" s="677">
        <f>IF(PT_!BE20="","",+PT_!BE20)</f>
        <v>3</v>
      </c>
      <c r="HF20" s="677">
        <f>IF(PT_!BF20="","",+PT_!BF20)</f>
        <v>4</v>
      </c>
      <c r="HG20" s="677">
        <f>IF(PT_!BG20="","",+PT_!BG20)</f>
        <v>4</v>
      </c>
      <c r="HH20" s="677">
        <f>IF(PT_!BH20="","",+PT_!BH20)</f>
        <v>2</v>
      </c>
      <c r="HI20" s="677">
        <f>IF(PT_!BI20="","",+PT_!BI20)</f>
        <v>1</v>
      </c>
      <c r="HJ20" s="677">
        <f>IF(PT_!BJ20="","",+PT_!BJ20)</f>
        <v>4</v>
      </c>
      <c r="HK20" s="677">
        <f>IF(PT_!BK20="","",+PT_!BK20)</f>
        <v>2</v>
      </c>
      <c r="HL20" s="653"/>
      <c r="HM20" s="1782">
        <f t="shared" si="29"/>
        <v>29</v>
      </c>
      <c r="HN20" s="1787">
        <f t="shared" si="30"/>
        <v>23</v>
      </c>
      <c r="HO20" s="719">
        <f t="shared" si="31"/>
        <v>-11</v>
      </c>
      <c r="HU20" s="730"/>
      <c r="HV20" s="2442"/>
      <c r="IU20" s="27"/>
    </row>
    <row r="21" spans="1:255" ht="17.100000000000001" customHeight="1">
      <c r="A21" s="579"/>
      <c r="B21" s="648" t="s">
        <v>323</v>
      </c>
      <c r="C21" s="674">
        <f>+CLA_!D21</f>
        <v>116</v>
      </c>
      <c r="D21" s="675">
        <f>+CLA_!E21</f>
        <v>77.599999999999994</v>
      </c>
      <c r="E21" s="676">
        <f>+CLA_!F21</f>
        <v>115</v>
      </c>
      <c r="F21" s="675">
        <f>+CLA_!G21</f>
        <v>82.7</v>
      </c>
      <c r="G21" s="676">
        <f>IF(C21="","",ROUND((IF(ISNUMBER(C21),C21,+$C$42)*DF_!$DY19+IF(ISNUMBER(E21),E21,$E$42)*DF_!$DZ19)/(DF_!$DY19+DF_!$DZ19),0))</f>
        <v>116</v>
      </c>
      <c r="H21" s="675">
        <f>IF(D21="","",ROUND((IF(+D21=0,+$D$42,+D21)*DF_!$DY19+IF(ISNUMBER(F21),F21,$F$42)*DF_!$DZ19)/(DF_!$DY19+DF_!$DZ19),1))</f>
        <v>79.400000000000006</v>
      </c>
      <c r="I21" s="676">
        <f>+CLA_!H21</f>
        <v>64</v>
      </c>
      <c r="J21" s="676">
        <f>+CLA_!I21</f>
        <v>80</v>
      </c>
      <c r="K21" s="676">
        <f>+CLA_!J21</f>
        <v>6</v>
      </c>
      <c r="L21" s="676">
        <f>+CLA_!K21</f>
        <v>240</v>
      </c>
      <c r="M21" s="677">
        <f>IF(SUM(CLA_!L21:N21)=0,"",ROUND(AVERAGE(CLA_!L21:N21),-2))</f>
        <v>2100</v>
      </c>
      <c r="N21" s="677">
        <f>IF(SUM(CLA_!O21:P21)=0,"",ROUND(AVERAGE(CLA_!O21:P21),-2))</f>
        <v>3200</v>
      </c>
      <c r="O21" s="677">
        <f>IF(SUM(CLA_!Q21:S21)=0,"",ROUND(AVERAGE(CLA_!Q21:S21),-2))</f>
        <v>4100</v>
      </c>
      <c r="P21" s="677">
        <f>IF(SUM(CLA_!T21:U21)=0,"",ROUND(AVERAGE(CLA_!T21:U21),-2))</f>
        <v>4300</v>
      </c>
      <c r="Q21" s="677">
        <f>+CLA_!V21</f>
        <v>3280</v>
      </c>
      <c r="R21" s="678">
        <f>+CLA_!W21</f>
        <v>80.5</v>
      </c>
      <c r="S21" s="677">
        <f>+CLA_!X21</f>
        <v>5860</v>
      </c>
      <c r="T21" s="678">
        <f>+CLA_!Y21</f>
        <v>80.900000000000006</v>
      </c>
      <c r="U21" s="675">
        <f>IF(M21="","",+M21/(PT_!Y21*10))</f>
        <v>0.84</v>
      </c>
      <c r="V21" s="675">
        <f>IF(N21="","",+N21/(PT_!Z21*10))</f>
        <v>0.59259259259259256</v>
      </c>
      <c r="W21" s="675"/>
      <c r="X21" s="675"/>
      <c r="Y21" s="648" t="s">
        <v>323</v>
      </c>
      <c r="Z21" s="648" t="s">
        <v>323</v>
      </c>
      <c r="AA21" s="674">
        <f>IF(CLA_!Z21="","",+CLA_!Z21)</f>
        <v>114</v>
      </c>
      <c r="AB21" s="676">
        <f>IF(CLA_!AA21="","",+CLA_!AA21)</f>
        <v>111</v>
      </c>
      <c r="AC21" s="676">
        <f>IF(AA21="","",ROUND((IF(ISNUMBER(AA21),AA21,$AA$42)*DF_!$DY19+IF(ISNUMBER(AB21),AB21,$AB$42)*DF_!$DZ19)/(DF_!$DY19+DF_!$DZ19),0))</f>
        <v>113</v>
      </c>
      <c r="AD21" s="676">
        <f>IF(CLA_!AB21="","",+CLA_!AB21)</f>
        <v>54</v>
      </c>
      <c r="AE21" s="676">
        <f>IF(CLA_!AC21="","",+CLA_!AC21)</f>
        <v>72</v>
      </c>
      <c r="AF21" s="676">
        <f>IF(CLA_!AD21="","",+CLA_!AD21)</f>
        <v>3</v>
      </c>
      <c r="AG21" s="676">
        <f>IF(CLA_!AE21="","",+CLA_!AE21)</f>
        <v>840</v>
      </c>
      <c r="AH21" s="675">
        <f>IF(CLA_!AF21="","",+CLA_!AF21)</f>
        <v>3.46</v>
      </c>
      <c r="AI21" s="675">
        <f>IF(CLA_!AG21="","",+CLA_!AG21)</f>
        <v>80.400000000000006</v>
      </c>
      <c r="AJ21" s="675">
        <f>IF(CLA_!AH21="","",+CLA_!AH21)</f>
        <v>1.68</v>
      </c>
      <c r="AK21" s="675">
        <f>IF(CLA_!AI21="","",+CLA_!AI21)</f>
        <v>71.3</v>
      </c>
      <c r="AL21" s="2192">
        <f t="shared" si="20"/>
        <v>0.56999999999999995</v>
      </c>
      <c r="AM21" s="675"/>
      <c r="AN21" s="676">
        <f>PT_!Y21</f>
        <v>250</v>
      </c>
      <c r="AO21" s="676">
        <f>PT_!Z21</f>
        <v>540</v>
      </c>
      <c r="AP21" s="682">
        <f t="shared" si="41"/>
        <v>5.5749128919860634E-2</v>
      </c>
      <c r="AQ21" s="682">
        <f t="shared" si="42"/>
        <v>7.0874861572536002E-2</v>
      </c>
      <c r="AR21" s="675">
        <f ca="1">IF(DMREZ!D21&gt;TODAY()-2,"",((IF(ISNUMBER(O21),O21,$O$42)*2.52*HD21)/((CF21*IF(ISNUMBER(K21),K21,$K$42)*(+HD21/(HD21+HE21)))+($HQ$14*IF(ISNUMBER(AT_!Q21),AT_!Q21,AT_!$Q$42)))))</f>
        <v>10.018995641384549</v>
      </c>
      <c r="AS21" s="675">
        <f ca="1">IF(DMREZ!D21&gt;TODAY()-2,"",((IF(ISNUMBER(P21),P21,$P$42)*2.52*HE21)/((CF21*IF(ISNUMBER(K21),K21,$K$42)*(HE21/(HD21+HE21))+((PT_!BN21+2.5/3.5*PT_!BP21)*IF(ISNUMBER(AT_!S21),AT_!S21,AT_!$S$42))))))</f>
        <v>15.890152865573288</v>
      </c>
      <c r="AT21" s="648" t="s">
        <v>323</v>
      </c>
      <c r="AU21" s="648" t="s">
        <v>323</v>
      </c>
      <c r="AV21" s="679">
        <f>IF(CLA_!AP21="","",+CLA_!AP21)</f>
        <v>130</v>
      </c>
      <c r="AW21" s="680" t="str">
        <f>IF(CLA_!AQ21="","",+CLA_!AQ21)</f>
        <v/>
      </c>
      <c r="AX21" s="680">
        <f>IF(CLA_!AR21="","",+CLA_!AR21)</f>
        <v>180</v>
      </c>
      <c r="AY21" s="680">
        <f>IF(CLA_!AS21="","",+CLA_!AS21)</f>
        <v>110</v>
      </c>
      <c r="AZ21" s="680">
        <f>IF(CLA_!AT21="","",+CLA_!AT21)</f>
        <v>140</v>
      </c>
      <c r="BA21" s="680">
        <f>IF(CLA_!AU21="","",+CLA_!AU21)</f>
        <v>2700</v>
      </c>
      <c r="BB21" s="680" t="str">
        <f>IF(CLA_!AV21="","",+CLA_!AV21)</f>
        <v/>
      </c>
      <c r="BC21" s="680">
        <f>IF(CLA_!AW21="","",+CLA_!AW21)</f>
        <v>2400</v>
      </c>
      <c r="BD21" s="680">
        <f>IF(CLA_!AX21="","",+CLA_!AX21)</f>
        <v>2800</v>
      </c>
      <c r="BE21" s="680">
        <f>IF(CLA_!AY21="","",+CLA_!AY21)</f>
        <v>2900</v>
      </c>
      <c r="BF21" s="675">
        <f>IF(CLA_!AZ21="","",+CLA_!AZ21)</f>
        <v>7.1</v>
      </c>
      <c r="BG21" s="675" t="str">
        <f>IF(CLA_!BA21="","",+CLA_!BA21)</f>
        <v/>
      </c>
      <c r="BH21" s="675">
        <f>IF(CLA_!BB21="","",+CLA_!BB21)</f>
        <v>6.9</v>
      </c>
      <c r="BI21" s="675">
        <f>IF(CLA_!BC21="","",+CLA_!BC21)</f>
        <v>7.1</v>
      </c>
      <c r="BJ21" s="675">
        <f>IF(CLA_!BD21="","",+CLA_!BD21)</f>
        <v>7.1</v>
      </c>
      <c r="BK21" s="681">
        <f>IF(PT_!U21="","",+PT_!U21)</f>
        <v>6.56</v>
      </c>
      <c r="BL21" s="675">
        <f>IF(PT_!V21="","",+PT_!V21)</f>
        <v>4.47</v>
      </c>
      <c r="BM21" s="675">
        <f>IF(PT_!W21="","",+PT_!W21)</f>
        <v>4.63</v>
      </c>
      <c r="BN21" s="675">
        <f>IF(PT_!X21="","",+PT_!X21)</f>
        <v>3.33</v>
      </c>
      <c r="BO21" s="675">
        <f>IF(PT_!T21="","",+PT_!T21)</f>
        <v>5.03</v>
      </c>
      <c r="BP21" s="676" t="str">
        <f>IF(CLA_!BE21="","",+CLA_!BE21)</f>
        <v/>
      </c>
      <c r="BQ21" s="676" t="str">
        <f>IF(CLA_!BF21="","",+CLA_!BF21)</f>
        <v/>
      </c>
      <c r="BR21" s="676" t="str">
        <f>IF(ISNUMBER(BQ21+BP21),+ROUND((BP21*DF_!DY19+BQ21*DF_!DZ19)/(DF_!DY19+DF_!DZ19),-1),"")</f>
        <v/>
      </c>
      <c r="BS21" s="676">
        <f>IF(PT_!C21="","",ROUND(+PT_!C21,0))</f>
        <v>16</v>
      </c>
      <c r="BT21" s="675">
        <f>IF(PT_!H21="","",ROUND(MAX(PT_!H21,PT_!K21),1))</f>
        <v>7.4</v>
      </c>
      <c r="BU21" s="675">
        <f>IF(PT_!I21="","",ROUND(MIN(PT_!I21,PT_!L21),1))</f>
        <v>6.6</v>
      </c>
      <c r="BV21" s="675">
        <f>IF(PT_!G21="","",ROUND((PT_!G21*DF_!DZ19+DF_!DY19*PT_!J21)/DF_!DS19,1))</f>
        <v>6.9</v>
      </c>
      <c r="BW21" s="675">
        <f>IF(PT_!N21="","",+PT_!N21)</f>
        <v>6.7</v>
      </c>
      <c r="BX21" s="675">
        <f>IF(PT_!O21="","",+PT_!O21)</f>
        <v>6.1</v>
      </c>
      <c r="BY21" s="675">
        <f>IF(PT_!M21="","",+PT_!M21)</f>
        <v>6.5</v>
      </c>
      <c r="BZ21" s="682">
        <f>IF(PT_!R21="","",+PT_!R21)</f>
        <v>0.53</v>
      </c>
      <c r="CA21" s="1644" t="str">
        <f>IF(PT_!P21="","",+PT_!P21)</f>
        <v/>
      </c>
      <c r="CB21" s="1645">
        <f>IF(PT_!Q21="","",+PT_!Q21)</f>
        <v>13</v>
      </c>
      <c r="CC21" s="648" t="s">
        <v>323</v>
      </c>
      <c r="CD21" s="635"/>
      <c r="CE21" s="648" t="s">
        <v>323</v>
      </c>
      <c r="CF21" s="685">
        <f>IF(DF_!AA19="","",+DF_!AA19)</f>
        <v>96</v>
      </c>
      <c r="CG21" s="677">
        <f ca="1">IF(+DMREZ!D21&lt;TODAY(),+DF_!AD19,"")</f>
        <v>96</v>
      </c>
      <c r="CH21" s="677">
        <f>IF(DF_!AB19="","",+DF_!AB19)</f>
        <v>128</v>
      </c>
      <c r="CI21" s="677">
        <f>IF(DF_!AC19="","",+DF_!AC19)</f>
        <v>59</v>
      </c>
      <c r="CJ21" s="677">
        <f>IF(DF_!AG19="","",+DF_!AG19)</f>
        <v>96</v>
      </c>
      <c r="CK21" s="677">
        <f>IF(PT_!BL21="","",ROUND(PT_!BL21,0))</f>
        <v>61</v>
      </c>
      <c r="CL21" s="686">
        <f t="shared" si="22"/>
        <v>0.63541666666666663</v>
      </c>
      <c r="CM21" s="675">
        <f>IF(PT_!AL21="","",+PT_!AL21)</f>
        <v>92.3</v>
      </c>
      <c r="CN21" s="687">
        <f t="shared" si="10"/>
        <v>0.9614583333333333</v>
      </c>
      <c r="CO21" s="678">
        <f t="shared" si="11"/>
        <v>1.9</v>
      </c>
      <c r="CP21" s="678">
        <f t="shared" si="23"/>
        <v>3.5</v>
      </c>
      <c r="CQ21" s="678">
        <f t="shared" si="12"/>
        <v>4.2</v>
      </c>
      <c r="CR21" s="677">
        <f t="shared" si="13"/>
        <v>490</v>
      </c>
      <c r="CS21" s="675">
        <f t="shared" si="24"/>
        <v>0.7</v>
      </c>
      <c r="CT21" s="643" t="s">
        <v>311</v>
      </c>
      <c r="CU21" s="678">
        <f t="shared" si="43"/>
        <v>46.4</v>
      </c>
      <c r="CV21" s="677">
        <f t="shared" si="44"/>
        <v>94.827586206896555</v>
      </c>
      <c r="CW21" s="678">
        <f t="shared" si="45"/>
        <v>44</v>
      </c>
      <c r="CX21" s="678">
        <f t="shared" si="34"/>
        <v>394.1</v>
      </c>
      <c r="CY21" s="678">
        <f t="shared" si="25"/>
        <v>28.2</v>
      </c>
      <c r="CZ21" s="678">
        <f t="shared" si="26"/>
        <v>15.1</v>
      </c>
      <c r="DA21" s="2025">
        <f t="shared" si="27"/>
        <v>12.7</v>
      </c>
      <c r="DB21" s="741">
        <f t="shared" si="35"/>
        <v>14</v>
      </c>
      <c r="DC21" s="648" t="s">
        <v>323</v>
      </c>
      <c r="DD21" s="648" t="s">
        <v>323</v>
      </c>
      <c r="DE21" s="688" t="str">
        <f>IF(Grit!AT18+Grit!AZ18=0,"",+Grit!AT18+Grit!AZ18*0.5)</f>
        <v/>
      </c>
      <c r="DF21" s="689">
        <f>IF(Grit!AV18="0","",+Grit!AV18)</f>
        <v>1458</v>
      </c>
      <c r="DG21" s="689">
        <f t="shared" si="16"/>
        <v>93300</v>
      </c>
      <c r="DH21" s="689" t="str">
        <f>IF(Grit!AX18+Grit!AY18=0,"",+Grit!AX18+Grit!AZ18*0.5)</f>
        <v/>
      </c>
      <c r="DI21" s="689" t="str">
        <f t="shared" si="17"/>
        <v/>
      </c>
      <c r="DJ21" s="675">
        <f ca="1">IF(+DMREZ!D21&lt;TODAY(),+PT_!AE21,"")</f>
        <v>43.7</v>
      </c>
      <c r="DK21" s="678">
        <f t="shared" ca="1" si="36"/>
        <v>95.3</v>
      </c>
      <c r="DL21" s="678">
        <f t="shared" ca="1" si="37"/>
        <v>76.599999999999994</v>
      </c>
      <c r="DM21" s="678">
        <f t="shared" ca="1" si="38"/>
        <v>43.7</v>
      </c>
      <c r="DN21" s="678">
        <f t="shared" ca="1" si="39"/>
        <v>46.3</v>
      </c>
      <c r="DO21" s="678">
        <f t="shared" ca="1" si="40"/>
        <v>33</v>
      </c>
      <c r="DP21" s="687" t="str">
        <f>IF(DW_!R21="","",+DW_!R21/1000)</f>
        <v/>
      </c>
      <c r="DQ21" s="678" t="str">
        <f>IF(DW_!S21="","",+DW_!S21*2)</f>
        <v/>
      </c>
      <c r="DR21" s="678" t="str">
        <f>+DW_!S21</f>
        <v/>
      </c>
      <c r="DS21" s="675"/>
      <c r="DT21" s="677">
        <f>IF(PT_!AC21="","",+PT_!AC21)</f>
        <v>102</v>
      </c>
      <c r="DU21" s="689">
        <f>IF(ISNUMBER(CHEM_!G20),+CHEM_!G20,"")</f>
        <v>580</v>
      </c>
      <c r="DV21" s="675">
        <f t="shared" si="18"/>
        <v>6</v>
      </c>
      <c r="DW21" s="687">
        <f>IF(PT_!S21="","",+PT_!S21)</f>
        <v>0.44</v>
      </c>
      <c r="DX21" s="648" t="s">
        <v>323</v>
      </c>
      <c r="DY21" s="648" t="s">
        <v>323</v>
      </c>
      <c r="DZ21" s="690" t="str">
        <f>PT_!AK21</f>
        <v/>
      </c>
      <c r="EA21" s="678">
        <f>IF(PT_!AJ21="","",+PT_!AJ21)</f>
        <v>140.80000000000001</v>
      </c>
      <c r="EB21" s="2086">
        <f t="shared" si="19"/>
        <v>140.80000000000001</v>
      </c>
      <c r="EC21" s="2094">
        <f>IF(PT_!BO21="","",+PT_!BO21)</f>
        <v>57.655919999999995</v>
      </c>
      <c r="ED21" s="1903"/>
      <c r="EE21" s="643"/>
      <c r="EF21" s="2083">
        <v>205.7</v>
      </c>
      <c r="EG21" s="2084">
        <v>617.1</v>
      </c>
      <c r="EH21" s="1890"/>
      <c r="EI21" s="689"/>
      <c r="EJ21" s="1891" t="str">
        <f>+PT_!AF21</f>
        <v/>
      </c>
      <c r="EK21" s="759" t="str">
        <f t="shared" si="28"/>
        <v/>
      </c>
      <c r="EL21" s="689"/>
      <c r="EM21" s="689" t="str">
        <f>IF(PT_!AH21&gt;0,+PT_!AH21,"")</f>
        <v/>
      </c>
      <c r="EN21" s="614" t="str">
        <f>IF(PT_!AZ21="","",+PT_!AZ21)</f>
        <v>Clear</v>
      </c>
      <c r="EO21" s="615" t="s">
        <v>323</v>
      </c>
      <c r="EP21" s="610" t="s">
        <v>323</v>
      </c>
      <c r="EQ21" s="691">
        <f>CLA_!BG21</f>
        <v>0.13</v>
      </c>
      <c r="ER21" s="687">
        <f>CLA_!BH21</f>
        <v>0.27</v>
      </c>
      <c r="ES21" s="678">
        <f>CLA_!BI21</f>
        <v>18.5</v>
      </c>
      <c r="ET21" s="678">
        <f>CLA_!BJ21</f>
        <v>36.200000000000003</v>
      </c>
      <c r="EU21" s="687" t="str">
        <f>CLA_!BK21</f>
        <v/>
      </c>
      <c r="EV21" s="687" t="str">
        <f>CLA_!BL21</f>
        <v/>
      </c>
      <c r="EW21" s="677" t="str">
        <f>CLA_!BM21</f>
        <v/>
      </c>
      <c r="EX21" s="691">
        <f>CLA_!BN21</f>
        <v>0.1</v>
      </c>
      <c r="EY21" s="687">
        <f>CLA_!BO21</f>
        <v>0.22</v>
      </c>
      <c r="EZ21" s="678">
        <f>CLA_!BP21</f>
        <v>17.399999999999999</v>
      </c>
      <c r="FA21" s="678">
        <f>CLA_!BQ21</f>
        <v>36.299999999999997</v>
      </c>
      <c r="FB21" s="687" t="str">
        <f>CLA_!BR21</f>
        <v/>
      </c>
      <c r="FC21" s="687" t="str">
        <f>CLA_!BS21</f>
        <v/>
      </c>
      <c r="FD21" s="677" t="str">
        <f>CLA_!BT21</f>
        <v/>
      </c>
      <c r="FE21" s="691">
        <f>IF(ISNUMBER(EQ21+EX21),+EQ21*DF_!$EA19+EX21*DF_!$EB19,"")</f>
        <v>0.1195</v>
      </c>
      <c r="FF21" s="687">
        <f>IF(ISNUMBER(+ER21+EY21),+ER21*DF_!$EA19+EY21*DF_!$EB19,"")</f>
        <v>0.2525</v>
      </c>
      <c r="FG21" s="678">
        <f>IF(ISNUMBER(ES21)+ISNUMBER(EZ21)&gt;0,IF(ISNUMBER(ES21),ES21,$ET$42)*DF_!$EA19+IF(ISNUMBER(EZ21),EZ21,$FA$42)*DF_!$EB19,"")</f>
        <v>18.114999999999998</v>
      </c>
      <c r="FH21" s="678">
        <f>IF(ISNUMBER(ET21)+ISNUMBER(FA21)&gt;0,IF(ISNUMBER(ET21),ET21,$ET$42)*DF_!$EA19+IF(ISNUMBER(FA21),FA21,$FA$42)*DF_!$EB19,"")</f>
        <v>36.234999999999999</v>
      </c>
      <c r="FI21" s="687" t="str">
        <f>IF(EU21="","",+EU21*DF_!$EA19+FB21*DF_!$EB19)</f>
        <v/>
      </c>
      <c r="FJ21" s="687" t="str">
        <f>IF(EV21="","",+EV21*DF_!$EA19+FC21*DF_!$EB19)</f>
        <v/>
      </c>
      <c r="FK21" s="677" t="str">
        <f>IF(EW21="","",+EW21*DF_!$EA19+FD21*DF_!$EB19)</f>
        <v/>
      </c>
      <c r="FL21" s="691" t="str">
        <f>CLA_!BU21</f>
        <v/>
      </c>
      <c r="FM21" s="687" t="str">
        <f>CLA_!BV21</f>
        <v/>
      </c>
      <c r="FN21" s="678" t="str">
        <f>CLA_!BW21</f>
        <v/>
      </c>
      <c r="FO21" s="678" t="str">
        <f>CLA_!BX21</f>
        <v/>
      </c>
      <c r="FP21" s="687" t="str">
        <f>CLA_!BY21</f>
        <v/>
      </c>
      <c r="FQ21" s="687" t="str">
        <f>CLA_!BZ21</f>
        <v/>
      </c>
      <c r="FR21" s="677" t="str">
        <f>CLA_!CA21</f>
        <v/>
      </c>
      <c r="FS21" s="691">
        <f>CLA_!CB21</f>
        <v>0.51</v>
      </c>
      <c r="FT21" s="687">
        <f>CLA_!CC21</f>
        <v>3.35</v>
      </c>
      <c r="FU21" s="678">
        <f>CLA_!CD21</f>
        <v>7.9</v>
      </c>
      <c r="FV21" s="678">
        <f>CLA_!CE21</f>
        <v>9.4</v>
      </c>
      <c r="FW21" s="687" t="str">
        <f>CLA_!CF21</f>
        <v/>
      </c>
      <c r="FX21" s="687" t="str">
        <f>CLA_!CG21</f>
        <v/>
      </c>
      <c r="FY21" s="677" t="str">
        <f>CLA_!CH21</f>
        <v/>
      </c>
      <c r="FZ21" s="610" t="s">
        <v>323</v>
      </c>
      <c r="GA21" s="610" t="s">
        <v>323</v>
      </c>
      <c r="GB21" s="1968" t="str">
        <f>IF(CLA_!CY21="","",+CLA_!CY21)</f>
        <v/>
      </c>
      <c r="GC21" s="677" t="str">
        <f>IF(CLA_!CZ21="","",+CLA_!CZ21)</f>
        <v/>
      </c>
      <c r="GD21" s="677" t="str">
        <f>IF(CLA_!DA21="","",+CLA_!DA21)</f>
        <v/>
      </c>
      <c r="GE21" s="678" t="str">
        <f>IF(CLA_!DB21="","",+CLA_!DB21)</f>
        <v/>
      </c>
      <c r="GF21" s="677" t="str">
        <f>IF(CLA_!DO21="","",+CLA_!DO21)</f>
        <v/>
      </c>
      <c r="GG21" s="678" t="str">
        <f>IF(CLA_!DP21="","",+CLA_!DP21)</f>
        <v/>
      </c>
      <c r="GH21" s="677" t="str">
        <f>IF(CLA_!DQ21="","",+CLA_!DQ21)</f>
        <v/>
      </c>
      <c r="GI21" s="677" t="str">
        <f>IF(CLA_!DR21="","",+CLA_!DR21)</f>
        <v/>
      </c>
      <c r="GJ21" s="2030"/>
      <c r="GK21" s="2025" t="str">
        <f>IF(CLA_!CQ21="","",+CLA_!CQ21)</f>
        <v/>
      </c>
      <c r="GL21" s="2024"/>
      <c r="GM21" s="2026" t="str">
        <f>IF(CLA_!CR21="","",+CLA_!CR21)</f>
        <v/>
      </c>
      <c r="GN21" s="2024" t="str">
        <f>IF(CLA_!CZ21="","",+CLA_!CZ21)</f>
        <v/>
      </c>
      <c r="GO21" s="2026" t="str">
        <f>IF(CLA_!CS21="","",+CLA_!CS21)</f>
        <v/>
      </c>
      <c r="GP21" s="2024" t="str">
        <f>IF(CLA_!DA21="","",+CLA_!DA21)</f>
        <v/>
      </c>
      <c r="GQ21" s="2025" t="str">
        <f>IF(CLA_!CT21="","",+CLA_!CT21)</f>
        <v/>
      </c>
      <c r="GR21" s="2024" t="str">
        <f>IF(CLA_!CY21="","",+CLA_!CY21)</f>
        <v/>
      </c>
      <c r="GS21" s="2024" t="str">
        <f>IF(CLA_!CV21="","",+CLA_!CV21)</f>
        <v/>
      </c>
      <c r="GT21" s="2024" t="str">
        <f>IF(CLA_!DO21="","",+CLA_!DO21)</f>
        <v/>
      </c>
      <c r="GU21" s="2031" t="str">
        <f>IF(CLA_!CU21="","",+CLA_!CU21)</f>
        <v/>
      </c>
      <c r="GV21" s="1913" t="str">
        <f>CLA_!DF21</f>
        <v/>
      </c>
      <c r="GW21" s="677" t="str">
        <f>CLA_!DG21</f>
        <v/>
      </c>
      <c r="GX21" s="677" t="str">
        <f>CLA_!DH21</f>
        <v/>
      </c>
      <c r="GY21" s="678" t="str">
        <f>CLA_!DC21</f>
        <v/>
      </c>
      <c r="GZ21" s="648" t="s">
        <v>323</v>
      </c>
      <c r="HA21" s="635"/>
      <c r="HB21" s="648" t="s">
        <v>323</v>
      </c>
      <c r="HC21" s="685">
        <f>IF(PT_!BC21="","",+PT_!BC21)</f>
        <v>14</v>
      </c>
      <c r="HD21" s="677">
        <f>IF(PT_!BD21="","",+PT_!BD21)</f>
        <v>6</v>
      </c>
      <c r="HE21" s="677">
        <f>IF(PT_!BE21="","",+PT_!BE21)</f>
        <v>3</v>
      </c>
      <c r="HF21" s="677">
        <f>IF(PT_!BF21="","",+PT_!BF21)</f>
        <v>3</v>
      </c>
      <c r="HG21" s="677">
        <f>IF(PT_!BG21="","",+PT_!BG21)</f>
        <v>4</v>
      </c>
      <c r="HH21" s="677">
        <f>IF(PT_!BH21="","",+PT_!BH21)</f>
        <v>2</v>
      </c>
      <c r="HI21" s="677">
        <f>IF(PT_!BI21="","",+PT_!BI21)</f>
        <v>1</v>
      </c>
      <c r="HJ21" s="677">
        <f>IF(PT_!BJ21="","",+PT_!BJ21)</f>
        <v>4</v>
      </c>
      <c r="HK21" s="677">
        <f>IF(PT_!BK21="","",+PT_!BK21)</f>
        <v>2</v>
      </c>
      <c r="HL21" s="653"/>
      <c r="HM21" s="1782">
        <f t="shared" si="29"/>
        <v>83</v>
      </c>
      <c r="HN21" s="1787">
        <f t="shared" si="30"/>
        <v>56</v>
      </c>
      <c r="HO21" s="719">
        <f t="shared" si="31"/>
        <v>78</v>
      </c>
      <c r="HU21" s="730"/>
      <c r="HV21" s="2442"/>
      <c r="IU21" s="27"/>
    </row>
    <row r="22" spans="1:255" ht="17.100000000000001" customHeight="1">
      <c r="A22" s="579"/>
      <c r="B22" s="648" t="s">
        <v>324</v>
      </c>
      <c r="C22" s="674">
        <f>+CLA_!D22</f>
        <v>106</v>
      </c>
      <c r="D22" s="675" t="str">
        <f>+CLA_!E22</f>
        <v/>
      </c>
      <c r="E22" s="676">
        <f>+CLA_!F22</f>
        <v>116</v>
      </c>
      <c r="F22" s="675" t="str">
        <f>+CLA_!G22</f>
        <v/>
      </c>
      <c r="G22" s="676">
        <f>IF(C22="","",ROUND((IF(ISNUMBER(C22),C22,+$C$42)*DF_!$DY20+IF(ISNUMBER(E22),E22,$E$42)*DF_!$DZ20)/(DF_!$DY20+DF_!$DZ20),0))</f>
        <v>110</v>
      </c>
      <c r="H22" s="675" t="str">
        <f>IF(D22="","",ROUND((IF(+D22=0,+$D$42,+D22)*DF_!$DY20+IF(ISNUMBER(F22),F22,$F$42)*DF_!$DZ20)/(DF_!$DY20+DF_!$DZ20),1))</f>
        <v/>
      </c>
      <c r="I22" s="676">
        <f>+CLA_!H22</f>
        <v>80</v>
      </c>
      <c r="J22" s="676">
        <f>+CLA_!I22</f>
        <v>82</v>
      </c>
      <c r="K22" s="676">
        <f>+CLA_!J22</f>
        <v>5</v>
      </c>
      <c r="L22" s="676">
        <f>+CLA_!K22</f>
        <v>250</v>
      </c>
      <c r="M22" s="677">
        <f>IF(SUM(CLA_!L22:N22)=0,"",ROUND(AVERAGE(CLA_!L22:N22),-2))</f>
        <v>2100</v>
      </c>
      <c r="N22" s="677">
        <f>IF(SUM(CLA_!O22:P22)=0,"",ROUND(AVERAGE(CLA_!O22:P22),-2))</f>
        <v>3400</v>
      </c>
      <c r="O22" s="677">
        <f>IF(SUM(CLA_!Q22:S22)=0,"",ROUND(AVERAGE(CLA_!Q22:S22),-2))</f>
        <v>4200</v>
      </c>
      <c r="P22" s="677">
        <f>IF(SUM(CLA_!T22:U22)=0,"",ROUND(AVERAGE(CLA_!T22:U22),-2))</f>
        <v>5100</v>
      </c>
      <c r="Q22" s="677">
        <f>+CLA_!V22</f>
        <v>3600</v>
      </c>
      <c r="R22" s="678" t="str">
        <f>+CLA_!W22</f>
        <v/>
      </c>
      <c r="S22" s="677">
        <f>+CLA_!X22</f>
        <v>8000</v>
      </c>
      <c r="T22" s="678" t="str">
        <f>+CLA_!Y22</f>
        <v/>
      </c>
      <c r="U22" s="675">
        <f>IF(M22="","",+M22/(PT_!Y22*10))</f>
        <v>1.1052631578947369</v>
      </c>
      <c r="V22" s="675">
        <f>IF(N22="","",+N22/(PT_!Z22*10))</f>
        <v>0.6071428571428571</v>
      </c>
      <c r="W22" s="675"/>
      <c r="X22" s="675"/>
      <c r="Y22" s="648" t="s">
        <v>324</v>
      </c>
      <c r="Z22" s="648" t="s">
        <v>324</v>
      </c>
      <c r="AA22" s="674">
        <f>IF(CLA_!Z22="","",+CLA_!Z22)</f>
        <v>117</v>
      </c>
      <c r="AB22" s="676">
        <f>IF(CLA_!AA22="","",+CLA_!AA22)</f>
        <v>116</v>
      </c>
      <c r="AC22" s="676">
        <f>IF(AA22="","",ROUND((IF(ISNUMBER(AA22),AA22,$AA$42)*DF_!$DY20+IF(ISNUMBER(AB22),AB22,$AB$42)*DF_!$DZ20)/(DF_!$DY20+DF_!$DZ20),0))</f>
        <v>117</v>
      </c>
      <c r="AD22" s="676">
        <f>IF(CLA_!AB22="","",+CLA_!AB22)</f>
        <v>81</v>
      </c>
      <c r="AE22" s="676">
        <f>IF(CLA_!AC22="","",+CLA_!AC22)</f>
        <v>74</v>
      </c>
      <c r="AF22" s="676">
        <f>IF(CLA_!AD22="","",+CLA_!AD22)</f>
        <v>2</v>
      </c>
      <c r="AG22" s="676">
        <f>IF(CLA_!AE22="","",+CLA_!AE22)</f>
        <v>1060</v>
      </c>
      <c r="AH22" s="675">
        <f>IF(CLA_!AF22="","",+CLA_!AF22)</f>
        <v>3.51</v>
      </c>
      <c r="AI22" s="675">
        <f>IF(CLA_!AG22="","",+CLA_!AG22)</f>
        <v>81.400000000000006</v>
      </c>
      <c r="AJ22" s="675">
        <f>IF(CLA_!AH22="","",+CLA_!AH22)</f>
        <v>1.71</v>
      </c>
      <c r="AK22" s="675">
        <f>IF(CLA_!AI22="","",+CLA_!AI22)</f>
        <v>70.8</v>
      </c>
      <c r="AL22" s="2192">
        <f t="shared" si="20"/>
        <v>0.57999999999999996</v>
      </c>
      <c r="AM22" s="675"/>
      <c r="AN22" s="676">
        <f>PT_!Y22</f>
        <v>190</v>
      </c>
      <c r="AO22" s="676">
        <f>PT_!Z22</f>
        <v>560</v>
      </c>
      <c r="AP22" s="682">
        <f t="shared" si="41"/>
        <v>8.9923469387755098E-2</v>
      </c>
      <c r="AQ22" s="682">
        <f t="shared" si="42"/>
        <v>6.7654839713663248E-2</v>
      </c>
      <c r="AR22" s="675">
        <f ca="1">IF(DMREZ!D22&gt;TODAY()-2,"",((IF(ISNUMBER(O22),O22,$O$42)*2.52*HD22)/((CF22*IF(ISNUMBER(K22),K22,$K$42)*(+HD22/(HD22+HE22)))+($HQ$14*IF(ISNUMBER(AT_!Q22),AT_!Q22,AT_!$Q$42)))))</f>
        <v>7.9419076700243281</v>
      </c>
      <c r="AS22" s="675">
        <f ca="1">IF(DMREZ!D22&gt;TODAY()-2,"",((IF(ISNUMBER(P22),P22,$P$42)*2.52*HE22)/((CF22*IF(ISNUMBER(K22),K22,$K$42)*(HE22/(HD22+HE22))+((PT_!BN22+2.5/3.5*PT_!BP22)*IF(ISNUMBER(AT_!S22),AT_!S22,AT_!$S$42))))))</f>
        <v>14.811551896579431</v>
      </c>
      <c r="AT22" s="648" t="s">
        <v>324</v>
      </c>
      <c r="AU22" s="648" t="s">
        <v>324</v>
      </c>
      <c r="AV22" s="679" t="str">
        <f>IF(CLA_!AP22="","",+CLA_!AP22)</f>
        <v/>
      </c>
      <c r="AW22" s="680" t="str">
        <f>IF(CLA_!AQ22="","",+CLA_!AQ22)</f>
        <v/>
      </c>
      <c r="AX22" s="680" t="str">
        <f>IF(CLA_!AR22="","",+CLA_!AR22)</f>
        <v/>
      </c>
      <c r="AY22" s="680" t="str">
        <f>IF(CLA_!AS22="","",+CLA_!AS22)</f>
        <v/>
      </c>
      <c r="AZ22" s="680" t="str">
        <f>IF(CLA_!AT22="","",+CLA_!AT22)</f>
        <v/>
      </c>
      <c r="BA22" s="680" t="str">
        <f>IF(CLA_!AU22="","",+CLA_!AU22)</f>
        <v/>
      </c>
      <c r="BB22" s="680" t="str">
        <f>IF(CLA_!AV22="","",+CLA_!AV22)</f>
        <v/>
      </c>
      <c r="BC22" s="680" t="str">
        <f>IF(CLA_!AW22="","",+CLA_!AW22)</f>
        <v/>
      </c>
      <c r="BD22" s="680" t="str">
        <f>IF(CLA_!AX22="","",+CLA_!AX22)</f>
        <v/>
      </c>
      <c r="BE22" s="680" t="str">
        <f>IF(CLA_!AY22="","",+CLA_!AY22)</f>
        <v/>
      </c>
      <c r="BF22" s="675" t="str">
        <f>IF(CLA_!AZ22="","",+CLA_!AZ22)</f>
        <v/>
      </c>
      <c r="BG22" s="675" t="str">
        <f>IF(CLA_!BA22="","",+CLA_!BA22)</f>
        <v/>
      </c>
      <c r="BH22" s="675" t="str">
        <f>IF(CLA_!BB22="","",+CLA_!BB22)</f>
        <v/>
      </c>
      <c r="BI22" s="675" t="str">
        <f>IF(CLA_!BC22="","",+CLA_!BC22)</f>
        <v/>
      </c>
      <c r="BJ22" s="675" t="str">
        <f>IF(CLA_!BD22="","",+CLA_!BD22)</f>
        <v/>
      </c>
      <c r="BK22" s="681">
        <f>IF(PT_!U22="","",+PT_!U22)</f>
        <v>6.39</v>
      </c>
      <c r="BL22" s="675">
        <f>IF(PT_!V22="","",+PT_!V22)</f>
        <v>5.69</v>
      </c>
      <c r="BM22" s="675">
        <f>IF(PT_!W22="","",+PT_!W22)</f>
        <v>3.97</v>
      </c>
      <c r="BN22" s="675">
        <f>IF(PT_!X22="","",+PT_!X22)</f>
        <v>3.71</v>
      </c>
      <c r="BO22" s="675">
        <f>IF(PT_!T22="","",+PT_!T22)</f>
        <v>4.72</v>
      </c>
      <c r="BP22" s="676">
        <f>IF(CLA_!BE22="","",+CLA_!BE22)</f>
        <v>312</v>
      </c>
      <c r="BQ22" s="676">
        <f>IF(CLA_!BF22="","",+CLA_!BF22)</f>
        <v>389</v>
      </c>
      <c r="BR22" s="676">
        <f>IF(ISNUMBER(BQ22+BP22),+ROUND((BP22*DF_!DY20+BQ22*DF_!DZ20)/(DF_!DY20+DF_!DZ20),-1),"")</f>
        <v>340</v>
      </c>
      <c r="BS22" s="676">
        <f>IF(PT_!C22="","",ROUND(+PT_!C22,0))</f>
        <v>16</v>
      </c>
      <c r="BT22" s="675">
        <f>IF(PT_!H22="","",ROUND(MAX(PT_!H22,PT_!K22),1))</f>
        <v>7</v>
      </c>
      <c r="BU22" s="675">
        <f>IF(PT_!I22="","",ROUND(MIN(PT_!I22,PT_!L22),1))</f>
        <v>6.2</v>
      </c>
      <c r="BV22" s="675">
        <f>IF(PT_!G22="","",ROUND((PT_!G22*DF_!DZ20+DF_!DY20*PT_!J22)/DF_!DS20,1))</f>
        <v>6.8</v>
      </c>
      <c r="BW22" s="675">
        <f>IF(PT_!N22="","",+PT_!N22)</f>
        <v>6.6</v>
      </c>
      <c r="BX22" s="675">
        <f>IF(PT_!O22="","",+PT_!O22)</f>
        <v>6.3</v>
      </c>
      <c r="BY22" s="675">
        <f>IF(PT_!M22="","",+PT_!M22)</f>
        <v>6.5</v>
      </c>
      <c r="BZ22" s="682">
        <f>IF(PT_!R22="","",+PT_!R22)</f>
        <v>0.45</v>
      </c>
      <c r="CA22" s="1644" t="str">
        <f>IF(PT_!P22="","",+PT_!P22)</f>
        <v/>
      </c>
      <c r="CB22" s="1645">
        <f>IF(PT_!Q22="","",+PT_!Q22)</f>
        <v>2</v>
      </c>
      <c r="CC22" s="648" t="s">
        <v>324</v>
      </c>
      <c r="CD22" s="635"/>
      <c r="CE22" s="648" t="s">
        <v>324</v>
      </c>
      <c r="CF22" s="685">
        <f>IF(DF_!AA20="","",+DF_!AA20)</f>
        <v>94</v>
      </c>
      <c r="CG22" s="677">
        <f ca="1">IF(+DMREZ!D22&lt;TODAY(),+DF_!AD20,"")</f>
        <v>94</v>
      </c>
      <c r="CH22" s="677">
        <f>IF(DF_!AB20="","",+DF_!AB20)</f>
        <v>115</v>
      </c>
      <c r="CI22" s="677">
        <f>IF(DF_!AC20="","",+DF_!AC20)</f>
        <v>64</v>
      </c>
      <c r="CJ22" s="677">
        <f>IF(DF_!AG20="","",+DF_!AG20)</f>
        <v>94</v>
      </c>
      <c r="CK22" s="677">
        <f>IF(PT_!BL22="","",ROUND(PT_!BL22,0))</f>
        <v>61</v>
      </c>
      <c r="CL22" s="686">
        <f t="shared" si="22"/>
        <v>0.64893617021276595</v>
      </c>
      <c r="CM22" s="675">
        <f>IF(PT_!AL22="","",+PT_!AL22)</f>
        <v>90.6</v>
      </c>
      <c r="CN22" s="687">
        <f t="shared" si="10"/>
        <v>0.96382978723404245</v>
      </c>
      <c r="CO22" s="678">
        <f t="shared" si="11"/>
        <v>1.9</v>
      </c>
      <c r="CP22" s="678">
        <f t="shared" si="23"/>
        <v>3.1</v>
      </c>
      <c r="CQ22" s="678">
        <f t="shared" si="12"/>
        <v>4.3</v>
      </c>
      <c r="CR22" s="677">
        <f t="shared" si="13"/>
        <v>480</v>
      </c>
      <c r="CS22" s="675">
        <f t="shared" si="24"/>
        <v>0.9</v>
      </c>
      <c r="CT22" s="643"/>
      <c r="CU22" s="678">
        <f t="shared" si="43"/>
        <v>43.1</v>
      </c>
      <c r="CV22" s="677">
        <f t="shared" si="44"/>
        <v>95.359628770301612</v>
      </c>
      <c r="CW22" s="678">
        <f t="shared" si="45"/>
        <v>41.1</v>
      </c>
      <c r="CX22" s="678">
        <f t="shared" si="34"/>
        <v>381.5</v>
      </c>
      <c r="CY22" s="678">
        <f t="shared" si="25"/>
        <v>31.7</v>
      </c>
      <c r="CZ22" s="678">
        <f t="shared" si="26"/>
        <v>11.3</v>
      </c>
      <c r="DA22" s="2025">
        <f t="shared" si="27"/>
        <v>13.3</v>
      </c>
      <c r="DB22" s="741">
        <f t="shared" si="35"/>
        <v>12</v>
      </c>
      <c r="DC22" s="648" t="s">
        <v>324</v>
      </c>
      <c r="DD22" s="648" t="s">
        <v>324</v>
      </c>
      <c r="DE22" s="688">
        <f>IF(Grit!AT19+Grit!AZ19=0,"",+Grit!AT19+Grit!AZ19*0.5)</f>
        <v>162</v>
      </c>
      <c r="DF22" s="689">
        <f>IF(Grit!AV19="0","",+Grit!AV19)</f>
        <v>162</v>
      </c>
      <c r="DG22" s="689">
        <f t="shared" si="16"/>
        <v>10400</v>
      </c>
      <c r="DH22" s="689" t="str">
        <f>IF(Grit!AX19+Grit!AY19=0,"",+Grit!AX19+Grit!AZ19*0.5)</f>
        <v/>
      </c>
      <c r="DI22" s="689" t="str">
        <f t="shared" si="17"/>
        <v/>
      </c>
      <c r="DJ22" s="675">
        <f ca="1">IF(+DMREZ!D22&lt;TODAY(),+PT_!AE22,"")</f>
        <v>66.099999999999994</v>
      </c>
      <c r="DK22" s="678">
        <f t="shared" ca="1" si="36"/>
        <v>146.19999999999999</v>
      </c>
      <c r="DL22" s="678">
        <f t="shared" ca="1" si="37"/>
        <v>119</v>
      </c>
      <c r="DM22" s="678">
        <f t="shared" ca="1" si="38"/>
        <v>66.099999999999994</v>
      </c>
      <c r="DN22" s="678">
        <f t="shared" ca="1" si="39"/>
        <v>71.2</v>
      </c>
      <c r="DO22" s="678">
        <f t="shared" ca="1" si="40"/>
        <v>50.4</v>
      </c>
      <c r="DP22" s="687" t="str">
        <f>IF(DW_!R22="","",+DW_!R22/1000)</f>
        <v/>
      </c>
      <c r="DQ22" s="678" t="str">
        <f>IF(DW_!S22="","",+DW_!S22*2)</f>
        <v/>
      </c>
      <c r="DR22" s="678" t="str">
        <f>+DW_!S22</f>
        <v/>
      </c>
      <c r="DS22" s="675"/>
      <c r="DT22" s="677">
        <f>IF(PT_!AC22="","",+PT_!AC22)</f>
        <v>104</v>
      </c>
      <c r="DU22" s="689">
        <f>IF(ISNUMBER(CHEM_!G21),+CHEM_!G21,"")</f>
        <v>1360</v>
      </c>
      <c r="DV22" s="675">
        <f t="shared" si="18"/>
        <v>14.5</v>
      </c>
      <c r="DW22" s="687">
        <f>IF(PT_!S22="","",+PT_!S22)</f>
        <v>0.45</v>
      </c>
      <c r="DX22" s="648" t="s">
        <v>324</v>
      </c>
      <c r="DY22" s="648" t="s">
        <v>324</v>
      </c>
      <c r="DZ22" s="690" t="str">
        <f>PT_!AK22</f>
        <v/>
      </c>
      <c r="EA22" s="678">
        <f>IF(PT_!AJ22="","",+PT_!AJ22)</f>
        <v>134.4</v>
      </c>
      <c r="EB22" s="2086">
        <f t="shared" si="19"/>
        <v>134.4</v>
      </c>
      <c r="EC22" s="2094">
        <f>IF(PT_!BO22="","",+PT_!BO22)</f>
        <v>57.024000000000001</v>
      </c>
      <c r="ED22" s="1903"/>
      <c r="EE22" s="643"/>
      <c r="EF22" s="2083">
        <v>205.7</v>
      </c>
      <c r="EG22" s="2084">
        <v>617.1</v>
      </c>
      <c r="EH22" s="1890"/>
      <c r="EI22" s="689"/>
      <c r="EJ22" s="1891" t="str">
        <f>+PT_!AF22</f>
        <v/>
      </c>
      <c r="EK22" s="759" t="str">
        <f t="shared" si="28"/>
        <v/>
      </c>
      <c r="EL22" s="689"/>
      <c r="EM22" s="689" t="str">
        <f>IF(PT_!AH22&gt;0,+PT_!AH22,"")</f>
        <v/>
      </c>
      <c r="EN22" s="614" t="str">
        <f>IF(PT_!AZ22="","",+PT_!AZ22)</f>
        <v>Clear</v>
      </c>
      <c r="EO22" s="615" t="s">
        <v>324</v>
      </c>
      <c r="EP22" s="610" t="s">
        <v>324</v>
      </c>
      <c r="EQ22" s="691">
        <f>CLA_!BG22</f>
        <v>0.08</v>
      </c>
      <c r="ER22" s="687">
        <f>CLA_!BH22</f>
        <v>0.11</v>
      </c>
      <c r="ES22" s="678">
        <f>CLA_!BI22</f>
        <v>19.8</v>
      </c>
      <c r="ET22" s="678">
        <f>CLA_!BJ22</f>
        <v>35.200000000000003</v>
      </c>
      <c r="EU22" s="687" t="str">
        <f>CLA_!BK22</f>
        <v/>
      </c>
      <c r="EV22" s="687" t="str">
        <f>CLA_!BL22</f>
        <v/>
      </c>
      <c r="EW22" s="677" t="str">
        <f>CLA_!BM22</f>
        <v/>
      </c>
      <c r="EX22" s="691">
        <f>CLA_!BN22</f>
        <v>7.0000000000000007E-2</v>
      </c>
      <c r="EY22" s="687">
        <f>CLA_!BO22</f>
        <v>0.09</v>
      </c>
      <c r="EZ22" s="678">
        <f>CLA_!BP22</f>
        <v>19.8</v>
      </c>
      <c r="FA22" s="678">
        <f>CLA_!BQ22</f>
        <v>34.6</v>
      </c>
      <c r="FB22" s="687" t="str">
        <f>CLA_!BR22</f>
        <v/>
      </c>
      <c r="FC22" s="687" t="str">
        <f>CLA_!BS22</f>
        <v/>
      </c>
      <c r="FD22" s="677" t="str">
        <f>CLA_!BT22</f>
        <v/>
      </c>
      <c r="FE22" s="691">
        <f>IF(ISNUMBER(EQ22+EX22),+EQ22*DF_!$EA20+EX22*DF_!$EB20,"")</f>
        <v>7.6500000000000012E-2</v>
      </c>
      <c r="FF22" s="687">
        <f>IF(ISNUMBER(+ER22+EY22),+ER22*DF_!$EA20+EY22*DF_!$EB20,"")</f>
        <v>0.10300000000000001</v>
      </c>
      <c r="FG22" s="678">
        <f>IF(ISNUMBER(ES22)+ISNUMBER(EZ22)&gt;0,IF(ISNUMBER(ES22),ES22,$ET$42)*DF_!$EA20+IF(ISNUMBER(EZ22),EZ22,$FA$42)*DF_!$EB20,"")</f>
        <v>19.8</v>
      </c>
      <c r="FH22" s="678">
        <f>IF(ISNUMBER(ET22)+ISNUMBER(FA22)&gt;0,IF(ISNUMBER(ET22),ET22,$ET$42)*DF_!$EA20+IF(ISNUMBER(FA22),FA22,$FA$42)*DF_!$EB20,"")</f>
        <v>34.99</v>
      </c>
      <c r="FI22" s="687" t="str">
        <f>IF(EU22="","",+EU22*DF_!$EA20+FB22*DF_!$EB20)</f>
        <v/>
      </c>
      <c r="FJ22" s="687" t="str">
        <f>IF(EV22="","",+EV22*DF_!$EA20+FC22*DF_!$EB20)</f>
        <v/>
      </c>
      <c r="FK22" s="677" t="str">
        <f>IF(EW22="","",+EW22*DF_!$EA20+FD22*DF_!$EB20)</f>
        <v/>
      </c>
      <c r="FL22" s="691">
        <f>CLA_!BU22</f>
        <v>0.05</v>
      </c>
      <c r="FM22" s="687">
        <f>CLA_!BV22</f>
        <v>0.01</v>
      </c>
      <c r="FN22" s="678">
        <f>CLA_!BW22</f>
        <v>21.9</v>
      </c>
      <c r="FO22" s="678" t="str">
        <f>CLA_!BX22</f>
        <v/>
      </c>
      <c r="FP22" s="687" t="str">
        <f>CLA_!BY22</f>
        <v/>
      </c>
      <c r="FQ22" s="687" t="str">
        <f>CLA_!BZ22</f>
        <v/>
      </c>
      <c r="FR22" s="677" t="str">
        <f>CLA_!CA22</f>
        <v/>
      </c>
      <c r="FS22" s="691">
        <f>CLA_!CB22</f>
        <v>0.56000000000000005</v>
      </c>
      <c r="FT22" s="687">
        <f>CLA_!CC22</f>
        <v>3.61</v>
      </c>
      <c r="FU22" s="678">
        <f>CLA_!CD22</f>
        <v>10.7</v>
      </c>
      <c r="FV22" s="678">
        <f>CLA_!CE22</f>
        <v>12.9</v>
      </c>
      <c r="FW22" s="687" t="str">
        <f>CLA_!CF22</f>
        <v/>
      </c>
      <c r="FX22" s="687" t="str">
        <f>CLA_!CG22</f>
        <v/>
      </c>
      <c r="FY22" s="677" t="str">
        <f>CLA_!CH22</f>
        <v/>
      </c>
      <c r="FZ22" s="610" t="s">
        <v>324</v>
      </c>
      <c r="GA22" s="610" t="s">
        <v>324</v>
      </c>
      <c r="GB22" s="1968" t="str">
        <f>IF(CLA_!CY22="","",+CLA_!CY22)</f>
        <v/>
      </c>
      <c r="GC22" s="677" t="str">
        <f>IF(CLA_!CZ22="","",+CLA_!CZ22)</f>
        <v/>
      </c>
      <c r="GD22" s="677" t="str">
        <f>IF(CLA_!DA22="","",+CLA_!DA22)</f>
        <v/>
      </c>
      <c r="GE22" s="678" t="str">
        <f>IF(CLA_!DB22="","",+CLA_!DB22)</f>
        <v/>
      </c>
      <c r="GF22" s="677" t="str">
        <f>IF(CLA_!DO22="","",+CLA_!DO22)</f>
        <v/>
      </c>
      <c r="GG22" s="678" t="str">
        <f>IF(CLA_!DP22="","",+CLA_!DP22)</f>
        <v/>
      </c>
      <c r="GH22" s="677" t="str">
        <f>IF(CLA_!DQ22="","",+CLA_!DQ22)</f>
        <v/>
      </c>
      <c r="GI22" s="677" t="str">
        <f>IF(CLA_!DR22="","",+CLA_!DR22)</f>
        <v/>
      </c>
      <c r="GJ22" s="2030"/>
      <c r="GK22" s="2025" t="str">
        <f>IF(CLA_!CQ22="","",+CLA_!CQ22)</f>
        <v/>
      </c>
      <c r="GL22" s="2024"/>
      <c r="GM22" s="2026" t="str">
        <f>IF(CLA_!CR22="","",+CLA_!CR22)</f>
        <v/>
      </c>
      <c r="GN22" s="2024" t="str">
        <f>IF(CLA_!CZ22="","",+CLA_!CZ22)</f>
        <v/>
      </c>
      <c r="GO22" s="2026" t="str">
        <f>IF(CLA_!CS22="","",+CLA_!CS22)</f>
        <v/>
      </c>
      <c r="GP22" s="2024" t="str">
        <f>IF(CLA_!DA22="","",+CLA_!DA22)</f>
        <v/>
      </c>
      <c r="GQ22" s="2025" t="str">
        <f>IF(CLA_!CT22="","",+CLA_!CT22)</f>
        <v/>
      </c>
      <c r="GR22" s="2024" t="str">
        <f>IF(CLA_!CY22="","",+CLA_!CY22)</f>
        <v/>
      </c>
      <c r="GS22" s="2024" t="str">
        <f>IF(CLA_!CV22="","",+CLA_!CV22)</f>
        <v/>
      </c>
      <c r="GT22" s="2024" t="str">
        <f>IF(CLA_!DO22="","",+CLA_!DO22)</f>
        <v/>
      </c>
      <c r="GU22" s="2031" t="str">
        <f>IF(CLA_!CU22="","",+CLA_!CU22)</f>
        <v/>
      </c>
      <c r="GV22" s="1913" t="str">
        <f>CLA_!DF22</f>
        <v/>
      </c>
      <c r="GW22" s="677" t="str">
        <f>CLA_!DG22</f>
        <v/>
      </c>
      <c r="GX22" s="677" t="str">
        <f>CLA_!DH22</f>
        <v/>
      </c>
      <c r="GY22" s="678" t="str">
        <f>CLA_!DC22</f>
        <v/>
      </c>
      <c r="GZ22" s="648" t="s">
        <v>324</v>
      </c>
      <c r="HA22" s="635"/>
      <c r="HB22" s="648" t="s">
        <v>324</v>
      </c>
      <c r="HC22" s="685">
        <f>IF(PT_!BC22="","",+PT_!BC22)</f>
        <v>14</v>
      </c>
      <c r="HD22" s="677">
        <f>IF(PT_!BD22="","",+PT_!BD22)</f>
        <v>5</v>
      </c>
      <c r="HE22" s="677">
        <f>IF(PT_!BE22="","",+PT_!BE22)</f>
        <v>3</v>
      </c>
      <c r="HF22" s="677">
        <f>IF(PT_!BF22="","",+PT_!BF22)</f>
        <v>3</v>
      </c>
      <c r="HG22" s="677">
        <f>IF(PT_!BG22="","",+PT_!BG22)</f>
        <v>4</v>
      </c>
      <c r="HH22" s="677">
        <f>IF(PT_!BH22="","",+PT_!BH22)</f>
        <v>2</v>
      </c>
      <c r="HI22" s="677">
        <f>IF(PT_!BI22="","",+PT_!BI22)</f>
        <v>1</v>
      </c>
      <c r="HJ22" s="677">
        <f>IF(PT_!BJ22="","",+PT_!BJ22)</f>
        <v>4</v>
      </c>
      <c r="HK22" s="677">
        <f>IF(PT_!BK22="","",+PT_!BK22)</f>
        <v>2</v>
      </c>
      <c r="HL22" s="653"/>
      <c r="HM22" s="1782">
        <f t="shared" si="29"/>
        <v>63</v>
      </c>
      <c r="HN22" s="1787">
        <f t="shared" si="30"/>
        <v>34</v>
      </c>
      <c r="HO22" s="719">
        <f t="shared" si="31"/>
        <v>36</v>
      </c>
      <c r="HU22" s="730"/>
      <c r="HV22" s="2442"/>
      <c r="IU22" s="27"/>
    </row>
    <row r="23" spans="1:255" ht="17.100000000000001" customHeight="1">
      <c r="A23" s="579"/>
      <c r="B23" s="648" t="s">
        <v>325</v>
      </c>
      <c r="C23" s="674">
        <f>+CLA_!D23</f>
        <v>130</v>
      </c>
      <c r="D23" s="675">
        <f>+CLA_!E23</f>
        <v>78.5</v>
      </c>
      <c r="E23" s="676">
        <f>+CLA_!F23</f>
        <v>148</v>
      </c>
      <c r="F23" s="675">
        <f>+CLA_!G23</f>
        <v>83.8</v>
      </c>
      <c r="G23" s="676">
        <f>IF(C23="","",ROUND((IF(ISNUMBER(C23),C23,+$C$42)*DF_!$DY21+IF(ISNUMBER(E23),E23,$E$42)*DF_!$DZ21)/(DF_!$DY21+DF_!$DZ21),0))</f>
        <v>136</v>
      </c>
      <c r="H23" s="675">
        <f>IF(D23="","",ROUND((IF(+D23=0,+$D$42,+D23)*DF_!$DY21+IF(ISNUMBER(F23),F23,$F$42)*DF_!$DZ21)/(DF_!$DY21+DF_!$DZ21),1))</f>
        <v>80.400000000000006</v>
      </c>
      <c r="I23" s="676">
        <f>+CLA_!H23</f>
        <v>54</v>
      </c>
      <c r="J23" s="676">
        <f>+CLA_!I23</f>
        <v>62</v>
      </c>
      <c r="K23" s="676">
        <f>+CLA_!J23</f>
        <v>21</v>
      </c>
      <c r="L23" s="676">
        <f>+CLA_!K23</f>
        <v>80</v>
      </c>
      <c r="M23" s="677">
        <f>IF(SUM(CLA_!L23:N23)=0,"",ROUND(AVERAGE(CLA_!L23:N23),-2))</f>
        <v>2200</v>
      </c>
      <c r="N23" s="677">
        <f>IF(SUM(CLA_!O23:P23)=0,"",ROUND(AVERAGE(CLA_!O23:P23),-2))</f>
        <v>3400</v>
      </c>
      <c r="O23" s="677">
        <f>IF(SUM(CLA_!Q23:S23)=0,"",ROUND(AVERAGE(CLA_!Q23:S23),-2))</f>
        <v>2100</v>
      </c>
      <c r="P23" s="677">
        <f>IF(SUM(CLA_!T23:U23)=0,"",ROUND(AVERAGE(CLA_!T23:U23),-2))</f>
        <v>3400</v>
      </c>
      <c r="Q23" s="677">
        <f>+CLA_!V23</f>
        <v>4300</v>
      </c>
      <c r="R23" s="678">
        <f>+CLA_!W23</f>
        <v>80.599999999999994</v>
      </c>
      <c r="S23" s="677">
        <f>+CLA_!X23</f>
        <v>9550</v>
      </c>
      <c r="T23" s="678">
        <f>+CLA_!Y23</f>
        <v>81.7</v>
      </c>
      <c r="U23" s="675">
        <f>IF(M23="","",+M23/(PT_!Y23*10))</f>
        <v>0.7857142857142857</v>
      </c>
      <c r="V23" s="675">
        <f>IF(N23="","",+N23/(PT_!Z23*10))</f>
        <v>0.46575342465753422</v>
      </c>
      <c r="W23" s="675"/>
      <c r="X23" s="675"/>
      <c r="Y23" s="648" t="s">
        <v>325</v>
      </c>
      <c r="Z23" s="648" t="s">
        <v>325</v>
      </c>
      <c r="AA23" s="674">
        <f>IF(CLA_!Z23="","",+CLA_!Z23)</f>
        <v>128</v>
      </c>
      <c r="AB23" s="676">
        <f>IF(CLA_!AA23="","",+CLA_!AA23)</f>
        <v>146</v>
      </c>
      <c r="AC23" s="676">
        <f>IF(AA23="","",ROUND((IF(ISNUMBER(AA23),AA23,$AA$42)*DF_!$DY21+IF(ISNUMBER(AB23),AB23,$AB$42)*DF_!$DZ21)/(DF_!$DY21+DF_!$DZ21),0))</f>
        <v>134</v>
      </c>
      <c r="AD23" s="676">
        <f>IF(CLA_!AB23="","",+CLA_!AB23)</f>
        <v>60</v>
      </c>
      <c r="AE23" s="676">
        <f>IF(CLA_!AC23="","",+CLA_!AC23)</f>
        <v>69</v>
      </c>
      <c r="AF23" s="676">
        <f>IF(CLA_!AD23="","",+CLA_!AD23)</f>
        <v>6</v>
      </c>
      <c r="AG23" s="676">
        <f>IF(CLA_!AE23="","",+CLA_!AE23)</f>
        <v>1850</v>
      </c>
      <c r="AH23" s="675">
        <f>IF(CLA_!AF23="","",+CLA_!AF23)</f>
        <v>3.14</v>
      </c>
      <c r="AI23" s="675">
        <f>IF(CLA_!AG23="","",+CLA_!AG23)</f>
        <v>81.7</v>
      </c>
      <c r="AJ23" s="675">
        <f>IF(CLA_!AH23="","",+CLA_!AH23)</f>
        <v>1.72</v>
      </c>
      <c r="AK23" s="675">
        <f>IF(CLA_!AI23="","",+CLA_!AI23)</f>
        <v>74.400000000000006</v>
      </c>
      <c r="AL23" s="2192">
        <f t="shared" si="20"/>
        <v>0.5</v>
      </c>
      <c r="AM23" s="675"/>
      <c r="AN23" s="676">
        <f>PT_!Y23</f>
        <v>280</v>
      </c>
      <c r="AO23" s="676">
        <f>PT_!Z23</f>
        <v>730</v>
      </c>
      <c r="AP23" s="682">
        <f t="shared" si="32"/>
        <v>0.12755102040816327</v>
      </c>
      <c r="AQ23" s="682">
        <f t="shared" si="21"/>
        <v>9.0598739495798331E-2</v>
      </c>
      <c r="AR23" s="675">
        <f ca="1">IF(DMREZ!D23&gt;TODAY()-2,"",((IF(ISNUMBER(O23),O23,$O$42)*2.52*HD23)/((CF23*IF(ISNUMBER(K23),K23,$K$42)*(+HD23/(HD23+HE23)))+($HQ$14*IF(ISNUMBER(AT_!Q23),AT_!Q23,AT_!$Q$42)))))</f>
        <v>3.0104351931862263</v>
      </c>
      <c r="AS23" s="675">
        <f ca="1">IF(DMREZ!D23&gt;TODAY()-2,"",((IF(ISNUMBER(P23),P23,$P$42)*2.52*HE23)/((CF23*IF(ISNUMBER(K23),K23,$K$42)*(HE23/(HD23+HE23))+((PT_!BN23+2.5/3.5*PT_!BP23)*IF(ISNUMBER(AT_!S23),AT_!S23,AT_!$S$42))))))</f>
        <v>7.1256038290564474</v>
      </c>
      <c r="AT23" s="648" t="s">
        <v>325</v>
      </c>
      <c r="AU23" s="648" t="s">
        <v>325</v>
      </c>
      <c r="AV23" s="679" t="str">
        <f>IF(CLA_!AP23="","",+CLA_!AP23)</f>
        <v/>
      </c>
      <c r="AW23" s="680" t="str">
        <f>IF(CLA_!AQ23="","",+CLA_!AQ23)</f>
        <v/>
      </c>
      <c r="AX23" s="680" t="str">
        <f>IF(CLA_!AR23="","",+CLA_!AR23)</f>
        <v/>
      </c>
      <c r="AY23" s="680" t="str">
        <f>IF(CLA_!AS23="","",+CLA_!AS23)</f>
        <v/>
      </c>
      <c r="AZ23" s="680" t="str">
        <f>IF(CLA_!AT23="","",+CLA_!AT23)</f>
        <v/>
      </c>
      <c r="BA23" s="680" t="str">
        <f>IF(CLA_!AU23="","",+CLA_!AU23)</f>
        <v/>
      </c>
      <c r="BB23" s="680" t="str">
        <f>IF(CLA_!AV23="","",+CLA_!AV23)</f>
        <v/>
      </c>
      <c r="BC23" s="680" t="str">
        <f>IF(CLA_!AW23="","",+CLA_!AW23)</f>
        <v/>
      </c>
      <c r="BD23" s="680" t="str">
        <f>IF(CLA_!AX23="","",+CLA_!AX23)</f>
        <v/>
      </c>
      <c r="BE23" s="680" t="str">
        <f>IF(CLA_!AY23="","",+CLA_!AY23)</f>
        <v/>
      </c>
      <c r="BF23" s="675" t="str">
        <f>IF(CLA_!AZ23="","",+CLA_!AZ23)</f>
        <v/>
      </c>
      <c r="BG23" s="675" t="str">
        <f>IF(CLA_!BA23="","",+CLA_!BA23)</f>
        <v/>
      </c>
      <c r="BH23" s="675" t="str">
        <f>IF(CLA_!BB23="","",+CLA_!BB23)</f>
        <v/>
      </c>
      <c r="BI23" s="675" t="str">
        <f>IF(CLA_!BC23="","",+CLA_!BC23)</f>
        <v/>
      </c>
      <c r="BJ23" s="675" t="str">
        <f>IF(CLA_!BD23="","",+CLA_!BD23)</f>
        <v/>
      </c>
      <c r="BK23" s="681">
        <f>IF(PT_!U23="","",+PT_!U23)</f>
        <v>5.74</v>
      </c>
      <c r="BL23" s="675">
        <f>IF(PT_!V23="","",+PT_!V23)</f>
        <v>6.07</v>
      </c>
      <c r="BM23" s="675">
        <f>IF(PT_!W23="","",+PT_!W23)</f>
        <v>4.83</v>
      </c>
      <c r="BN23" s="675">
        <f>IF(PT_!X23="","",+PT_!X23)</f>
        <v>4.79</v>
      </c>
      <c r="BO23" s="675">
        <f>IF(PT_!T23="","",+PT_!T23)</f>
        <v>4.57</v>
      </c>
      <c r="BP23" s="676" t="str">
        <f>IF(CLA_!BE23="","",+CLA_!BE23)</f>
        <v/>
      </c>
      <c r="BQ23" s="676" t="str">
        <f>IF(CLA_!BF23="","",+CLA_!BF23)</f>
        <v/>
      </c>
      <c r="BR23" s="676" t="str">
        <f>IF(ISNUMBER(BQ23+BP23),+ROUND((BP23*DF_!DY21+BQ23*DF_!DZ21)/(DF_!DY21+DF_!DZ21),-1),"")</f>
        <v/>
      </c>
      <c r="BS23" s="676">
        <f>IF(PT_!C23="","",ROUND(+PT_!C23,0))</f>
        <v>17</v>
      </c>
      <c r="BT23" s="675">
        <f>IF(PT_!H23="","",ROUND(MAX(PT_!H23,PT_!K23),1))</f>
        <v>7.2</v>
      </c>
      <c r="BU23" s="675">
        <f>IF(PT_!I23="","",ROUND(MIN(PT_!I23,PT_!L23),1))</f>
        <v>6.7</v>
      </c>
      <c r="BV23" s="675">
        <f>IF(PT_!G23="","",ROUND((PT_!G23*DF_!DZ21+DF_!DY21*PT_!J23)/DF_!DS21,1))</f>
        <v>6.9</v>
      </c>
      <c r="BW23" s="675">
        <f>IF(PT_!N23="","",+PT_!N23)</f>
        <v>6.7</v>
      </c>
      <c r="BX23" s="675">
        <f>IF(PT_!O23="","",+PT_!O23)</f>
        <v>6.3</v>
      </c>
      <c r="BY23" s="675">
        <f>IF(PT_!M23="","",+PT_!M23)</f>
        <v>6.5</v>
      </c>
      <c r="BZ23" s="682">
        <f>IF(PT_!R23="","",+PT_!R23)</f>
        <v>0.53</v>
      </c>
      <c r="CA23" s="1644" t="str">
        <f>IF(PT_!P23="","",+PT_!P23)</f>
        <v/>
      </c>
      <c r="CB23" s="1645">
        <f>IF(PT_!Q23="","",+PT_!Q23)</f>
        <v>12</v>
      </c>
      <c r="CC23" s="648" t="s">
        <v>325</v>
      </c>
      <c r="CD23" s="635"/>
      <c r="CE23" s="648" t="s">
        <v>325</v>
      </c>
      <c r="CF23" s="685">
        <f>IF(DF_!AA21="","",+DF_!AA21)</f>
        <v>90</v>
      </c>
      <c r="CG23" s="677">
        <f ca="1">IF(+DMREZ!D23&lt;TODAY(),+DF_!AD21,"")</f>
        <v>90</v>
      </c>
      <c r="CH23" s="677">
        <f>IF(DF_!AB21="","",+DF_!AB21)</f>
        <v>117</v>
      </c>
      <c r="CI23" s="677">
        <f>IF(DF_!AC21="","",+DF_!AC21)</f>
        <v>41</v>
      </c>
      <c r="CJ23" s="677">
        <f>IF(DF_!AG21="","",+DF_!AG21)</f>
        <v>90</v>
      </c>
      <c r="CK23" s="677">
        <f>IF(PT_!BL23="","",ROUND(PT_!BL23,0))</f>
        <v>62</v>
      </c>
      <c r="CL23" s="686">
        <f t="shared" si="22"/>
        <v>0.68888888888888888</v>
      </c>
      <c r="CM23" s="675">
        <f>IF(PT_!AL23="","",+PT_!AL23)</f>
        <v>96.2</v>
      </c>
      <c r="CN23" s="687">
        <f t="shared" si="10"/>
        <v>1.068888888888889</v>
      </c>
      <c r="CO23" s="678">
        <f t="shared" si="11"/>
        <v>2</v>
      </c>
      <c r="CP23" s="678">
        <f t="shared" si="23"/>
        <v>3.2</v>
      </c>
      <c r="CQ23" s="678">
        <f t="shared" si="12"/>
        <v>4.5</v>
      </c>
      <c r="CR23" s="677">
        <f t="shared" si="13"/>
        <v>460</v>
      </c>
      <c r="CS23" s="675">
        <f t="shared" si="24"/>
        <v>0.6</v>
      </c>
      <c r="CT23" s="643" t="s">
        <v>475</v>
      </c>
      <c r="CU23" s="678">
        <f t="shared" si="43"/>
        <v>51</v>
      </c>
      <c r="CV23" s="677">
        <f t="shared" si="44"/>
        <v>84.509803921568633</v>
      </c>
      <c r="CW23" s="678">
        <f t="shared" si="45"/>
        <v>43.1</v>
      </c>
      <c r="CX23" s="678">
        <f t="shared" si="34"/>
        <v>217.5</v>
      </c>
      <c r="CY23" s="678">
        <f t="shared" si="25"/>
        <v>21.5</v>
      </c>
      <c r="CZ23" s="678">
        <f t="shared" si="26"/>
        <v>8.6999999999999993</v>
      </c>
      <c r="DA23" s="2025">
        <f t="shared" si="27"/>
        <v>12.3</v>
      </c>
      <c r="DB23" s="741">
        <f t="shared" si="35"/>
        <v>10.1</v>
      </c>
      <c r="DC23" s="648" t="s">
        <v>325</v>
      </c>
      <c r="DD23" s="648" t="s">
        <v>325</v>
      </c>
      <c r="DE23" s="688">
        <f>IF(Grit!AT20+Grit!AZ20=0,"",+Grit!AT20+Grit!AZ20*0.5)</f>
        <v>432</v>
      </c>
      <c r="DF23" s="689">
        <f>IF(Grit!AV20="0","",+Grit!AV20)</f>
        <v>486</v>
      </c>
      <c r="DG23" s="689">
        <f t="shared" si="16"/>
        <v>31100</v>
      </c>
      <c r="DH23" s="689" t="str">
        <f>IF(Grit!AX20+Grit!AY20=0,"",+Grit!AX20+Grit!AZ20*0.5)</f>
        <v/>
      </c>
      <c r="DI23" s="689" t="str">
        <f t="shared" si="17"/>
        <v/>
      </c>
      <c r="DJ23" s="675">
        <f ca="1">IF(+DMREZ!D23&lt;TODAY(),+PT_!AE23,"")</f>
        <v>41.3</v>
      </c>
      <c r="DK23" s="678">
        <f t="shared" ca="1" si="36"/>
        <v>81.7</v>
      </c>
      <c r="DL23" s="678">
        <f t="shared" ca="1" si="37"/>
        <v>66.7</v>
      </c>
      <c r="DM23" s="678">
        <f t="shared" ca="1" si="38"/>
        <v>41.3</v>
      </c>
      <c r="DN23" s="678">
        <f t="shared" ca="1" si="39"/>
        <v>44.8</v>
      </c>
      <c r="DO23" s="678">
        <f t="shared" ca="1" si="40"/>
        <v>33.299999999999997</v>
      </c>
      <c r="DP23" s="687" t="str">
        <f>IF(DW_!R23="","",+DW_!R23/1000)</f>
        <v/>
      </c>
      <c r="DQ23" s="678" t="str">
        <f>IF(DW_!S23="","",+DW_!S23*2)</f>
        <v/>
      </c>
      <c r="DR23" s="678" t="str">
        <f>+DW_!S23</f>
        <v/>
      </c>
      <c r="DS23" s="675"/>
      <c r="DT23" s="677">
        <f>IF(PT_!AC23="","",+PT_!AC23)</f>
        <v>104</v>
      </c>
      <c r="DU23" s="689">
        <f>IF(ISNUMBER(CHEM_!G22),+CHEM_!G22,"")</f>
        <v>1130</v>
      </c>
      <c r="DV23" s="675">
        <f t="shared" si="18"/>
        <v>12.6</v>
      </c>
      <c r="DW23" s="687">
        <f>IF(PT_!S23="","",+PT_!S23)</f>
        <v>0.42</v>
      </c>
      <c r="DX23" s="648" t="s">
        <v>325</v>
      </c>
      <c r="DY23" s="648" t="s">
        <v>325</v>
      </c>
      <c r="DZ23" s="690" t="str">
        <f>PT_!AK23</f>
        <v/>
      </c>
      <c r="EA23" s="678">
        <f>IF(PT_!AJ23="","",+PT_!AJ23)</f>
        <v>137.6</v>
      </c>
      <c r="EB23" s="2086">
        <f t="shared" si="19"/>
        <v>137.6</v>
      </c>
      <c r="EC23" s="2094">
        <f>IF(PT_!BO23="","",+PT_!BO23)</f>
        <v>57.523200000000003</v>
      </c>
      <c r="ED23" s="1903"/>
      <c r="EE23" s="643"/>
      <c r="EF23" s="2083">
        <v>205.7</v>
      </c>
      <c r="EG23" s="2084">
        <v>617.1</v>
      </c>
      <c r="EH23" s="1890"/>
      <c r="EI23" s="689"/>
      <c r="EJ23" s="1891" t="str">
        <f>+PT_!AF23</f>
        <v/>
      </c>
      <c r="EK23" s="759" t="str">
        <f t="shared" si="28"/>
        <v/>
      </c>
      <c r="EL23" s="689"/>
      <c r="EM23" s="689" t="str">
        <f>IF(PT_!AH23&gt;0,+PT_!AH23,"")</f>
        <v/>
      </c>
      <c r="EN23" s="614" t="str">
        <f>IF(PT_!AZ23="","",+PT_!AZ23)</f>
        <v>Clear</v>
      </c>
      <c r="EO23" s="615" t="s">
        <v>325</v>
      </c>
      <c r="EP23" s="610" t="s">
        <v>325</v>
      </c>
      <c r="EQ23" s="691">
        <f>CLA_!BG23</f>
        <v>7.0000000000000007E-2</v>
      </c>
      <c r="ER23" s="687">
        <f>CLA_!BH23</f>
        <v>0.09</v>
      </c>
      <c r="ES23" s="678">
        <f>CLA_!BI23</f>
        <v>22.4</v>
      </c>
      <c r="ET23" s="678">
        <f>CLA_!BJ23</f>
        <v>34.700000000000003</v>
      </c>
      <c r="EU23" s="687" t="str">
        <f>CLA_!BK23</f>
        <v/>
      </c>
      <c r="EV23" s="687" t="str">
        <f>CLA_!BL23</f>
        <v/>
      </c>
      <c r="EW23" s="677" t="str">
        <f>CLA_!BM23</f>
        <v/>
      </c>
      <c r="EX23" s="691">
        <f>CLA_!BN23</f>
        <v>0.06</v>
      </c>
      <c r="EY23" s="687">
        <f>CLA_!BO23</f>
        <v>0.06</v>
      </c>
      <c r="EZ23" s="678">
        <f>CLA_!BP23</f>
        <v>23.9</v>
      </c>
      <c r="FA23" s="678">
        <f>CLA_!BQ23</f>
        <v>36.799999999999997</v>
      </c>
      <c r="FB23" s="687" t="str">
        <f>CLA_!BR23</f>
        <v/>
      </c>
      <c r="FC23" s="687" t="str">
        <f>CLA_!BS23</f>
        <v/>
      </c>
      <c r="FD23" s="677" t="str">
        <f>CLA_!BT23</f>
        <v/>
      </c>
      <c r="FE23" s="691">
        <f>IF(ISNUMBER(EQ23+EX23),+EQ23*DF_!$EA21+EX23*DF_!$EB21,"")</f>
        <v>6.6500000000000004E-2</v>
      </c>
      <c r="FF23" s="687">
        <f>IF(ISNUMBER(+ER23+EY23),+ER23*DF_!$EA21+EY23*DF_!$EB21,"")</f>
        <v>7.9499999999999987E-2</v>
      </c>
      <c r="FG23" s="678">
        <f>IF(ISNUMBER(ES23)+ISNUMBER(EZ23)&gt;0,IF(ISNUMBER(ES23),ES23,$ET$42)*DF_!$EA21+IF(ISNUMBER(EZ23),EZ23,$FA$42)*DF_!$EB21,"")</f>
        <v>22.924999999999997</v>
      </c>
      <c r="FH23" s="678">
        <f>IF(ISNUMBER(ET23)+ISNUMBER(FA23)&gt;0,IF(ISNUMBER(ET23),ET23,$ET$42)*DF_!$EA21+IF(ISNUMBER(FA23),FA23,$FA$42)*DF_!$EB21,"")</f>
        <v>35.435000000000002</v>
      </c>
      <c r="FI23" s="687" t="str">
        <f>IF(EU23="","",+EU23*DF_!$EA21+FB23*DF_!$EB21)</f>
        <v/>
      </c>
      <c r="FJ23" s="687" t="str">
        <f>IF(EV23="","",+EV23*DF_!$EA21+FC23*DF_!$EB21)</f>
        <v/>
      </c>
      <c r="FK23" s="677" t="str">
        <f>IF(EW23="","",+EW23*DF_!$EA21+FD23*DF_!$EB21)</f>
        <v/>
      </c>
      <c r="FL23" s="691" t="str">
        <f>CLA_!BU23</f>
        <v/>
      </c>
      <c r="FM23" s="687" t="str">
        <f>CLA_!BV23</f>
        <v/>
      </c>
      <c r="FN23" s="678" t="str">
        <f>CLA_!BW23</f>
        <v/>
      </c>
      <c r="FO23" s="678" t="str">
        <f>CLA_!BX23</f>
        <v/>
      </c>
      <c r="FP23" s="687" t="str">
        <f>CLA_!BY23</f>
        <v/>
      </c>
      <c r="FQ23" s="687" t="str">
        <f>CLA_!BZ23</f>
        <v/>
      </c>
      <c r="FR23" s="677" t="str">
        <f>CLA_!CA23</f>
        <v/>
      </c>
      <c r="FS23" s="691">
        <f>CLA_!CB23</f>
        <v>0.56999999999999995</v>
      </c>
      <c r="FT23" s="687">
        <f>CLA_!CC23</f>
        <v>3.65</v>
      </c>
      <c r="FU23" s="678">
        <f>CLA_!CD23</f>
        <v>13.3</v>
      </c>
      <c r="FV23" s="678">
        <f>CLA_!CE23</f>
        <v>16.100000000000001</v>
      </c>
      <c r="FW23" s="687" t="str">
        <f>CLA_!CF23</f>
        <v/>
      </c>
      <c r="FX23" s="687" t="str">
        <f>CLA_!CG23</f>
        <v/>
      </c>
      <c r="FY23" s="677" t="str">
        <f>CLA_!CH23</f>
        <v/>
      </c>
      <c r="FZ23" s="610" t="s">
        <v>325</v>
      </c>
      <c r="GA23" s="610" t="s">
        <v>325</v>
      </c>
      <c r="GB23" s="1968" t="str">
        <f>IF(CLA_!CY23="","",+CLA_!CY23)</f>
        <v/>
      </c>
      <c r="GC23" s="677" t="str">
        <f>IF(CLA_!CZ23="","",+CLA_!CZ23)</f>
        <v/>
      </c>
      <c r="GD23" s="677" t="str">
        <f>IF(CLA_!DA23="","",+CLA_!DA23)</f>
        <v/>
      </c>
      <c r="GE23" s="678" t="str">
        <f>IF(CLA_!DB23="","",+CLA_!DB23)</f>
        <v/>
      </c>
      <c r="GF23" s="677" t="str">
        <f>IF(CLA_!DO23="","",+CLA_!DO23)</f>
        <v/>
      </c>
      <c r="GG23" s="678" t="str">
        <f>IF(CLA_!DP23="","",+CLA_!DP23)</f>
        <v/>
      </c>
      <c r="GH23" s="677" t="str">
        <f>IF(CLA_!DQ23="","",+CLA_!DQ23)</f>
        <v/>
      </c>
      <c r="GI23" s="677" t="str">
        <f>IF(CLA_!DR23="","",+CLA_!DR23)</f>
        <v/>
      </c>
      <c r="GJ23" s="2030"/>
      <c r="GK23" s="2025" t="str">
        <f>IF(CLA_!CQ23="","",+CLA_!CQ23)</f>
        <v/>
      </c>
      <c r="GL23" s="2024"/>
      <c r="GM23" s="2026" t="str">
        <f>IF(CLA_!CR23="","",+CLA_!CR23)</f>
        <v/>
      </c>
      <c r="GN23" s="2024" t="str">
        <f>IF(CLA_!CZ23="","",+CLA_!CZ23)</f>
        <v/>
      </c>
      <c r="GO23" s="2026" t="str">
        <f>IF(CLA_!CS23="","",+CLA_!CS23)</f>
        <v/>
      </c>
      <c r="GP23" s="2024" t="str">
        <f>IF(CLA_!DA23="","",+CLA_!DA23)</f>
        <v/>
      </c>
      <c r="GQ23" s="2025" t="str">
        <f>IF(CLA_!CT23="","",+CLA_!CT23)</f>
        <v/>
      </c>
      <c r="GR23" s="2024" t="str">
        <f>IF(CLA_!CY23="","",+CLA_!CY23)</f>
        <v/>
      </c>
      <c r="GS23" s="2024" t="str">
        <f>IF(CLA_!CV23="","",+CLA_!CV23)</f>
        <v/>
      </c>
      <c r="GT23" s="2024" t="str">
        <f>IF(CLA_!DO23="","",+CLA_!DO23)</f>
        <v/>
      </c>
      <c r="GU23" s="2031" t="str">
        <f>IF(CLA_!CU23="","",+CLA_!CU23)</f>
        <v/>
      </c>
      <c r="GV23" s="1913" t="str">
        <f>CLA_!DF23</f>
        <v/>
      </c>
      <c r="GW23" s="677" t="str">
        <f>CLA_!DG23</f>
        <v/>
      </c>
      <c r="GX23" s="677" t="str">
        <f>CLA_!DH23</f>
        <v/>
      </c>
      <c r="GY23" s="678" t="str">
        <f>CLA_!DC23</f>
        <v/>
      </c>
      <c r="GZ23" s="648" t="s">
        <v>325</v>
      </c>
      <c r="HA23" s="635"/>
      <c r="HB23" s="648" t="s">
        <v>325</v>
      </c>
      <c r="HC23" s="685">
        <f>IF(PT_!BC23="","",+PT_!BC23)</f>
        <v>14</v>
      </c>
      <c r="HD23" s="677">
        <f>IF(PT_!BD23="","",+PT_!BD23)</f>
        <v>5</v>
      </c>
      <c r="HE23" s="677">
        <f>IF(PT_!BE23="","",+PT_!BE23)</f>
        <v>3</v>
      </c>
      <c r="HF23" s="677">
        <f>IF(PT_!BF23="","",+PT_!BF23)</f>
        <v>3</v>
      </c>
      <c r="HG23" s="677">
        <f>IF(PT_!BG23="","",+PT_!BG23)</f>
        <v>4</v>
      </c>
      <c r="HH23" s="677">
        <f>IF(PT_!BH23="","",+PT_!BH23)</f>
        <v>2</v>
      </c>
      <c r="HI23" s="677">
        <f>IF(PT_!BI23="","",+PT_!BI23)</f>
        <v>1</v>
      </c>
      <c r="HJ23" s="677">
        <f>IF(PT_!BJ23="","",+PT_!BJ23)</f>
        <v>4</v>
      </c>
      <c r="HK23" s="677">
        <f>IF(PT_!BK23="","",+PT_!BK23)</f>
        <v>2</v>
      </c>
      <c r="HL23" s="653"/>
      <c r="HM23" s="1782">
        <f t="shared" si="29"/>
        <v>46</v>
      </c>
      <c r="HN23" s="1787">
        <f t="shared" si="30"/>
        <v>24</v>
      </c>
      <c r="HO23" s="719">
        <f t="shared" si="31"/>
        <v>8</v>
      </c>
      <c r="HU23" s="730"/>
      <c r="HV23" s="2442"/>
      <c r="IU23" s="27"/>
    </row>
    <row r="24" spans="1:255" ht="16.5" customHeight="1">
      <c r="A24" s="579"/>
      <c r="B24" s="648" t="s">
        <v>326</v>
      </c>
      <c r="C24" s="674">
        <f>+CLA_!D24</f>
        <v>120</v>
      </c>
      <c r="D24" s="675" t="str">
        <f>+CLA_!E24</f>
        <v/>
      </c>
      <c r="E24" s="676">
        <f>+CLA_!F24</f>
        <v>116</v>
      </c>
      <c r="F24" s="675" t="str">
        <f>+CLA_!G24</f>
        <v/>
      </c>
      <c r="G24" s="676">
        <f>IF(C24="","",ROUND((IF(ISNUMBER(C24),C24,+$C$42)*DF_!$DY22+IF(ISNUMBER(E24),E24,$E$42)*DF_!$DZ22)/(DF_!$DY22+DF_!$DZ22),0))</f>
        <v>119</v>
      </c>
      <c r="H24" s="675" t="str">
        <f>IF(D24="","",ROUND((IF(+D24=0,+$D$42,+D24)*DF_!$DY22+IF(ISNUMBER(F24),F24,$F$42)*DF_!$DZ22)/(DF_!$DY22+DF_!$DZ22),1))</f>
        <v/>
      </c>
      <c r="I24" s="676">
        <f>+CLA_!H24</f>
        <v>64</v>
      </c>
      <c r="J24" s="676">
        <f>+CLA_!I24</f>
        <v>76</v>
      </c>
      <c r="K24" s="676">
        <f>+CLA_!J24</f>
        <v>24</v>
      </c>
      <c r="L24" s="676">
        <f>+CLA_!K24</f>
        <v>100</v>
      </c>
      <c r="M24" s="677">
        <f>IF(SUM(CLA_!L24:N24)=0,"",ROUND(AVERAGE(CLA_!L24:N24),-2))</f>
        <v>1800</v>
      </c>
      <c r="N24" s="677">
        <f>IF(SUM(CLA_!O24:P24)=0,"",ROUND(AVERAGE(CLA_!O24:P24),-2))</f>
        <v>3400</v>
      </c>
      <c r="O24" s="677">
        <f>IF(SUM(CLA_!Q24:S24)=0,"",ROUND(AVERAGE(CLA_!Q24:S24),-2))</f>
        <v>1800</v>
      </c>
      <c r="P24" s="677">
        <f>IF(SUM(CLA_!T24:U24)=0,"",ROUND(AVERAGE(CLA_!T24:U24),-2))</f>
        <v>3600</v>
      </c>
      <c r="Q24" s="677">
        <f>+CLA_!V24</f>
        <v>3160</v>
      </c>
      <c r="R24" s="678" t="str">
        <f>+CLA_!W24</f>
        <v/>
      </c>
      <c r="S24" s="677">
        <f>+CLA_!X24</f>
        <v>8520</v>
      </c>
      <c r="T24" s="678" t="str">
        <f>+CLA_!Y24</f>
        <v/>
      </c>
      <c r="U24" s="675">
        <f>IF(M24="","",+M24/(PT_!Y24*10))</f>
        <v>0.9</v>
      </c>
      <c r="V24" s="675">
        <f>IF(N24="","",+N24/(PT_!Z24*10))</f>
        <v>0.44736842105263158</v>
      </c>
      <c r="W24" s="675"/>
      <c r="X24" s="675"/>
      <c r="Y24" s="648" t="s">
        <v>326</v>
      </c>
      <c r="Z24" s="648" t="s">
        <v>326</v>
      </c>
      <c r="AA24" s="674">
        <f>IF(CLA_!Z24="","",+CLA_!Z24)</f>
        <v>129</v>
      </c>
      <c r="AB24" s="676">
        <f>IF(CLA_!AA24="","",+CLA_!AA24)</f>
        <v>130</v>
      </c>
      <c r="AC24" s="676">
        <f>IF(AA24="","",ROUND((IF(ISNUMBER(AA24),AA24,$AA$42)*DF_!$DY22+IF(ISNUMBER(AB24),AB24,$AB$42)*DF_!$DZ22)/(DF_!$DY22+DF_!$DZ22),0))</f>
        <v>129</v>
      </c>
      <c r="AD24" s="676">
        <f>IF(CLA_!AB24="","",+CLA_!AB24)</f>
        <v>63</v>
      </c>
      <c r="AE24" s="676">
        <f>IF(CLA_!AC24="","",+CLA_!AC24)</f>
        <v>74</v>
      </c>
      <c r="AF24" s="676">
        <f>IF(CLA_!AD24="","",+CLA_!AD24)</f>
        <v>8</v>
      </c>
      <c r="AG24" s="676">
        <f>IF(CLA_!AE24="","",+CLA_!AE24)</f>
        <v>1930</v>
      </c>
      <c r="AH24" s="675">
        <f>IF(CLA_!AF24="","",+CLA_!AF24)</f>
        <v>3.05</v>
      </c>
      <c r="AI24" s="675">
        <f>IF(CLA_!AG24="","",+CLA_!AG24)</f>
        <v>83.7</v>
      </c>
      <c r="AJ24" s="675">
        <f>IF(CLA_!AH24="","",+CLA_!AH24)</f>
        <v>1.83</v>
      </c>
      <c r="AK24" s="675">
        <f>IF(CLA_!AI24="","",+CLA_!AI24)</f>
        <v>69.599999999999994</v>
      </c>
      <c r="AL24" s="2192">
        <f t="shared" si="20"/>
        <v>0.5</v>
      </c>
      <c r="AM24" s="675"/>
      <c r="AN24" s="676">
        <f>PT_!Y24</f>
        <v>200</v>
      </c>
      <c r="AO24" s="676">
        <f>PT_!Z24</f>
        <v>760</v>
      </c>
      <c r="AP24" s="682">
        <f t="shared" si="32"/>
        <v>0.15104166666666666</v>
      </c>
      <c r="AQ24" s="682">
        <f t="shared" si="21"/>
        <v>8.8707010582010581E-2</v>
      </c>
      <c r="AR24" s="675">
        <f ca="1">IF(DMREZ!D24&gt;TODAY()-2,"",((IF(ISNUMBER(O24),O24,$O$42)*2.52*HD24)/((CF24*IF(ISNUMBER(K24),K24,$K$42)*(+HD24/(HD24+HE24)))+($HQ$14*IF(ISNUMBER(AT_!Q24),AT_!Q24,AT_!$Q$42)))))</f>
        <v>3.2888033357913149</v>
      </c>
      <c r="AS24" s="675">
        <f ca="1">IF(DMREZ!D24&gt;TODAY()-2,"",((IF(ISNUMBER(P24),P24,$P$42)*2.52*HE24)/((CF24*IF(ISNUMBER(K24),K24,$K$42)*(HE24/(HD24+HE24))+((PT_!BN24+2.5/3.5*PT_!BP24)*IF(ISNUMBER(AT_!S24),AT_!S24,AT_!$S$42))))))</f>
        <v>8.0782393665903225</v>
      </c>
      <c r="AT24" s="648" t="s">
        <v>326</v>
      </c>
      <c r="AU24" s="648" t="s">
        <v>326</v>
      </c>
      <c r="AV24" s="679">
        <f>IF(CLA_!AP24="","",+CLA_!AP24)</f>
        <v>120</v>
      </c>
      <c r="AW24" s="680" t="str">
        <f>IF(CLA_!AQ24="","",+CLA_!AQ24)</f>
        <v/>
      </c>
      <c r="AX24" s="680">
        <f>IF(CLA_!AR24="","",+CLA_!AR24)</f>
        <v>170</v>
      </c>
      <c r="AY24" s="680">
        <f>IF(CLA_!AS24="","",+CLA_!AS24)</f>
        <v>210</v>
      </c>
      <c r="AZ24" s="680">
        <f>IF(CLA_!AT24="","",+CLA_!AT24)</f>
        <v>110</v>
      </c>
      <c r="BA24" s="680">
        <f>IF(CLA_!AU24="","",+CLA_!AU24)</f>
        <v>2700</v>
      </c>
      <c r="BB24" s="680" t="str">
        <f>IF(CLA_!AV24="","",+CLA_!AV24)</f>
        <v/>
      </c>
      <c r="BC24" s="680">
        <f>IF(CLA_!AW24="","",+CLA_!AW24)</f>
        <v>2700</v>
      </c>
      <c r="BD24" s="680">
        <f>IF(CLA_!AX24="","",+CLA_!AX24)</f>
        <v>2800</v>
      </c>
      <c r="BE24" s="680">
        <f>IF(CLA_!AY24="","",+CLA_!AY24)</f>
        <v>2900</v>
      </c>
      <c r="BF24" s="675">
        <f>IF(CLA_!AZ24="","",+CLA_!AZ24)</f>
        <v>7.06</v>
      </c>
      <c r="BG24" s="675" t="str">
        <f>IF(CLA_!BA24="","",+CLA_!BA24)</f>
        <v/>
      </c>
      <c r="BH24" s="675">
        <f>IF(CLA_!BB24="","",+CLA_!BB24)</f>
        <v>7</v>
      </c>
      <c r="BI24" s="675">
        <f>IF(CLA_!BC24="","",+CLA_!BC24)</f>
        <v>6.99</v>
      </c>
      <c r="BJ24" s="675">
        <f>IF(CLA_!BD24="","",+CLA_!BD24)</f>
        <v>6.9</v>
      </c>
      <c r="BK24" s="681">
        <f>IF(PT_!U24="","",+PT_!U24)</f>
        <v>5.74</v>
      </c>
      <c r="BL24" s="675">
        <f>IF(PT_!V24="","",+PT_!V24)</f>
        <v>8.3699999999999992</v>
      </c>
      <c r="BM24" s="675">
        <f>IF(PT_!W24="","",+PT_!W24)</f>
        <v>3.6</v>
      </c>
      <c r="BN24" s="675">
        <f>IF(PT_!X24="","",+PT_!X24)</f>
        <v>3.7</v>
      </c>
      <c r="BO24" s="675">
        <f>IF(PT_!T24="","",+PT_!T24)</f>
        <v>6.54</v>
      </c>
      <c r="BP24" s="676" t="str">
        <f>IF(CLA_!BE24="","",+CLA_!BE24)</f>
        <v/>
      </c>
      <c r="BQ24" s="676" t="str">
        <f>IF(CLA_!BF24="","",+CLA_!BF24)</f>
        <v/>
      </c>
      <c r="BR24" s="676" t="str">
        <f>IF(ISNUMBER(BQ24+BP24),+ROUND((BP24*DF_!DY22+BQ24*DF_!DZ22)/(DF_!DY22+DF_!DZ22),-1),"")</f>
        <v/>
      </c>
      <c r="BS24" s="676">
        <f>IF(PT_!C24="","",ROUND(+PT_!C24,0))</f>
        <v>18</v>
      </c>
      <c r="BT24" s="675">
        <f>IF(PT_!H24="","",ROUND(MAX(PT_!H24,PT_!K24),1))</f>
        <v>7.1</v>
      </c>
      <c r="BU24" s="675">
        <f>IF(PT_!I24="","",ROUND(MIN(PT_!I24,PT_!L24),1))</f>
        <v>6.4</v>
      </c>
      <c r="BV24" s="675">
        <f>IF(PT_!G24="","",ROUND((PT_!G24*DF_!DZ22+DF_!DY22*PT_!J24)/DF_!DS22,1))</f>
        <v>6.7</v>
      </c>
      <c r="BW24" s="675">
        <f>IF(PT_!N24="","",+PT_!N24)</f>
        <v>7</v>
      </c>
      <c r="BX24" s="675">
        <f>IF(PT_!O24="","",+PT_!O24)</f>
        <v>6.3</v>
      </c>
      <c r="BY24" s="675">
        <f>IF(PT_!M24="","",+PT_!M24)</f>
        <v>6.6</v>
      </c>
      <c r="BZ24" s="682">
        <f>IF(PT_!R24="","",+PT_!R24)</f>
        <v>0.4</v>
      </c>
      <c r="CA24" s="1644" t="str">
        <f>IF(PT_!P24="","",+PT_!P24)</f>
        <v/>
      </c>
      <c r="CB24" s="1645">
        <f>IF(PT_!Q24="","",+PT_!Q24)</f>
        <v>13</v>
      </c>
      <c r="CC24" s="648" t="s">
        <v>326</v>
      </c>
      <c r="CD24" s="635"/>
      <c r="CE24" s="648" t="s">
        <v>326</v>
      </c>
      <c r="CF24" s="685">
        <f>IF(DF_!AA22="","",+DF_!AA22)</f>
        <v>87</v>
      </c>
      <c r="CG24" s="677">
        <f ca="1">IF(+DMREZ!D24&lt;TODAY(),+DF_!AD22,"")</f>
        <v>87</v>
      </c>
      <c r="CH24" s="677">
        <f>IF(DF_!AB22="","",+DF_!AB22)</f>
        <v>114</v>
      </c>
      <c r="CI24" s="677">
        <f>IF(DF_!AC22="","",+DF_!AC22)</f>
        <v>56</v>
      </c>
      <c r="CJ24" s="677">
        <f>IF(DF_!AG22="","",+DF_!AG22)</f>
        <v>87</v>
      </c>
      <c r="CK24" s="677">
        <f>IF(PT_!BL24="","",ROUND(PT_!BL24,0))</f>
        <v>62</v>
      </c>
      <c r="CL24" s="686">
        <f t="shared" si="22"/>
        <v>0.71264367816091956</v>
      </c>
      <c r="CM24" s="675">
        <f>IF(PT_!AL24="","",+PT_!AL24)</f>
        <v>96.8</v>
      </c>
      <c r="CN24" s="687">
        <f t="shared" si="10"/>
        <v>1.1126436781609195</v>
      </c>
      <c r="CO24" s="678">
        <f t="shared" si="11"/>
        <v>2.1</v>
      </c>
      <c r="CP24" s="678">
        <f t="shared" si="23"/>
        <v>3.2</v>
      </c>
      <c r="CQ24" s="678">
        <f t="shared" si="12"/>
        <v>4.3</v>
      </c>
      <c r="CR24" s="677">
        <f t="shared" ref="CR24:CR32" si="46">IF(ISNUMBER(CJ24),ROUND(+CJ24/($HF$9*HF24+$HG$9*HG24+$HH$9*HH24+$HI$9*HI24+$HJ$9*HJ24+$HK$9*HK24),-1),"")</f>
        <v>480</v>
      </c>
      <c r="CS24" s="675">
        <f t="shared" si="24"/>
        <v>0.7</v>
      </c>
      <c r="CT24" s="643"/>
      <c r="CU24" s="678">
        <f t="shared" si="43"/>
        <v>43.2</v>
      </c>
      <c r="CV24" s="677">
        <f t="shared" si="44"/>
        <v>79.8611111111111</v>
      </c>
      <c r="CW24" s="678">
        <f t="shared" si="45"/>
        <v>34.5</v>
      </c>
      <c r="CX24" s="678">
        <f t="shared" si="34"/>
        <v>208.1</v>
      </c>
      <c r="CY24" s="678">
        <f t="shared" si="25"/>
        <v>25</v>
      </c>
      <c r="CZ24" s="678">
        <f t="shared" si="26"/>
        <v>6.5</v>
      </c>
      <c r="DA24" s="2025">
        <f t="shared" si="27"/>
        <v>11</v>
      </c>
      <c r="DB24" s="741">
        <f t="shared" si="35"/>
        <v>8.3000000000000007</v>
      </c>
      <c r="DC24" s="648" t="s">
        <v>326</v>
      </c>
      <c r="DD24" s="648" t="s">
        <v>326</v>
      </c>
      <c r="DE24" s="688">
        <f>IF(Grit!AT21+Grit!AZ21=0,"",+Grit!AT21+Grit!AZ21*0.5)</f>
        <v>432</v>
      </c>
      <c r="DF24" s="689">
        <f>IF(Grit!AV21="0","",+Grit!AV21)</f>
        <v>0</v>
      </c>
      <c r="DG24" s="689">
        <f t="shared" si="16"/>
        <v>0</v>
      </c>
      <c r="DH24" s="689" t="str">
        <f>IF(Grit!AX21+Grit!AY21=0,"",+Grit!AX21+Grit!AZ21*0.5)</f>
        <v/>
      </c>
      <c r="DI24" s="689" t="str">
        <f t="shared" si="17"/>
        <v/>
      </c>
      <c r="DJ24" s="675">
        <f ca="1">IF(+DMREZ!D24&lt;TODAY(),+PT_!AE24,"")</f>
        <v>66.3</v>
      </c>
      <c r="DK24" s="678">
        <f t="shared" ca="1" si="36"/>
        <v>127.4</v>
      </c>
      <c r="DL24" s="678">
        <f t="shared" ca="1" si="37"/>
        <v>106.6</v>
      </c>
      <c r="DM24" s="678">
        <f t="shared" ca="1" si="38"/>
        <v>66.3</v>
      </c>
      <c r="DN24" s="678">
        <f t="shared" ca="1" si="39"/>
        <v>76.400000000000006</v>
      </c>
      <c r="DO24" s="678">
        <f t="shared" ca="1" si="40"/>
        <v>53.2</v>
      </c>
      <c r="DP24" s="687" t="str">
        <f>IF(DW_!R24="","",+DW_!R24/1000)</f>
        <v/>
      </c>
      <c r="DQ24" s="678" t="str">
        <f>IF(DW_!S24="","",+DW_!S24*2)</f>
        <v/>
      </c>
      <c r="DR24" s="678" t="str">
        <f>+DW_!S24</f>
        <v/>
      </c>
      <c r="DS24" s="675"/>
      <c r="DT24" s="677">
        <f>IF(PT_!AC24="","",+PT_!AC24)</f>
        <v>106</v>
      </c>
      <c r="DU24" s="689">
        <f>IF(ISNUMBER(CHEM_!G23),+CHEM_!G23,"")</f>
        <v>780</v>
      </c>
      <c r="DV24" s="675">
        <f t="shared" si="18"/>
        <v>9</v>
      </c>
      <c r="DW24" s="687">
        <f>IF(PT_!S24="","",+PT_!S24)</f>
        <v>0.41</v>
      </c>
      <c r="DX24" s="648" t="s">
        <v>326</v>
      </c>
      <c r="DY24" s="648" t="s">
        <v>326</v>
      </c>
      <c r="DZ24" s="690" t="str">
        <f>PT_!AK24</f>
        <v/>
      </c>
      <c r="EA24" s="678">
        <f>IF(PT_!AJ24="","",+PT_!AJ24)</f>
        <v>134.4</v>
      </c>
      <c r="EB24" s="2086">
        <f t="shared" si="19"/>
        <v>134.4</v>
      </c>
      <c r="EC24" s="2094">
        <f>IF(PT_!BO24="","",+PT_!BO24)</f>
        <v>56.975999999999999</v>
      </c>
      <c r="ED24" s="1903"/>
      <c r="EE24" s="643"/>
      <c r="EF24" s="2083">
        <v>205.7</v>
      </c>
      <c r="EG24" s="2084">
        <v>617.1</v>
      </c>
      <c r="EH24" s="1890"/>
      <c r="EI24" s="689"/>
      <c r="EJ24" s="1891" t="str">
        <f>+PT_!AF24</f>
        <v/>
      </c>
      <c r="EK24" s="759" t="str">
        <f t="shared" si="28"/>
        <v/>
      </c>
      <c r="EL24" s="689"/>
      <c r="EM24" s="689" t="str">
        <f>IF(PT_!AH24&gt;0,+PT_!AH24,"")</f>
        <v/>
      </c>
      <c r="EN24" s="614" t="str">
        <f>IF(PT_!AZ24="","",+PT_!AZ24)</f>
        <v>Clear</v>
      </c>
      <c r="EO24" s="615" t="s">
        <v>326</v>
      </c>
      <c r="EP24" s="610" t="s">
        <v>326</v>
      </c>
      <c r="EQ24" s="691">
        <f>CLA_!BG24</f>
        <v>0.04</v>
      </c>
      <c r="ER24" s="687">
        <f>CLA_!BH24</f>
        <v>0.14000000000000001</v>
      </c>
      <c r="ES24" s="678">
        <f>CLA_!BI24</f>
        <v>24.5</v>
      </c>
      <c r="ET24" s="678">
        <f>CLA_!BJ24</f>
        <v>37.299999999999997</v>
      </c>
      <c r="EU24" s="687" t="str">
        <f>CLA_!BK24</f>
        <v/>
      </c>
      <c r="EV24" s="687" t="str">
        <f>CLA_!BL24</f>
        <v/>
      </c>
      <c r="EW24" s="677" t="str">
        <f>CLA_!BM24</f>
        <v/>
      </c>
      <c r="EX24" s="691">
        <f>CLA_!BN24</f>
        <v>0.03</v>
      </c>
      <c r="EY24" s="687">
        <f>CLA_!BO24</f>
        <v>0.09</v>
      </c>
      <c r="EZ24" s="678">
        <f>CLA_!BP24</f>
        <v>23.8</v>
      </c>
      <c r="FA24" s="678">
        <f>CLA_!BQ24</f>
        <v>36.700000000000003</v>
      </c>
      <c r="FB24" s="687" t="str">
        <f>CLA_!BR24</f>
        <v/>
      </c>
      <c r="FC24" s="687" t="str">
        <f>CLA_!BS24</f>
        <v/>
      </c>
      <c r="FD24" s="677" t="str">
        <f>CLA_!BT24</f>
        <v/>
      </c>
      <c r="FE24" s="691">
        <f>IF(ISNUMBER(EQ24+EX24),+EQ24*DF_!$EA22+EX24*DF_!$EB22,"")</f>
        <v>3.6500000000000005E-2</v>
      </c>
      <c r="FF24" s="687">
        <f>IF(ISNUMBER(+ER24+EY24),+ER24*DF_!$EA22+EY24*DF_!$EB22,"")</f>
        <v>0.12250000000000001</v>
      </c>
      <c r="FG24" s="678">
        <f>IF(ISNUMBER(ES24)+ISNUMBER(EZ24)&gt;0,IF(ISNUMBER(ES24),ES24,$ET$42)*DF_!$EA22+IF(ISNUMBER(EZ24),EZ24,$FA$42)*DF_!$EB22,"")</f>
        <v>24.255000000000003</v>
      </c>
      <c r="FH24" s="678">
        <f>IF(ISNUMBER(ET24)+ISNUMBER(FA24)&gt;0,IF(ISNUMBER(ET24),ET24,$ET$42)*DF_!$EA22+IF(ISNUMBER(FA24),FA24,$FA$42)*DF_!$EB22,"")</f>
        <v>37.089999999999996</v>
      </c>
      <c r="FI24" s="687" t="str">
        <f>IF(EU24="","",+EU24*DF_!$EA22+FB24*DF_!$EB22)</f>
        <v/>
      </c>
      <c r="FJ24" s="687" t="str">
        <f>IF(EV24="","",+EV24*DF_!$EA22+FC24*DF_!$EB22)</f>
        <v/>
      </c>
      <c r="FK24" s="677" t="str">
        <f>IF(EW24="","",+EW24*DF_!$EA22+FD24*DF_!$EB22)</f>
        <v/>
      </c>
      <c r="FL24" s="691" t="str">
        <f>CLA_!BU24</f>
        <v/>
      </c>
      <c r="FM24" s="687" t="str">
        <f>CLA_!BV24</f>
        <v/>
      </c>
      <c r="FN24" s="678" t="str">
        <f>CLA_!BW24</f>
        <v/>
      </c>
      <c r="FO24" s="678" t="str">
        <f>CLA_!BX24</f>
        <v/>
      </c>
      <c r="FP24" s="687" t="str">
        <f>CLA_!BY24</f>
        <v/>
      </c>
      <c r="FQ24" s="687" t="str">
        <f>CLA_!BZ24</f>
        <v/>
      </c>
      <c r="FR24" s="677" t="str">
        <f>CLA_!CA24</f>
        <v/>
      </c>
      <c r="FS24" s="691">
        <f>CLA_!CB24</f>
        <v>0.61</v>
      </c>
      <c r="FT24" s="687">
        <f>CLA_!CC24</f>
        <v>4.29</v>
      </c>
      <c r="FU24" s="678">
        <f>CLA_!CD24</f>
        <v>12.4</v>
      </c>
      <c r="FV24" s="678">
        <f>CLA_!CE24</f>
        <v>16.899999999999999</v>
      </c>
      <c r="FW24" s="687" t="str">
        <f>CLA_!CF24</f>
        <v/>
      </c>
      <c r="FX24" s="687" t="str">
        <f>CLA_!CG24</f>
        <v/>
      </c>
      <c r="FY24" s="677" t="str">
        <f>CLA_!CH24</f>
        <v/>
      </c>
      <c r="FZ24" s="610" t="s">
        <v>326</v>
      </c>
      <c r="GA24" s="610" t="s">
        <v>326</v>
      </c>
      <c r="GB24" s="1968" t="str">
        <f>IF(CLA_!CY24="","",+CLA_!CY24)</f>
        <v/>
      </c>
      <c r="GC24" s="677" t="str">
        <f>IF(CLA_!CZ24="","",+CLA_!CZ24)</f>
        <v/>
      </c>
      <c r="GD24" s="677" t="str">
        <f>IF(CLA_!DA24="","",+CLA_!DA24)</f>
        <v/>
      </c>
      <c r="GE24" s="678" t="str">
        <f>IF(CLA_!DB24="","",+CLA_!DB24)</f>
        <v/>
      </c>
      <c r="GF24" s="677" t="str">
        <f>IF(CLA_!DO24="","",+CLA_!DO24)</f>
        <v/>
      </c>
      <c r="GG24" s="678" t="str">
        <f>IF(CLA_!DP24="","",+CLA_!DP24)</f>
        <v/>
      </c>
      <c r="GH24" s="677" t="str">
        <f>IF(CLA_!DQ24="","",+CLA_!DQ24)</f>
        <v/>
      </c>
      <c r="GI24" s="677" t="str">
        <f>IF(CLA_!DR24="","",+CLA_!DR24)</f>
        <v/>
      </c>
      <c r="GJ24" s="2030"/>
      <c r="GK24" s="2025" t="str">
        <f>IF(CLA_!CQ24="","",+CLA_!CQ24)</f>
        <v/>
      </c>
      <c r="GL24" s="2024"/>
      <c r="GM24" s="2026" t="str">
        <f>IF(CLA_!CR24="","",+CLA_!CR24)</f>
        <v/>
      </c>
      <c r="GN24" s="2024" t="str">
        <f>IF(CLA_!CZ24="","",+CLA_!CZ24)</f>
        <v/>
      </c>
      <c r="GO24" s="2026" t="str">
        <f>IF(CLA_!CS24="","",+CLA_!CS24)</f>
        <v/>
      </c>
      <c r="GP24" s="2024" t="str">
        <f>IF(CLA_!DA24="","",+CLA_!DA24)</f>
        <v/>
      </c>
      <c r="GQ24" s="2025" t="str">
        <f>IF(CLA_!CT24="","",+CLA_!CT24)</f>
        <v/>
      </c>
      <c r="GR24" s="2024" t="str">
        <f>IF(CLA_!CY24="","",+CLA_!CY24)</f>
        <v/>
      </c>
      <c r="GS24" s="2024" t="str">
        <f>IF(CLA_!CV24="","",+CLA_!CV24)</f>
        <v/>
      </c>
      <c r="GT24" s="2024" t="str">
        <f>IF(CLA_!DO24="","",+CLA_!DO24)</f>
        <v/>
      </c>
      <c r="GU24" s="2031" t="str">
        <f>IF(CLA_!CU24="","",+CLA_!CU24)</f>
        <v/>
      </c>
      <c r="GV24" s="1913" t="str">
        <f>CLA_!DF24</f>
        <v/>
      </c>
      <c r="GW24" s="677" t="str">
        <f>CLA_!DG24</f>
        <v/>
      </c>
      <c r="GX24" s="677" t="str">
        <f>CLA_!DH24</f>
        <v/>
      </c>
      <c r="GY24" s="678" t="str">
        <f>CLA_!DC24</f>
        <v/>
      </c>
      <c r="GZ24" s="648" t="s">
        <v>326</v>
      </c>
      <c r="HA24" s="635"/>
      <c r="HB24" s="648" t="s">
        <v>326</v>
      </c>
      <c r="HC24" s="685">
        <f>IF(PT_!BC24="","",+PT_!BC24)</f>
        <v>14</v>
      </c>
      <c r="HD24" s="677">
        <f>IF(PT_!BD24="","",+PT_!BD24)</f>
        <v>5</v>
      </c>
      <c r="HE24" s="677">
        <f>IF(PT_!BE24="","",+PT_!BE24)</f>
        <v>3</v>
      </c>
      <c r="HF24" s="677">
        <f>IF(PT_!BF24="","",+PT_!BF24)</f>
        <v>3</v>
      </c>
      <c r="HG24" s="677">
        <f>IF(PT_!BG24="","",+PT_!BG24)</f>
        <v>4</v>
      </c>
      <c r="HH24" s="677">
        <f>IF(PT_!BH24="","",+PT_!BH24)</f>
        <v>1</v>
      </c>
      <c r="HI24" s="677">
        <f>IF(PT_!BI24="","",+PT_!BI24)</f>
        <v>1</v>
      </c>
      <c r="HJ24" s="677">
        <f>IF(PT_!BJ24="","",+PT_!BJ24)</f>
        <v>4</v>
      </c>
      <c r="HK24" s="677">
        <f>IF(PT_!BK24="","",+PT_!BK24)</f>
        <v>2</v>
      </c>
      <c r="HL24" s="653"/>
      <c r="HM24" s="1782">
        <f t="shared" si="29"/>
        <v>56</v>
      </c>
      <c r="HN24" s="1787">
        <f t="shared" si="30"/>
        <v>28</v>
      </c>
      <c r="HO24" s="719">
        <f t="shared" si="31"/>
        <v>22</v>
      </c>
      <c r="HU24" s="730"/>
      <c r="HV24" s="2442"/>
      <c r="IU24" s="27"/>
    </row>
    <row r="25" spans="1:255" ht="17.100000000000001" customHeight="1">
      <c r="A25" s="579"/>
      <c r="B25" s="648" t="s">
        <v>327</v>
      </c>
      <c r="C25" s="674">
        <f>+CLA_!D25</f>
        <v>140</v>
      </c>
      <c r="D25" s="675" t="str">
        <f>+CLA_!E25</f>
        <v/>
      </c>
      <c r="E25" s="676">
        <f>+CLA_!F25</f>
        <v>162</v>
      </c>
      <c r="F25" s="675" t="str">
        <f>+CLA_!G25</f>
        <v/>
      </c>
      <c r="G25" s="676">
        <f>IF(C25="","",ROUND((IF(ISNUMBER(C25),C25,+$C$42)*DF_!$DY23+IF(ISNUMBER(E25),E25,$E$42)*DF_!$DZ23)/(DF_!$DY23+DF_!$DZ23),0))</f>
        <v>148</v>
      </c>
      <c r="H25" s="675" t="str">
        <f>IF(D25="","",ROUND((IF(+D25=0,+$D$42,+D25)*DF_!$DY23+IF(ISNUMBER(F25),F25,$F$42)*DF_!$DZ23)/(DF_!$DY23+DF_!$DZ23),1))</f>
        <v/>
      </c>
      <c r="I25" s="676" t="str">
        <f>+CLA_!H25</f>
        <v/>
      </c>
      <c r="J25" s="676" t="str">
        <f>+CLA_!I25</f>
        <v/>
      </c>
      <c r="K25" s="676">
        <f>+CLA_!J25</f>
        <v>19</v>
      </c>
      <c r="L25" s="676" t="str">
        <f>+CLA_!K25</f>
        <v/>
      </c>
      <c r="M25" s="677" t="str">
        <f>IF(SUM(CLA_!L25:N25)=0,"",ROUND(AVERAGE(CLA_!L25:N25),-2))</f>
        <v/>
      </c>
      <c r="N25" s="677" t="str">
        <f>IF(SUM(CLA_!O25:P25)=0,"",ROUND(AVERAGE(CLA_!O25:P25),-2))</f>
        <v/>
      </c>
      <c r="O25" s="677" t="str">
        <f>IF(SUM(CLA_!Q25:S25)=0,"",ROUND(AVERAGE(CLA_!Q25:S25),-2))</f>
        <v/>
      </c>
      <c r="P25" s="677" t="str">
        <f>IF(SUM(CLA_!T25:U25)=0,"",ROUND(AVERAGE(CLA_!T25:U25),-2))</f>
        <v/>
      </c>
      <c r="Q25" s="677" t="str">
        <f>+CLA_!V25</f>
        <v/>
      </c>
      <c r="R25" s="678" t="str">
        <f>+CLA_!W25</f>
        <v/>
      </c>
      <c r="S25" s="677" t="str">
        <f>+CLA_!X25</f>
        <v/>
      </c>
      <c r="T25" s="678" t="str">
        <f>+CLA_!Y25</f>
        <v/>
      </c>
      <c r="U25" s="675" t="str">
        <f>IF(M25="","",+M25/(PT_!Y25*10))</f>
        <v/>
      </c>
      <c r="V25" s="675" t="str">
        <f>IF(N25="","",+N25/(PT_!Z25*10))</f>
        <v/>
      </c>
      <c r="W25" s="675"/>
      <c r="X25" s="675"/>
      <c r="Y25" s="648" t="s">
        <v>327</v>
      </c>
      <c r="Z25" s="648" t="s">
        <v>327</v>
      </c>
      <c r="AA25" s="674">
        <f>IF(CLA_!Z25="","",+CLA_!Z25)</f>
        <v>128</v>
      </c>
      <c r="AB25" s="676">
        <f>IF(CLA_!AA25="","",+CLA_!AA25)</f>
        <v>150</v>
      </c>
      <c r="AC25" s="676">
        <f>IF(AA25="","",ROUND((IF(ISNUMBER(AA25),AA25,$AA$42)*DF_!$DY23+IF(ISNUMBER(AB25),AB25,$AB$42)*DF_!$DZ23)/(DF_!$DY23+DF_!$DZ23),0))</f>
        <v>136</v>
      </c>
      <c r="AD25" s="676" t="str">
        <f>IF(CLA_!AB25="","",+CLA_!AB25)</f>
        <v/>
      </c>
      <c r="AE25" s="676" t="str">
        <f>IF(CLA_!AC25="","",+CLA_!AC25)</f>
        <v/>
      </c>
      <c r="AF25" s="676">
        <f>IF(CLA_!AD25="","",+CLA_!AD25)</f>
        <v>6</v>
      </c>
      <c r="AG25" s="676" t="str">
        <f>IF(CLA_!AE25="","",+CLA_!AE25)</f>
        <v/>
      </c>
      <c r="AH25" s="675" t="str">
        <f>IF(CLA_!AF25="","",+CLA_!AF25)</f>
        <v/>
      </c>
      <c r="AI25" s="675" t="str">
        <f>IF(CLA_!AG25="","",+CLA_!AG25)</f>
        <v/>
      </c>
      <c r="AJ25" s="675" t="str">
        <f>IF(CLA_!AH25="","",+CLA_!AH25)</f>
        <v/>
      </c>
      <c r="AK25" s="675" t="str">
        <f>IF(CLA_!AI25="","",+CLA_!AI25)</f>
        <v/>
      </c>
      <c r="AL25" s="2192" t="str">
        <f t="shared" si="20"/>
        <v/>
      </c>
      <c r="AM25" s="675"/>
      <c r="AN25" s="676">
        <f>PT_!Y25</f>
        <v>110</v>
      </c>
      <c r="AO25" s="676">
        <f>PT_!Z25</f>
        <v>540</v>
      </c>
      <c r="AP25" s="682">
        <f t="shared" si="32"/>
        <v>0.12374125277351085</v>
      </c>
      <c r="AQ25" s="682">
        <f t="shared" si="21"/>
        <v>0.12225233363444747</v>
      </c>
      <c r="AR25" s="675">
        <f ca="1">IF(DMREZ!D25&gt;TODAY()-2,"",((IF(ISNUMBER(O25),O25,$O$42)*2.52*HD25)/((CF25*IF(ISNUMBER(K25),K25,$K$42)*(+HD25/(HD25+HE25)))+($HQ$14*IF(ISNUMBER(AT_!Q25),AT_!Q25,AT_!$Q$42)))))</f>
        <v>5.2661761117130936</v>
      </c>
      <c r="AS25" s="675">
        <f ca="1">IF(DMREZ!D25&gt;TODAY()-2,"",((IF(ISNUMBER(P25),P25,$P$42)*2.52*HE25)/((CF25*IF(ISNUMBER(K25),K25,$K$42)*(HE25/(HD25+HE25))+((PT_!BN25+2.5/3.5*PT_!BP25)*IF(ISNUMBER(AT_!S25),AT_!S25,AT_!$S$42))))))</f>
        <v>7.6280050777667903</v>
      </c>
      <c r="AT25" s="648" t="s">
        <v>327</v>
      </c>
      <c r="AU25" s="648" t="s">
        <v>327</v>
      </c>
      <c r="AV25" s="679" t="str">
        <f>IF(CLA_!AP25="","",+CLA_!AP25)</f>
        <v/>
      </c>
      <c r="AW25" s="680" t="str">
        <f>IF(CLA_!AQ25="","",+CLA_!AQ25)</f>
        <v/>
      </c>
      <c r="AX25" s="680" t="str">
        <f>IF(CLA_!AR25="","",+CLA_!AR25)</f>
        <v/>
      </c>
      <c r="AY25" s="680" t="str">
        <f>IF(CLA_!AS25="","",+CLA_!AS25)</f>
        <v/>
      </c>
      <c r="AZ25" s="680" t="str">
        <f>IF(CLA_!AT25="","",+CLA_!AT25)</f>
        <v/>
      </c>
      <c r="BA25" s="680" t="str">
        <f>IF(CLA_!AU25="","",+CLA_!AU25)</f>
        <v/>
      </c>
      <c r="BB25" s="680" t="str">
        <f>IF(CLA_!AV25="","",+CLA_!AV25)</f>
        <v/>
      </c>
      <c r="BC25" s="680" t="str">
        <f>IF(CLA_!AW25="","",+CLA_!AW25)</f>
        <v/>
      </c>
      <c r="BD25" s="680" t="str">
        <f>IF(CLA_!AX25="","",+CLA_!AX25)</f>
        <v/>
      </c>
      <c r="BE25" s="680" t="str">
        <f>IF(CLA_!AY25="","",+CLA_!AY25)</f>
        <v/>
      </c>
      <c r="BF25" s="675" t="str">
        <f>IF(CLA_!AZ25="","",+CLA_!AZ25)</f>
        <v/>
      </c>
      <c r="BG25" s="675" t="str">
        <f>IF(CLA_!BA25="","",+CLA_!BA25)</f>
        <v/>
      </c>
      <c r="BH25" s="675" t="str">
        <f>IF(CLA_!BB25="","",+CLA_!BB25)</f>
        <v/>
      </c>
      <c r="BI25" s="675" t="str">
        <f>IF(CLA_!BC25="","",+CLA_!BC25)</f>
        <v/>
      </c>
      <c r="BJ25" s="675" t="str">
        <f>IF(CLA_!BD25="","",+CLA_!BD25)</f>
        <v/>
      </c>
      <c r="BK25" s="681">
        <f>IF(PT_!U25="","",+PT_!U25)</f>
        <v>5.55</v>
      </c>
      <c r="BL25" s="675">
        <f>IF(PT_!V25="","",+PT_!V25)</f>
        <v>6.06</v>
      </c>
      <c r="BM25" s="675">
        <f>IF(PT_!W25="","",+PT_!W25)</f>
        <v>4.18</v>
      </c>
      <c r="BN25" s="675">
        <f>IF(PT_!X25="","",+PT_!X25)</f>
        <v>2.65</v>
      </c>
      <c r="BO25" s="675">
        <f>IF(PT_!T25="","",+PT_!T25)</f>
        <v>4.42</v>
      </c>
      <c r="BP25" s="676" t="str">
        <f>IF(CLA_!BE25="","",+CLA_!BE25)</f>
        <v/>
      </c>
      <c r="BQ25" s="676" t="str">
        <f>IF(CLA_!BF25="","",+CLA_!BF25)</f>
        <v/>
      </c>
      <c r="BR25" s="676" t="str">
        <f>IF(ISNUMBER(BQ25+BP25),+ROUND((BP25*DF_!DY23+BQ25*DF_!DZ23)/(DF_!DY23+DF_!DZ23),-1),"")</f>
        <v/>
      </c>
      <c r="BS25" s="676">
        <f>IF(PT_!C25="","",ROUND(+PT_!C25,0))</f>
        <v>18</v>
      </c>
      <c r="BT25" s="675">
        <f>IF(PT_!H25="","",ROUND(MAX(PT_!H25,PT_!K25),1))</f>
        <v>7.3</v>
      </c>
      <c r="BU25" s="675">
        <f>IF(PT_!I25="","",ROUND(MIN(PT_!I25,PT_!L25),1))</f>
        <v>6.7</v>
      </c>
      <c r="BV25" s="675">
        <f>IF(PT_!G25="","",ROUND((PT_!G25*DF_!DZ23+DF_!DY23*PT_!J25)/DF_!DS23,1))</f>
        <v>6.9</v>
      </c>
      <c r="BW25" s="675">
        <f>IF(PT_!N25="","",+PT_!N25)</f>
        <v>6.7</v>
      </c>
      <c r="BX25" s="675">
        <f>IF(PT_!O25="","",+PT_!O25)</f>
        <v>6.4</v>
      </c>
      <c r="BY25" s="675">
        <f>IF(PT_!M25="","",+PT_!M25)</f>
        <v>6.5</v>
      </c>
      <c r="BZ25" s="682">
        <f>IF(PT_!R25="","",+PT_!R25)</f>
        <v>0.3</v>
      </c>
      <c r="CA25" s="1644" t="str">
        <f>IF(PT_!P25="","",+PT_!P25)</f>
        <v/>
      </c>
      <c r="CB25" s="1645">
        <f>IF(PT_!Q25="","",+PT_!Q25)</f>
        <v>44</v>
      </c>
      <c r="CC25" s="648" t="s">
        <v>327</v>
      </c>
      <c r="CD25" s="635"/>
      <c r="CE25" s="648" t="s">
        <v>327</v>
      </c>
      <c r="CF25" s="685">
        <f>IF(DF_!AA23="","",+DF_!AA23)</f>
        <v>116</v>
      </c>
      <c r="CG25" s="677">
        <f ca="1">IF(+DMREZ!D25&lt;TODAY(),+DF_!AD23,"")</f>
        <v>93</v>
      </c>
      <c r="CH25" s="677">
        <f>IF(DF_!AB23="","",+DF_!AB23)</f>
        <v>212</v>
      </c>
      <c r="CI25" s="677">
        <f>IF(DF_!AC23="","",+DF_!AC23)</f>
        <v>59</v>
      </c>
      <c r="CJ25" s="677">
        <f>IF(DF_!AG23="","",+DF_!AG23)</f>
        <v>116</v>
      </c>
      <c r="CK25" s="677">
        <f>IF(PT_!BL25="","",ROUND(PT_!BL25,0))</f>
        <v>59</v>
      </c>
      <c r="CL25" s="686">
        <f t="shared" si="22"/>
        <v>0.50862068965517238</v>
      </c>
      <c r="CM25" s="675">
        <f>IF(PT_!AL25="","",+PT_!AL25)</f>
        <v>91</v>
      </c>
      <c r="CN25" s="687">
        <f t="shared" si="10"/>
        <v>0.78448275862068961</v>
      </c>
      <c r="CO25" s="678">
        <f t="shared" si="11"/>
        <v>1.6</v>
      </c>
      <c r="CP25" s="678">
        <f t="shared" si="23"/>
        <v>3.1</v>
      </c>
      <c r="CQ25" s="678">
        <f t="shared" si="12"/>
        <v>3.3</v>
      </c>
      <c r="CR25" s="677">
        <f>IF(ISNUMBER(CJ25),ROUND(+CJ25/($HF$9*HF25+$HG$9*HG25+$HH$9*HH25+$HI$9*HI25+$HJ$9*HJ25+$HK$9*HK25),-1),"")</f>
        <v>640</v>
      </c>
      <c r="CS25" s="675" t="str">
        <f t="shared" si="24"/>
        <v/>
      </c>
      <c r="CT25" s="643" t="s">
        <v>477</v>
      </c>
      <c r="CU25" s="678">
        <f t="shared" si="43"/>
        <v>71.599999999999994</v>
      </c>
      <c r="CV25" s="677">
        <f t="shared" si="44"/>
        <v>87.150837988826822</v>
      </c>
      <c r="CW25" s="678">
        <f t="shared" si="45"/>
        <v>62.4</v>
      </c>
      <c r="CX25" s="678">
        <f t="shared" si="34"/>
        <v>324.7</v>
      </c>
      <c r="CY25" s="678">
        <f t="shared" si="25"/>
        <v>36.6</v>
      </c>
      <c r="CZ25" s="678">
        <f t="shared" si="26"/>
        <v>8.9</v>
      </c>
      <c r="DA25" s="2025">
        <f t="shared" si="27"/>
        <v>9.1999999999999993</v>
      </c>
      <c r="DB25" s="741">
        <f t="shared" si="35"/>
        <v>8.9</v>
      </c>
      <c r="DC25" s="648" t="s">
        <v>327</v>
      </c>
      <c r="DD25" s="648" t="s">
        <v>327</v>
      </c>
      <c r="DE25" s="688" t="str">
        <f>IF(Grit!AT22+Grit!AZ22=0,"",+Grit!AT22+Grit!AZ22*0.5)</f>
        <v/>
      </c>
      <c r="DF25" s="689">
        <f>IF(Grit!AV22="0","",+Grit!AV22)</f>
        <v>0</v>
      </c>
      <c r="DG25" s="689">
        <f t="shared" si="16"/>
        <v>0</v>
      </c>
      <c r="DH25" s="689" t="str">
        <f>IF(Grit!AX22+Grit!AY22=0,"",+Grit!AX22+Grit!AZ22*0.5)</f>
        <v/>
      </c>
      <c r="DI25" s="689" t="str">
        <f t="shared" si="17"/>
        <v/>
      </c>
      <c r="DJ25" s="675">
        <f ca="1">IF(+DMREZ!D25&lt;TODAY(),+PT_!AE25,"")</f>
        <v>71.400000000000006</v>
      </c>
      <c r="DK25" s="678">
        <f t="shared" ca="1" si="36"/>
        <v>148.4</v>
      </c>
      <c r="DL25" s="678">
        <f t="shared" ca="1" si="37"/>
        <v>123.3</v>
      </c>
      <c r="DM25" s="678">
        <f t="shared" ca="1" si="38"/>
        <v>71.400000000000006</v>
      </c>
      <c r="DN25" s="678">
        <f t="shared" ca="1" si="39"/>
        <v>76.5</v>
      </c>
      <c r="DO25" s="678">
        <f t="shared" ca="1" si="40"/>
        <v>54.6</v>
      </c>
      <c r="DP25" s="687" t="str">
        <f>IF(DW_!R25="","",+DW_!R25/1000)</f>
        <v/>
      </c>
      <c r="DQ25" s="678" t="str">
        <f>IF(DW_!S25="","",+DW_!S25*2)</f>
        <v/>
      </c>
      <c r="DR25" s="678" t="str">
        <f>+DW_!S25</f>
        <v/>
      </c>
      <c r="DS25" s="675"/>
      <c r="DT25" s="677">
        <f>IF(PT_!AC25="","",+PT_!AC25)</f>
        <v>106</v>
      </c>
      <c r="DU25" s="689">
        <f>IF(ISNUMBER(CHEM_!G24),+CHEM_!G24,"")</f>
        <v>1170</v>
      </c>
      <c r="DV25" s="675">
        <f t="shared" si="18"/>
        <v>10.1</v>
      </c>
      <c r="DW25" s="687">
        <f>IF(PT_!S25="","",+PT_!S25)</f>
        <v>0.46</v>
      </c>
      <c r="DX25" s="648" t="s">
        <v>327</v>
      </c>
      <c r="DY25" s="648" t="s">
        <v>327</v>
      </c>
      <c r="DZ25" s="690" t="str">
        <f>PT_!AK25</f>
        <v/>
      </c>
      <c r="EA25" s="678">
        <f>IF(PT_!AJ25="","",+PT_!AJ25)</f>
        <v>134.4</v>
      </c>
      <c r="EB25" s="2086">
        <f t="shared" si="19"/>
        <v>134.4</v>
      </c>
      <c r="EC25" s="2094">
        <f>IF(PT_!BO25="","",+PT_!BO25)</f>
        <v>55.496160000000003</v>
      </c>
      <c r="ED25" s="1903"/>
      <c r="EE25" s="643"/>
      <c r="EF25" s="2083">
        <v>205.7</v>
      </c>
      <c r="EG25" s="2084">
        <v>617.1</v>
      </c>
      <c r="EH25" s="1890"/>
      <c r="EI25" s="689"/>
      <c r="EJ25" s="1891" t="str">
        <f>+PT_!AF25</f>
        <v/>
      </c>
      <c r="EK25" s="759" t="str">
        <f t="shared" si="28"/>
        <v/>
      </c>
      <c r="EL25" s="689"/>
      <c r="EM25" s="689" t="str">
        <f>IF(PT_!AH25&gt;0,+PT_!AH25,"")</f>
        <v/>
      </c>
      <c r="EN25" s="614" t="str">
        <f>IF(PT_!AZ25="","",+PT_!AZ25)</f>
        <v>Rain</v>
      </c>
      <c r="EO25" s="615" t="s">
        <v>327</v>
      </c>
      <c r="EP25" s="610" t="s">
        <v>327</v>
      </c>
      <c r="EQ25" s="691">
        <f>CLA_!BG25</f>
        <v>0.03</v>
      </c>
      <c r="ER25" s="687">
        <f>CLA_!BH25</f>
        <v>0.19</v>
      </c>
      <c r="ES25" s="678">
        <f>CLA_!BI25</f>
        <v>20.7</v>
      </c>
      <c r="ET25" s="678">
        <f>CLA_!BJ25</f>
        <v>35.299999999999997</v>
      </c>
      <c r="EU25" s="687" t="str">
        <f>CLA_!BK25</f>
        <v/>
      </c>
      <c r="EV25" s="687" t="str">
        <f>CLA_!BL25</f>
        <v/>
      </c>
      <c r="EW25" s="677" t="str">
        <f>CLA_!BM25</f>
        <v/>
      </c>
      <c r="EX25" s="691">
        <f>CLA_!BN25</f>
        <v>0.04</v>
      </c>
      <c r="EY25" s="687">
        <f>CLA_!BO25</f>
        <v>0.14000000000000001</v>
      </c>
      <c r="EZ25" s="678">
        <f>CLA_!BP25</f>
        <v>20.8</v>
      </c>
      <c r="FA25" s="678">
        <f>CLA_!BQ25</f>
        <v>34.9</v>
      </c>
      <c r="FB25" s="687" t="str">
        <f>CLA_!BR25</f>
        <v/>
      </c>
      <c r="FC25" s="687" t="str">
        <f>CLA_!BS25</f>
        <v/>
      </c>
      <c r="FD25" s="677" t="str">
        <f>CLA_!BT25</f>
        <v/>
      </c>
      <c r="FE25" s="691">
        <f>IF(ISNUMBER(EQ25+EX25),+EQ25*DF_!$EA23+EX25*DF_!$EB23,"")</f>
        <v>3.3500000000000002E-2</v>
      </c>
      <c r="FF25" s="687">
        <f>IF(ISNUMBER(+ER25+EY25),+ER25*DF_!$EA23+EY25*DF_!$EB23,"")</f>
        <v>0.17250000000000001</v>
      </c>
      <c r="FG25" s="678">
        <f>IF(ISNUMBER(ES25)+ISNUMBER(EZ25)&gt;0,IF(ISNUMBER(ES25),ES25,$ET$42)*DF_!$EA23+IF(ISNUMBER(EZ25),EZ25,$FA$42)*DF_!$EB23,"")</f>
        <v>20.734999999999999</v>
      </c>
      <c r="FH25" s="678">
        <f>IF(ISNUMBER(ET25)+ISNUMBER(FA25)&gt;0,IF(ISNUMBER(ET25),ET25,$ET$42)*DF_!$EA23+IF(ISNUMBER(FA25),FA25,$FA$42)*DF_!$EB23,"")</f>
        <v>35.159999999999997</v>
      </c>
      <c r="FI25" s="687" t="str">
        <f>IF(EU25="","",+EU25*DF_!$EA23+FB25*DF_!$EB23)</f>
        <v/>
      </c>
      <c r="FJ25" s="687" t="str">
        <f>IF(EV25="","",+EV25*DF_!$EA23+FC25*DF_!$EB23)</f>
        <v/>
      </c>
      <c r="FK25" s="677" t="str">
        <f>IF(EW25="","",+EW25*DF_!$EA23+FD25*DF_!$EB23)</f>
        <v/>
      </c>
      <c r="FL25" s="691" t="str">
        <f>CLA_!BU25</f>
        <v/>
      </c>
      <c r="FM25" s="687" t="str">
        <f>CLA_!BV25</f>
        <v/>
      </c>
      <c r="FN25" s="678" t="str">
        <f>CLA_!BW25</f>
        <v/>
      </c>
      <c r="FO25" s="678" t="str">
        <f>CLA_!BX25</f>
        <v/>
      </c>
      <c r="FP25" s="687" t="str">
        <f>CLA_!BY25</f>
        <v/>
      </c>
      <c r="FQ25" s="687" t="str">
        <f>CLA_!BZ25</f>
        <v/>
      </c>
      <c r="FR25" s="677" t="str">
        <f>CLA_!CA25</f>
        <v/>
      </c>
      <c r="FS25" s="691">
        <f>CLA_!CB25</f>
        <v>0.63</v>
      </c>
      <c r="FT25" s="687">
        <f>CLA_!CC25</f>
        <v>4.09</v>
      </c>
      <c r="FU25" s="678">
        <f>CLA_!CD25</f>
        <v>13.3</v>
      </c>
      <c r="FV25" s="678">
        <f>CLA_!CE25</f>
        <v>17</v>
      </c>
      <c r="FW25" s="687" t="str">
        <f>CLA_!CF25</f>
        <v/>
      </c>
      <c r="FX25" s="687" t="str">
        <f>CLA_!CG25</f>
        <v/>
      </c>
      <c r="FY25" s="677" t="str">
        <f>CLA_!CH25</f>
        <v/>
      </c>
      <c r="FZ25" s="610" t="s">
        <v>327</v>
      </c>
      <c r="GA25" s="610" t="s">
        <v>327</v>
      </c>
      <c r="GB25" s="1968" t="str">
        <f>IF(CLA_!CY25="","",+CLA_!CY25)</f>
        <v/>
      </c>
      <c r="GC25" s="677" t="str">
        <f>IF(CLA_!CZ25="","",+CLA_!CZ25)</f>
        <v/>
      </c>
      <c r="GD25" s="677" t="str">
        <f>IF(CLA_!DA25="","",+CLA_!DA25)</f>
        <v/>
      </c>
      <c r="GE25" s="678" t="str">
        <f>IF(CLA_!DB25="","",+CLA_!DB25)</f>
        <v/>
      </c>
      <c r="GF25" s="677" t="str">
        <f>IF(CLA_!DO25="","",+CLA_!DO25)</f>
        <v/>
      </c>
      <c r="GG25" s="678" t="str">
        <f>IF(CLA_!DP25="","",+CLA_!DP25)</f>
        <v/>
      </c>
      <c r="GH25" s="677" t="str">
        <f>IF(CLA_!DQ25="","",+CLA_!DQ25)</f>
        <v/>
      </c>
      <c r="GI25" s="677" t="str">
        <f>IF(CLA_!DR25="","",+CLA_!DR25)</f>
        <v/>
      </c>
      <c r="GJ25" s="2030"/>
      <c r="GK25" s="2025" t="str">
        <f>IF(CLA_!CQ25="","",+CLA_!CQ25)</f>
        <v/>
      </c>
      <c r="GL25" s="2024"/>
      <c r="GM25" s="2026" t="str">
        <f>IF(CLA_!CR25="","",+CLA_!CR25)</f>
        <v/>
      </c>
      <c r="GN25" s="2024" t="str">
        <f>IF(CLA_!CZ25="","",+CLA_!CZ25)</f>
        <v/>
      </c>
      <c r="GO25" s="2026" t="str">
        <f>IF(CLA_!CS25="","",+CLA_!CS25)</f>
        <v/>
      </c>
      <c r="GP25" s="2024" t="str">
        <f>IF(CLA_!DA25="","",+CLA_!DA25)</f>
        <v/>
      </c>
      <c r="GQ25" s="2025" t="str">
        <f>IF(CLA_!CT25="","",+CLA_!CT25)</f>
        <v/>
      </c>
      <c r="GR25" s="2024" t="str">
        <f>IF(CLA_!CY25="","",+CLA_!CY25)</f>
        <v/>
      </c>
      <c r="GS25" s="2024" t="str">
        <f>IF(CLA_!CV25="","",+CLA_!CV25)</f>
        <v/>
      </c>
      <c r="GT25" s="2024" t="str">
        <f>IF(CLA_!DO25="","",+CLA_!DO25)</f>
        <v/>
      </c>
      <c r="GU25" s="2031" t="str">
        <f>IF(CLA_!CU25="","",+CLA_!CU25)</f>
        <v/>
      </c>
      <c r="GV25" s="1913" t="str">
        <f>CLA_!DF25</f>
        <v/>
      </c>
      <c r="GW25" s="677" t="str">
        <f>CLA_!DG25</f>
        <v/>
      </c>
      <c r="GX25" s="677" t="str">
        <f>CLA_!DH25</f>
        <v/>
      </c>
      <c r="GY25" s="678" t="str">
        <f>CLA_!DC25</f>
        <v/>
      </c>
      <c r="GZ25" s="648" t="s">
        <v>327</v>
      </c>
      <c r="HA25" s="635"/>
      <c r="HB25" s="648" t="s">
        <v>327</v>
      </c>
      <c r="HC25" s="685">
        <f>IF(PT_!BC25="","",+PT_!BC25)</f>
        <v>14</v>
      </c>
      <c r="HD25" s="677">
        <f>IF(PT_!BD25="","",+PT_!BD25)</f>
        <v>6</v>
      </c>
      <c r="HE25" s="677">
        <f>IF(PT_!BE25="","",+PT_!BE25)</f>
        <v>3</v>
      </c>
      <c r="HF25" s="677">
        <f>IF(PT_!BF25="","",+PT_!BF25)</f>
        <v>3</v>
      </c>
      <c r="HG25" s="677">
        <f>IF(PT_!BG25="","",+PT_!BG25)</f>
        <v>4</v>
      </c>
      <c r="HH25" s="677">
        <f>IF(PT_!BH25="","",+PT_!BH25)</f>
        <v>1</v>
      </c>
      <c r="HI25" s="677">
        <f>IF(PT_!BI25="","",+PT_!BI25)</f>
        <v>1</v>
      </c>
      <c r="HJ25" s="677">
        <f>IF(PT_!BJ25="","",+PT_!BJ25)</f>
        <v>4</v>
      </c>
      <c r="HK25" s="677">
        <f>IF(PT_!BK25="","",+PT_!BK25)</f>
        <v>2</v>
      </c>
      <c r="HL25" s="653"/>
      <c r="HM25" s="1782">
        <f t="shared" si="29"/>
        <v>83</v>
      </c>
      <c r="HN25" s="1787">
        <f t="shared" si="30"/>
        <v>41</v>
      </c>
      <c r="HO25" s="719">
        <f t="shared" si="31"/>
        <v>65</v>
      </c>
      <c r="HU25" s="730"/>
      <c r="HV25" s="2442"/>
      <c r="IU25" s="27"/>
    </row>
    <row r="26" spans="1:255" ht="17.100000000000001" customHeight="1">
      <c r="A26" s="579"/>
      <c r="B26" s="648" t="s">
        <v>328</v>
      </c>
      <c r="C26" s="674">
        <f>+CLA_!D26</f>
        <v>128</v>
      </c>
      <c r="D26" s="675" t="str">
        <f>+CLA_!E26</f>
        <v/>
      </c>
      <c r="E26" s="676">
        <f>+CLA_!F26</f>
        <v>120</v>
      </c>
      <c r="F26" s="675" t="str">
        <f>+CLA_!G26</f>
        <v/>
      </c>
      <c r="G26" s="676">
        <f>IF(C26="","",ROUND((IF(ISNUMBER(C26),C26,+$C$42)*DF_!$DY24+IF(ISNUMBER(E26),E26,$E$42)*DF_!$DZ24)/(DF_!$DY24+DF_!$DZ24),0))</f>
        <v>125</v>
      </c>
      <c r="H26" s="675" t="str">
        <f>IF(D26="","",ROUND((IF(+D26=0,+$D$42,+D26)*DF_!$DY24+IF(ISNUMBER(F26),F26,$F$42)*DF_!$DZ24)/(DF_!$DY24+DF_!$DZ24),1))</f>
        <v/>
      </c>
      <c r="I26" s="676" t="str">
        <f>+CLA_!H26</f>
        <v/>
      </c>
      <c r="J26" s="676" t="str">
        <f>+CLA_!I26</f>
        <v/>
      </c>
      <c r="K26" s="676">
        <f>+CLA_!J26</f>
        <v>52</v>
      </c>
      <c r="L26" s="676" t="str">
        <f>+CLA_!K26</f>
        <v/>
      </c>
      <c r="M26" s="677" t="str">
        <f>IF(SUM(CLA_!L26:N26)=0,"",ROUND(AVERAGE(CLA_!L26:N26),-2))</f>
        <v/>
      </c>
      <c r="N26" s="677" t="str">
        <f>IF(SUM(CLA_!O26:P26)=0,"",ROUND(AVERAGE(CLA_!O26:P26),-2))</f>
        <v/>
      </c>
      <c r="O26" s="677" t="str">
        <f>IF(SUM(CLA_!Q26:S26)=0,"",ROUND(AVERAGE(CLA_!Q26:S26),-2))</f>
        <v/>
      </c>
      <c r="P26" s="677" t="str">
        <f>IF(SUM(CLA_!T26:U26)=0,"",ROUND(AVERAGE(CLA_!T26:U26),-2))</f>
        <v/>
      </c>
      <c r="Q26" s="677" t="str">
        <f>+CLA_!V26</f>
        <v/>
      </c>
      <c r="R26" s="678" t="str">
        <f>+CLA_!W26</f>
        <v/>
      </c>
      <c r="S26" s="677" t="str">
        <f>+CLA_!X26</f>
        <v/>
      </c>
      <c r="T26" s="678" t="str">
        <f>+CLA_!Y26</f>
        <v/>
      </c>
      <c r="U26" s="675" t="str">
        <f>IF(M26="","",+M26/(PT_!Y26*10))</f>
        <v/>
      </c>
      <c r="V26" s="675" t="str">
        <f>IF(N26="","",+N26/(PT_!Z26*10))</f>
        <v/>
      </c>
      <c r="W26" s="675"/>
      <c r="X26" s="675"/>
      <c r="Y26" s="648" t="s">
        <v>328</v>
      </c>
      <c r="Z26" s="648" t="s">
        <v>328</v>
      </c>
      <c r="AA26" s="674">
        <f>IF(CLA_!Z26="","",+CLA_!Z26)</f>
        <v>122</v>
      </c>
      <c r="AB26" s="676">
        <f>IF(CLA_!AA26="","",+CLA_!AA26)</f>
        <v>122</v>
      </c>
      <c r="AC26" s="676">
        <f>IF(AA26="","",ROUND((IF(ISNUMBER(AA26),AA26,$AA$42)*DF_!$DY24+IF(ISNUMBER(AB26),AB26,$AB$42)*DF_!$DZ24)/(DF_!$DY24+DF_!$DZ24),0))</f>
        <v>122</v>
      </c>
      <c r="AD26" s="676" t="str">
        <f>IF(CLA_!AB26="","",+CLA_!AB26)</f>
        <v/>
      </c>
      <c r="AE26" s="676" t="str">
        <f>IF(CLA_!AC26="","",+CLA_!AC26)</f>
        <v/>
      </c>
      <c r="AF26" s="676">
        <f>IF(CLA_!AD26="","",+CLA_!AD26)</f>
        <v>12</v>
      </c>
      <c r="AG26" s="676" t="str">
        <f>IF(CLA_!AE26="","",+CLA_!AE26)</f>
        <v/>
      </c>
      <c r="AH26" s="675" t="str">
        <f>IF(CLA_!AF26="","",+CLA_!AF26)</f>
        <v/>
      </c>
      <c r="AI26" s="675" t="str">
        <f>IF(CLA_!AG26="","",+CLA_!AG26)</f>
        <v/>
      </c>
      <c r="AJ26" s="675" t="str">
        <f>IF(CLA_!AH26="","",+CLA_!AH26)</f>
        <v/>
      </c>
      <c r="AK26" s="675" t="str">
        <f>IF(CLA_!AI26="","",+CLA_!AI26)</f>
        <v/>
      </c>
      <c r="AL26" s="2192" t="str">
        <f t="shared" si="20"/>
        <v/>
      </c>
      <c r="AM26" s="675"/>
      <c r="AN26" s="676">
        <f>PT_!Y26</f>
        <v>95</v>
      </c>
      <c r="AO26" s="676">
        <f>PT_!Z26</f>
        <v>280</v>
      </c>
      <c r="AP26" s="682">
        <f t="shared" si="32"/>
        <v>0.11734084314729476</v>
      </c>
      <c r="AQ26" s="682">
        <f t="shared" si="21"/>
        <v>0.11592893706714846</v>
      </c>
      <c r="AR26" s="675">
        <f ca="1">IF(DMREZ!D26&gt;TODAY()-2,"",((IF(ISNUMBER(O26),O26,$O$42)*2.52*HD26)/((CF26*IF(ISNUMBER(K26),K26,$K$42)*(+HD26/(HD26+HE26)))+($HQ$14*IF(ISNUMBER(AT_!Q26),AT_!Q26,AT_!$Q$42)))))</f>
        <v>4.1684097793755353</v>
      </c>
      <c r="AS26" s="675">
        <f ca="1">IF(DMREZ!D26&gt;TODAY()-2,"",((IF(ISNUMBER(P26),P26,$P$42)*2.52*HE26)/((CF26*IF(ISNUMBER(K26),K26,$K$42)*(HE26/(HD26+HE26))+((PT_!BN26+2.5/3.5*PT_!BP26)*IF(ISNUMBER(AT_!S26),AT_!S26,AT_!$S$42))))))</f>
        <v>6.5546706827065107</v>
      </c>
      <c r="AT26" s="648" t="s">
        <v>328</v>
      </c>
      <c r="AU26" s="648" t="s">
        <v>328</v>
      </c>
      <c r="AV26" s="679" t="str">
        <f>IF(CLA_!AP26="","",+CLA_!AP26)</f>
        <v/>
      </c>
      <c r="AW26" s="680" t="str">
        <f>IF(CLA_!AQ26="","",+CLA_!AQ26)</f>
        <v/>
      </c>
      <c r="AX26" s="680" t="str">
        <f>IF(CLA_!AR26="","",+CLA_!AR26)</f>
        <v/>
      </c>
      <c r="AY26" s="680" t="str">
        <f>IF(CLA_!AS26="","",+CLA_!AS26)</f>
        <v/>
      </c>
      <c r="AZ26" s="680" t="str">
        <f>IF(CLA_!AT26="","",+CLA_!AT26)</f>
        <v/>
      </c>
      <c r="BA26" s="680" t="str">
        <f>IF(CLA_!AU26="","",+CLA_!AU26)</f>
        <v/>
      </c>
      <c r="BB26" s="680" t="str">
        <f>IF(CLA_!AV26="","",+CLA_!AV26)</f>
        <v/>
      </c>
      <c r="BC26" s="680" t="str">
        <f>IF(CLA_!AW26="","",+CLA_!AW26)</f>
        <v/>
      </c>
      <c r="BD26" s="680" t="str">
        <f>IF(CLA_!AX26="","",+CLA_!AX26)</f>
        <v/>
      </c>
      <c r="BE26" s="680" t="str">
        <f>IF(CLA_!AY26="","",+CLA_!AY26)</f>
        <v/>
      </c>
      <c r="BF26" s="675" t="str">
        <f>IF(CLA_!AZ26="","",+CLA_!AZ26)</f>
        <v/>
      </c>
      <c r="BG26" s="675" t="str">
        <f>IF(CLA_!BA26="","",+CLA_!BA26)</f>
        <v/>
      </c>
      <c r="BH26" s="675" t="str">
        <f>IF(CLA_!BB26="","",+CLA_!BB26)</f>
        <v/>
      </c>
      <c r="BI26" s="675" t="str">
        <f>IF(CLA_!BC26="","",+CLA_!BC26)</f>
        <v/>
      </c>
      <c r="BJ26" s="675" t="str">
        <f>IF(CLA_!BD26="","",+CLA_!BD26)</f>
        <v/>
      </c>
      <c r="BK26" s="681">
        <f>IF(PT_!U26="","",+PT_!U26)</f>
        <v>7.63</v>
      </c>
      <c r="BL26" s="675">
        <f>IF(PT_!V26="","",+PT_!V26)</f>
        <v>7.78</v>
      </c>
      <c r="BM26" s="675">
        <f>IF(PT_!W26="","",+PT_!W26)</f>
        <v>4.07</v>
      </c>
      <c r="BN26" s="675">
        <f>IF(PT_!X26="","",+PT_!X26)</f>
        <v>5.19</v>
      </c>
      <c r="BO26" s="675">
        <f>IF(PT_!T26="","",+PT_!T26)</f>
        <v>4.8</v>
      </c>
      <c r="BP26" s="676" t="str">
        <f>IF(CLA_!BE26="","",+CLA_!BE26)</f>
        <v/>
      </c>
      <c r="BQ26" s="676" t="str">
        <f>IF(CLA_!BF26="","",+CLA_!BF26)</f>
        <v/>
      </c>
      <c r="BR26" s="676" t="str">
        <f>IF(ISNUMBER(BQ26+BP26),+ROUND((BP26*DF_!DY24+BQ26*DF_!DZ24)/(DF_!DY24+DF_!DZ24),-1),"")</f>
        <v/>
      </c>
      <c r="BS26" s="676">
        <f>IF(PT_!C26="","",ROUND(+PT_!C26,0))</f>
        <v>15</v>
      </c>
      <c r="BT26" s="675">
        <f>IF(PT_!H26="","",ROUND(MAX(PT_!H26,PT_!K26),1))</f>
        <v>7.2</v>
      </c>
      <c r="BU26" s="675">
        <f>IF(PT_!I26="","",ROUND(MIN(PT_!I26,PT_!L26),1))</f>
        <v>6.7</v>
      </c>
      <c r="BV26" s="675">
        <f>IF(PT_!G26="","",ROUND((PT_!G26*DF_!DZ24+DF_!DY24*PT_!J26)/DF_!DS24,1))</f>
        <v>6.9</v>
      </c>
      <c r="BW26" s="675">
        <f>IF(PT_!N26="","",+PT_!N26)</f>
        <v>6.7</v>
      </c>
      <c r="BX26" s="675">
        <f>IF(PT_!O26="","",+PT_!O26)</f>
        <v>6.5</v>
      </c>
      <c r="BY26" s="675">
        <f>IF(PT_!M26="","",+PT_!M26)</f>
        <v>6.6</v>
      </c>
      <c r="BZ26" s="682">
        <f>IF(PT_!R26="","",+PT_!R26)</f>
        <v>0.54</v>
      </c>
      <c r="CA26" s="1644" t="str">
        <f>IF(PT_!P26="","",+PT_!P26)</f>
        <v/>
      </c>
      <c r="CB26" s="1645">
        <f>IF(PT_!Q26="","",+PT_!Q26)</f>
        <v>44</v>
      </c>
      <c r="CC26" s="648" t="s">
        <v>328</v>
      </c>
      <c r="CD26" s="635"/>
      <c r="CE26" s="648" t="s">
        <v>328</v>
      </c>
      <c r="CF26" s="685">
        <f>IF(DF_!AA24="","",+DF_!AA24)</f>
        <v>110</v>
      </c>
      <c r="CG26" s="677">
        <f ca="1">IF(+DMREZ!D26&lt;TODAY(),+DF_!AD24,"")</f>
        <v>95</v>
      </c>
      <c r="CH26" s="677">
        <f>IF(DF_!AB24="","",+DF_!AB24)</f>
        <v>187</v>
      </c>
      <c r="CI26" s="677">
        <f>IF(DF_!AC24="","",+DF_!AC24)</f>
        <v>60</v>
      </c>
      <c r="CJ26" s="677">
        <f>IF(DF_!AG24="","",+DF_!AG24)</f>
        <v>110</v>
      </c>
      <c r="CK26" s="677">
        <f>IF(PT_!BL26="","",ROUND(PT_!BL26,0))</f>
        <v>60</v>
      </c>
      <c r="CL26" s="686">
        <f t="shared" si="22"/>
        <v>0.54545454545454541</v>
      </c>
      <c r="CM26" s="675">
        <f>IF(PT_!AL26="","",+PT_!AL26)</f>
        <v>89.2</v>
      </c>
      <c r="CN26" s="687">
        <f t="shared" si="10"/>
        <v>0.81090909090909091</v>
      </c>
      <c r="CO26" s="678">
        <f t="shared" si="11"/>
        <v>1.6</v>
      </c>
      <c r="CP26" s="678">
        <f t="shared" si="23"/>
        <v>3.2</v>
      </c>
      <c r="CQ26" s="678">
        <f t="shared" si="12"/>
        <v>3.4</v>
      </c>
      <c r="CR26" s="677">
        <f t="shared" si="46"/>
        <v>600</v>
      </c>
      <c r="CS26" s="675" t="str">
        <f t="shared" si="24"/>
        <v/>
      </c>
      <c r="CT26" s="643"/>
      <c r="CU26" s="678">
        <f t="shared" si="43"/>
        <v>57.3</v>
      </c>
      <c r="CV26" s="677">
        <f t="shared" si="44"/>
        <v>58.289703315881326</v>
      </c>
      <c r="CW26" s="678">
        <f t="shared" si="45"/>
        <v>33.4</v>
      </c>
      <c r="CX26" s="678">
        <f t="shared" si="34"/>
        <v>324.7</v>
      </c>
      <c r="CY26" s="678">
        <f t="shared" si="25"/>
        <v>34.700000000000003</v>
      </c>
      <c r="CZ26" s="678">
        <f t="shared" si="26"/>
        <v>9.4</v>
      </c>
      <c r="DA26" s="2025">
        <f t="shared" si="27"/>
        <v>9.6999999999999993</v>
      </c>
      <c r="DB26" s="741">
        <f t="shared" si="35"/>
        <v>9.4</v>
      </c>
      <c r="DC26" s="648" t="s">
        <v>328</v>
      </c>
      <c r="DD26" s="648" t="s">
        <v>328</v>
      </c>
      <c r="DE26" s="688" t="str">
        <f>IF(Grit!AT23+Grit!AZ23=0,"",+Grit!AT23+Grit!AZ23*0.5)</f>
        <v/>
      </c>
      <c r="DF26" s="689">
        <f>IF(Grit!AV23="0","",+Grit!AV23)</f>
        <v>324</v>
      </c>
      <c r="DG26" s="689">
        <f t="shared" si="16"/>
        <v>20700</v>
      </c>
      <c r="DH26" s="689" t="str">
        <f>IF(Grit!AX23+Grit!AY23=0,"",+Grit!AX23+Grit!AZ23*0.5)</f>
        <v/>
      </c>
      <c r="DI26" s="689" t="str">
        <f t="shared" si="17"/>
        <v/>
      </c>
      <c r="DJ26" s="675">
        <f ca="1">IF(+DMREZ!D26&lt;TODAY(),+PT_!AE26,"")</f>
        <v>62.5</v>
      </c>
      <c r="DK26" s="678">
        <f t="shared" ca="1" si="36"/>
        <v>129.9</v>
      </c>
      <c r="DL26" s="678">
        <f t="shared" ca="1" si="37"/>
        <v>107.9</v>
      </c>
      <c r="DM26" s="678">
        <f t="shared" ca="1" si="38"/>
        <v>62.5</v>
      </c>
      <c r="DN26" s="678">
        <f t="shared" ca="1" si="39"/>
        <v>66.900000000000006</v>
      </c>
      <c r="DO26" s="678">
        <f t="shared" ca="1" si="40"/>
        <v>47.8</v>
      </c>
      <c r="DP26" s="687" t="str">
        <f>IF(DW_!R26="","",+DW_!R26/1000)</f>
        <v/>
      </c>
      <c r="DQ26" s="678" t="str">
        <f>IF(DW_!S26="","",+DW_!S26*2)</f>
        <v/>
      </c>
      <c r="DR26" s="678" t="str">
        <f>+DW_!S26</f>
        <v/>
      </c>
      <c r="DS26" s="675"/>
      <c r="DT26" s="677">
        <f>IF(PT_!AC26="","",+PT_!AC26)</f>
        <v>103</v>
      </c>
      <c r="DU26" s="689">
        <f>IF(ISNUMBER(CHEM_!G25),+CHEM_!G25,"")</f>
        <v>1360</v>
      </c>
      <c r="DV26" s="675">
        <f t="shared" si="18"/>
        <v>12.4</v>
      </c>
      <c r="DW26" s="687">
        <f>IF(PT_!S26="","",+PT_!S26)</f>
        <v>0.52</v>
      </c>
      <c r="DX26" s="648" t="s">
        <v>328</v>
      </c>
      <c r="DY26" s="648" t="s">
        <v>328</v>
      </c>
      <c r="DZ26" s="690" t="str">
        <f>PT_!AK26</f>
        <v/>
      </c>
      <c r="EA26" s="678">
        <f>IF(PT_!AJ26="","",+PT_!AJ26)</f>
        <v>150.4</v>
      </c>
      <c r="EB26" s="2086">
        <f t="shared" si="19"/>
        <v>150.4</v>
      </c>
      <c r="EC26" s="2094">
        <f>IF(PT_!BO26="","",+PT_!BO26)</f>
        <v>55.096080000000001</v>
      </c>
      <c r="ED26" s="1903"/>
      <c r="EE26" s="643"/>
      <c r="EF26" s="2083">
        <v>205.7</v>
      </c>
      <c r="EG26" s="2084">
        <v>617.1</v>
      </c>
      <c r="EH26" s="1890"/>
      <c r="EI26" s="689"/>
      <c r="EJ26" s="1891" t="str">
        <f>+PT_!AF26</f>
        <v/>
      </c>
      <c r="EK26" s="759" t="str">
        <f t="shared" si="28"/>
        <v/>
      </c>
      <c r="EL26" s="689"/>
      <c r="EM26" s="689" t="str">
        <f>IF(PT_!AH26&gt;0,+PT_!AH26,"")</f>
        <v/>
      </c>
      <c r="EN26" s="614" t="str">
        <f>IF(PT_!AZ26="","",+PT_!AZ26)</f>
        <v>Rain</v>
      </c>
      <c r="EO26" s="615" t="s">
        <v>328</v>
      </c>
      <c r="EP26" s="610" t="s">
        <v>328</v>
      </c>
      <c r="EQ26" s="691">
        <f>CLA_!BG26</f>
        <v>0.04</v>
      </c>
      <c r="ER26" s="687">
        <f>CLA_!BH26</f>
        <v>0.32</v>
      </c>
      <c r="ES26" s="678">
        <f>CLA_!BI26</f>
        <v>14.5</v>
      </c>
      <c r="ET26" s="678">
        <f>CLA_!BJ26</f>
        <v>26.4</v>
      </c>
      <c r="EU26" s="687" t="str">
        <f>CLA_!BK26</f>
        <v/>
      </c>
      <c r="EV26" s="687" t="str">
        <f>CLA_!BL26</f>
        <v/>
      </c>
      <c r="EW26" s="677" t="str">
        <f>CLA_!BM26</f>
        <v/>
      </c>
      <c r="EX26" s="691">
        <f>CLA_!BN26</f>
        <v>0.04</v>
      </c>
      <c r="EY26" s="687">
        <f>CLA_!BO26</f>
        <v>0.28999999999999998</v>
      </c>
      <c r="EZ26" s="678">
        <f>CLA_!BP26</f>
        <v>17</v>
      </c>
      <c r="FA26" s="678">
        <f>CLA_!BQ26</f>
        <v>28.8</v>
      </c>
      <c r="FB26" s="687" t="str">
        <f>CLA_!BR26</f>
        <v/>
      </c>
      <c r="FC26" s="687" t="str">
        <f>CLA_!BS26</f>
        <v/>
      </c>
      <c r="FD26" s="677" t="str">
        <f>CLA_!BT26</f>
        <v/>
      </c>
      <c r="FE26" s="691">
        <f>IF(ISNUMBER(EQ26+EX26),+EQ26*DF_!$EA24+EX26*DF_!$EB24,"")</f>
        <v>0.04</v>
      </c>
      <c r="FF26" s="687">
        <f>IF(ISNUMBER(+ER26+EY26),+ER26*DF_!$EA24+EY26*DF_!$EB24,"")</f>
        <v>0.3095</v>
      </c>
      <c r="FG26" s="678">
        <f>IF(ISNUMBER(ES26)+ISNUMBER(EZ26)&gt;0,IF(ISNUMBER(ES26),ES26,$ET$42)*DF_!$EA24+IF(ISNUMBER(EZ26),EZ26,$FA$42)*DF_!$EB24,"")</f>
        <v>15.375</v>
      </c>
      <c r="FH26" s="678">
        <f>IF(ISNUMBER(ET26)+ISNUMBER(FA26)&gt;0,IF(ISNUMBER(ET26),ET26,$ET$42)*DF_!$EA24+IF(ISNUMBER(FA26),FA26,$FA$42)*DF_!$EB24,"")</f>
        <v>27.240000000000002</v>
      </c>
      <c r="FI26" s="687" t="str">
        <f>IF(EU26="","",+EU26*DF_!$EA24+FB26*DF_!$EB24)</f>
        <v/>
      </c>
      <c r="FJ26" s="687" t="str">
        <f>IF(EV26="","",+EV26*DF_!$EA24+FC26*DF_!$EB24)</f>
        <v/>
      </c>
      <c r="FK26" s="677" t="str">
        <f>IF(EW26="","",+EW26*DF_!$EA24+FD26*DF_!$EB24)</f>
        <v/>
      </c>
      <c r="FL26" s="691" t="str">
        <f>CLA_!BU26</f>
        <v/>
      </c>
      <c r="FM26" s="687" t="str">
        <f>CLA_!BV26</f>
        <v/>
      </c>
      <c r="FN26" s="678" t="str">
        <f>CLA_!BW26</f>
        <v/>
      </c>
      <c r="FO26" s="678" t="str">
        <f>CLA_!BX26</f>
        <v/>
      </c>
      <c r="FP26" s="687" t="str">
        <f>CLA_!BY26</f>
        <v/>
      </c>
      <c r="FQ26" s="687" t="str">
        <f>CLA_!BZ26</f>
        <v/>
      </c>
      <c r="FR26" s="677" t="str">
        <f>CLA_!CA26</f>
        <v/>
      </c>
      <c r="FS26" s="691">
        <f>CLA_!CB26</f>
        <v>0.39</v>
      </c>
      <c r="FT26" s="687">
        <f>CLA_!CC26</f>
        <v>2.4300000000000002</v>
      </c>
      <c r="FU26" s="678">
        <f>CLA_!CD26</f>
        <v>11.9</v>
      </c>
      <c r="FV26" s="678">
        <f>CLA_!CE26</f>
        <v>18.100000000000001</v>
      </c>
      <c r="FW26" s="687" t="str">
        <f>CLA_!CF26</f>
        <v/>
      </c>
      <c r="FX26" s="687" t="str">
        <f>CLA_!CG26</f>
        <v/>
      </c>
      <c r="FY26" s="677" t="str">
        <f>CLA_!CH26</f>
        <v/>
      </c>
      <c r="FZ26" s="610" t="s">
        <v>328</v>
      </c>
      <c r="GA26" s="610" t="s">
        <v>328</v>
      </c>
      <c r="GB26" s="1968" t="str">
        <f>IF(CLA_!CY26="","",+CLA_!CY26)</f>
        <v/>
      </c>
      <c r="GC26" s="677" t="str">
        <f>IF(CLA_!CZ26="","",+CLA_!CZ26)</f>
        <v/>
      </c>
      <c r="GD26" s="677" t="str">
        <f>IF(CLA_!DA26="","",+CLA_!DA26)</f>
        <v/>
      </c>
      <c r="GE26" s="678" t="str">
        <f>IF(CLA_!DB26="","",+CLA_!DB26)</f>
        <v/>
      </c>
      <c r="GF26" s="677" t="str">
        <f>IF(CLA_!DO26="","",+CLA_!DO26)</f>
        <v/>
      </c>
      <c r="GG26" s="678" t="str">
        <f>IF(CLA_!DP26="","",+CLA_!DP26)</f>
        <v/>
      </c>
      <c r="GH26" s="677" t="str">
        <f>IF(CLA_!DQ26="","",+CLA_!DQ26)</f>
        <v/>
      </c>
      <c r="GI26" s="677" t="str">
        <f>IF(CLA_!DR26="","",+CLA_!DR26)</f>
        <v/>
      </c>
      <c r="GJ26" s="2030"/>
      <c r="GK26" s="2025" t="str">
        <f>IF(CLA_!CQ26="","",+CLA_!CQ26)</f>
        <v/>
      </c>
      <c r="GL26" s="2024"/>
      <c r="GM26" s="2026" t="str">
        <f>IF(CLA_!CR26="","",+CLA_!CR26)</f>
        <v/>
      </c>
      <c r="GN26" s="2024" t="str">
        <f>IF(CLA_!CZ26="","",+CLA_!CZ26)</f>
        <v/>
      </c>
      <c r="GO26" s="2026" t="str">
        <f>IF(CLA_!CS26="","",+CLA_!CS26)</f>
        <v/>
      </c>
      <c r="GP26" s="2024" t="str">
        <f>IF(CLA_!DA26="","",+CLA_!DA26)</f>
        <v/>
      </c>
      <c r="GQ26" s="2025" t="str">
        <f>IF(CLA_!CT26="","",+CLA_!CT26)</f>
        <v/>
      </c>
      <c r="GR26" s="2024" t="str">
        <f>IF(CLA_!CY26="","",+CLA_!CY26)</f>
        <v/>
      </c>
      <c r="GS26" s="2024" t="str">
        <f>IF(CLA_!CV26="","",+CLA_!CV26)</f>
        <v/>
      </c>
      <c r="GT26" s="2024" t="str">
        <f>IF(CLA_!DO26="","",+CLA_!DO26)</f>
        <v/>
      </c>
      <c r="GU26" s="2031" t="str">
        <f>IF(CLA_!CU26="","",+CLA_!CU26)</f>
        <v/>
      </c>
      <c r="GV26" s="1913" t="str">
        <f>CLA_!DF26</f>
        <v/>
      </c>
      <c r="GW26" s="677" t="str">
        <f>CLA_!DG26</f>
        <v/>
      </c>
      <c r="GX26" s="677" t="str">
        <f>CLA_!DH26</f>
        <v/>
      </c>
      <c r="GY26" s="678" t="str">
        <f>CLA_!DC26</f>
        <v/>
      </c>
      <c r="GZ26" s="648" t="s">
        <v>328</v>
      </c>
      <c r="HA26" s="635"/>
      <c r="HB26" s="648" t="s">
        <v>328</v>
      </c>
      <c r="HC26" s="685">
        <f>IF(PT_!BC26="","",+PT_!BC26)</f>
        <v>14</v>
      </c>
      <c r="HD26" s="677">
        <f>IF(PT_!BD26="","",+PT_!BD26)</f>
        <v>6</v>
      </c>
      <c r="HE26" s="677">
        <f>IF(PT_!BE26="","",+PT_!BE26)</f>
        <v>3</v>
      </c>
      <c r="HF26" s="677">
        <f>IF(PT_!BF26="","",+PT_!BF26)</f>
        <v>3</v>
      </c>
      <c r="HG26" s="677">
        <f>IF(PT_!BG26="","",+PT_!BG26)</f>
        <v>4</v>
      </c>
      <c r="HH26" s="677">
        <f>IF(PT_!BH26="","",+PT_!BH26)</f>
        <v>1</v>
      </c>
      <c r="HI26" s="677">
        <f>IF(PT_!BI26="","",+PT_!BI26)</f>
        <v>1</v>
      </c>
      <c r="HJ26" s="677">
        <f>IF(PT_!BJ26="","",+PT_!BJ26)</f>
        <v>4</v>
      </c>
      <c r="HK26" s="677">
        <f>IF(PT_!BK26="","",+PT_!BK26)</f>
        <v>2</v>
      </c>
      <c r="HL26" s="653"/>
      <c r="HM26" s="1782">
        <f t="shared" si="29"/>
        <v>79</v>
      </c>
      <c r="HN26" s="1787">
        <f t="shared" si="30"/>
        <v>39</v>
      </c>
      <c r="HO26" s="719">
        <f t="shared" si="31"/>
        <v>58</v>
      </c>
      <c r="HU26" s="730"/>
      <c r="HV26" s="2442"/>
      <c r="IU26" s="27"/>
    </row>
    <row r="27" spans="1:255" ht="17.100000000000001" customHeight="1">
      <c r="A27" s="579"/>
      <c r="B27" s="648" t="s">
        <v>329</v>
      </c>
      <c r="C27" s="674">
        <f>+CLA_!D27</f>
        <v>136</v>
      </c>
      <c r="D27" s="675" t="str">
        <f>+CLA_!E27</f>
        <v/>
      </c>
      <c r="E27" s="676">
        <f>+CLA_!F27</f>
        <v>144</v>
      </c>
      <c r="F27" s="675" t="str">
        <f>+CLA_!G27</f>
        <v/>
      </c>
      <c r="G27" s="676">
        <f>IF(C27="","",ROUND((IF(ISNUMBER(C27),C27,+$C$42)*DF_!$DY25+IF(ISNUMBER(E27),E27,$E$42)*DF_!$DZ25)/(DF_!$DY25+DF_!$DZ25),0))</f>
        <v>139</v>
      </c>
      <c r="H27" s="675" t="str">
        <f>IF(D27="","",ROUND((IF(+D27=0,+$D$42,+D27)*DF_!$DY25+IF(ISNUMBER(F27),F27,$F$42)*DF_!$DZ25)/(DF_!$DY25+DF_!$DZ25),1))</f>
        <v/>
      </c>
      <c r="I27" s="676" t="str">
        <f>+CLA_!H27</f>
        <v/>
      </c>
      <c r="J27" s="676" t="str">
        <f>+CLA_!I27</f>
        <v/>
      </c>
      <c r="K27" s="676">
        <f>+CLA_!J27</f>
        <v>17</v>
      </c>
      <c r="L27" s="676" t="str">
        <f>+CLA_!K27</f>
        <v/>
      </c>
      <c r="M27" s="677" t="str">
        <f>IF(SUM(CLA_!L27:N27)=0,"",ROUND(AVERAGE(CLA_!L27:N27),-2))</f>
        <v/>
      </c>
      <c r="N27" s="677" t="str">
        <f>IF(SUM(CLA_!O27:P27)=0,"",ROUND(AVERAGE(CLA_!O27:P27),-2))</f>
        <v/>
      </c>
      <c r="O27" s="677" t="str">
        <f>IF(SUM(CLA_!Q27:S27)=0,"",ROUND(AVERAGE(CLA_!Q27:S27),-2))</f>
        <v/>
      </c>
      <c r="P27" s="677" t="str">
        <f>IF(SUM(CLA_!T27:U27)=0,"",ROUND(AVERAGE(CLA_!T27:U27),-2))</f>
        <v/>
      </c>
      <c r="Q27" s="677" t="str">
        <f>+CLA_!V27</f>
        <v/>
      </c>
      <c r="R27" s="678" t="str">
        <f>+CLA_!W27</f>
        <v/>
      </c>
      <c r="S27" s="677" t="str">
        <f>+CLA_!X27</f>
        <v/>
      </c>
      <c r="T27" s="678" t="str">
        <f>+CLA_!Y27</f>
        <v/>
      </c>
      <c r="U27" s="675" t="str">
        <f>IF(M27="","",+M27/(PT_!Y27*10))</f>
        <v/>
      </c>
      <c r="V27" s="675" t="str">
        <f>IF(N27="","",+N27/(PT_!Z27*10))</f>
        <v/>
      </c>
      <c r="W27" s="675"/>
      <c r="X27" s="675"/>
      <c r="Y27" s="648" t="s">
        <v>329</v>
      </c>
      <c r="Z27" s="648" t="s">
        <v>329</v>
      </c>
      <c r="AA27" s="674">
        <f>IF(CLA_!Z27="","",+CLA_!Z27)</f>
        <v>119</v>
      </c>
      <c r="AB27" s="676">
        <f>IF(CLA_!AA27="","",+CLA_!AA27)</f>
        <v>114</v>
      </c>
      <c r="AC27" s="676">
        <f>IF(AA27="","",ROUND((IF(ISNUMBER(AA27),AA27,$AA$42)*DF_!$DY25+IF(ISNUMBER(AB27),AB27,$AB$42)*DF_!$DZ25)/(DF_!$DY25+DF_!$DZ25),0))</f>
        <v>117</v>
      </c>
      <c r="AD27" s="676" t="str">
        <f>IF(CLA_!AB27="","",+CLA_!AB27)</f>
        <v/>
      </c>
      <c r="AE27" s="676" t="str">
        <f>IF(CLA_!AC27="","",+CLA_!AC27)</f>
        <v/>
      </c>
      <c r="AF27" s="676">
        <f>IF(CLA_!AD27="","",+CLA_!AD27)</f>
        <v>7</v>
      </c>
      <c r="AG27" s="676" t="str">
        <f>IF(CLA_!AE27="","",+CLA_!AE27)</f>
        <v/>
      </c>
      <c r="AH27" s="675" t="str">
        <f>IF(CLA_!AF27="","",+CLA_!AF27)</f>
        <v/>
      </c>
      <c r="AI27" s="675" t="str">
        <f>IF(CLA_!AG27="","",+CLA_!AG27)</f>
        <v/>
      </c>
      <c r="AJ27" s="675" t="str">
        <f>IF(CLA_!AH27="","",+CLA_!AH27)</f>
        <v/>
      </c>
      <c r="AK27" s="675" t="str">
        <f>IF(CLA_!AI27="","",+CLA_!AI27)</f>
        <v/>
      </c>
      <c r="AL27" s="2192" t="str">
        <f>IF(ISNUMBER(AI27),ROUND(((AH27*AI27)-(AJ27*AK27))/(AH27*AI27),2),"")</f>
        <v/>
      </c>
      <c r="AM27" s="675"/>
      <c r="AN27" s="676">
        <f>PT_!Y27</f>
        <v>120</v>
      </c>
      <c r="AO27" s="676">
        <f>PT_!Z27</f>
        <v>240</v>
      </c>
      <c r="AP27" s="682">
        <f t="shared" si="32"/>
        <v>0.10240655401945725</v>
      </c>
      <c r="AQ27" s="682">
        <f t="shared" si="21"/>
        <v>0.10117434507678411</v>
      </c>
      <c r="AR27" s="675">
        <f ca="1">IF(DMREZ!D27&gt;TODAY()-2,"",((IF(ISNUMBER(O27),O27,$O$42)*2.52*HD27)/((CF27*IF(ISNUMBER(K27),K27,$K$42)*(+HD27/(HD27+HE27)))+($HQ$14*IF(ISNUMBER(AT_!Q27),AT_!Q27,AT_!$Q$42)))))</f>
        <v>5.501897595538578</v>
      </c>
      <c r="AS27" s="675">
        <f ca="1">IF(DMREZ!D27&gt;TODAY()-2,"",((IF(ISNUMBER(P27),P27,$P$42)*2.52*HE27)/((CF27*IF(ISNUMBER(K27),K27,$K$42)*(HE27/(HD27+HE27))+((PT_!BN27+2.5/3.5*PT_!BP27)*IF(ISNUMBER(AT_!S27),AT_!S27,AT_!$S$42))))))</f>
        <v>9.1847937657783341</v>
      </c>
      <c r="AT27" s="648" t="s">
        <v>329</v>
      </c>
      <c r="AU27" s="648" t="s">
        <v>329</v>
      </c>
      <c r="AV27" s="679" t="str">
        <f>IF(CLA_!AP27="","",+CLA_!AP27)</f>
        <v/>
      </c>
      <c r="AW27" s="680" t="str">
        <f>IF(CLA_!AQ27="","",+CLA_!AQ27)</f>
        <v/>
      </c>
      <c r="AX27" s="680" t="str">
        <f>IF(CLA_!AR27="","",+CLA_!AR27)</f>
        <v/>
      </c>
      <c r="AY27" s="680" t="str">
        <f>IF(CLA_!AS27="","",+CLA_!AS27)</f>
        <v/>
      </c>
      <c r="AZ27" s="680" t="str">
        <f>IF(CLA_!AT27="","",+CLA_!AT27)</f>
        <v/>
      </c>
      <c r="BA27" s="680" t="str">
        <f>IF(CLA_!AU27="","",+CLA_!AU27)</f>
        <v/>
      </c>
      <c r="BB27" s="680" t="str">
        <f>IF(CLA_!AV27="","",+CLA_!AV27)</f>
        <v/>
      </c>
      <c r="BC27" s="680" t="str">
        <f>IF(CLA_!AW27="","",+CLA_!AW27)</f>
        <v/>
      </c>
      <c r="BD27" s="680" t="str">
        <f>IF(CLA_!AX27="","",+CLA_!AX27)</f>
        <v/>
      </c>
      <c r="BE27" s="680" t="str">
        <f>IF(CLA_!AY27="","",+CLA_!AY27)</f>
        <v/>
      </c>
      <c r="BF27" s="675" t="str">
        <f>IF(CLA_!AZ27="","",+CLA_!AZ27)</f>
        <v/>
      </c>
      <c r="BG27" s="675" t="str">
        <f>IF(CLA_!BA27="","",+CLA_!BA27)</f>
        <v/>
      </c>
      <c r="BH27" s="675" t="str">
        <f>IF(CLA_!BB27="","",+CLA_!BB27)</f>
        <v/>
      </c>
      <c r="BI27" s="675" t="str">
        <f>IF(CLA_!BC27="","",+CLA_!BC27)</f>
        <v/>
      </c>
      <c r="BJ27" s="675" t="str">
        <f>IF(CLA_!BD27="","",+CLA_!BD27)</f>
        <v/>
      </c>
      <c r="BK27" s="681">
        <f>IF(PT_!U27="","",+PT_!U27)</f>
        <v>5.77</v>
      </c>
      <c r="BL27" s="675">
        <f>IF(PT_!V27="","",+PT_!V27)</f>
        <v>6.76</v>
      </c>
      <c r="BM27" s="675">
        <f>IF(PT_!W27="","",+PT_!W27)</f>
        <v>3.92</v>
      </c>
      <c r="BN27" s="675">
        <f>IF(PT_!X27="","",+PT_!X27)</f>
        <v>4.55</v>
      </c>
      <c r="BO27" s="675">
        <f>IF(PT_!T27="","",+PT_!T27)</f>
        <v>4.8</v>
      </c>
      <c r="BP27" s="676" t="str">
        <f>IF(CLA_!BE27="","",+CLA_!BE27)</f>
        <v/>
      </c>
      <c r="BQ27" s="676" t="str">
        <f>IF(CLA_!BF27="","",+CLA_!BF27)</f>
        <v/>
      </c>
      <c r="BR27" s="676" t="str">
        <f>IF(ISNUMBER(BQ27+BP27),+ROUND((BP27*DF_!DY25+BQ27*DF_!DZ25)/(DF_!DY25+DF_!DZ25),-1),"")</f>
        <v/>
      </c>
      <c r="BS27" s="676">
        <f>IF(PT_!C27="","",ROUND(+PT_!C27,0))</f>
        <v>17</v>
      </c>
      <c r="BT27" s="675">
        <f>IF(PT_!H27="","",ROUND(MAX(PT_!H27,PT_!K27),1))</f>
        <v>7.1</v>
      </c>
      <c r="BU27" s="675">
        <f>IF(PT_!I27="","",ROUND(MIN(PT_!I27,PT_!L27),1))</f>
        <v>6.6</v>
      </c>
      <c r="BV27" s="675">
        <f>IF(PT_!G27="","",ROUND((PT_!G27*DF_!DZ25+DF_!DY25*PT_!J27)/DF_!DS25,1))</f>
        <v>6.9</v>
      </c>
      <c r="BW27" s="675">
        <f>IF(PT_!N27="","",+PT_!N27)</f>
        <v>6.8</v>
      </c>
      <c r="BX27" s="675">
        <f>IF(PT_!O27="","",+PT_!O27)</f>
        <v>6.6</v>
      </c>
      <c r="BY27" s="675">
        <f>IF(PT_!M27="","",+PT_!M27)</f>
        <v>6.7</v>
      </c>
      <c r="BZ27" s="682">
        <f>IF(PT_!R27="","",+PT_!R27)</f>
        <v>0.6</v>
      </c>
      <c r="CA27" s="1644" t="str">
        <f>IF(PT_!P27="","",+PT_!P27)</f>
        <v/>
      </c>
      <c r="CB27" s="1645">
        <f>IF(PT_!Q27="","",+PT_!Q27)</f>
        <v>14</v>
      </c>
      <c r="CC27" s="648" t="s">
        <v>329</v>
      </c>
      <c r="CD27" s="635"/>
      <c r="CE27" s="648" t="s">
        <v>329</v>
      </c>
      <c r="CF27" s="685">
        <f>IF(DF_!AA25="","",+DF_!AA25)</f>
        <v>96</v>
      </c>
      <c r="CG27" s="677">
        <f ca="1">IF(+DMREZ!D27&lt;TODAY(),+DF_!AD25,"")</f>
        <v>96</v>
      </c>
      <c r="CH27" s="677">
        <f>IF(DF_!AB25="","",+DF_!AB25)</f>
        <v>134</v>
      </c>
      <c r="CI27" s="677">
        <f>IF(DF_!AC25="","",+DF_!AC25)</f>
        <v>58</v>
      </c>
      <c r="CJ27" s="677">
        <f>IF(DF_!AG25="","",+DF_!AG25)</f>
        <v>96</v>
      </c>
      <c r="CK27" s="677">
        <f>IF(PT_!BL27="","",ROUND(PT_!BL27,0))</f>
        <v>59</v>
      </c>
      <c r="CL27" s="686">
        <f t="shared" si="22"/>
        <v>0.61458333333333337</v>
      </c>
      <c r="CM27" s="675">
        <f>IF(PT_!AL27="","",+PT_!AL27)</f>
        <v>90.9</v>
      </c>
      <c r="CN27" s="687">
        <f t="shared" si="10"/>
        <v>0.94687500000000002</v>
      </c>
      <c r="CO27" s="678">
        <f t="shared" si="11"/>
        <v>1.9</v>
      </c>
      <c r="CP27" s="678">
        <f t="shared" si="23"/>
        <v>3.5</v>
      </c>
      <c r="CQ27" s="678">
        <f t="shared" si="12"/>
        <v>3.9</v>
      </c>
      <c r="CR27" s="677">
        <f t="shared" si="46"/>
        <v>530</v>
      </c>
      <c r="CS27" s="675" t="str">
        <f t="shared" si="24"/>
        <v/>
      </c>
      <c r="CT27" s="643" t="s">
        <v>311</v>
      </c>
      <c r="CU27" s="678">
        <f t="shared" si="43"/>
        <v>55.6</v>
      </c>
      <c r="CV27" s="677">
        <f t="shared" si="44"/>
        <v>87.769784172661858</v>
      </c>
      <c r="CW27" s="678">
        <f t="shared" si="45"/>
        <v>48.8</v>
      </c>
      <c r="CX27" s="678">
        <f t="shared" si="34"/>
        <v>324.7</v>
      </c>
      <c r="CY27" s="678">
        <f t="shared" si="25"/>
        <v>30.3</v>
      </c>
      <c r="CZ27" s="678">
        <f t="shared" si="26"/>
        <v>10.8</v>
      </c>
      <c r="DA27" s="2025">
        <f t="shared" si="27"/>
        <v>11.1</v>
      </c>
      <c r="DB27" s="741">
        <f t="shared" si="35"/>
        <v>10.7</v>
      </c>
      <c r="DC27" s="648" t="s">
        <v>329</v>
      </c>
      <c r="DD27" s="648" t="s">
        <v>329</v>
      </c>
      <c r="DE27" s="688" t="str">
        <f>IF(Grit!AT24+Grit!AZ24=0,"",+Grit!AT24+Grit!AZ24*0.5)</f>
        <v/>
      </c>
      <c r="DF27" s="689">
        <f>IF(Grit!AV24="0","",+Grit!AV24)</f>
        <v>486</v>
      </c>
      <c r="DG27" s="689">
        <f t="shared" si="16"/>
        <v>31100</v>
      </c>
      <c r="DH27" s="689" t="str">
        <f>IF(Grit!AX24+Grit!AY24=0,"",+Grit!AX24+Grit!AZ24*0.5)</f>
        <v/>
      </c>
      <c r="DI27" s="689" t="str">
        <f t="shared" si="17"/>
        <v/>
      </c>
      <c r="DJ27" s="675">
        <f ca="1">IF(+DMREZ!D27&lt;TODAY(),+PT_!AE27,"")</f>
        <v>41.2</v>
      </c>
      <c r="DK27" s="678">
        <f t="shared" ca="1" si="36"/>
        <v>85.7</v>
      </c>
      <c r="DL27" s="678">
        <f t="shared" ca="1" si="37"/>
        <v>71.2</v>
      </c>
      <c r="DM27" s="678">
        <f t="shared" ca="1" si="38"/>
        <v>41.2</v>
      </c>
      <c r="DN27" s="678">
        <f t="shared" ca="1" si="39"/>
        <v>44.1</v>
      </c>
      <c r="DO27" s="678">
        <f t="shared" ca="1" si="40"/>
        <v>31.5</v>
      </c>
      <c r="DP27" s="687" t="str">
        <f>IF(DW_!R27="","",+DW_!R27/1000)</f>
        <v/>
      </c>
      <c r="DQ27" s="678" t="str">
        <f>IF(DW_!S27="","",+DW_!S27*2)</f>
        <v/>
      </c>
      <c r="DR27" s="678" t="str">
        <f>+DW_!S27</f>
        <v/>
      </c>
      <c r="DS27" s="675"/>
      <c r="DT27" s="677">
        <f>IF(PT_!AC27="","",+PT_!AC27)</f>
        <v>101</v>
      </c>
      <c r="DU27" s="689">
        <f>IF(ISNUMBER(CHEM_!G26),+CHEM_!G26,"")</f>
        <v>730</v>
      </c>
      <c r="DV27" s="675">
        <f t="shared" si="18"/>
        <v>7.6</v>
      </c>
      <c r="DW27" s="687">
        <f>IF(PT_!S27="","",+PT_!S27)</f>
        <v>0.52</v>
      </c>
      <c r="DX27" s="648" t="s">
        <v>329</v>
      </c>
      <c r="DY27" s="648" t="s">
        <v>329</v>
      </c>
      <c r="DZ27" s="690" t="str">
        <f>PT_!AK27</f>
        <v/>
      </c>
      <c r="EA27" s="678">
        <f>IF(PT_!AJ27="","",+PT_!AJ27)</f>
        <v>124.80000000000001</v>
      </c>
      <c r="EB27" s="2086">
        <f t="shared" si="19"/>
        <v>124.80000000000001</v>
      </c>
      <c r="EC27" s="2094">
        <f>IF(PT_!BO27="","",+PT_!BO27)</f>
        <v>56.692080000000004</v>
      </c>
      <c r="ED27" s="1903"/>
      <c r="EE27" s="1316" t="s">
        <v>32</v>
      </c>
      <c r="EF27" s="2083">
        <v>205.7</v>
      </c>
      <c r="EG27" s="2084">
        <v>617.1</v>
      </c>
      <c r="EH27" s="1890"/>
      <c r="EI27" s="689"/>
      <c r="EJ27" s="1891" t="str">
        <f>+PT_!AF27</f>
        <v/>
      </c>
      <c r="EK27" s="759" t="str">
        <f t="shared" si="28"/>
        <v/>
      </c>
      <c r="EL27" s="689"/>
      <c r="EM27" s="689" t="str">
        <f>IF(PT_!AH27&gt;0,+PT_!AH27,"")</f>
        <v/>
      </c>
      <c r="EN27" s="614" t="str">
        <f>IF(PT_!AZ27="","",+PT_!AZ27)</f>
        <v>Snow</v>
      </c>
      <c r="EO27" s="615" t="s">
        <v>329</v>
      </c>
      <c r="EP27" s="610" t="s">
        <v>329</v>
      </c>
      <c r="EQ27" s="691">
        <f>CLA_!BG27</f>
        <v>0.03</v>
      </c>
      <c r="ER27" s="687">
        <f>CLA_!BH27</f>
        <v>0.16</v>
      </c>
      <c r="ES27" s="678">
        <f>CLA_!BI27</f>
        <v>21.3</v>
      </c>
      <c r="ET27" s="678">
        <f>CLA_!BJ27</f>
        <v>37.9</v>
      </c>
      <c r="EU27" s="687" t="str">
        <f>CLA_!BK27</f>
        <v/>
      </c>
      <c r="EV27" s="687" t="str">
        <f>CLA_!BL27</f>
        <v/>
      </c>
      <c r="EW27" s="677" t="str">
        <f>CLA_!BM27</f>
        <v/>
      </c>
      <c r="EX27" s="691">
        <f>CLA_!BN27</f>
        <v>0.04</v>
      </c>
      <c r="EY27" s="687">
        <f>CLA_!BO27</f>
        <v>0.11</v>
      </c>
      <c r="EZ27" s="678">
        <f>CLA_!BP27</f>
        <v>21.2</v>
      </c>
      <c r="FA27" s="678">
        <f>CLA_!BQ27</f>
        <v>35.299999999999997</v>
      </c>
      <c r="FB27" s="687" t="str">
        <f>CLA_!BR27</f>
        <v/>
      </c>
      <c r="FC27" s="687" t="str">
        <f>CLA_!BS27</f>
        <v/>
      </c>
      <c r="FD27" s="677" t="str">
        <f>CLA_!BT27</f>
        <v/>
      </c>
      <c r="FE27" s="691">
        <f>IF(ISNUMBER(EQ27+EX27),+EQ27*DF_!$EA25+EX27*DF_!$EB25,"")</f>
        <v>3.3500000000000002E-2</v>
      </c>
      <c r="FF27" s="687">
        <f>IF(ISNUMBER(+ER27+EY27),+ER27*DF_!$EA25+EY27*DF_!$EB25,"")</f>
        <v>0.14250000000000002</v>
      </c>
      <c r="FG27" s="678">
        <f>IF(ISNUMBER(ES27)+ISNUMBER(EZ27)&gt;0,IF(ISNUMBER(ES27),ES27,$ET$42)*DF_!$EA25+IF(ISNUMBER(EZ27),EZ27,$FA$42)*DF_!$EB25,"")</f>
        <v>21.265000000000001</v>
      </c>
      <c r="FH27" s="678">
        <f>IF(ISNUMBER(ET27)+ISNUMBER(FA27)&gt;0,IF(ISNUMBER(ET27),ET27,$ET$42)*DF_!$EA25+IF(ISNUMBER(FA27),FA27,$FA$42)*DF_!$EB25,"")</f>
        <v>36.99</v>
      </c>
      <c r="FI27" s="687" t="str">
        <f>IF(EU27="","",+EU27*DF_!$EA25+FB27*DF_!$EB25)</f>
        <v/>
      </c>
      <c r="FJ27" s="687" t="str">
        <f>IF(EV27="","",+EV27*DF_!$EA25+FC27*DF_!$EB25)</f>
        <v/>
      </c>
      <c r="FK27" s="677" t="str">
        <f>IF(EW27="","",+EW27*DF_!$EA25+FD27*DF_!$EB25)</f>
        <v/>
      </c>
      <c r="FL27" s="691" t="str">
        <f>CLA_!BU27</f>
        <v/>
      </c>
      <c r="FM27" s="687" t="str">
        <f>CLA_!BV27</f>
        <v/>
      </c>
      <c r="FN27" s="678" t="str">
        <f>CLA_!BW27</f>
        <v/>
      </c>
      <c r="FO27" s="678" t="str">
        <f>CLA_!BX27</f>
        <v/>
      </c>
      <c r="FP27" s="687" t="str">
        <f>CLA_!BY27</f>
        <v/>
      </c>
      <c r="FQ27" s="687" t="str">
        <f>CLA_!BZ27</f>
        <v/>
      </c>
      <c r="FR27" s="677" t="str">
        <f>CLA_!CA27</f>
        <v/>
      </c>
      <c r="FS27" s="691">
        <f>CLA_!CB27</f>
        <v>0.51</v>
      </c>
      <c r="FT27" s="687">
        <f>CLA_!CC27</f>
        <v>2.94</v>
      </c>
      <c r="FU27" s="678">
        <f>CLA_!CD27</f>
        <v>13.6</v>
      </c>
      <c r="FV27" s="678">
        <f>CLA_!CE27</f>
        <v>16.399999999999999</v>
      </c>
      <c r="FW27" s="687" t="str">
        <f>CLA_!CF27</f>
        <v/>
      </c>
      <c r="FX27" s="687" t="str">
        <f>CLA_!CG27</f>
        <v/>
      </c>
      <c r="FY27" s="677" t="str">
        <f>CLA_!CH27</f>
        <v/>
      </c>
      <c r="FZ27" s="610" t="s">
        <v>329</v>
      </c>
      <c r="GA27" s="610" t="s">
        <v>329</v>
      </c>
      <c r="GB27" s="1968" t="str">
        <f>IF(CLA_!CY27="","",+CLA_!CY27)</f>
        <v/>
      </c>
      <c r="GC27" s="677" t="str">
        <f>IF(CLA_!CZ27="","",+CLA_!CZ27)</f>
        <v/>
      </c>
      <c r="GD27" s="677" t="str">
        <f>IF(CLA_!DA27="","",+CLA_!DA27)</f>
        <v/>
      </c>
      <c r="GE27" s="678" t="str">
        <f>IF(CLA_!DB27="","",+CLA_!DB27)</f>
        <v/>
      </c>
      <c r="GF27" s="677" t="str">
        <f>IF(CLA_!DO27="","",+CLA_!DO27)</f>
        <v/>
      </c>
      <c r="GG27" s="678" t="str">
        <f>IF(CLA_!DP27="","",+CLA_!DP27)</f>
        <v/>
      </c>
      <c r="GH27" s="677" t="str">
        <f>IF(CLA_!DQ27="","",+CLA_!DQ27)</f>
        <v/>
      </c>
      <c r="GI27" s="677" t="str">
        <f>IF(CLA_!DR27="","",+CLA_!DR27)</f>
        <v/>
      </c>
      <c r="GJ27" s="2030"/>
      <c r="GK27" s="2025" t="str">
        <f>IF(CLA_!CQ27="","",+CLA_!CQ27)</f>
        <v/>
      </c>
      <c r="GL27" s="2024"/>
      <c r="GM27" s="2026" t="str">
        <f>IF(CLA_!CR27="","",+CLA_!CR27)</f>
        <v/>
      </c>
      <c r="GN27" s="2024" t="str">
        <f>IF(CLA_!CZ27="","",+CLA_!CZ27)</f>
        <v/>
      </c>
      <c r="GO27" s="2026" t="str">
        <f>IF(CLA_!CS27="","",+CLA_!CS27)</f>
        <v/>
      </c>
      <c r="GP27" s="2024" t="str">
        <f>IF(CLA_!DA27="","",+CLA_!DA27)</f>
        <v/>
      </c>
      <c r="GQ27" s="2025" t="str">
        <f>IF(CLA_!CT27="","",+CLA_!CT27)</f>
        <v/>
      </c>
      <c r="GR27" s="2024" t="str">
        <f>IF(CLA_!CY27="","",+CLA_!CY27)</f>
        <v/>
      </c>
      <c r="GS27" s="2024" t="str">
        <f>IF(CLA_!CV27="","",+CLA_!CV27)</f>
        <v/>
      </c>
      <c r="GT27" s="2024" t="str">
        <f>IF(CLA_!DO27="","",+CLA_!DO27)</f>
        <v/>
      </c>
      <c r="GU27" s="2031" t="str">
        <f>IF(CLA_!CU27="","",+CLA_!CU27)</f>
        <v/>
      </c>
      <c r="GV27" s="1913" t="str">
        <f>CLA_!DF27</f>
        <v/>
      </c>
      <c r="GW27" s="677" t="str">
        <f>CLA_!DG27</f>
        <v/>
      </c>
      <c r="GX27" s="677" t="str">
        <f>CLA_!DH27</f>
        <v/>
      </c>
      <c r="GY27" s="678" t="str">
        <f>CLA_!DC27</f>
        <v/>
      </c>
      <c r="GZ27" s="648" t="s">
        <v>329</v>
      </c>
      <c r="HA27" s="635"/>
      <c r="HB27" s="648" t="s">
        <v>329</v>
      </c>
      <c r="HC27" s="685">
        <f>IF(PT_!BC27="","",+PT_!BC27)</f>
        <v>14</v>
      </c>
      <c r="HD27" s="677">
        <f>IF(PT_!BD27="","",+PT_!BD27)</f>
        <v>6</v>
      </c>
      <c r="HE27" s="677">
        <f>IF(PT_!BE27="","",+PT_!BE27)</f>
        <v>3</v>
      </c>
      <c r="HF27" s="677">
        <f>IF(PT_!BF27="","",+PT_!BF27)</f>
        <v>3</v>
      </c>
      <c r="HG27" s="677">
        <f>IF(PT_!BG27="","",+PT_!BG27)</f>
        <v>4</v>
      </c>
      <c r="HH27" s="677">
        <f>IF(PT_!BH27="","",+PT_!BH27)</f>
        <v>1</v>
      </c>
      <c r="HI27" s="677">
        <f>IF(PT_!BI27="","",+PT_!BI27)</f>
        <v>1</v>
      </c>
      <c r="HJ27" s="677">
        <f>IF(PT_!BJ27="","",+PT_!BJ27)</f>
        <v>4</v>
      </c>
      <c r="HK27" s="677">
        <f>IF(PT_!BK27="","",+PT_!BK27)</f>
        <v>2</v>
      </c>
      <c r="HL27" s="653"/>
      <c r="HM27" s="1782">
        <f t="shared" si="29"/>
        <v>69</v>
      </c>
      <c r="HN27" s="1787">
        <f t="shared" si="30"/>
        <v>34</v>
      </c>
      <c r="HO27" s="719">
        <f t="shared" si="31"/>
        <v>44</v>
      </c>
      <c r="HU27" s="730"/>
      <c r="HV27" s="2442"/>
      <c r="IU27" s="27"/>
    </row>
    <row r="28" spans="1:255" ht="17.100000000000001" customHeight="1">
      <c r="A28" s="579"/>
      <c r="B28" s="648" t="s">
        <v>330</v>
      </c>
      <c r="C28" s="674">
        <f>+CLA_!D28</f>
        <v>148</v>
      </c>
      <c r="D28" s="675">
        <f>+CLA_!E28</f>
        <v>83.8</v>
      </c>
      <c r="E28" s="676">
        <f>+CLA_!F28</f>
        <v>132</v>
      </c>
      <c r="F28" s="675">
        <f>+CLA_!G28</f>
        <v>81.8</v>
      </c>
      <c r="G28" s="676">
        <f>IF(C28="","",ROUND((IF(ISNUMBER(C28),C28,+$C$42)*DF_!$DY26+IF(ISNUMBER(E28),E28,$E$42)*DF_!$DZ26)/(DF_!$DY26+DF_!$DZ26),0))</f>
        <v>142</v>
      </c>
      <c r="H28" s="675">
        <f>IF(D28="","",ROUND((IF(+D28=0,+$D$42,+D28)*DF_!$DY26+IF(ISNUMBER(F28),F28,$F$42)*DF_!$DZ26)/(DF_!$DY26+DF_!$DZ26),1))</f>
        <v>83.1</v>
      </c>
      <c r="I28" s="676">
        <f>+CLA_!H28</f>
        <v>72</v>
      </c>
      <c r="J28" s="676">
        <f>+CLA_!I28</f>
        <v>76</v>
      </c>
      <c r="K28" s="676">
        <f>+CLA_!J28</f>
        <v>28</v>
      </c>
      <c r="L28" s="676">
        <f>+CLA_!K28</f>
        <v>260</v>
      </c>
      <c r="M28" s="677">
        <f>IF(SUM(CLA_!L28:N28)=0,"",ROUND(AVERAGE(CLA_!L28:N28),-2))</f>
        <v>2200</v>
      </c>
      <c r="N28" s="677">
        <f>IF(SUM(CLA_!O28:P28)=0,"",ROUND(AVERAGE(CLA_!O28:P28),-2))</f>
        <v>4100</v>
      </c>
      <c r="O28" s="677">
        <f>IF(SUM(CLA_!Q28:S28)=0,"",ROUND(AVERAGE(CLA_!Q28:S28),-2))</f>
        <v>3600</v>
      </c>
      <c r="P28" s="677">
        <f>IF(SUM(CLA_!T28:U28)=0,"",ROUND(AVERAGE(CLA_!T28:U28),-2))</f>
        <v>6100</v>
      </c>
      <c r="Q28" s="677">
        <f>+CLA_!V28</f>
        <v>2980</v>
      </c>
      <c r="R28" s="678">
        <f>+CLA_!W28</f>
        <v>81.2</v>
      </c>
      <c r="S28" s="677">
        <f>+CLA_!X28</f>
        <v>8940</v>
      </c>
      <c r="T28" s="678">
        <f>+CLA_!Y28</f>
        <v>84.3</v>
      </c>
      <c r="U28" s="675">
        <f>IF(M28="","",+M28/(PT_!Y28*10))</f>
        <v>1.6923076923076923</v>
      </c>
      <c r="V28" s="675">
        <f>IF(N28="","",+N28/(PT_!Z28*10))</f>
        <v>0.65079365079365081</v>
      </c>
      <c r="W28" s="675"/>
      <c r="X28" s="675"/>
      <c r="Y28" s="648" t="s">
        <v>330</v>
      </c>
      <c r="Z28" s="648" t="s">
        <v>330</v>
      </c>
      <c r="AA28" s="674">
        <f>IF(CLA_!Z28="","",+CLA_!Z28)</f>
        <v>141</v>
      </c>
      <c r="AB28" s="676">
        <f>IF(CLA_!AA28="","",+CLA_!AA28)</f>
        <v>135</v>
      </c>
      <c r="AC28" s="676">
        <f>IF(AA28="","",ROUND((IF(ISNUMBER(AA28),AA28,$AA$42)*DF_!$DY26+IF(ISNUMBER(AB28),AB28,$AB$42)*DF_!$DZ26)/(DF_!$DY26+DF_!$DZ26),0))</f>
        <v>139</v>
      </c>
      <c r="AD28" s="676">
        <f>IF(CLA_!AB28="","",+CLA_!AB28)</f>
        <v>81</v>
      </c>
      <c r="AE28" s="676">
        <f>IF(CLA_!AC28="","",+CLA_!AC28)</f>
        <v>93</v>
      </c>
      <c r="AF28" s="676">
        <f>IF(CLA_!AD28="","",+CLA_!AD28)</f>
        <v>9</v>
      </c>
      <c r="AG28" s="676">
        <f>IF(CLA_!AE28="","",+CLA_!AE28)</f>
        <v>920</v>
      </c>
      <c r="AH28" s="675">
        <f>IF(CLA_!AF28="","",+CLA_!AF28)</f>
        <v>3.4</v>
      </c>
      <c r="AI28" s="675">
        <f>IF(CLA_!AG28="","",+CLA_!AG28)</f>
        <v>84.9</v>
      </c>
      <c r="AJ28" s="675">
        <f>IF(CLA_!AH28="","",+CLA_!AH28)</f>
        <v>1.9</v>
      </c>
      <c r="AK28" s="675">
        <f>IF(CLA_!AI28="","",+CLA_!AI28)</f>
        <v>70.8</v>
      </c>
      <c r="AL28" s="2192">
        <f t="shared" si="20"/>
        <v>0.53</v>
      </c>
      <c r="AM28" s="675"/>
      <c r="AN28" s="676">
        <f>PT_!Y28</f>
        <v>130</v>
      </c>
      <c r="AO28" s="676">
        <f>PT_!Z28</f>
        <v>630</v>
      </c>
      <c r="AP28" s="682">
        <f t="shared" si="32"/>
        <v>9.2261904761904753E-2</v>
      </c>
      <c r="AQ28" s="682">
        <f t="shared" si="21"/>
        <v>6.2516263335935476E-2</v>
      </c>
      <c r="AR28" s="675">
        <f ca="1">IF(DMREZ!D28&gt;TODAY()-2,"",((IF(ISNUMBER(O28),O28,$O$42)*2.52*HD28)/((CF28*IF(ISNUMBER(K28),K28,$K$42)*(+HD28/(HD28+HE28)))+($HQ$14*IF(ISNUMBER(AT_!Q28),AT_!Q28,AT_!$Q$42)))))</f>
        <v>7.7664101361051721</v>
      </c>
      <c r="AS28" s="675">
        <f ca="1">IF(DMREZ!D28&gt;TODAY()-2,"",((IF(ISNUMBER(P28),P28,$P$42)*2.52*HE28)/((CF28*IF(ISNUMBER(K28),K28,$K$42)*(HE28/(HD28+HE28))+((PT_!BN28+2.5/3.5*PT_!BP28)*IF(ISNUMBER(AT_!S28),AT_!S28,AT_!$S$42))))))</f>
        <v>10.206541827800802</v>
      </c>
      <c r="AT28" s="648" t="s">
        <v>330</v>
      </c>
      <c r="AU28" s="648" t="s">
        <v>330</v>
      </c>
      <c r="AV28" s="679">
        <f>IF(CLA_!AP28="","",+CLA_!AP28)</f>
        <v>520</v>
      </c>
      <c r="AW28" s="680" t="str">
        <f>IF(CLA_!AQ28="","",+CLA_!AQ28)</f>
        <v/>
      </c>
      <c r="AX28" s="680">
        <f>IF(CLA_!AR28="","",+CLA_!AR28)</f>
        <v>130</v>
      </c>
      <c r="AY28" s="680">
        <f>IF(CLA_!AS28="","",+CLA_!AS28)</f>
        <v>110</v>
      </c>
      <c r="AZ28" s="680">
        <f>IF(CLA_!AT28="","",+CLA_!AT28)</f>
        <v>150</v>
      </c>
      <c r="BA28" s="680">
        <f>IF(CLA_!AU28="","",+CLA_!AU28)</f>
        <v>2500</v>
      </c>
      <c r="BB28" s="680" t="str">
        <f>IF(CLA_!AV28="","",+CLA_!AV28)</f>
        <v/>
      </c>
      <c r="BC28" s="680">
        <f>IF(CLA_!AW28="","",+CLA_!AW28)</f>
        <v>3000</v>
      </c>
      <c r="BD28" s="680">
        <f>IF(CLA_!AX28="","",+CLA_!AX28)</f>
        <v>3100</v>
      </c>
      <c r="BE28" s="680">
        <f>IF(CLA_!AY28="","",+CLA_!AY28)</f>
        <v>2900</v>
      </c>
      <c r="BF28" s="675">
        <f>IF(CLA_!AZ28="","",+CLA_!AZ28)</f>
        <v>7.1</v>
      </c>
      <c r="BG28" s="675" t="str">
        <f>IF(CLA_!BA28="","",+CLA_!BA28)</f>
        <v/>
      </c>
      <c r="BH28" s="675">
        <f>IF(CLA_!BB28="","",+CLA_!BB28)</f>
        <v>7.1</v>
      </c>
      <c r="BI28" s="675">
        <f>IF(CLA_!BC28="","",+CLA_!BC28)</f>
        <v>7.1</v>
      </c>
      <c r="BJ28" s="675">
        <f>IF(CLA_!BD28="","",+CLA_!BD28)</f>
        <v>7.1</v>
      </c>
      <c r="BK28" s="681">
        <f>IF(PT_!U28="","",+PT_!U28)</f>
        <v>4.66</v>
      </c>
      <c r="BL28" s="675">
        <f>IF(PT_!V28="","",+PT_!V28)</f>
        <v>5.0999999999999996</v>
      </c>
      <c r="BM28" s="675">
        <f>IF(PT_!W28="","",+PT_!W28)</f>
        <v>3.64</v>
      </c>
      <c r="BN28" s="675">
        <f>IF(PT_!X28="","",+PT_!X28)</f>
        <v>4.42</v>
      </c>
      <c r="BO28" s="675">
        <f>IF(PT_!T28="","",+PT_!T28)</f>
        <v>4.49</v>
      </c>
      <c r="BP28" s="676" t="str">
        <f>IF(CLA_!BE28="","",+CLA_!BE28)</f>
        <v/>
      </c>
      <c r="BQ28" s="676" t="str">
        <f>IF(CLA_!BF28="","",+CLA_!BF28)</f>
        <v/>
      </c>
      <c r="BR28" s="676" t="str">
        <f>IF(ISNUMBER(BQ28+BP28),+ROUND((BP28*DF_!DY26+BQ28*DF_!DZ26)/(DF_!DY26+DF_!DZ26),-1),"")</f>
        <v/>
      </c>
      <c r="BS28" s="676">
        <f>IF(PT_!C28="","",ROUND(+PT_!C28,0))</f>
        <v>17</v>
      </c>
      <c r="BT28" s="675">
        <f>IF(PT_!H28="","",ROUND(MAX(PT_!H28,PT_!K28),1))</f>
        <v>7.3</v>
      </c>
      <c r="BU28" s="675">
        <f>IF(PT_!I28="","",ROUND(MIN(PT_!I28,PT_!L28),1))</f>
        <v>6.6</v>
      </c>
      <c r="BV28" s="675">
        <f>IF(PT_!G28="","",ROUND((PT_!G28*DF_!DZ26+DF_!DY26*PT_!J28)/DF_!DS26,1))</f>
        <v>6.9</v>
      </c>
      <c r="BW28" s="675">
        <f>IF(PT_!N28="","",+PT_!N28)</f>
        <v>6.8</v>
      </c>
      <c r="BX28" s="675">
        <f>IF(PT_!O28="","",+PT_!O28)</f>
        <v>6.6</v>
      </c>
      <c r="BY28" s="675">
        <f>IF(PT_!M28="","",+PT_!M28)</f>
        <v>6.7</v>
      </c>
      <c r="BZ28" s="682">
        <f>IF(PT_!R28="","",+PT_!R28)</f>
        <v>0.51</v>
      </c>
      <c r="CA28" s="1644" t="str">
        <f>IF(PT_!P28="","",+PT_!P28)</f>
        <v/>
      </c>
      <c r="CB28" s="1645">
        <f>IF(PT_!Q28="","",+PT_!Q28)</f>
        <v>13</v>
      </c>
      <c r="CC28" s="648" t="s">
        <v>330</v>
      </c>
      <c r="CD28" s="635"/>
      <c r="CE28" s="648" t="s">
        <v>330</v>
      </c>
      <c r="CF28" s="685">
        <f>IF(DF_!AA26="","",+DF_!AA26)</f>
        <v>93</v>
      </c>
      <c r="CG28" s="677">
        <f ca="1">IF(+DMREZ!D28&lt;TODAY(),+DF_!AD26,"")</f>
        <v>93</v>
      </c>
      <c r="CH28" s="677">
        <f>IF(DF_!AB26="","",+DF_!AB26)</f>
        <v>124</v>
      </c>
      <c r="CI28" s="677">
        <f>IF(DF_!AC26="","",+DF_!AC26)</f>
        <v>57</v>
      </c>
      <c r="CJ28" s="677">
        <f>IF(DF_!AG26="","",+DF_!AG26)</f>
        <v>93</v>
      </c>
      <c r="CK28" s="677">
        <f>IF(PT_!BL28="","",ROUND(PT_!BL28,0))</f>
        <v>59</v>
      </c>
      <c r="CL28" s="686">
        <f t="shared" si="22"/>
        <v>0.63440860215053763</v>
      </c>
      <c r="CM28" s="675">
        <f>IF(PT_!AL28="","",+PT_!AL28)</f>
        <v>92</v>
      </c>
      <c r="CN28" s="687">
        <f t="shared" si="10"/>
        <v>0.989247311827957</v>
      </c>
      <c r="CO28" s="678">
        <f t="shared" si="11"/>
        <v>2</v>
      </c>
      <c r="CP28" s="678">
        <f t="shared" si="23"/>
        <v>3.6</v>
      </c>
      <c r="CQ28" s="678">
        <f t="shared" si="12"/>
        <v>4.0999999999999996</v>
      </c>
      <c r="CR28" s="677">
        <f>IF(ISNUMBER(CJ28),ROUND(+CJ28/($HF$9*HF28+$HG$9*HG28+$HH$9*HH28+$HI$9*HI28+$HJ$9*HJ28+$HK$9*HK28),-1),"")</f>
        <v>510</v>
      </c>
      <c r="CS28" s="675">
        <f t="shared" si="24"/>
        <v>1.2</v>
      </c>
      <c r="CT28" s="643"/>
      <c r="CU28" s="678">
        <f t="shared" si="43"/>
        <v>55.1</v>
      </c>
      <c r="CV28" s="677">
        <f t="shared" si="44"/>
        <v>80.217785843920154</v>
      </c>
      <c r="CW28" s="678">
        <f t="shared" si="45"/>
        <v>44.2</v>
      </c>
      <c r="CX28" s="678">
        <f t="shared" si="34"/>
        <v>419.3</v>
      </c>
      <c r="CY28" s="678">
        <f t="shared" si="25"/>
        <v>28.5</v>
      </c>
      <c r="CZ28" s="678">
        <f t="shared" si="26"/>
        <v>12.2</v>
      </c>
      <c r="DA28" s="2025">
        <f t="shared" si="27"/>
        <v>19.600000000000001</v>
      </c>
      <c r="DB28" s="741">
        <f>IF(CJ28="","",ROUND(+CX28/CY28,1))</f>
        <v>14.7</v>
      </c>
      <c r="DC28" s="648" t="s">
        <v>330</v>
      </c>
      <c r="DD28" s="648" t="s">
        <v>330</v>
      </c>
      <c r="DE28" s="688" t="str">
        <f>IF(Grit!AT25+Grit!AZ25=0,"",+Grit!AT25+Grit!AZ25*0.5)</f>
        <v/>
      </c>
      <c r="DF28" s="689">
        <f>IF(Grit!AV25="0","",+Grit!AV25)</f>
        <v>324</v>
      </c>
      <c r="DG28" s="689">
        <f t="shared" si="16"/>
        <v>20700</v>
      </c>
      <c r="DH28" s="689" t="str">
        <f>IF(Grit!AX25+Grit!AY25=0,"",+Grit!AX25+Grit!AZ25*0.5)</f>
        <v/>
      </c>
      <c r="DI28" s="689" t="str">
        <f t="shared" si="17"/>
        <v/>
      </c>
      <c r="DJ28" s="675">
        <f ca="1">IF(+DMREZ!D28&lt;TODAY(),+PT_!AE28,"")</f>
        <v>55.4</v>
      </c>
      <c r="DK28" s="678">
        <f t="shared" ca="1" si="36"/>
        <v>118.7</v>
      </c>
      <c r="DL28" s="678">
        <f t="shared" ca="1" si="37"/>
        <v>100.8</v>
      </c>
      <c r="DM28" s="678">
        <f t="shared" ca="1" si="38"/>
        <v>55.4</v>
      </c>
      <c r="DN28" s="678">
        <f t="shared" ca="1" si="39"/>
        <v>66.3</v>
      </c>
      <c r="DO28" s="678">
        <f t="shared" ca="1" si="40"/>
        <v>46.9</v>
      </c>
      <c r="DP28" s="687" t="str">
        <f>IF(DW_!R28="","",+DW_!R28/1000)</f>
        <v/>
      </c>
      <c r="DQ28" s="678" t="str">
        <f>IF(DW_!S28="","",+DW_!S28*2)</f>
        <v/>
      </c>
      <c r="DR28" s="678" t="str">
        <f>+DW_!S28</f>
        <v/>
      </c>
      <c r="DS28" s="675"/>
      <c r="DT28" s="677">
        <f>IF(PT_!AC28="","",+PT_!AC28)</f>
        <v>101</v>
      </c>
      <c r="DU28" s="689">
        <f>IF(ISNUMBER(CHEM_!G27),+CHEM_!G27,"")</f>
        <v>440</v>
      </c>
      <c r="DV28" s="675">
        <f t="shared" si="18"/>
        <v>4.7</v>
      </c>
      <c r="DW28" s="687">
        <f>IF(PT_!S28="","",+PT_!S28)</f>
        <v>0.5</v>
      </c>
      <c r="DX28" s="648" t="s">
        <v>330</v>
      </c>
      <c r="DY28" s="648" t="s">
        <v>330</v>
      </c>
      <c r="DZ28" s="690" t="str">
        <f>PT_!AK28</f>
        <v/>
      </c>
      <c r="EA28" s="678">
        <f>IF(PT_!AJ28="","",+PT_!AJ28)</f>
        <v>124.80000000000001</v>
      </c>
      <c r="EB28" s="2086">
        <f t="shared" si="19"/>
        <v>124.80000000000001</v>
      </c>
      <c r="EC28" s="2094">
        <f>IF(PT_!BO28="","",+PT_!BO28)</f>
        <v>58.231919999999995</v>
      </c>
      <c r="ED28" s="1902" t="s">
        <v>480</v>
      </c>
      <c r="EE28" s="1316" t="s">
        <v>30</v>
      </c>
      <c r="EF28" s="2083">
        <v>205.7</v>
      </c>
      <c r="EG28" s="2084">
        <v>617.1</v>
      </c>
      <c r="EH28" s="1890"/>
      <c r="EI28" s="689"/>
      <c r="EJ28" s="1891" t="str">
        <f>+PT_!AF28</f>
        <v/>
      </c>
      <c r="EK28" s="759" t="str">
        <f t="shared" si="28"/>
        <v/>
      </c>
      <c r="EL28" s="689"/>
      <c r="EM28" s="689" t="str">
        <f>IF(PT_!AH28&gt;0,+PT_!AH28,"")</f>
        <v/>
      </c>
      <c r="EN28" s="614" t="str">
        <f>IF(PT_!AZ28="","",+PT_!AZ28)</f>
        <v>Clear</v>
      </c>
      <c r="EO28" s="615" t="s">
        <v>330</v>
      </c>
      <c r="EP28" s="610" t="s">
        <v>330</v>
      </c>
      <c r="EQ28" s="691">
        <f>CLA_!BG28</f>
        <v>0.05</v>
      </c>
      <c r="ER28" s="687">
        <f>CLA_!BH28</f>
        <v>0.08</v>
      </c>
      <c r="ES28" s="678">
        <f>CLA_!BI28</f>
        <v>24.1</v>
      </c>
      <c r="ET28" s="678">
        <f>CLA_!BJ28</f>
        <v>37.799999999999997</v>
      </c>
      <c r="EU28" s="687" t="str">
        <f>CLA_!BK28</f>
        <v/>
      </c>
      <c r="EV28" s="687" t="str">
        <f>CLA_!BL28</f>
        <v/>
      </c>
      <c r="EW28" s="677" t="str">
        <f>CLA_!BM28</f>
        <v/>
      </c>
      <c r="EX28" s="691">
        <f>CLA_!BN28</f>
        <v>0.04</v>
      </c>
      <c r="EY28" s="687">
        <f>CLA_!BO28</f>
        <v>7.0000000000000007E-2</v>
      </c>
      <c r="EZ28" s="678">
        <f>CLA_!BP28</f>
        <v>24.2</v>
      </c>
      <c r="FA28" s="678">
        <f>CLA_!BQ28</f>
        <v>38.6</v>
      </c>
      <c r="FB28" s="687" t="str">
        <f>CLA_!BR28</f>
        <v/>
      </c>
      <c r="FC28" s="687" t="str">
        <f>CLA_!BS28</f>
        <v/>
      </c>
      <c r="FD28" s="677" t="str">
        <f>CLA_!BT28</f>
        <v/>
      </c>
      <c r="FE28" s="691">
        <f>IF(ISNUMBER(EQ28+EX28),+EQ28*DF_!$EA26+EX28*DF_!$EB26,"")</f>
        <v>4.65E-2</v>
      </c>
      <c r="FF28" s="687">
        <f>IF(ISNUMBER(+ER28+EY28),+ER28*DF_!$EA26+EY28*DF_!$EB26,"")</f>
        <v>7.6500000000000012E-2</v>
      </c>
      <c r="FG28" s="678">
        <f>IF(ISNUMBER(ES28)+ISNUMBER(EZ28)&gt;0,IF(ISNUMBER(ES28),ES28,$ET$42)*DF_!$EA26+IF(ISNUMBER(EZ28),EZ28,$FA$42)*DF_!$EB26,"")</f>
        <v>24.134999999999998</v>
      </c>
      <c r="FH28" s="678">
        <f>IF(ISNUMBER(ET28)+ISNUMBER(FA28)&gt;0,IF(ISNUMBER(ET28),ET28,$ET$42)*DF_!$EA26+IF(ISNUMBER(FA28),FA28,$FA$42)*DF_!$EB26,"")</f>
        <v>38.08</v>
      </c>
      <c r="FI28" s="687" t="str">
        <f>IF(EU28="","",+EU28*DF_!$EA26+FB28*DF_!$EB26)</f>
        <v/>
      </c>
      <c r="FJ28" s="687" t="str">
        <f>IF(EV28="","",+EV28*DF_!$EA26+FC28*DF_!$EB26)</f>
        <v/>
      </c>
      <c r="FK28" s="677" t="str">
        <f>IF(EW28="","",+EW28*DF_!$EA26+FD28*DF_!$EB26)</f>
        <v/>
      </c>
      <c r="FL28" s="691" t="str">
        <f>CLA_!BU28</f>
        <v/>
      </c>
      <c r="FM28" s="687" t="str">
        <f>CLA_!BV28</f>
        <v/>
      </c>
      <c r="FN28" s="678" t="str">
        <f>CLA_!BW28</f>
        <v/>
      </c>
      <c r="FO28" s="678" t="str">
        <f>CLA_!BX28</f>
        <v/>
      </c>
      <c r="FP28" s="687" t="str">
        <f>CLA_!BY28</f>
        <v/>
      </c>
      <c r="FQ28" s="687" t="str">
        <f>CLA_!BZ28</f>
        <v/>
      </c>
      <c r="FR28" s="677" t="str">
        <f>CLA_!CA28</f>
        <v/>
      </c>
      <c r="FS28" s="691">
        <f>CLA_!CB28</f>
        <v>0.5</v>
      </c>
      <c r="FT28" s="687">
        <f>CLA_!CC28</f>
        <v>3.03</v>
      </c>
      <c r="FU28" s="678">
        <f>CLA_!CD28</f>
        <v>15.1</v>
      </c>
      <c r="FV28" s="678">
        <f>CLA_!CE28</f>
        <v>17.600000000000001</v>
      </c>
      <c r="FW28" s="687" t="str">
        <f>CLA_!CF28</f>
        <v/>
      </c>
      <c r="FX28" s="687" t="str">
        <f>CLA_!CG28</f>
        <v/>
      </c>
      <c r="FY28" s="677" t="str">
        <f>CLA_!CH28</f>
        <v/>
      </c>
      <c r="FZ28" s="610" t="s">
        <v>330</v>
      </c>
      <c r="GA28" s="610" t="s">
        <v>330</v>
      </c>
      <c r="GB28" s="1968" t="str">
        <f>IF(CLA_!CY28="","",+CLA_!CY28)</f>
        <v/>
      </c>
      <c r="GC28" s="677" t="str">
        <f>IF(CLA_!CZ28="","",+CLA_!CZ28)</f>
        <v/>
      </c>
      <c r="GD28" s="677" t="str">
        <f>IF(CLA_!DA28="","",+CLA_!DA28)</f>
        <v/>
      </c>
      <c r="GE28" s="678" t="str">
        <f>IF(CLA_!DB28="","",+CLA_!DB28)</f>
        <v/>
      </c>
      <c r="GF28" s="677" t="str">
        <f>IF(CLA_!DO28="","",+CLA_!DO28)</f>
        <v/>
      </c>
      <c r="GG28" s="678" t="str">
        <f>IF(CLA_!DP28="","",+CLA_!DP28)</f>
        <v/>
      </c>
      <c r="GH28" s="677" t="str">
        <f>IF(CLA_!DQ28="","",+CLA_!DQ28)</f>
        <v/>
      </c>
      <c r="GI28" s="677" t="str">
        <f>IF(CLA_!DR28="","",+CLA_!DR28)</f>
        <v/>
      </c>
      <c r="GJ28" s="2030"/>
      <c r="GK28" s="2025" t="str">
        <f>IF(CLA_!CQ28="","",+CLA_!CQ28)</f>
        <v/>
      </c>
      <c r="GL28" s="2024"/>
      <c r="GM28" s="2026" t="str">
        <f>IF(CLA_!CR28="","",+CLA_!CR28)</f>
        <v/>
      </c>
      <c r="GN28" s="2024" t="str">
        <f>IF(CLA_!CZ28="","",+CLA_!CZ28)</f>
        <v/>
      </c>
      <c r="GO28" s="2026" t="str">
        <f>IF(CLA_!CS28="","",+CLA_!CS28)</f>
        <v/>
      </c>
      <c r="GP28" s="2024" t="str">
        <f>IF(CLA_!DA28="","",+CLA_!DA28)</f>
        <v/>
      </c>
      <c r="GQ28" s="2025" t="str">
        <f>IF(CLA_!CT28="","",+CLA_!CT28)</f>
        <v/>
      </c>
      <c r="GR28" s="2024" t="str">
        <f>IF(CLA_!CY28="","",+CLA_!CY28)</f>
        <v/>
      </c>
      <c r="GS28" s="2024" t="str">
        <f>IF(CLA_!CV28="","",+CLA_!CV28)</f>
        <v/>
      </c>
      <c r="GT28" s="2024" t="str">
        <f>IF(CLA_!DO28="","",+CLA_!DO28)</f>
        <v/>
      </c>
      <c r="GU28" s="2031" t="str">
        <f>IF(CLA_!CU28="","",+CLA_!CU28)</f>
        <v/>
      </c>
      <c r="GV28" s="1913" t="str">
        <f>CLA_!DF28</f>
        <v/>
      </c>
      <c r="GW28" s="677" t="str">
        <f>CLA_!DG28</f>
        <v/>
      </c>
      <c r="GX28" s="677" t="str">
        <f>CLA_!DH28</f>
        <v/>
      </c>
      <c r="GY28" s="678" t="str">
        <f>CLA_!DC28</f>
        <v/>
      </c>
      <c r="GZ28" s="648" t="s">
        <v>330</v>
      </c>
      <c r="HA28" s="635"/>
      <c r="HB28" s="648" t="s">
        <v>330</v>
      </c>
      <c r="HC28" s="685">
        <f>IF(PT_!BC28="","",+PT_!BC28)</f>
        <v>14</v>
      </c>
      <c r="HD28" s="677">
        <f>IF(PT_!BD28="","",+PT_!BD28)</f>
        <v>6</v>
      </c>
      <c r="HE28" s="677">
        <f>IF(PT_!BE28="","",+PT_!BE28)</f>
        <v>3</v>
      </c>
      <c r="HF28" s="677">
        <f>IF(PT_!BF28="","",+PT_!BF28)</f>
        <v>3</v>
      </c>
      <c r="HG28" s="677">
        <f>IF(PT_!BG28="","",+PT_!BG28)</f>
        <v>4</v>
      </c>
      <c r="HH28" s="677">
        <f>IF(PT_!BH28="","",+PT_!BH28)</f>
        <v>1</v>
      </c>
      <c r="HI28" s="677">
        <f>IF(PT_!BI28="","",+PT_!BI28)</f>
        <v>1</v>
      </c>
      <c r="HJ28" s="677">
        <f>IF(PT_!BJ28="","",+PT_!BJ28)</f>
        <v>4</v>
      </c>
      <c r="HK28" s="677">
        <f>IF(PT_!BK28="","",+PT_!BK28)</f>
        <v>2</v>
      </c>
      <c r="HL28" s="653"/>
      <c r="HM28" s="1782">
        <f t="shared" si="29"/>
        <v>127</v>
      </c>
      <c r="HN28" s="1787">
        <f t="shared" si="30"/>
        <v>39</v>
      </c>
      <c r="HO28" s="719">
        <f t="shared" si="31"/>
        <v>107</v>
      </c>
      <c r="HU28" s="730"/>
      <c r="HV28" s="2442"/>
      <c r="IU28" s="27"/>
    </row>
    <row r="29" spans="1:255" ht="17.100000000000001" customHeight="1">
      <c r="A29" s="579"/>
      <c r="B29" s="648" t="s">
        <v>331</v>
      </c>
      <c r="C29" s="674">
        <f>+CLA_!D29</f>
        <v>120</v>
      </c>
      <c r="D29" s="675" t="str">
        <f>+CLA_!E29</f>
        <v/>
      </c>
      <c r="E29" s="676">
        <f>+CLA_!F29</f>
        <v>124</v>
      </c>
      <c r="F29" s="675" t="str">
        <f>+CLA_!G29</f>
        <v/>
      </c>
      <c r="G29" s="676">
        <f>IF(C29="","",ROUND((IF(ISNUMBER(C29),C29,+$C$42)*DF_!$DY27+IF(ISNUMBER(E29),E29,$E$42)*DF_!$DZ27)/(DF_!$DY27+DF_!$DZ27),0))</f>
        <v>121</v>
      </c>
      <c r="H29" s="675" t="str">
        <f>IF(D29="","",ROUND((IF(+D29=0,+$D$42,+D29)*DF_!$DY27+IF(ISNUMBER(F29),F29,$F$42)*DF_!$DZ27)/(DF_!$DY27+DF_!$DZ27),1))</f>
        <v/>
      </c>
      <c r="I29" s="676">
        <f>+CLA_!H29</f>
        <v>46</v>
      </c>
      <c r="J29" s="676">
        <f>+CLA_!I29</f>
        <v>84</v>
      </c>
      <c r="K29" s="676">
        <f>+CLA_!J29</f>
        <v>17</v>
      </c>
      <c r="L29" s="676">
        <f>+CLA_!K29</f>
        <v>128</v>
      </c>
      <c r="M29" s="677">
        <f>IF(SUM(CLA_!L29:N29)=0,"",ROUND(AVERAGE(CLA_!L29:N29),-2))</f>
        <v>1700</v>
      </c>
      <c r="N29" s="677">
        <f>IF(SUM(CLA_!O29:P29)=0,"",ROUND(AVERAGE(CLA_!O29:P29),-2))</f>
        <v>3800</v>
      </c>
      <c r="O29" s="677">
        <f>IF(SUM(CLA_!Q29:S29)=0,"",ROUND(AVERAGE(CLA_!Q29:S29),-2))</f>
        <v>2300</v>
      </c>
      <c r="P29" s="677">
        <f>IF(SUM(CLA_!T29:U29)=0,"",ROUND(AVERAGE(CLA_!T29:U29),-2))</f>
        <v>5700</v>
      </c>
      <c r="Q29" s="677">
        <f>+CLA_!V29</f>
        <v>3160</v>
      </c>
      <c r="R29" s="678" t="str">
        <f>+CLA_!W29</f>
        <v/>
      </c>
      <c r="S29" s="677">
        <f>+CLA_!X29</f>
        <v>7180</v>
      </c>
      <c r="T29" s="678" t="str">
        <f>+CLA_!Y29</f>
        <v/>
      </c>
      <c r="U29" s="675">
        <f>IF(M29="","",+M29/(PT_!Y29*10))</f>
        <v>1.7</v>
      </c>
      <c r="V29" s="675">
        <f>IF(N29="","",+N29/(PT_!Z29*10))</f>
        <v>0.64406779661016944</v>
      </c>
      <c r="W29" s="675"/>
      <c r="X29" s="675"/>
      <c r="Y29" s="648" t="s">
        <v>331</v>
      </c>
      <c r="Z29" s="648" t="s">
        <v>331</v>
      </c>
      <c r="AA29" s="674">
        <f>IF(CLA_!Z29="","",+CLA_!Z29)</f>
        <v>146</v>
      </c>
      <c r="AB29" s="676">
        <f>IF(CLA_!AA29="","",+CLA_!AA29)</f>
        <v>166</v>
      </c>
      <c r="AC29" s="676">
        <f>IF(AA29="","",ROUND((IF(ISNUMBER(AA29),AA29,$AA$42)*DF_!$DY27+IF(ISNUMBER(AB29),AB29,$AB$42)*DF_!$DZ27)/(DF_!$DY27+DF_!$DZ27),0))</f>
        <v>153</v>
      </c>
      <c r="AD29" s="676">
        <f>IF(CLA_!AB29="","",+CLA_!AB29)</f>
        <v>73</v>
      </c>
      <c r="AE29" s="676">
        <f>IF(CLA_!AC29="","",+CLA_!AC29)</f>
        <v>104</v>
      </c>
      <c r="AF29" s="676">
        <f>IF(CLA_!AD29="","",+CLA_!AD29)</f>
        <v>8</v>
      </c>
      <c r="AG29" s="676">
        <f>IF(CLA_!AE29="","",+CLA_!AE29)</f>
        <v>1720</v>
      </c>
      <c r="AH29" s="675">
        <f>IF(CLA_!AF29="","",+CLA_!AF29)</f>
        <v>3.28</v>
      </c>
      <c r="AI29" s="675">
        <f>IF(CLA_!AG29="","",+CLA_!AG29)</f>
        <v>85.2</v>
      </c>
      <c r="AJ29" s="675">
        <f>IF(CLA_!AH29="","",+CLA_!AH29)</f>
        <v>1.7</v>
      </c>
      <c r="AK29" s="675">
        <f>IF(CLA_!AI29="","",+CLA_!AI29)</f>
        <v>72.099999999999994</v>
      </c>
      <c r="AL29" s="2192">
        <f t="shared" si="20"/>
        <v>0.56000000000000005</v>
      </c>
      <c r="AM29" s="675"/>
      <c r="AN29" s="676">
        <f>PT_!Y29</f>
        <v>100</v>
      </c>
      <c r="AO29" s="676">
        <f>PT_!Z29</f>
        <v>590</v>
      </c>
      <c r="AP29" s="682">
        <f t="shared" si="32"/>
        <v>0.12454949773790355</v>
      </c>
      <c r="AQ29" s="682">
        <f t="shared" si="21"/>
        <v>7.1598749961323066E-2</v>
      </c>
      <c r="AR29" s="675">
        <f ca="1">IF(DMREZ!D29&gt;TODAY()-2,"",((IF(ISNUMBER(O29),O29,$O$42)*2.52*HD29)/((CF29*IF(ISNUMBER(K29),K29,$K$42)*(+HD29/(HD29+HE29)))+($HQ$14*IF(ISNUMBER(AT_!Q29),AT_!Q29,AT_!$Q$42)))))</f>
        <v>5.2692569705959391</v>
      </c>
      <c r="AS29" s="675">
        <f ca="1">IF(DMREZ!D29&gt;TODAY()-2,"",((IF(ISNUMBER(P29),P29,$P$42)*2.52*HE29)/((CF29*IF(ISNUMBER(K29),K29,$K$42)*(HE29/(HD29+HE29))+((PT_!BN29+2.5/3.5*PT_!BP29)*IF(ISNUMBER(AT_!S29),AT_!S29,AT_!$S$42))))))</f>
        <v>6.7627747240276959</v>
      </c>
      <c r="AT29" s="648" t="s">
        <v>331</v>
      </c>
      <c r="AU29" s="648" t="s">
        <v>331</v>
      </c>
      <c r="AV29" s="679" t="str">
        <f>IF(CLA_!AP29="","",+CLA_!AP29)</f>
        <v/>
      </c>
      <c r="AW29" s="680" t="str">
        <f>IF(CLA_!AQ29="","",+CLA_!AQ29)</f>
        <v/>
      </c>
      <c r="AX29" s="680" t="str">
        <f>IF(CLA_!AR29="","",+CLA_!AR29)</f>
        <v/>
      </c>
      <c r="AY29" s="680" t="str">
        <f>IF(CLA_!AS29="","",+CLA_!AS29)</f>
        <v/>
      </c>
      <c r="AZ29" s="680" t="str">
        <f>IF(CLA_!AT29="","",+CLA_!AT29)</f>
        <v/>
      </c>
      <c r="BA29" s="680" t="str">
        <f>IF(CLA_!AU29="","",+CLA_!AU29)</f>
        <v/>
      </c>
      <c r="BB29" s="680" t="str">
        <f>IF(CLA_!AV29="","",+CLA_!AV29)</f>
        <v/>
      </c>
      <c r="BC29" s="680" t="str">
        <f>IF(CLA_!AW29="","",+CLA_!AW29)</f>
        <v/>
      </c>
      <c r="BD29" s="680" t="str">
        <f>IF(CLA_!AX29="","",+CLA_!AX29)</f>
        <v/>
      </c>
      <c r="BE29" s="680" t="str">
        <f>IF(CLA_!AY29="","",+CLA_!AY29)</f>
        <v/>
      </c>
      <c r="BF29" s="675" t="str">
        <f>IF(CLA_!AZ29="","",+CLA_!AZ29)</f>
        <v/>
      </c>
      <c r="BG29" s="675" t="str">
        <f>IF(CLA_!BA29="","",+CLA_!BA29)</f>
        <v/>
      </c>
      <c r="BH29" s="675" t="str">
        <f>IF(CLA_!BB29="","",+CLA_!BB29)</f>
        <v/>
      </c>
      <c r="BI29" s="675" t="str">
        <f>IF(CLA_!BC29="","",+CLA_!BC29)</f>
        <v/>
      </c>
      <c r="BJ29" s="675" t="str">
        <f>IF(CLA_!BD29="","",+CLA_!BD29)</f>
        <v/>
      </c>
      <c r="BK29" s="681">
        <f>IF(PT_!U29="","",+PT_!U29)</f>
        <v>4.8499999999999996</v>
      </c>
      <c r="BL29" s="675">
        <f>IF(PT_!V29="","",+PT_!V29)</f>
        <v>5.25</v>
      </c>
      <c r="BM29" s="675">
        <f>IF(PT_!W29="","",+PT_!W29)</f>
        <v>3.62</v>
      </c>
      <c r="BN29" s="675">
        <f>IF(PT_!X29="","",+PT_!X29)</f>
        <v>4.99</v>
      </c>
      <c r="BO29" s="675">
        <f>IF(PT_!T29="","",+PT_!T29)</f>
        <v>4.68</v>
      </c>
      <c r="BP29" s="676">
        <f>IF(CLA_!BE29="","",+CLA_!BE29)</f>
        <v>94</v>
      </c>
      <c r="BQ29" s="676">
        <f>IF(CLA_!BF29="","",+CLA_!BF29)</f>
        <v>122</v>
      </c>
      <c r="BR29" s="676">
        <f>IF(ISNUMBER(BQ29+BP29),+ROUND((BP29*DF_!DY27+BQ29*DF_!DZ27)/(DF_!DY27+DF_!DZ27),-1),"")</f>
        <v>100</v>
      </c>
      <c r="BS29" s="676">
        <f>IF(PT_!C29="","",ROUND(+PT_!C29,0))</f>
        <v>17</v>
      </c>
      <c r="BT29" s="675">
        <f>IF(PT_!H29="","",ROUND(MAX(PT_!H29,PT_!K29),1))</f>
        <v>7.1</v>
      </c>
      <c r="BU29" s="675">
        <f>IF(PT_!I29="","",ROUND(MIN(PT_!I29,PT_!L29),1))</f>
        <v>6.5</v>
      </c>
      <c r="BV29" s="675">
        <f>IF(PT_!G29="","",ROUND((PT_!G29*DF_!DZ27+DF_!DY27*PT_!J29)/DF_!DS27,1))</f>
        <v>6.8</v>
      </c>
      <c r="BW29" s="675">
        <f>IF(PT_!N29="","",+PT_!N29)</f>
        <v>7.1</v>
      </c>
      <c r="BX29" s="675">
        <f>IF(PT_!O29="","",+PT_!O29)</f>
        <v>6</v>
      </c>
      <c r="BY29" s="675">
        <f>IF(PT_!M29="","",+PT_!M29)</f>
        <v>6.6</v>
      </c>
      <c r="BZ29" s="682">
        <f>IF(PT_!R29="","",+PT_!R29)</f>
        <v>0.49</v>
      </c>
      <c r="CA29" s="1644" t="str">
        <f>IF(PT_!P29="","",+PT_!P29)</f>
        <v/>
      </c>
      <c r="CB29" s="1645">
        <f>IF(PT_!Q29="","",+PT_!Q29)</f>
        <v>13</v>
      </c>
      <c r="CC29" s="648" t="s">
        <v>331</v>
      </c>
      <c r="CD29" s="635"/>
      <c r="CE29" s="648" t="s">
        <v>331</v>
      </c>
      <c r="CF29" s="685">
        <f>IF(DF_!AA27="","",+DF_!AA27)</f>
        <v>89</v>
      </c>
      <c r="CG29" s="677">
        <f ca="1">IF(+DMREZ!D29&lt;TODAY(),+DF_!AD27,"")</f>
        <v>89</v>
      </c>
      <c r="CH29" s="677">
        <f>IF(DF_!AB27="","",+DF_!AB27)</f>
        <v>110</v>
      </c>
      <c r="CI29" s="677">
        <f>IF(DF_!AC27="","",+DF_!AC27)</f>
        <v>57</v>
      </c>
      <c r="CJ29" s="677">
        <f>IF(DF_!AG27="","",+DF_!AG27)</f>
        <v>89</v>
      </c>
      <c r="CK29" s="677">
        <f>IF(PT_!BL29="","",ROUND(PT_!BL29,0))</f>
        <v>60</v>
      </c>
      <c r="CL29" s="686">
        <f t="shared" si="22"/>
        <v>0.6741573033707865</v>
      </c>
      <c r="CM29" s="675">
        <f>IF(PT_!AL29="","",+PT_!AL29)</f>
        <v>94.5</v>
      </c>
      <c r="CN29" s="687">
        <f t="shared" si="10"/>
        <v>1.0617977528089888</v>
      </c>
      <c r="CO29" s="678">
        <f t="shared" si="11"/>
        <v>2</v>
      </c>
      <c r="CP29" s="678">
        <f t="shared" si="23"/>
        <v>3.7</v>
      </c>
      <c r="CQ29" s="678">
        <f t="shared" si="12"/>
        <v>4.2</v>
      </c>
      <c r="CR29" s="677">
        <f t="shared" si="46"/>
        <v>490</v>
      </c>
      <c r="CS29" s="675">
        <f t="shared" si="24"/>
        <v>1.2</v>
      </c>
      <c r="CT29" s="643" t="s">
        <v>474</v>
      </c>
      <c r="CU29" s="678">
        <f t="shared" si="43"/>
        <v>44.9</v>
      </c>
      <c r="CV29" s="677">
        <f t="shared" si="44"/>
        <v>85.968819599109139</v>
      </c>
      <c r="CW29" s="678">
        <f t="shared" si="45"/>
        <v>38.6</v>
      </c>
      <c r="CX29" s="678">
        <f t="shared" si="34"/>
        <v>324.7</v>
      </c>
      <c r="CY29" s="678">
        <f t="shared" si="25"/>
        <v>22.7</v>
      </c>
      <c r="CZ29" s="678">
        <f t="shared" si="26"/>
        <v>12.7</v>
      </c>
      <c r="DA29" s="2025">
        <f t="shared" si="27"/>
        <v>17.3</v>
      </c>
      <c r="DB29" s="741">
        <f t="shared" ref="DB29:DB31" si="47">IF(CJ29="","",ROUND(+CX29/CY29,1))</f>
        <v>14.3</v>
      </c>
      <c r="DC29" s="648" t="s">
        <v>331</v>
      </c>
      <c r="DD29" s="648" t="s">
        <v>331</v>
      </c>
      <c r="DE29" s="688">
        <f>IF(Grit!AT26+Grit!AZ26=0,"",+Grit!AT26+Grit!AZ26*0.5)</f>
        <v>432</v>
      </c>
      <c r="DF29" s="689">
        <f>IF(Grit!AV26="0","",+Grit!AV26)</f>
        <v>0</v>
      </c>
      <c r="DG29" s="689">
        <f t="shared" si="16"/>
        <v>0</v>
      </c>
      <c r="DH29" s="689" t="str">
        <f>IF(Grit!AX26+Grit!AY26=0,"",+Grit!AX26+Grit!AZ26*0.5)</f>
        <v/>
      </c>
      <c r="DI29" s="689" t="str">
        <f t="shared" si="17"/>
        <v/>
      </c>
      <c r="DJ29" s="675">
        <f ca="1">IF(+DMREZ!D29&lt;TODAY(),+PT_!AE29,"")</f>
        <v>60.7</v>
      </c>
      <c r="DK29" s="678">
        <f t="shared" ca="1" si="36"/>
        <v>125.4</v>
      </c>
      <c r="DL29" s="678">
        <f t="shared" ca="1" si="37"/>
        <v>106.8</v>
      </c>
      <c r="DM29" s="678">
        <f t="shared" ca="1" si="38"/>
        <v>60.7</v>
      </c>
      <c r="DN29" s="678">
        <f t="shared" ca="1" si="39"/>
        <v>65</v>
      </c>
      <c r="DO29" s="678">
        <f t="shared" ca="1" si="40"/>
        <v>46.9</v>
      </c>
      <c r="DP29" s="687" t="str">
        <f>IF(DW_!R29="","",+DW_!R29/1000)</f>
        <v/>
      </c>
      <c r="DQ29" s="678" t="str">
        <f>IF(DW_!S29="","",+DW_!S29*2)</f>
        <v/>
      </c>
      <c r="DR29" s="678" t="str">
        <f>+DW_!S29</f>
        <v/>
      </c>
      <c r="DS29" s="675"/>
      <c r="DT29" s="677">
        <f>IF(PT_!AC29="","",+PT_!AC29)</f>
        <v>101</v>
      </c>
      <c r="DU29" s="689">
        <f>IF(ISNUMBER(CHEM_!G28),+CHEM_!G28,"")</f>
        <v>680</v>
      </c>
      <c r="DV29" s="675">
        <f t="shared" si="18"/>
        <v>7.6</v>
      </c>
      <c r="DW29" s="687">
        <f>IF(PT_!S29="","",+PT_!S29)</f>
        <v>0.47</v>
      </c>
      <c r="DX29" s="648" t="s">
        <v>331</v>
      </c>
      <c r="DY29" s="648" t="s">
        <v>331</v>
      </c>
      <c r="DZ29" s="690" t="str">
        <f>PT_!AK29</f>
        <v/>
      </c>
      <c r="EA29" s="678">
        <f>IF(PT_!AJ29="","",+PT_!AJ29)</f>
        <v>134.4</v>
      </c>
      <c r="EB29" s="2086">
        <f t="shared" si="19"/>
        <v>134.4</v>
      </c>
      <c r="EC29" s="2094">
        <f>IF(PT_!BO29="","",+PT_!BO29)</f>
        <v>58.295999999999999</v>
      </c>
      <c r="ED29" s="1902" t="s">
        <v>479</v>
      </c>
      <c r="EE29" s="1316" t="s">
        <v>31</v>
      </c>
      <c r="EF29" s="2083">
        <v>205.7</v>
      </c>
      <c r="EG29" s="2084">
        <v>617.1</v>
      </c>
      <c r="EH29" s="1890"/>
      <c r="EI29" s="689"/>
      <c r="EJ29" s="1891" t="str">
        <f>+PT_!AF29</f>
        <v/>
      </c>
      <c r="EK29" s="759" t="str">
        <f t="shared" si="28"/>
        <v/>
      </c>
      <c r="EL29" s="689"/>
      <c r="EM29" s="689" t="str">
        <f>IF(PT_!AH29&gt;0,+PT_!AH29,"")</f>
        <v/>
      </c>
      <c r="EN29" s="614" t="str">
        <f>IF(PT_!AZ29="","",+PT_!AZ29)</f>
        <v>Clear</v>
      </c>
      <c r="EO29" s="615" t="s">
        <v>331</v>
      </c>
      <c r="EP29" s="610" t="s">
        <v>331</v>
      </c>
      <c r="EQ29" s="691">
        <f>CLA_!BG29</f>
        <v>0</v>
      </c>
      <c r="ER29" s="687">
        <f>CLA_!BH29</f>
        <v>0.1</v>
      </c>
      <c r="ES29" s="678">
        <f>CLA_!BI29</f>
        <v>23.6</v>
      </c>
      <c r="ET29" s="678">
        <f>CLA_!BJ29</f>
        <v>38.4</v>
      </c>
      <c r="EU29" s="687">
        <f>CLA_!BK29</f>
        <v>2.82</v>
      </c>
      <c r="EV29" s="687">
        <f>CLA_!BL29</f>
        <v>4.53</v>
      </c>
      <c r="EW29" s="677">
        <f>CLA_!BM29</f>
        <v>393</v>
      </c>
      <c r="EX29" s="691">
        <f>CLA_!BN29</f>
        <v>0</v>
      </c>
      <c r="EY29" s="687">
        <f>CLA_!BO29</f>
        <v>0.08</v>
      </c>
      <c r="EZ29" s="678">
        <f>CLA_!BP29</f>
        <v>23.5</v>
      </c>
      <c r="FA29" s="678">
        <f>CLA_!BQ29</f>
        <v>37.6</v>
      </c>
      <c r="FB29" s="687">
        <f>CLA_!BR29</f>
        <v>2.61</v>
      </c>
      <c r="FC29" s="687">
        <f>CLA_!BS29</f>
        <v>4.72</v>
      </c>
      <c r="FD29" s="677">
        <f>CLA_!BT29</f>
        <v>414</v>
      </c>
      <c r="FE29" s="691">
        <f>IF(ISNUMBER(EQ29+EX29),+EQ29*DF_!$EA27+EX29*DF_!$EB27,"")</f>
        <v>0</v>
      </c>
      <c r="FF29" s="687">
        <f>IF(ISNUMBER(+ER29+EY29),+ER29*DF_!$EA27+EY29*DF_!$EB27,"")</f>
        <v>9.2999999999999999E-2</v>
      </c>
      <c r="FG29" s="678">
        <f>IF(ISNUMBER(ES29)+ISNUMBER(EZ29)&gt;0,IF(ISNUMBER(ES29),ES29,$ET$42)*DF_!$EA27+IF(ISNUMBER(EZ29),EZ29,$FA$42)*DF_!$EB27,"")</f>
        <v>23.565000000000001</v>
      </c>
      <c r="FH29" s="678">
        <f>IF(ISNUMBER(ET29)+ISNUMBER(FA29)&gt;0,IF(ISNUMBER(ET29),ET29,$ET$42)*DF_!$EA27+IF(ISNUMBER(FA29),FA29,$FA$42)*DF_!$EB27,"")</f>
        <v>38.120000000000005</v>
      </c>
      <c r="FI29" s="687">
        <f>IF(EU29="","",+EU29*DF_!$EA27+FB29*DF_!$EB27)</f>
        <v>2.7464999999999997</v>
      </c>
      <c r="FJ29" s="687">
        <f>IF(EV29="","",+EV29*DF_!$EA27+FC29*DF_!$EB27)</f>
        <v>4.5964999999999998</v>
      </c>
      <c r="FK29" s="677">
        <f>IF(EW29="","",+EW29*DF_!$EA27+FD29*DF_!$EB27)</f>
        <v>400.35</v>
      </c>
      <c r="FL29" s="691">
        <f>CLA_!BU29</f>
        <v>0</v>
      </c>
      <c r="FM29" s="687">
        <f>CLA_!BV29</f>
        <v>0.08</v>
      </c>
      <c r="FN29" s="678">
        <f>CLA_!BW29</f>
        <v>23.5</v>
      </c>
      <c r="FO29" s="678">
        <f>CLA_!BX29</f>
        <v>31.2</v>
      </c>
      <c r="FP29" s="687">
        <f>CLA_!BY29</f>
        <v>2.48</v>
      </c>
      <c r="FQ29" s="687">
        <f>CLA_!BZ29</f>
        <v>4.4000000000000004</v>
      </c>
      <c r="FR29" s="677">
        <f>CLA_!CA29</f>
        <v>205</v>
      </c>
      <c r="FS29" s="691">
        <f>CLA_!CB29</f>
        <v>0.57999999999999996</v>
      </c>
      <c r="FT29" s="687">
        <f>CLA_!CC29</f>
        <v>3.57</v>
      </c>
      <c r="FU29" s="678">
        <f>CLA_!CD29</f>
        <v>12.8</v>
      </c>
      <c r="FV29" s="678">
        <f>CLA_!CE29</f>
        <v>16</v>
      </c>
      <c r="FW29" s="687">
        <f>CLA_!CF29</f>
        <v>1.66</v>
      </c>
      <c r="FX29" s="687">
        <f>CLA_!CG29</f>
        <v>2.37</v>
      </c>
      <c r="FY29" s="677">
        <f>CLA_!CH29</f>
        <v>52</v>
      </c>
      <c r="FZ29" s="610" t="s">
        <v>331</v>
      </c>
      <c r="GA29" s="610" t="s">
        <v>331</v>
      </c>
      <c r="GB29" s="1968" t="str">
        <f>IF(CLA_!CY29="","",+CLA_!CY29)</f>
        <v/>
      </c>
      <c r="GC29" s="677" t="str">
        <f>IF(CLA_!CZ29="","",+CLA_!CZ29)</f>
        <v/>
      </c>
      <c r="GD29" s="677" t="str">
        <f>IF(CLA_!DA29="","",+CLA_!DA29)</f>
        <v/>
      </c>
      <c r="GE29" s="678" t="str">
        <f>IF(CLA_!DB29="","",+CLA_!DB29)</f>
        <v/>
      </c>
      <c r="GF29" s="677" t="str">
        <f>IF(CLA_!DO29="","",+CLA_!DO29)</f>
        <v/>
      </c>
      <c r="GG29" s="678" t="str">
        <f>IF(CLA_!DP29="","",+CLA_!DP29)</f>
        <v/>
      </c>
      <c r="GH29" s="677" t="str">
        <f>IF(CLA_!DQ29="","",+CLA_!DQ29)</f>
        <v/>
      </c>
      <c r="GI29" s="677" t="str">
        <f>IF(CLA_!DR29="","",+CLA_!DR29)</f>
        <v/>
      </c>
      <c r="GJ29" s="2030"/>
      <c r="GK29" s="2025" t="str">
        <f>IF(CLA_!CQ29="","",+CLA_!CQ29)</f>
        <v/>
      </c>
      <c r="GL29" s="2024"/>
      <c r="GM29" s="2026" t="str">
        <f>IF(CLA_!CR29="","",+CLA_!CR29)</f>
        <v/>
      </c>
      <c r="GN29" s="2024" t="str">
        <f>IF(CLA_!CZ29="","",+CLA_!CZ29)</f>
        <v/>
      </c>
      <c r="GO29" s="2026" t="str">
        <f>IF(CLA_!CS29="","",+CLA_!CS29)</f>
        <v/>
      </c>
      <c r="GP29" s="2024" t="str">
        <f>IF(CLA_!DA29="","",+CLA_!DA29)</f>
        <v/>
      </c>
      <c r="GQ29" s="2025" t="str">
        <f>IF(CLA_!CT29="","",+CLA_!CT29)</f>
        <v/>
      </c>
      <c r="GR29" s="2024" t="str">
        <f>IF(CLA_!CY29="","",+CLA_!CY29)</f>
        <v/>
      </c>
      <c r="GS29" s="2024" t="str">
        <f>IF(CLA_!CV29="","",+CLA_!CV29)</f>
        <v/>
      </c>
      <c r="GT29" s="2024" t="str">
        <f>IF(CLA_!DO29="","",+CLA_!DO29)</f>
        <v/>
      </c>
      <c r="GU29" s="2031" t="str">
        <f>IF(CLA_!CU29="","",+CLA_!CU29)</f>
        <v/>
      </c>
      <c r="GV29" s="1913" t="str">
        <f>CLA_!DF29</f>
        <v/>
      </c>
      <c r="GW29" s="677" t="str">
        <f>CLA_!DG29</f>
        <v/>
      </c>
      <c r="GX29" s="677" t="str">
        <f>CLA_!DH29</f>
        <v/>
      </c>
      <c r="GY29" s="678" t="str">
        <f>CLA_!DC29</f>
        <v/>
      </c>
      <c r="GZ29" s="648" t="s">
        <v>331</v>
      </c>
      <c r="HA29" s="635"/>
      <c r="HB29" s="648" t="s">
        <v>331</v>
      </c>
      <c r="HC29" s="685">
        <f>IF(PT_!BC29="","",+PT_!BC29)</f>
        <v>14</v>
      </c>
      <c r="HD29" s="677">
        <f>IF(PT_!BD29="","",+PT_!BD29)</f>
        <v>6</v>
      </c>
      <c r="HE29" s="677">
        <f>IF(PT_!BE29="","",+PT_!BE29)</f>
        <v>3</v>
      </c>
      <c r="HF29" s="677">
        <f>IF(PT_!BF29="","",+PT_!BF29)</f>
        <v>3</v>
      </c>
      <c r="HG29" s="677">
        <f>IF(PT_!BG29="","",+PT_!BG29)</f>
        <v>4</v>
      </c>
      <c r="HH29" s="677">
        <f>IF(PT_!BH29="","",+PT_!BH29)</f>
        <v>1</v>
      </c>
      <c r="HI29" s="677">
        <f>IF(PT_!BI29="","",+PT_!BI29)</f>
        <v>1</v>
      </c>
      <c r="HJ29" s="677">
        <f>IF(PT_!BJ29="","",+PT_!BJ29)</f>
        <v>4</v>
      </c>
      <c r="HK29" s="677">
        <f>IF(PT_!BK29="","",+PT_!BK29)</f>
        <v>2</v>
      </c>
      <c r="HL29" s="653"/>
      <c r="HM29" s="1782">
        <f t="shared" si="29"/>
        <v>50</v>
      </c>
      <c r="HN29" s="1787">
        <f t="shared" si="30"/>
        <v>49</v>
      </c>
      <c r="HO29" s="719">
        <f>SUM(HM29:HN29)-CK29</f>
        <v>39</v>
      </c>
      <c r="HU29" s="730"/>
      <c r="HV29" s="2442"/>
      <c r="IU29" s="27"/>
    </row>
    <row r="30" spans="1:255" s="1393" customFormat="1" ht="17.100000000000001" customHeight="1">
      <c r="A30" s="579"/>
      <c r="B30" s="717" t="s">
        <v>332</v>
      </c>
      <c r="C30" s="674">
        <f>+CLA_!D30</f>
        <v>122</v>
      </c>
      <c r="D30" s="675">
        <f>+CLA_!E30</f>
        <v>78.7</v>
      </c>
      <c r="E30" s="676">
        <f>+CLA_!F30</f>
        <v>116</v>
      </c>
      <c r="F30" s="675">
        <f>+CLA_!G30</f>
        <v>82.8</v>
      </c>
      <c r="G30" s="676">
        <f>IF(C30="","",ROUND((IF(ISNUMBER(C30),C30,+$C$42)*DF_!$DY28+IF(ISNUMBER(E30),E30,$E$42)*DF_!$DZ28)/(DF_!$DY28+DF_!$DZ28),0))</f>
        <v>120</v>
      </c>
      <c r="H30" s="675">
        <f>IF(D30="","",ROUND((IF(+D30=0,+$D$42,+D30)*DF_!$DY28+IF(ISNUMBER(F30),F30,$F$42)*DF_!$DZ28)/(DF_!$DY28+DF_!$DZ28),1))</f>
        <v>80.099999999999994</v>
      </c>
      <c r="I30" s="676">
        <f>+CLA_!H30</f>
        <v>50</v>
      </c>
      <c r="J30" s="676">
        <f>+CLA_!I30</f>
        <v>82</v>
      </c>
      <c r="K30" s="676">
        <f>+CLA_!J30</f>
        <v>16</v>
      </c>
      <c r="L30" s="676">
        <f>+CLA_!K30</f>
        <v>132</v>
      </c>
      <c r="M30" s="677">
        <f>IF(SUM(CLA_!L30:N30)=0,"",ROUND(AVERAGE(CLA_!L30:N30),-2))</f>
        <v>3400</v>
      </c>
      <c r="N30" s="677">
        <f>IF(SUM(CLA_!O30:P30)=0,"",ROUND(AVERAGE(CLA_!O30:P30),-2))</f>
        <v>3700</v>
      </c>
      <c r="O30" s="677">
        <f>IF(SUM(CLA_!Q30:S30)=0,"",ROUND(AVERAGE(CLA_!Q30:S30),-2))</f>
        <v>3300</v>
      </c>
      <c r="P30" s="677">
        <f>IF(SUM(CLA_!T30:U30)=0,"",ROUND(AVERAGE(CLA_!T30:U30),-2))</f>
        <v>5100</v>
      </c>
      <c r="Q30" s="677">
        <f>+CLA_!V30</f>
        <v>3020</v>
      </c>
      <c r="R30" s="678">
        <f>+CLA_!W30</f>
        <v>77.5</v>
      </c>
      <c r="S30" s="677">
        <f>+CLA_!X30</f>
        <v>7460</v>
      </c>
      <c r="T30" s="678">
        <f>+CLA_!Y30</f>
        <v>80.400000000000006</v>
      </c>
      <c r="U30" s="675">
        <f>IF(M30="","",+M30/(PT_!Y30*10))</f>
        <v>2.4285714285714284</v>
      </c>
      <c r="V30" s="675">
        <f>IF(N30="","",+N30/(PT_!Z30*10))</f>
        <v>0.71153846153846156</v>
      </c>
      <c r="W30" s="1375"/>
      <c r="X30" s="1375"/>
      <c r="Y30" s="717" t="s">
        <v>332</v>
      </c>
      <c r="Z30" s="717" t="s">
        <v>332</v>
      </c>
      <c r="AA30" s="674">
        <f>IF(CLA_!Z30="","",+CLA_!Z30)</f>
        <v>138</v>
      </c>
      <c r="AB30" s="676">
        <f>IF(CLA_!AA30="","",+CLA_!AA30)</f>
        <v>200</v>
      </c>
      <c r="AC30" s="676">
        <f>IF(AA30="","",ROUND((IF(ISNUMBER(AA30),AA30,$AA$42)*DF_!$DY28+IF(ISNUMBER(AB30),AB30,$AB$42)*DF_!$DZ28)/(DF_!$DY28+DF_!$DZ28),0))</f>
        <v>160</v>
      </c>
      <c r="AD30" s="676">
        <f>IF(CLA_!AB30="","",+CLA_!AB30)</f>
        <v>75</v>
      </c>
      <c r="AE30" s="676">
        <f>IF(CLA_!AC30="","",+CLA_!AC30)</f>
        <v>103</v>
      </c>
      <c r="AF30" s="676">
        <f>IF(CLA_!AD30="","",+CLA_!AD30)</f>
        <v>8</v>
      </c>
      <c r="AG30" s="676">
        <f>IF(CLA_!AE30="","",+CLA_!AE30)</f>
        <v>1600</v>
      </c>
      <c r="AH30" s="675">
        <f>IF(CLA_!AF30="","",+CLA_!AF30)</f>
        <v>2.8</v>
      </c>
      <c r="AI30" s="675">
        <f>IF(CLA_!AG30="","",+CLA_!AG30)</f>
        <v>85.9</v>
      </c>
      <c r="AJ30" s="1375">
        <f>IF(CLA_!AH30="","",+CLA_!AH30)</f>
        <v>1.7</v>
      </c>
      <c r="AK30" s="1375">
        <f>IF(CLA_!AI30="","",+CLA_!AI30)</f>
        <v>72.099999999999994</v>
      </c>
      <c r="AL30" s="2193">
        <f t="shared" si="20"/>
        <v>0.49</v>
      </c>
      <c r="AM30" s="1375"/>
      <c r="AN30" s="1376">
        <f>PT_!Y30</f>
        <v>140</v>
      </c>
      <c r="AO30" s="1376">
        <f>PT_!Z30</f>
        <v>520</v>
      </c>
      <c r="AP30" s="682">
        <f t="shared" si="32"/>
        <v>8.7181337181337179E-2</v>
      </c>
      <c r="AQ30" s="682">
        <f t="shared" si="21"/>
        <v>7.747172943251375E-2</v>
      </c>
      <c r="AR30" s="675">
        <f ca="1">IF(DMREZ!D30&gt;TODAY()-2,"",((IF(ISNUMBER(O30),O30,$O$42)*2.52*HD30)/((CF30*IF(ISNUMBER(K30),K30,$K$42)*(+HD30/(HD30+HE30)))+($HQ$14*IF(ISNUMBER(AT_!Q30),AT_!Q30,AT_!$Q$42)))))</f>
        <v>7.9560963686621138</v>
      </c>
      <c r="AS30" s="675">
        <f ca="1">IF(DMREZ!D30&gt;TODAY()-2,"",((IF(ISNUMBER(P30),P30,$P$42)*2.52*HE30)/((CF30*IF(ISNUMBER(K30),K30,$K$42)*(HE30/(HD30+HE30))+((PT_!BN30+2.5/3.5*PT_!BP30)*IF(ISNUMBER(AT_!S30),AT_!S30,AT_!$S$42))))))</f>
        <v>4.7781507645660444</v>
      </c>
      <c r="AT30" s="717" t="s">
        <v>332</v>
      </c>
      <c r="AU30" s="717" t="s">
        <v>332</v>
      </c>
      <c r="AV30" s="1379" t="str">
        <f>IF(CLA_!AP30="","",+CLA_!AP30)</f>
        <v/>
      </c>
      <c r="AW30" s="1380" t="str">
        <f>IF(CLA_!AQ30="","",+CLA_!AQ30)</f>
        <v/>
      </c>
      <c r="AX30" s="1380" t="str">
        <f>IF(CLA_!AR30="","",+CLA_!AR30)</f>
        <v/>
      </c>
      <c r="AY30" s="1380" t="str">
        <f>IF(CLA_!AS30="","",+CLA_!AS30)</f>
        <v/>
      </c>
      <c r="AZ30" s="1380" t="str">
        <f>IF(CLA_!AT30="","",+CLA_!AT30)</f>
        <v/>
      </c>
      <c r="BA30" s="1380" t="str">
        <f>IF(CLA_!AU30="","",+CLA_!AU30)</f>
        <v/>
      </c>
      <c r="BB30" s="1380" t="str">
        <f>IF(CLA_!AV30="","",+CLA_!AV30)</f>
        <v/>
      </c>
      <c r="BC30" s="1380" t="str">
        <f>IF(CLA_!AW30="","",+CLA_!AW30)</f>
        <v/>
      </c>
      <c r="BD30" s="1380" t="str">
        <f>IF(CLA_!AX30="","",+CLA_!AX30)</f>
        <v/>
      </c>
      <c r="BE30" s="1380" t="str">
        <f>IF(CLA_!AY30="","",+CLA_!AY30)</f>
        <v/>
      </c>
      <c r="BF30" s="1375" t="str">
        <f>IF(CLA_!AZ30="","",+CLA_!AZ30)</f>
        <v/>
      </c>
      <c r="BG30" s="1375" t="str">
        <f>IF(CLA_!BA30="","",+CLA_!BA30)</f>
        <v/>
      </c>
      <c r="BH30" s="1375" t="str">
        <f>IF(CLA_!BB30="","",+CLA_!BB30)</f>
        <v/>
      </c>
      <c r="BI30" s="1375" t="str">
        <f>IF(CLA_!BC30="","",+CLA_!BC30)</f>
        <v/>
      </c>
      <c r="BJ30" s="1375" t="str">
        <f>IF(CLA_!BD30="","",+CLA_!BD30)</f>
        <v/>
      </c>
      <c r="BK30" s="1381">
        <f>IF(PT_!U30="","",+PT_!U30)</f>
        <v>4.68</v>
      </c>
      <c r="BL30" s="1375">
        <f>IF(PT_!V30="","",+PT_!V30)</f>
        <v>5.98</v>
      </c>
      <c r="BM30" s="1375">
        <f>IF(PT_!W30="","",+PT_!W30)</f>
        <v>4.6100000000000003</v>
      </c>
      <c r="BN30" s="1375">
        <f>IF(PT_!X30="","",+PT_!X30)</f>
        <v>5.0199999999999996</v>
      </c>
      <c r="BO30" s="1375">
        <f>IF(PT_!T30="","",+PT_!T30)</f>
        <v>4.68</v>
      </c>
      <c r="BP30" s="1376" t="str">
        <f>IF(CLA_!BE30="","",+CLA_!BE30)</f>
        <v/>
      </c>
      <c r="BQ30" s="1376" t="str">
        <f>IF(CLA_!BF30="","",+CLA_!BF30)</f>
        <v/>
      </c>
      <c r="BR30" s="1376" t="str">
        <f>IF(ISNUMBER(BQ30+BP30),+ROUND((BP30*DF_!DY28+BQ30*DF_!DZ28)/(DF_!DY28+DF_!DZ28),-1),"")</f>
        <v/>
      </c>
      <c r="BS30" s="1376">
        <f>IF(PT_!C30="","",ROUND(+PT_!C30,0))</f>
        <v>18</v>
      </c>
      <c r="BT30" s="1375">
        <f>IF(PT_!H30="","",ROUND(MAX(PT_!H30,PT_!K30),1))</f>
        <v>7</v>
      </c>
      <c r="BU30" s="1375">
        <f>IF(PT_!I30="","",ROUND(MIN(PT_!I30,PT_!L30),1))</f>
        <v>6.5</v>
      </c>
      <c r="BV30" s="1375">
        <f>IF(PT_!G30="","",ROUND((PT_!G30*DF_!DZ28+DF_!DY28*PT_!J30)/DF_!DS28,1))</f>
        <v>6.8</v>
      </c>
      <c r="BW30" s="1375">
        <f>IF(PT_!N30="","",+PT_!N30)</f>
        <v>6.8</v>
      </c>
      <c r="BX30" s="1375">
        <f>IF(PT_!O30="","",+PT_!O30)</f>
        <v>6.2</v>
      </c>
      <c r="BY30" s="1375">
        <f>IF(PT_!M30="","",+PT_!M30)</f>
        <v>6.5</v>
      </c>
      <c r="BZ30" s="1382">
        <f>IF(PT_!R30="","",+PT_!R30)</f>
        <v>0.26</v>
      </c>
      <c r="CA30" s="1646" t="str">
        <f>IF(PT_!P30="","",+PT_!P30)</f>
        <v/>
      </c>
      <c r="CB30" s="1647">
        <f>IF(PT_!Q30="","",+PT_!Q30)</f>
        <v>73</v>
      </c>
      <c r="CC30" s="717" t="s">
        <v>332</v>
      </c>
      <c r="CD30" s="635"/>
      <c r="CE30" s="717" t="s">
        <v>332</v>
      </c>
      <c r="CF30" s="1383">
        <f>IF(DF_!AA28="","",+DF_!AA28)</f>
        <v>87</v>
      </c>
      <c r="CG30" s="1377">
        <f ca="1">IF(+DMREZ!D30&lt;TODAY(),+DF_!AD28,"")</f>
        <v>87</v>
      </c>
      <c r="CH30" s="1377">
        <f>IF(DF_!AB28="","",+DF_!AB28)</f>
        <v>112</v>
      </c>
      <c r="CI30" s="1377">
        <f>IF(DF_!AC28="","",+DF_!AC28)</f>
        <v>60</v>
      </c>
      <c r="CJ30" s="1377">
        <f>IF(DF_!AG28="","",+DF_!AG28)</f>
        <v>87</v>
      </c>
      <c r="CK30" s="1377">
        <f>IF(PT_!BL30="","",ROUND(PT_!BL30,0))</f>
        <v>62</v>
      </c>
      <c r="CL30" s="1384">
        <f t="shared" si="22"/>
        <v>0.71264367816091956</v>
      </c>
      <c r="CM30" s="1375">
        <f>IF(PT_!AL30="","",+PT_!AL30)</f>
        <v>94</v>
      </c>
      <c r="CN30" s="687">
        <f t="shared" si="10"/>
        <v>1.0804597701149425</v>
      </c>
      <c r="CO30" s="1378">
        <f t="shared" si="11"/>
        <v>2.1</v>
      </c>
      <c r="CP30" s="1378">
        <f t="shared" si="23"/>
        <v>3.7</v>
      </c>
      <c r="CQ30" s="1378">
        <f t="shared" si="12"/>
        <v>4.3</v>
      </c>
      <c r="CR30" s="677">
        <f t="shared" si="46"/>
        <v>480</v>
      </c>
      <c r="CS30" s="675">
        <f t="shared" si="24"/>
        <v>1.6</v>
      </c>
      <c r="CT30" s="1386"/>
      <c r="CU30" s="678">
        <f t="shared" si="33"/>
        <v>43.5</v>
      </c>
      <c r="CV30" s="677">
        <f t="shared" ref="CV30:CV41" si="48">IF(ISNUMBER(CW30),+CW30/CU30*100,"")</f>
        <v>86.666666666666671</v>
      </c>
      <c r="CW30" s="678">
        <f t="shared" ref="CW30:CW41" si="49">IF(ISNUMBER(CF30),ROUND(+CU30-(+$HQ$6*CF30*(IF(ISNUMBER(K30),K30,$K$42))),1),"")</f>
        <v>37.700000000000003</v>
      </c>
      <c r="CX30" s="678">
        <f t="shared" si="34"/>
        <v>368.8</v>
      </c>
      <c r="CY30" s="678">
        <f t="shared" si="25"/>
        <v>22.8</v>
      </c>
      <c r="CZ30" s="678">
        <f t="shared" si="26"/>
        <v>17.2</v>
      </c>
      <c r="DA30" s="2025">
        <f t="shared" si="27"/>
        <v>16.2</v>
      </c>
      <c r="DB30" s="741">
        <f t="shared" si="47"/>
        <v>16.2</v>
      </c>
      <c r="DC30" s="717" t="s">
        <v>332</v>
      </c>
      <c r="DD30" s="717" t="s">
        <v>332</v>
      </c>
      <c r="DE30" s="1387">
        <f>IF(Grit!AT27+Grit!AZ27=0,"",+Grit!AT27+Grit!AZ27*0.5)</f>
        <v>324</v>
      </c>
      <c r="DF30" s="689">
        <f>IF(Grit!AV27="0","",+Grit!AV27)</f>
        <v>162</v>
      </c>
      <c r="DG30" s="689">
        <f t="shared" si="16"/>
        <v>10400</v>
      </c>
      <c r="DH30" s="689" t="str">
        <f>IF(Grit!AX27+Grit!AY27=0,"",+Grit!AX27+Grit!AZ27*0.5)</f>
        <v/>
      </c>
      <c r="DI30" s="689" t="str">
        <f t="shared" si="17"/>
        <v/>
      </c>
      <c r="DJ30" s="675">
        <f ca="1">IF(+DMREZ!D30&lt;TODAY(),+PT_!AE30,"")</f>
        <v>59.1</v>
      </c>
      <c r="DK30" s="678">
        <f t="shared" ca="1" si="36"/>
        <v>104.3</v>
      </c>
      <c r="DL30" s="678">
        <f t="shared" ca="1" si="37"/>
        <v>89.6</v>
      </c>
      <c r="DM30" s="678">
        <f t="shared" ca="1" si="38"/>
        <v>59.1</v>
      </c>
      <c r="DN30" s="678">
        <f t="shared" ca="1" si="39"/>
        <v>63.3</v>
      </c>
      <c r="DO30" s="678">
        <f t="shared" ca="1" si="40"/>
        <v>45.6</v>
      </c>
      <c r="DP30" s="687" t="str">
        <f>IF(DW_!R30="","",+DW_!R30/1000)</f>
        <v/>
      </c>
      <c r="DQ30" s="678" t="str">
        <f>IF(DW_!S30="","",+DW_!S30*2)</f>
        <v/>
      </c>
      <c r="DR30" s="678" t="str">
        <f>+DW_!S30</f>
        <v/>
      </c>
      <c r="DS30" s="675"/>
      <c r="DT30" s="677">
        <f>IF(PT_!AC30="","",+PT_!AC30)</f>
        <v>103</v>
      </c>
      <c r="DU30" s="689">
        <f>IF(ISNUMBER(CHEM_!G29),+CHEM_!G29,"")</f>
        <v>730</v>
      </c>
      <c r="DV30" s="675">
        <f t="shared" si="18"/>
        <v>8.4</v>
      </c>
      <c r="DW30" s="687">
        <f>IF(PT_!S30="","",+PT_!S30)</f>
        <v>0.42</v>
      </c>
      <c r="DX30" s="717" t="s">
        <v>332</v>
      </c>
      <c r="DY30" s="717" t="s">
        <v>332</v>
      </c>
      <c r="DZ30" s="1389" t="str">
        <f>PT_!AK30</f>
        <v/>
      </c>
      <c r="EA30" s="1378">
        <f>IF(PT_!AJ30="","",+PT_!AJ30)</f>
        <v>140.80000000000001</v>
      </c>
      <c r="EB30" s="2087">
        <f t="shared" si="19"/>
        <v>140.80000000000001</v>
      </c>
      <c r="EC30" s="2096">
        <f>IF(PT_!BO30="","",+PT_!BO30)</f>
        <v>57.627839999999999</v>
      </c>
      <c r="ED30" s="1904"/>
      <c r="EE30" s="1386"/>
      <c r="EF30" s="2083">
        <v>205.7</v>
      </c>
      <c r="EG30" s="2084">
        <v>617.1</v>
      </c>
      <c r="EH30" s="1892"/>
      <c r="EI30" s="1388"/>
      <c r="EJ30" s="1893" t="str">
        <f>+PT_!AF30</f>
        <v/>
      </c>
      <c r="EK30" s="1880" t="str">
        <f t="shared" si="28"/>
        <v/>
      </c>
      <c r="EL30" s="1388"/>
      <c r="EM30" s="1388" t="str">
        <f>IF(PT_!AH30&gt;0,+PT_!AH30,"")</f>
        <v/>
      </c>
      <c r="EN30" s="1390" t="str">
        <f>IF(PT_!AZ30="","",+PT_!AZ30)</f>
        <v>Clear</v>
      </c>
      <c r="EO30" s="1391" t="s">
        <v>332</v>
      </c>
      <c r="EP30" s="632" t="s">
        <v>332</v>
      </c>
      <c r="EQ30" s="691">
        <f>CLA_!BG30</f>
        <v>0.06</v>
      </c>
      <c r="ER30" s="687">
        <f>CLA_!BH30</f>
        <v>0.08</v>
      </c>
      <c r="ES30" s="678">
        <f>CLA_!BI30</f>
        <v>22.9</v>
      </c>
      <c r="ET30" s="678">
        <f>CLA_!BJ30</f>
        <v>38</v>
      </c>
      <c r="EU30" s="687" t="str">
        <f>CLA_!BK30</f>
        <v/>
      </c>
      <c r="EV30" s="687" t="str">
        <f>CLA_!BL30</f>
        <v/>
      </c>
      <c r="EW30" s="677" t="str">
        <f>CLA_!BM30</f>
        <v/>
      </c>
      <c r="EX30" s="691">
        <f>CLA_!BN30</f>
        <v>0.02</v>
      </c>
      <c r="EY30" s="687">
        <f>CLA_!BO30</f>
        <v>0.08</v>
      </c>
      <c r="EZ30" s="678">
        <f>CLA_!BP30</f>
        <v>24.3</v>
      </c>
      <c r="FA30" s="678">
        <f>CLA_!BQ30</f>
        <v>38.700000000000003</v>
      </c>
      <c r="FB30" s="687" t="str">
        <f>CLA_!BR30</f>
        <v/>
      </c>
      <c r="FC30" s="687" t="str">
        <f>CLA_!BS30</f>
        <v/>
      </c>
      <c r="FD30" s="677" t="str">
        <f>CLA_!BT30</f>
        <v/>
      </c>
      <c r="FE30" s="691">
        <f>IF(ISNUMBER(EQ30+EX30),+EQ30*DF_!$EA28+EX30*DF_!$EB28,"")</f>
        <v>4.5999999999999999E-2</v>
      </c>
      <c r="FF30" s="687">
        <f>IF(ISNUMBER(+ER30+EY30),+ER30*DF_!$EA28+EY30*DF_!$EB28,"")</f>
        <v>0.08</v>
      </c>
      <c r="FG30" s="678">
        <f>IF(ISNUMBER(ES30)+ISNUMBER(EZ30)&gt;0,IF(ISNUMBER(ES30),ES30,$ET$42)*DF_!$EA28+IF(ISNUMBER(EZ30),EZ30,$FA$42)*DF_!$EB28,"")</f>
        <v>23.39</v>
      </c>
      <c r="FH30" s="678">
        <f>IF(ISNUMBER(ET30)+ISNUMBER(FA30)&gt;0,IF(ISNUMBER(ET30),ET30,$ET$42)*DF_!$EA28+IF(ISNUMBER(FA30),FA30,$FA$42)*DF_!$EB28,"")</f>
        <v>38.244999999999997</v>
      </c>
      <c r="FI30" s="687" t="str">
        <f>IF(EU30="","",+EU30*DF_!$EA28+FB30*DF_!$EB28)</f>
        <v/>
      </c>
      <c r="FJ30" s="687" t="str">
        <f>IF(EV30="","",+EV30*DF_!$EA28+FC30*DF_!$EB28)</f>
        <v/>
      </c>
      <c r="FK30" s="677" t="str">
        <f>IF(EW30="","",+EW30*DF_!$EA28+FD30*DF_!$EB28)</f>
        <v/>
      </c>
      <c r="FL30" s="691" t="str">
        <f>CLA_!BU30</f>
        <v/>
      </c>
      <c r="FM30" s="687" t="str">
        <f>CLA_!BV30</f>
        <v/>
      </c>
      <c r="FN30" s="678" t="str">
        <f>CLA_!BW30</f>
        <v/>
      </c>
      <c r="FO30" s="678" t="str">
        <f>CLA_!BX30</f>
        <v/>
      </c>
      <c r="FP30" s="687" t="str">
        <f>CLA_!BY30</f>
        <v/>
      </c>
      <c r="FQ30" s="687" t="str">
        <f>CLA_!BZ30</f>
        <v/>
      </c>
      <c r="FR30" s="1377" t="str">
        <f>CLA_!CA30</f>
        <v/>
      </c>
      <c r="FS30" s="1392">
        <f>CLA_!CB30</f>
        <v>0.68</v>
      </c>
      <c r="FT30" s="1385">
        <f>CLA_!CC30</f>
        <v>3.48</v>
      </c>
      <c r="FU30" s="1378">
        <f>CLA_!CD30</f>
        <v>14.5</v>
      </c>
      <c r="FV30" s="1378">
        <f>CLA_!CE30</f>
        <v>17.3</v>
      </c>
      <c r="FW30" s="1385" t="str">
        <f>CLA_!CF30</f>
        <v/>
      </c>
      <c r="FX30" s="1385" t="str">
        <f>CLA_!CG30</f>
        <v/>
      </c>
      <c r="FY30" s="1377" t="str">
        <f>CLA_!CH30</f>
        <v/>
      </c>
      <c r="FZ30" s="632" t="s">
        <v>332</v>
      </c>
      <c r="GA30" s="632" t="s">
        <v>332</v>
      </c>
      <c r="GB30" s="1969" t="str">
        <f>IF(CLA_!CY30="","",+CLA_!CY30)</f>
        <v/>
      </c>
      <c r="GC30" s="1377" t="str">
        <f>IF(CLA_!CZ30="","",+CLA_!CZ30)</f>
        <v/>
      </c>
      <c r="GD30" s="1377" t="str">
        <f>IF(CLA_!DA30="","",+CLA_!DA30)</f>
        <v/>
      </c>
      <c r="GE30" s="1378" t="str">
        <f>IF(CLA_!DB30="","",+CLA_!DB30)</f>
        <v/>
      </c>
      <c r="GF30" s="1377" t="str">
        <f>IF(CLA_!DO30="","",+CLA_!DO30)</f>
        <v/>
      </c>
      <c r="GG30" s="1378" t="str">
        <f>IF(CLA_!DP30="","",+CLA_!DP30)</f>
        <v/>
      </c>
      <c r="GH30" s="1377" t="str">
        <f>IF(CLA_!DQ30="","",+CLA_!DQ30)</f>
        <v/>
      </c>
      <c r="GI30" s="1377" t="str">
        <f>IF(CLA_!DR30="","",+CLA_!DR30)</f>
        <v/>
      </c>
      <c r="GJ30" s="2032"/>
      <c r="GK30" s="2028" t="str">
        <f>IF(CLA_!CQ30="","",+CLA_!CQ30)</f>
        <v/>
      </c>
      <c r="GL30" s="2027"/>
      <c r="GM30" s="2029" t="str">
        <f>IF(CLA_!CR30="","",+CLA_!CR30)</f>
        <v/>
      </c>
      <c r="GN30" s="2027" t="str">
        <f>IF(CLA_!CZ30="","",+CLA_!CZ30)</f>
        <v/>
      </c>
      <c r="GO30" s="2029" t="str">
        <f>IF(CLA_!CS30="","",+CLA_!CS30)</f>
        <v/>
      </c>
      <c r="GP30" s="2027" t="str">
        <f>IF(CLA_!DA30="","",+CLA_!DA30)</f>
        <v/>
      </c>
      <c r="GQ30" s="2028" t="str">
        <f>IF(CLA_!CT30="","",+CLA_!CT30)</f>
        <v/>
      </c>
      <c r="GR30" s="2067" t="str">
        <f>IF(CLA_!CY30="","",+CLA_!CY30)</f>
        <v/>
      </c>
      <c r="GS30" s="2027" t="str">
        <f>IF(CLA_!CV30="","",+CLA_!CV30)</f>
        <v/>
      </c>
      <c r="GT30" s="2027" t="str">
        <f>IF(CLA_!DO30="","",+CLA_!DO30)</f>
        <v/>
      </c>
      <c r="GU30" s="2033" t="str">
        <f>IF(CLA_!CU30="","",+CLA_!CU30)</f>
        <v/>
      </c>
      <c r="GV30" s="1963" t="str">
        <f>CLA_!DF30</f>
        <v/>
      </c>
      <c r="GW30" s="1377" t="str">
        <f>CLA_!DG30</f>
        <v/>
      </c>
      <c r="GX30" s="1377" t="str">
        <f>CLA_!DH30</f>
        <v/>
      </c>
      <c r="GY30" s="1378" t="str">
        <f>CLA_!DC30</f>
        <v/>
      </c>
      <c r="GZ30" s="717" t="s">
        <v>332</v>
      </c>
      <c r="HA30" s="635"/>
      <c r="HB30" s="717" t="s">
        <v>332</v>
      </c>
      <c r="HC30" s="685">
        <f>IF(PT_!BC30="","",+PT_!BC30)</f>
        <v>14</v>
      </c>
      <c r="HD30" s="1377">
        <f>IF(PT_!BD30="","",+PT_!BD30)</f>
        <v>6</v>
      </c>
      <c r="HE30" s="1377">
        <f>IF(PT_!BE30="","",+PT_!BE30)</f>
        <v>3</v>
      </c>
      <c r="HF30" s="1377">
        <f>IF(PT_!BF30="","",+PT_!BF30)</f>
        <v>3</v>
      </c>
      <c r="HG30" s="1377">
        <f>IF(PT_!BG30="","",+PT_!BG30)</f>
        <v>4</v>
      </c>
      <c r="HH30" s="1377">
        <f>IF(PT_!BH30="","",+PT_!BH30)</f>
        <v>1</v>
      </c>
      <c r="HI30" s="1377">
        <f>IF(PT_!BI30="","",+PT_!BI30)</f>
        <v>1</v>
      </c>
      <c r="HJ30" s="677">
        <f>IF(PT_!BJ30="","",+PT_!BJ30)</f>
        <v>4</v>
      </c>
      <c r="HK30" s="1377">
        <f>IF(PT_!BK30="","",+PT_!BK30)</f>
        <v>2</v>
      </c>
      <c r="HL30" s="635"/>
      <c r="HM30" s="1782">
        <f t="shared" si="29"/>
        <v>-383</v>
      </c>
      <c r="HN30" s="1788">
        <f t="shared" si="30"/>
        <v>42</v>
      </c>
      <c r="HO30" s="719">
        <f t="shared" si="31"/>
        <v>-403</v>
      </c>
      <c r="HP30" s="578"/>
      <c r="HQ30" s="582"/>
      <c r="HR30" s="582"/>
      <c r="HS30" s="582"/>
      <c r="HT30" s="582"/>
      <c r="HU30" s="763"/>
      <c r="HV30" s="2442"/>
      <c r="HW30" s="582"/>
      <c r="HX30" s="582"/>
      <c r="HY30" s="582"/>
      <c r="HZ30" s="582"/>
      <c r="IA30" s="582"/>
      <c r="IB30" s="582"/>
      <c r="IC30" s="582"/>
      <c r="ID30" s="582"/>
      <c r="IE30" s="582"/>
      <c r="IF30" s="582"/>
      <c r="IG30" s="582"/>
      <c r="IH30" s="582"/>
      <c r="II30" s="582"/>
      <c r="IJ30" s="582"/>
      <c r="IK30" s="582"/>
      <c r="IL30" s="582"/>
      <c r="IM30" s="582"/>
      <c r="IN30" s="582"/>
      <c r="IO30" s="582"/>
      <c r="IP30" s="582"/>
      <c r="IQ30" s="582"/>
      <c r="IR30" s="582"/>
      <c r="IS30" s="582"/>
      <c r="IT30" s="582"/>
    </row>
    <row r="31" spans="1:255" ht="17.100000000000001" customHeight="1">
      <c r="A31" s="579"/>
      <c r="B31" s="648" t="s">
        <v>333</v>
      </c>
      <c r="C31" s="674">
        <f>+CLA_!D31</f>
        <v>156</v>
      </c>
      <c r="D31" s="675" t="str">
        <f>+CLA_!E31</f>
        <v/>
      </c>
      <c r="E31" s="676">
        <f>+CLA_!F31</f>
        <v>160</v>
      </c>
      <c r="F31" s="675" t="str">
        <f>+CLA_!G31</f>
        <v/>
      </c>
      <c r="G31" s="676">
        <f>IF(C31="","",ROUND((IF(ISNUMBER(C31),C31,+$C$42)*DF_!$DY29+IF(ISNUMBER(E31),E31,$E$42)*DF_!$DZ29)/(DF_!$DY29+DF_!$DZ29),0))</f>
        <v>157</v>
      </c>
      <c r="H31" s="675" t="str">
        <f>IF(D31="","",ROUND((IF(+D31=0,+$D$42,+D31)*DF_!$DY29+IF(ISNUMBER(F31),F31,$F$42)*DF_!$DZ29)/(DF_!$DY29+DF_!$DZ29),1))</f>
        <v/>
      </c>
      <c r="I31" s="676">
        <f>+CLA_!H31</f>
        <v>52</v>
      </c>
      <c r="J31" s="676">
        <f>+CLA_!I31</f>
        <v>88</v>
      </c>
      <c r="K31" s="676">
        <f>+CLA_!J31</f>
        <v>10</v>
      </c>
      <c r="L31" s="676">
        <f>+CLA_!K31</f>
        <v>272</v>
      </c>
      <c r="M31" s="677">
        <f>IF(SUM(CLA_!L31:N31)=0,"",ROUND(AVERAGE(CLA_!L31:N31),-2))</f>
        <v>2300</v>
      </c>
      <c r="N31" s="677">
        <f>IF(SUM(CLA_!O31:P31)=0,"",ROUND(AVERAGE(CLA_!O31:P31),-2))</f>
        <v>4200</v>
      </c>
      <c r="O31" s="677">
        <f>IF(SUM(CLA_!Q31:S31)=0,"",ROUND(AVERAGE(CLA_!Q31:S31),-2))</f>
        <v>2600</v>
      </c>
      <c r="P31" s="677">
        <f>IF(SUM(CLA_!T31:U31)=0,"",ROUND(AVERAGE(CLA_!T31:U31),-2))</f>
        <v>5100</v>
      </c>
      <c r="Q31" s="677">
        <f>+CLA_!V31</f>
        <v>3040</v>
      </c>
      <c r="R31" s="678" t="str">
        <f>+CLA_!W31</f>
        <v/>
      </c>
      <c r="S31" s="677">
        <f>+CLA_!X31</f>
        <v>8400</v>
      </c>
      <c r="T31" s="678" t="str">
        <f>+CLA_!Y31</f>
        <v/>
      </c>
      <c r="U31" s="675">
        <f>IF(M31="","",+M31/(PT_!Y31*10))</f>
        <v>1.7692307692307692</v>
      </c>
      <c r="V31" s="675">
        <f>IF(N31="","",+N31/(PT_!Z31*10))</f>
        <v>0.91304347826086951</v>
      </c>
      <c r="W31" s="675"/>
      <c r="X31" s="675"/>
      <c r="Y31" s="648" t="s">
        <v>333</v>
      </c>
      <c r="Z31" s="648" t="s">
        <v>333</v>
      </c>
      <c r="AA31" s="674">
        <f>IF(CLA_!Z31="","",+CLA_!Z31)</f>
        <v>158</v>
      </c>
      <c r="AB31" s="676">
        <f>IF(CLA_!AA31="","",+CLA_!AA31)</f>
        <v>165</v>
      </c>
      <c r="AC31" s="676">
        <f>IF(AA31="","",ROUND((IF(ISNUMBER(AA31),AA31,$AA$42)*DF_!$DY29+IF(ISNUMBER(AB31),AB31,$AB$42)*DF_!$DZ29)/(DF_!$DY29+DF_!$DZ29),0))</f>
        <v>160</v>
      </c>
      <c r="AD31" s="676">
        <f>IF(CLA_!AB31="","",+CLA_!AB31)</f>
        <v>90</v>
      </c>
      <c r="AE31" s="676">
        <f>IF(CLA_!AC31="","",+CLA_!AC31)</f>
        <v>114</v>
      </c>
      <c r="AF31" s="676">
        <f>IF(CLA_!AD31="","",+CLA_!AD31)</f>
        <v>5</v>
      </c>
      <c r="AG31" s="676">
        <f>IF(CLA_!AE31="","",+CLA_!AE31)</f>
        <v>1850</v>
      </c>
      <c r="AH31" s="675">
        <f>IF(CLA_!AF31="","",+CLA_!AF31)</f>
        <v>2.95</v>
      </c>
      <c r="AI31" s="675">
        <f>IF(CLA_!AG31="","",+CLA_!AG31)</f>
        <v>85.1</v>
      </c>
      <c r="AJ31" s="675">
        <f>IF(CLA_!AH31="","",+CLA_!AH31)</f>
        <v>1.59</v>
      </c>
      <c r="AK31" s="675">
        <f>IF(CLA_!AI31="","",+CLA_!AI31)</f>
        <v>72.5</v>
      </c>
      <c r="AL31" s="2192">
        <f t="shared" si="20"/>
        <v>0.54</v>
      </c>
      <c r="AM31" s="675"/>
      <c r="AN31" s="676">
        <f>PT_!Y31</f>
        <v>130</v>
      </c>
      <c r="AO31" s="676">
        <f>PT_!Z31</f>
        <v>460</v>
      </c>
      <c r="AP31" s="682">
        <f t="shared" si="32"/>
        <v>0.13278388278388278</v>
      </c>
      <c r="AQ31" s="682">
        <f t="shared" si="21"/>
        <v>8.5745409274821049E-2</v>
      </c>
      <c r="AR31" s="675">
        <f ca="1">IF(DMREZ!D31&gt;TODAY()-2,"",((IF(ISNUMBER(O31),O31,$O$42)*2.52*HD31)/((CF31*IF(ISNUMBER(K31),K31,$K$42)*(+HD31/(HD31+HE31)))+($HQ$14*IF(ISNUMBER(AT_!Q31),AT_!Q31,AT_!$Q$42)))))</f>
        <v>6.5972969107818731</v>
      </c>
      <c r="AS31" s="675">
        <f ca="1">IF(DMREZ!D31&gt;TODAY()-2,"",((IF(ISNUMBER(P31),P31,$P$42)*2.52*HE31)/((CF31*IF(ISNUMBER(K31),K31,$K$42)*(HE31/(HD31+HE31))+((PT_!BN31+2.5/3.5*PT_!BP31)*IF(ISNUMBER(AT_!S31),AT_!S31,AT_!$S$42))))))</f>
        <v>2.394868922485978</v>
      </c>
      <c r="AT31" s="648" t="s">
        <v>333</v>
      </c>
      <c r="AU31" s="648" t="s">
        <v>333</v>
      </c>
      <c r="AV31" s="679">
        <f>IF(CLA_!AP31="","",+CLA_!AP31)</f>
        <v>160</v>
      </c>
      <c r="AW31" s="680" t="str">
        <f>IF(CLA_!AQ31="","",+CLA_!AQ31)</f>
        <v/>
      </c>
      <c r="AX31" s="680">
        <f>IF(CLA_!AR31="","",+CLA_!AR31)</f>
        <v>130</v>
      </c>
      <c r="AY31" s="680">
        <f>IF(CLA_!AS31="","",+CLA_!AS31)</f>
        <v>150</v>
      </c>
      <c r="AZ31" s="680">
        <f>IF(CLA_!AT31="","",+CLA_!AT31)</f>
        <v>200</v>
      </c>
      <c r="BA31" s="680">
        <f>IF(CLA_!AU31="","",+CLA_!AU31)</f>
        <v>2900</v>
      </c>
      <c r="BB31" s="680" t="str">
        <f>IF(CLA_!AV31="","",+CLA_!AV31)</f>
        <v/>
      </c>
      <c r="BC31" s="680">
        <f>IF(CLA_!AW31="","",+CLA_!AW31)</f>
        <v>3000</v>
      </c>
      <c r="BD31" s="680">
        <f>IF(CLA_!AX31="","",+CLA_!AX31)</f>
        <v>3100</v>
      </c>
      <c r="BE31" s="680">
        <f>IF(CLA_!AY31="","",+CLA_!AY31)</f>
        <v>2800</v>
      </c>
      <c r="BF31" s="675">
        <f>IF(CLA_!AZ31="","",+CLA_!AZ31)</f>
        <v>7.2</v>
      </c>
      <c r="BG31" s="675" t="str">
        <f>IF(CLA_!BA31="","",+CLA_!BA31)</f>
        <v/>
      </c>
      <c r="BH31" s="675">
        <f>IF(CLA_!BB31="","",+CLA_!BB31)</f>
        <v>7.1</v>
      </c>
      <c r="BI31" s="675">
        <f>IF(CLA_!BC31="","",+CLA_!BC31)</f>
        <v>7.1</v>
      </c>
      <c r="BJ31" s="675">
        <f>IF(CLA_!BD31="","",+CLA_!BD31)</f>
        <v>7.1</v>
      </c>
      <c r="BK31" s="681">
        <f>IF(PT_!U31="","",+PT_!U31)</f>
        <v>4.26</v>
      </c>
      <c r="BL31" s="675">
        <f>IF(PT_!V31="","",+PT_!V31)</f>
        <v>4.33</v>
      </c>
      <c r="BM31" s="675">
        <f>IF(PT_!W31="","",+PT_!W31)</f>
        <v>4.3600000000000003</v>
      </c>
      <c r="BN31" s="675">
        <f>IF(PT_!X31="","",+PT_!X31)</f>
        <v>4.47</v>
      </c>
      <c r="BO31" s="675">
        <f>IF(PT_!T31="","",+PT_!T31)</f>
        <v>4.6399999999999997</v>
      </c>
      <c r="BP31" s="676" t="str">
        <f>IF(CLA_!BE31="","",+CLA_!BE31)</f>
        <v/>
      </c>
      <c r="BQ31" s="676" t="str">
        <f>IF(CLA_!BF31="","",+CLA_!BF31)</f>
        <v/>
      </c>
      <c r="BR31" s="676" t="str">
        <f>IF(ISNUMBER(BQ31+BP31),+ROUND((BP31*DF_!DY29+BQ31*DF_!DZ29)/(DF_!DY29+DF_!DZ29),-1),"")</f>
        <v/>
      </c>
      <c r="BS31" s="676">
        <f>IF(PT_!C31="","",ROUND(+PT_!C31,0))</f>
        <v>17</v>
      </c>
      <c r="BT31" s="675">
        <f>IF(PT_!H31="","",ROUND(MAX(PT_!H31,PT_!K31),1))</f>
        <v>7.1</v>
      </c>
      <c r="BU31" s="675">
        <f>IF(PT_!I31="","",ROUND(MIN(PT_!I31,PT_!L31),1))</f>
        <v>6.6</v>
      </c>
      <c r="BV31" s="675">
        <f>IF(PT_!G31="","",ROUND((PT_!G31*DF_!DZ29+DF_!DY29*PT_!J31)/DF_!DS29,1))</f>
        <v>6.7</v>
      </c>
      <c r="BW31" s="675">
        <f>IF(PT_!N31="","",+PT_!N31)</f>
        <v>7.1</v>
      </c>
      <c r="BX31" s="675">
        <f>IF(PT_!O31="","",+PT_!O31)</f>
        <v>6.3</v>
      </c>
      <c r="BY31" s="675">
        <f>IF(PT_!M31="","",+PT_!M31)</f>
        <v>6.5</v>
      </c>
      <c r="BZ31" s="682">
        <f>IF(PT_!R31="","",+PT_!R31)</f>
        <v>0.41</v>
      </c>
      <c r="CA31" s="1644" t="str">
        <f>IF(PT_!P31="","",+PT_!P31)</f>
        <v/>
      </c>
      <c r="CB31" s="1645">
        <f>IF(PT_!Q31="","",+PT_!Q31)</f>
        <v>39</v>
      </c>
      <c r="CC31" s="648" t="s">
        <v>333</v>
      </c>
      <c r="CD31" s="635"/>
      <c r="CE31" s="648" t="s">
        <v>333</v>
      </c>
      <c r="CF31" s="685">
        <f>IF(DF_!AA29="","",+DF_!AA29)</f>
        <v>87</v>
      </c>
      <c r="CG31" s="677">
        <f ca="1">IF(+DMREZ!D31&lt;TODAY(),+DF_!AD29,"")</f>
        <v>87</v>
      </c>
      <c r="CH31" s="677">
        <f>IF(DF_!AB29="","",+DF_!AB29)</f>
        <v>113</v>
      </c>
      <c r="CI31" s="677">
        <f>IF(DF_!AC29="","",+DF_!AC29)</f>
        <v>36</v>
      </c>
      <c r="CJ31" s="677">
        <f>IF(DF_!AG29="","",+DF_!AG29)</f>
        <v>87</v>
      </c>
      <c r="CK31" s="677">
        <f>IF(PT_!BL31="","",ROUND(PT_!BL31,0))</f>
        <v>62</v>
      </c>
      <c r="CL31" s="686">
        <f t="shared" si="22"/>
        <v>0.71264367816091956</v>
      </c>
      <c r="CM31" s="675">
        <f>IF(PT_!AL31="","",+PT_!AL31)</f>
        <v>94.2</v>
      </c>
      <c r="CN31" s="687">
        <f t="shared" si="10"/>
        <v>1.0827586206896551</v>
      </c>
      <c r="CO31" s="678">
        <f t="shared" si="11"/>
        <v>2.1</v>
      </c>
      <c r="CP31" s="678">
        <f t="shared" si="23"/>
        <v>3.7</v>
      </c>
      <c r="CQ31" s="678">
        <f t="shared" si="12"/>
        <v>4.3</v>
      </c>
      <c r="CR31" s="677">
        <f t="shared" si="46"/>
        <v>480</v>
      </c>
      <c r="CS31" s="675">
        <f t="shared" si="24"/>
        <v>1.3</v>
      </c>
      <c r="CT31" s="643" t="s">
        <v>478</v>
      </c>
      <c r="CU31" s="678">
        <f t="shared" si="33"/>
        <v>57</v>
      </c>
      <c r="CV31" s="677">
        <f t="shared" si="48"/>
        <v>93.684210526315795</v>
      </c>
      <c r="CW31" s="678">
        <f t="shared" si="49"/>
        <v>53.4</v>
      </c>
      <c r="CX31" s="678">
        <f t="shared" si="34"/>
        <v>324.7</v>
      </c>
      <c r="CY31" s="678">
        <f t="shared" si="25"/>
        <v>24.1</v>
      </c>
      <c r="CZ31" s="678">
        <f t="shared" si="26"/>
        <v>13</v>
      </c>
      <c r="DA31" s="2025">
        <f t="shared" si="27"/>
        <v>15.1</v>
      </c>
      <c r="DB31" s="741">
        <f t="shared" si="47"/>
        <v>13.5</v>
      </c>
      <c r="DC31" s="648" t="s">
        <v>333</v>
      </c>
      <c r="DD31" s="648" t="s">
        <v>333</v>
      </c>
      <c r="DE31" s="688">
        <f>IF(Grit!AT28+Grit!AZ28=0,"",+Grit!AT28+Grit!AZ28*0.5)</f>
        <v>162</v>
      </c>
      <c r="DF31" s="689">
        <f>IF(Grit!AV28="0","",+Grit!AV28)</f>
        <v>162</v>
      </c>
      <c r="DG31" s="689">
        <f t="shared" si="16"/>
        <v>10400</v>
      </c>
      <c r="DH31" s="689" t="str">
        <f>IF(Grit!AX28+Grit!AY28=0,"",+Grit!AX28+Grit!AZ28*0.5)</f>
        <v/>
      </c>
      <c r="DI31" s="689" t="str">
        <f t="shared" si="17"/>
        <v/>
      </c>
      <c r="DJ31" s="675">
        <f ca="1">IF(+DMREZ!D31&lt;TODAY(),+PT_!AE31,"")</f>
        <v>90.4</v>
      </c>
      <c r="DK31" s="678">
        <f t="shared" ca="1" si="36"/>
        <v>168</v>
      </c>
      <c r="DL31" s="678">
        <f t="shared" ca="1" si="37"/>
        <v>143</v>
      </c>
      <c r="DM31" s="678">
        <f t="shared" ca="1" si="38"/>
        <v>90.4</v>
      </c>
      <c r="DN31" s="678">
        <f t="shared" ca="1" si="39"/>
        <v>90.6</v>
      </c>
      <c r="DO31" s="678">
        <f t="shared" ca="1" si="40"/>
        <v>65.7</v>
      </c>
      <c r="DP31" s="687" t="str">
        <f>IF(DW_!R31="","",+DW_!R31/1000)</f>
        <v/>
      </c>
      <c r="DQ31" s="678" t="str">
        <f>IF(DW_!S31="","",+DW_!S31*2)</f>
        <v/>
      </c>
      <c r="DR31" s="678" t="str">
        <f>+DW_!S31</f>
        <v/>
      </c>
      <c r="DS31" s="675"/>
      <c r="DT31" s="677">
        <f>IF(PT_!AC31="","",+PT_!AC31)</f>
        <v>102</v>
      </c>
      <c r="DU31" s="689">
        <f>IF(ISNUMBER(CHEM_!G30),+CHEM_!G30,"")</f>
        <v>880</v>
      </c>
      <c r="DV31" s="675">
        <f t="shared" si="18"/>
        <v>10.1</v>
      </c>
      <c r="DW31" s="687">
        <f>IF(PT_!S31="","",+PT_!S31)</f>
        <v>0.37</v>
      </c>
      <c r="DX31" s="648" t="s">
        <v>333</v>
      </c>
      <c r="DY31" s="648" t="s">
        <v>333</v>
      </c>
      <c r="DZ31" s="690" t="str">
        <f>PT_!AK31</f>
        <v/>
      </c>
      <c r="EA31" s="678">
        <f>IF(PT_!AJ31="","",+PT_!AJ31)</f>
        <v>128</v>
      </c>
      <c r="EB31" s="2086">
        <f t="shared" si="19"/>
        <v>128</v>
      </c>
      <c r="EC31" s="2094">
        <f>IF(PT_!BO31="","",+PT_!BO31)</f>
        <v>57.627839999999999</v>
      </c>
      <c r="ED31" s="1902" t="s">
        <v>717</v>
      </c>
      <c r="EE31" s="643"/>
      <c r="EF31" s="2083">
        <v>205.7</v>
      </c>
      <c r="EG31" s="2084">
        <v>617.1</v>
      </c>
      <c r="EH31" s="1890"/>
      <c r="EI31" s="689"/>
      <c r="EJ31" s="1891" t="str">
        <f>+PT_!AF31</f>
        <v/>
      </c>
      <c r="EK31" s="759" t="str">
        <f t="shared" si="28"/>
        <v/>
      </c>
      <c r="EL31" s="689"/>
      <c r="EM31" s="689" t="str">
        <f>IF(PT_!AH31&gt;0,+PT_!AH31,"")</f>
        <v/>
      </c>
      <c r="EN31" s="614" t="str">
        <f>IF(PT_!AZ31="","",+PT_!AZ31)</f>
        <v>Clear</v>
      </c>
      <c r="EO31" s="615" t="s">
        <v>333</v>
      </c>
      <c r="EP31" s="610" t="s">
        <v>333</v>
      </c>
      <c r="EQ31" s="691">
        <f>CLA_!BG31</f>
        <v>0.06</v>
      </c>
      <c r="ER31" s="687">
        <f>CLA_!BH31</f>
        <v>0.15</v>
      </c>
      <c r="ES31" s="678">
        <f>CLA_!BI31</f>
        <v>24.8</v>
      </c>
      <c r="ET31" s="678">
        <f>CLA_!BJ31</f>
        <v>42.8</v>
      </c>
      <c r="EU31" s="687" t="str">
        <f>CLA_!BK31</f>
        <v/>
      </c>
      <c r="EV31" s="687" t="str">
        <f>CLA_!BL31</f>
        <v/>
      </c>
      <c r="EW31" s="677" t="str">
        <f>CLA_!BM31</f>
        <v/>
      </c>
      <c r="EX31" s="691">
        <f>CLA_!BN31</f>
        <v>0.01</v>
      </c>
      <c r="EY31" s="687">
        <f>CLA_!BO31</f>
        <v>0.1</v>
      </c>
      <c r="EZ31" s="678">
        <f>CLA_!BP31</f>
        <v>25</v>
      </c>
      <c r="FA31" s="678">
        <f>CLA_!BQ31</f>
        <v>39.1</v>
      </c>
      <c r="FB31" s="687" t="str">
        <f>CLA_!BR31</f>
        <v/>
      </c>
      <c r="FC31" s="687" t="str">
        <f>CLA_!BS31</f>
        <v/>
      </c>
      <c r="FD31" s="677" t="str">
        <f>CLA_!BT31</f>
        <v/>
      </c>
      <c r="FE31" s="691">
        <f>IF(ISNUMBER(EQ31+EX31),+EQ31*DF_!$EA29+EX31*DF_!$EB29,"")</f>
        <v>4.2499999999999996E-2</v>
      </c>
      <c r="FF31" s="687">
        <f>IF(ISNUMBER(+ER31+EY31),+ER31*DF_!$EA29+EY31*DF_!$EB29,"")</f>
        <v>0.13250000000000001</v>
      </c>
      <c r="FG31" s="678">
        <f>IF(ISNUMBER(ES31)+ISNUMBER(EZ31)&gt;0,IF(ISNUMBER(ES31),ES31,$ET$42)*DF_!$EA29+IF(ISNUMBER(EZ31),EZ31,$FA$42)*DF_!$EB29,"")</f>
        <v>24.87</v>
      </c>
      <c r="FH31" s="678">
        <f>IF(ISNUMBER(ET31)+ISNUMBER(FA31)&gt;0,IF(ISNUMBER(ET31),ET31,$ET$42)*DF_!$EA29+IF(ISNUMBER(FA31),FA31,$FA$42)*DF_!$EB29,"")</f>
        <v>41.505000000000003</v>
      </c>
      <c r="FI31" s="687" t="str">
        <f>IF(EU31="","",+EU31*DF_!$EA29+FB31*DF_!$EB29)</f>
        <v/>
      </c>
      <c r="FJ31" s="687" t="str">
        <f>IF(EV31="","",+EV31*DF_!$EA29+FC31*DF_!$EB29)</f>
        <v/>
      </c>
      <c r="FK31" s="677" t="str">
        <f>IF(EW31="","",+EW31*DF_!$EA29+FD31*DF_!$EB29)</f>
        <v/>
      </c>
      <c r="FL31" s="691" t="str">
        <f>CLA_!BU31</f>
        <v/>
      </c>
      <c r="FM31" s="687" t="str">
        <f>CLA_!BV31</f>
        <v/>
      </c>
      <c r="FN31" s="678" t="str">
        <f>CLA_!BW31</f>
        <v/>
      </c>
      <c r="FO31" s="678" t="str">
        <f>CLA_!BX31</f>
        <v/>
      </c>
      <c r="FP31" s="687" t="str">
        <f>CLA_!BY31</f>
        <v/>
      </c>
      <c r="FQ31" s="687" t="str">
        <f>CLA_!BZ31</f>
        <v/>
      </c>
      <c r="FR31" s="677" t="str">
        <f>CLA_!CA31</f>
        <v/>
      </c>
      <c r="FS31" s="691">
        <f>CLA_!CB31</f>
        <v>0.68</v>
      </c>
      <c r="FT31" s="687">
        <f>CLA_!CC31</f>
        <v>3.73</v>
      </c>
      <c r="FU31" s="678">
        <f>CLA_!CD31</f>
        <v>14.1</v>
      </c>
      <c r="FV31" s="678">
        <f>CLA_!CE31</f>
        <v>16.5</v>
      </c>
      <c r="FW31" s="687" t="str">
        <f>CLA_!CF31</f>
        <v/>
      </c>
      <c r="FX31" s="687" t="str">
        <f>CLA_!CG31</f>
        <v/>
      </c>
      <c r="FY31" s="677" t="str">
        <f>CLA_!CH31</f>
        <v/>
      </c>
      <c r="FZ31" s="610" t="s">
        <v>333</v>
      </c>
      <c r="GA31" s="610" t="s">
        <v>333</v>
      </c>
      <c r="GB31" s="1968" t="str">
        <f>IF(CLA_!CY31="","",+CLA_!CY31)</f>
        <v/>
      </c>
      <c r="GC31" s="677" t="str">
        <f>IF(CLA_!CZ31="","",+CLA_!CZ31)</f>
        <v/>
      </c>
      <c r="GD31" s="677" t="str">
        <f>IF(CLA_!DA31="","",+CLA_!DA31)</f>
        <v/>
      </c>
      <c r="GE31" s="678" t="str">
        <f>IF(CLA_!DB31="","",+CLA_!DB31)</f>
        <v/>
      </c>
      <c r="GF31" s="677" t="str">
        <f>IF(CLA_!DO31="","",+CLA_!DO31)</f>
        <v/>
      </c>
      <c r="GG31" s="678" t="str">
        <f>IF(CLA_!DP31="","",+CLA_!DP31)</f>
        <v/>
      </c>
      <c r="GH31" s="677" t="str">
        <f>IF(CLA_!DQ31="","",+CLA_!DQ31)</f>
        <v/>
      </c>
      <c r="GI31" s="677" t="str">
        <f>IF(CLA_!DR31="","",+CLA_!DR31)</f>
        <v/>
      </c>
      <c r="GJ31" s="2030"/>
      <c r="GK31" s="2025">
        <f>IF(CLA_!CQ31="","",+CLA_!CQ31)</f>
        <v>3.17</v>
      </c>
      <c r="GL31" s="2024"/>
      <c r="GM31" s="2026">
        <f>IF(CLA_!CR31="","",+CLA_!CR31)</f>
        <v>26.5</v>
      </c>
      <c r="GN31" s="2024" t="str">
        <f>IF(CLA_!CZ31="","",+CLA_!CZ31)</f>
        <v/>
      </c>
      <c r="GO31" s="2026">
        <f>IF(CLA_!CS31="","",+CLA_!CS31)</f>
        <v>16</v>
      </c>
      <c r="GP31" s="2024" t="str">
        <f>IF(CLA_!DA31="","",+CLA_!DA31)</f>
        <v/>
      </c>
      <c r="GQ31" s="2025">
        <f>IF(CLA_!CT31="","",+CLA_!CT31)</f>
        <v>15</v>
      </c>
      <c r="GR31" s="2024" t="str">
        <f>IF(CLA_!CY31="","",+CLA_!CY31)</f>
        <v/>
      </c>
      <c r="GS31" s="2024">
        <f>IF(CLA_!CV31="","",+CLA_!CV31)</f>
        <v>5.3</v>
      </c>
      <c r="GT31" s="2024" t="str">
        <f>IF(CLA_!DO31="","",+CLA_!DO31)</f>
        <v/>
      </c>
      <c r="GU31" s="2031">
        <f>IF(CLA_!CU31="","",+CLA_!CU31)</f>
        <v>1180</v>
      </c>
      <c r="GV31" s="1913" t="str">
        <f>CLA_!DF31</f>
        <v/>
      </c>
      <c r="GW31" s="677" t="str">
        <f>CLA_!DG31</f>
        <v/>
      </c>
      <c r="GX31" s="677" t="str">
        <f>CLA_!DH31</f>
        <v/>
      </c>
      <c r="GY31" s="678" t="str">
        <f>CLA_!DC31</f>
        <v/>
      </c>
      <c r="GZ31" s="648" t="s">
        <v>333</v>
      </c>
      <c r="HA31" s="635"/>
      <c r="HB31" s="648" t="s">
        <v>333</v>
      </c>
      <c r="HC31" s="685">
        <f>IF(PT_!BC31="","",+PT_!BC31)</f>
        <v>14</v>
      </c>
      <c r="HD31" s="677">
        <f>IF(PT_!BD31="","",+PT_!BD31)</f>
        <v>6</v>
      </c>
      <c r="HE31" s="677">
        <f>IF(PT_!BE31="","",+PT_!BE31)</f>
        <v>3</v>
      </c>
      <c r="HF31" s="677">
        <f>IF(PT_!BF31="","",+PT_!BF31)</f>
        <v>3</v>
      </c>
      <c r="HG31" s="677">
        <f>IF(PT_!BG31="","",+PT_!BG31)</f>
        <v>4</v>
      </c>
      <c r="HH31" s="677">
        <f>IF(PT_!BH31="","",+PT_!BH31)</f>
        <v>1</v>
      </c>
      <c r="HI31" s="677">
        <f>IF(PT_!BI31="","",+PT_!BI31)</f>
        <v>1</v>
      </c>
      <c r="HJ31" s="677">
        <f>IF(PT_!BJ31="","",+PT_!BJ31)</f>
        <v>4</v>
      </c>
      <c r="HK31" s="677">
        <f>IF(PT_!BK31="","",+PT_!BK31)</f>
        <v>2</v>
      </c>
      <c r="HL31" s="653"/>
      <c r="HM31" s="1782">
        <f t="shared" si="29"/>
        <v>132</v>
      </c>
      <c r="HN31" s="1787">
        <f t="shared" si="30"/>
        <v>43</v>
      </c>
      <c r="HO31" s="719">
        <f t="shared" si="31"/>
        <v>113</v>
      </c>
      <c r="HU31" s="730"/>
      <c r="HV31" s="2442"/>
      <c r="IU31" s="27"/>
    </row>
    <row r="32" spans="1:255" ht="17.100000000000001" customHeight="1">
      <c r="A32" s="579"/>
      <c r="B32" s="648" t="s">
        <v>334</v>
      </c>
      <c r="C32" s="674">
        <f>+CLA_!D32</f>
        <v>126</v>
      </c>
      <c r="D32" s="675" t="str">
        <f>+CLA_!E32</f>
        <v/>
      </c>
      <c r="E32" s="676">
        <f>+CLA_!F32</f>
        <v>145</v>
      </c>
      <c r="F32" s="675" t="str">
        <f>+CLA_!G32</f>
        <v/>
      </c>
      <c r="G32" s="676">
        <f>IF(C32="","",ROUND((IF(ISNUMBER(C32),C32,+$C$42)*DF_!$DY30+IF(ISNUMBER(E32),E32,$E$42)*DF_!$DZ30)/(DF_!$DY30+DF_!$DZ30),0))</f>
        <v>133</v>
      </c>
      <c r="H32" s="675" t="str">
        <f>IF(D32="","",ROUND((IF(+D32=0,+$D$42,+D32)*DF_!$DY30+IF(ISNUMBER(F32),F32,$F$42)*DF_!$DZ30)/(DF_!$DY30+DF_!$DZ30),1))</f>
        <v/>
      </c>
      <c r="I32" s="676" t="str">
        <f>+CLA_!H32</f>
        <v/>
      </c>
      <c r="J32" s="676" t="str">
        <f>+CLA_!I32</f>
        <v/>
      </c>
      <c r="K32" s="676">
        <f>+CLA_!J32</f>
        <v>10</v>
      </c>
      <c r="L32" s="676" t="str">
        <f>+CLA_!K32</f>
        <v/>
      </c>
      <c r="M32" s="677" t="str">
        <f>IF(SUM(CLA_!L32:N32)=0,"",ROUND(AVERAGE(CLA_!L32:N32),-2))</f>
        <v/>
      </c>
      <c r="N32" s="677" t="str">
        <f>IF(SUM(CLA_!O32:P32)=0,"",ROUND(AVERAGE(CLA_!O32:P32),-2))</f>
        <v/>
      </c>
      <c r="O32" s="677" t="str">
        <f>IF(SUM(CLA_!Q32:S32)=0,"",ROUND(AVERAGE(CLA_!Q32:S32),-2))</f>
        <v/>
      </c>
      <c r="P32" s="677" t="str">
        <f>IF(SUM(CLA_!T32:U32)=0,"",ROUND(AVERAGE(CLA_!T32:U32),-2))</f>
        <v/>
      </c>
      <c r="Q32" s="677" t="str">
        <f>+CLA_!V32</f>
        <v/>
      </c>
      <c r="R32" s="678" t="str">
        <f>+CLA_!W32</f>
        <v/>
      </c>
      <c r="S32" s="677" t="str">
        <f>+CLA_!X32</f>
        <v/>
      </c>
      <c r="T32" s="678" t="str">
        <f>+CLA_!Y32</f>
        <v/>
      </c>
      <c r="U32" s="675" t="str">
        <f>IF(M32="","",+M32/(PT_!Y32*10))</f>
        <v/>
      </c>
      <c r="V32" s="675" t="str">
        <f>IF(N32="","",+N32/(PT_!Z32*10))</f>
        <v/>
      </c>
      <c r="W32" s="675"/>
      <c r="X32" s="675"/>
      <c r="Y32" s="648" t="s">
        <v>334</v>
      </c>
      <c r="Z32" s="648" t="s">
        <v>334</v>
      </c>
      <c r="AA32" s="674">
        <f>IF(CLA_!Z32="","",+CLA_!Z32)</f>
        <v>156</v>
      </c>
      <c r="AB32" s="676">
        <f>IF(CLA_!AA32="","",+CLA_!AA32)</f>
        <v>134</v>
      </c>
      <c r="AC32" s="676">
        <f>IF(AA32="","",ROUND((IF(ISNUMBER(AA32),AA32,$AA$42)*DF_!$DY30+IF(ISNUMBER(AB32),AB32,$AB$42)*DF_!$DZ30)/(DF_!$DY30+DF_!$DZ30),0))</f>
        <v>148</v>
      </c>
      <c r="AD32" s="676" t="str">
        <f>IF(CLA_!AB32="","",+CLA_!AB32)</f>
        <v/>
      </c>
      <c r="AE32" s="676" t="str">
        <f>IF(CLA_!AC32="","",+CLA_!AC32)</f>
        <v/>
      </c>
      <c r="AF32" s="676">
        <f>IF(CLA_!AD32="","",+CLA_!AD32)</f>
        <v>4</v>
      </c>
      <c r="AG32" s="676" t="str">
        <f>IF(CLA_!AE32="","",+CLA_!AE32)</f>
        <v/>
      </c>
      <c r="AH32" s="675" t="str">
        <f>IF(CLA_!AF32="","",+CLA_!AF32)</f>
        <v/>
      </c>
      <c r="AI32" s="675" t="str">
        <f>IF(CLA_!AG32="","",+CLA_!AG32)</f>
        <v/>
      </c>
      <c r="AJ32" s="675" t="str">
        <f>IF(CLA_!AH32="","",+CLA_!AH32)</f>
        <v/>
      </c>
      <c r="AK32" s="675" t="str">
        <f>IF(CLA_!AI32="","",+CLA_!AI32)</f>
        <v/>
      </c>
      <c r="AL32" s="2192" t="str">
        <f t="shared" si="20"/>
        <v/>
      </c>
      <c r="AM32" s="675"/>
      <c r="AN32" s="676">
        <f>PT_!Y32</f>
        <v>140</v>
      </c>
      <c r="AO32" s="676">
        <f>PT_!Z32</f>
        <v>350</v>
      </c>
      <c r="AP32" s="682">
        <f t="shared" si="32"/>
        <v>9.4939409455538498E-2</v>
      </c>
      <c r="AQ32" s="682">
        <f t="shared" si="21"/>
        <v>9.3797049081601927E-2</v>
      </c>
      <c r="AR32" s="675">
        <f ca="1">IF(DMREZ!D32&gt;TODAY()-2,"",((IF(ISNUMBER(O32),O32,$O$42)*2.52*HD32)/((CF32*IF(ISNUMBER(K32),K32,$K$42)*(+HD32/(HD32+HE32)))+($HQ$14*IF(ISNUMBER(AT_!Q32),AT_!Q32,AT_!$Q$42)))))</f>
        <v>5.8410563734928713</v>
      </c>
      <c r="AS32" s="675">
        <f ca="1">IF(DMREZ!D32&gt;TODAY()-2,"",((IF(ISNUMBER(P32),P32,$P$42)*2.52*HE32)/((CF32*IF(ISNUMBER(K32),K32,$K$42)*(HE32/(HD32+HE32))+((PT_!BN32+2.5/3.5*PT_!BP32)*IF(ISNUMBER(AT_!S32),AT_!S32,AT_!$S$42))))))</f>
        <v>3.5203796758625305</v>
      </c>
      <c r="AT32" s="648" t="s">
        <v>334</v>
      </c>
      <c r="AU32" s="648" t="s">
        <v>334</v>
      </c>
      <c r="AV32" s="679" t="str">
        <f>IF(CLA_!AP32="","",+CLA_!AP32)</f>
        <v/>
      </c>
      <c r="AW32" s="680" t="str">
        <f>IF(CLA_!AQ32="","",+CLA_!AQ32)</f>
        <v/>
      </c>
      <c r="AX32" s="680" t="str">
        <f>IF(CLA_!AR32="","",+CLA_!AR32)</f>
        <v/>
      </c>
      <c r="AY32" s="680" t="str">
        <f>IF(CLA_!AS32="","",+CLA_!AS32)</f>
        <v/>
      </c>
      <c r="AZ32" s="680" t="str">
        <f>IF(CLA_!AT32="","",+CLA_!AT32)</f>
        <v/>
      </c>
      <c r="BA32" s="680" t="str">
        <f>IF(CLA_!AU32="","",+CLA_!AU32)</f>
        <v/>
      </c>
      <c r="BB32" s="680" t="str">
        <f>IF(CLA_!AV32="","",+CLA_!AV32)</f>
        <v/>
      </c>
      <c r="BC32" s="680" t="str">
        <f>IF(CLA_!AW32="","",+CLA_!AW32)</f>
        <v/>
      </c>
      <c r="BD32" s="680" t="str">
        <f>IF(CLA_!AX32="","",+CLA_!AX32)</f>
        <v/>
      </c>
      <c r="BE32" s="680" t="str">
        <f>IF(CLA_!AY32="","",+CLA_!AY32)</f>
        <v/>
      </c>
      <c r="BF32" s="675" t="str">
        <f>IF(CLA_!AZ32="","",+CLA_!AZ32)</f>
        <v/>
      </c>
      <c r="BG32" s="675" t="str">
        <f>IF(CLA_!BA32="","",+CLA_!BA32)</f>
        <v/>
      </c>
      <c r="BH32" s="675" t="str">
        <f>IF(CLA_!BB32="","",+CLA_!BB32)</f>
        <v/>
      </c>
      <c r="BI32" s="675" t="str">
        <f>IF(CLA_!BC32="","",+CLA_!BC32)</f>
        <v/>
      </c>
      <c r="BJ32" s="675" t="str">
        <f>IF(CLA_!BD32="","",+CLA_!BD32)</f>
        <v/>
      </c>
      <c r="BK32" s="681">
        <f>IF(PT_!U32="","",+PT_!U32)</f>
        <v>5.63</v>
      </c>
      <c r="BL32" s="675">
        <f>IF(PT_!V32="","",+PT_!V32)</f>
        <v>4.53</v>
      </c>
      <c r="BM32" s="675">
        <f>IF(PT_!W32="","",+PT_!W32)</f>
        <v>4.5599999999999996</v>
      </c>
      <c r="BN32" s="675">
        <f>IF(PT_!X32="","",+PT_!X32)</f>
        <v>4.5599999999999996</v>
      </c>
      <c r="BO32" s="675">
        <f>IF(PT_!T32="","",+PT_!T32)</f>
        <v>4.71</v>
      </c>
      <c r="BP32" s="676" t="str">
        <f>IF(CLA_!BE32="","",+CLA_!BE32)</f>
        <v/>
      </c>
      <c r="BQ32" s="676" t="str">
        <f>IF(CLA_!BF32="","",+CLA_!BF32)</f>
        <v/>
      </c>
      <c r="BR32" s="676" t="str">
        <f>IF(ISNUMBER(BQ32+BP32),+ROUND((BP32*DF_!DY30+BQ32*DF_!DZ30)/(DF_!DY30+DF_!DZ30),-1),"")</f>
        <v/>
      </c>
      <c r="BS32" s="676">
        <f>IF(PT_!C32="","",ROUND(+PT_!C32,0))</f>
        <v>17</v>
      </c>
      <c r="BT32" s="675">
        <f>IF(PT_!H32="","",ROUND(MAX(PT_!H32,PT_!K32),1))</f>
        <v>7</v>
      </c>
      <c r="BU32" s="675">
        <f>IF(PT_!I32="","",ROUND(MIN(PT_!I32,PT_!L32),1))</f>
        <v>6.6</v>
      </c>
      <c r="BV32" s="675">
        <f>IF(PT_!G32="","",ROUND((PT_!G32*DF_!DZ30+DF_!DY30*PT_!J32)/DF_!DS30,1))</f>
        <v>6.8</v>
      </c>
      <c r="BW32" s="675">
        <f>IF(PT_!N32="","",+PT_!N32)</f>
        <v>6.7</v>
      </c>
      <c r="BX32" s="675">
        <f>IF(PT_!O32="","",+PT_!O32)</f>
        <v>6.3</v>
      </c>
      <c r="BY32" s="675">
        <f>IF(PT_!M32="","",+PT_!M32)</f>
        <v>6.5</v>
      </c>
      <c r="BZ32" s="682">
        <f>IF(PT_!R32="","",+PT_!R32)</f>
        <v>0.48</v>
      </c>
      <c r="CA32" s="1644" t="str">
        <f>IF(PT_!P32="","",+PT_!P32)</f>
        <v/>
      </c>
      <c r="CB32" s="1645">
        <f>IF(PT_!Q32="","",+PT_!Q32)</f>
        <v>40</v>
      </c>
      <c r="CC32" s="648" t="s">
        <v>334</v>
      </c>
      <c r="CD32" s="635"/>
      <c r="CE32" s="648" t="s">
        <v>334</v>
      </c>
      <c r="CF32" s="685">
        <f>IF(DF_!AA30="","",+DF_!AA30)</f>
        <v>89</v>
      </c>
      <c r="CG32" s="677">
        <f ca="1">IF(+DMREZ!D32&lt;TODAY(),+DF_!AD30,"")</f>
        <v>89</v>
      </c>
      <c r="CH32" s="677">
        <f>IF(DF_!AB30="","",+DF_!AB30)</f>
        <v>112</v>
      </c>
      <c r="CI32" s="677">
        <f>IF(DF_!AC30="","",+DF_!AC30)</f>
        <v>46</v>
      </c>
      <c r="CJ32" s="677">
        <f>IF(DF_!AG30="","",+DF_!AG30)</f>
        <v>89</v>
      </c>
      <c r="CK32" s="677">
        <f>IF(PT_!BL32="","",ROUND(PT_!BL32,0))</f>
        <v>62</v>
      </c>
      <c r="CL32" s="686">
        <f t="shared" si="22"/>
        <v>0.6966292134831461</v>
      </c>
      <c r="CM32" s="675">
        <f>IF(PT_!AL32="","",+PT_!AL32)</f>
        <v>100.3</v>
      </c>
      <c r="CN32" s="687">
        <f t="shared" si="10"/>
        <v>1.1269662921348313</v>
      </c>
      <c r="CO32" s="678">
        <f t="shared" si="11"/>
        <v>2</v>
      </c>
      <c r="CP32" s="678">
        <f t="shared" si="23"/>
        <v>3.6</v>
      </c>
      <c r="CQ32" s="678">
        <f t="shared" si="12"/>
        <v>4.2</v>
      </c>
      <c r="CR32" s="677">
        <f t="shared" si="46"/>
        <v>490</v>
      </c>
      <c r="CS32" s="675" t="str">
        <f t="shared" si="24"/>
        <v/>
      </c>
      <c r="CT32" s="643"/>
      <c r="CU32" s="678">
        <f t="shared" si="33"/>
        <v>49.4</v>
      </c>
      <c r="CV32" s="677">
        <f t="shared" si="48"/>
        <v>92.510121457489888</v>
      </c>
      <c r="CW32" s="678">
        <f t="shared" si="49"/>
        <v>45.7</v>
      </c>
      <c r="CX32" s="678">
        <f t="shared" si="34"/>
        <v>324.7</v>
      </c>
      <c r="CY32" s="678">
        <f t="shared" si="25"/>
        <v>28.1</v>
      </c>
      <c r="CZ32" s="678">
        <f t="shared" si="26"/>
        <v>11.6</v>
      </c>
      <c r="DA32" s="2025">
        <f t="shared" si="27"/>
        <v>12</v>
      </c>
      <c r="DB32" s="741">
        <f t="shared" si="35"/>
        <v>11.6</v>
      </c>
      <c r="DC32" s="648" t="s">
        <v>334</v>
      </c>
      <c r="DD32" s="648" t="s">
        <v>334</v>
      </c>
      <c r="DE32" s="688">
        <f>IF(Grit!AT29+Grit!AZ29=0,"",+Grit!AT29+Grit!AZ29*0.5)</f>
        <v>648</v>
      </c>
      <c r="DF32" s="689">
        <f>IF(Grit!AV29="0","",+Grit!AV29)</f>
        <v>324</v>
      </c>
      <c r="DG32" s="689">
        <f t="shared" si="16"/>
        <v>20700</v>
      </c>
      <c r="DH32" s="689" t="str">
        <f>IF(Grit!AX29+Grit!AY29=0,"",+Grit!AX29+Grit!AZ29*0.5)</f>
        <v/>
      </c>
      <c r="DI32" s="689" t="str">
        <f t="shared" si="17"/>
        <v/>
      </c>
      <c r="DJ32" s="675">
        <f ca="1">IF(+DMREZ!D32&lt;TODAY(),+PT_!AE32,"")</f>
        <v>57.4</v>
      </c>
      <c r="DK32" s="678">
        <f t="shared" ca="1" si="36"/>
        <v>119.3</v>
      </c>
      <c r="DL32" s="678">
        <f t="shared" ca="1" si="37"/>
        <v>99.1</v>
      </c>
      <c r="DM32" s="678">
        <f t="shared" ca="1" si="38"/>
        <v>57.4</v>
      </c>
      <c r="DN32" s="678">
        <f t="shared" ca="1" si="39"/>
        <v>61.5</v>
      </c>
      <c r="DO32" s="678">
        <f t="shared" ca="1" si="40"/>
        <v>43.9</v>
      </c>
      <c r="DP32" s="687" t="str">
        <f>IF(DW_!R32="","",+DW_!R32/1000)</f>
        <v/>
      </c>
      <c r="DQ32" s="678" t="str">
        <f>IF(DW_!S32="","",+DW_!S32*2)</f>
        <v/>
      </c>
      <c r="DR32" s="678" t="str">
        <f>+DW_!S32</f>
        <v/>
      </c>
      <c r="DS32" s="675"/>
      <c r="DT32" s="677">
        <f>IF(PT_!AC32="","",+PT_!AC32)</f>
        <v>100</v>
      </c>
      <c r="DU32" s="689">
        <f>IF(ISNUMBER(CHEM_!G31),+CHEM_!G31,"")</f>
        <v>1360</v>
      </c>
      <c r="DV32" s="675">
        <f t="shared" si="18"/>
        <v>15.3</v>
      </c>
      <c r="DW32" s="687">
        <f>IF(PT_!S32="","",+PT_!S32)</f>
        <v>0.42</v>
      </c>
      <c r="DX32" s="648" t="s">
        <v>334</v>
      </c>
      <c r="DY32" s="648" t="s">
        <v>334</v>
      </c>
      <c r="DZ32" s="690" t="str">
        <f>PT_!AK32</f>
        <v/>
      </c>
      <c r="EA32" s="678">
        <f>IF(PT_!AJ32="","",+PT_!AJ32)</f>
        <v>134.4</v>
      </c>
      <c r="EB32" s="2086">
        <f t="shared" si="19"/>
        <v>134.4</v>
      </c>
      <c r="EC32" s="2094">
        <f>IF(PT_!BO32="","",+PT_!BO32)</f>
        <v>58.388160000000006</v>
      </c>
      <c r="ED32" s="1902" t="s">
        <v>475</v>
      </c>
      <c r="EE32" s="643"/>
      <c r="EF32" s="2083">
        <v>205.7</v>
      </c>
      <c r="EG32" s="2084">
        <v>617.1</v>
      </c>
      <c r="EH32" s="1890"/>
      <c r="EI32" s="689"/>
      <c r="EJ32" s="1891" t="str">
        <f>+PT_!AF32</f>
        <v/>
      </c>
      <c r="EK32" s="759" t="str">
        <f t="shared" ref="EK32:EK38" si="50">+EM32</f>
        <v/>
      </c>
      <c r="EL32" s="689"/>
      <c r="EM32" s="689" t="str">
        <f>IF(PT_!AH32&gt;0,+PT_!AH32,"")</f>
        <v/>
      </c>
      <c r="EN32" s="614" t="str">
        <f>IF(PT_!AZ32="","",+PT_!AZ32)</f>
        <v>Clear</v>
      </c>
      <c r="EO32" s="615" t="s">
        <v>334</v>
      </c>
      <c r="EP32" s="610" t="s">
        <v>334</v>
      </c>
      <c r="EQ32" s="691">
        <f>CLA_!BG32</f>
        <v>7.0000000000000007E-2</v>
      </c>
      <c r="ER32" s="687">
        <f>CLA_!BH32</f>
        <v>0.11</v>
      </c>
      <c r="ES32" s="678">
        <f>CLA_!BI32</f>
        <v>23.6</v>
      </c>
      <c r="ET32" s="678">
        <f>CLA_!BJ32</f>
        <v>39.9</v>
      </c>
      <c r="EU32" s="687" t="str">
        <f>CLA_!BK32</f>
        <v/>
      </c>
      <c r="EV32" s="687" t="str">
        <f>CLA_!BL32</f>
        <v/>
      </c>
      <c r="EW32" s="677" t="str">
        <f>CLA_!BM32</f>
        <v/>
      </c>
      <c r="EX32" s="691">
        <f>CLA_!BN32</f>
        <v>0.03</v>
      </c>
      <c r="EY32" s="687">
        <f>CLA_!BO32</f>
        <v>0.08</v>
      </c>
      <c r="EZ32" s="678">
        <f>CLA_!BP32</f>
        <v>25.2</v>
      </c>
      <c r="FA32" s="678">
        <f>CLA_!BQ32</f>
        <v>39.700000000000003</v>
      </c>
      <c r="FB32" s="687" t="str">
        <f>CLA_!BR32</f>
        <v/>
      </c>
      <c r="FC32" s="687" t="str">
        <f>CLA_!BS32</f>
        <v/>
      </c>
      <c r="FD32" s="677" t="str">
        <f>CLA_!BT32</f>
        <v/>
      </c>
      <c r="FE32" s="691">
        <f>IF(ISNUMBER(EQ32+EX32),+EQ32*DF_!$EA30+EX32*DF_!$EB30,"")</f>
        <v>5.6000000000000008E-2</v>
      </c>
      <c r="FF32" s="687">
        <f>IF(ISNUMBER(+ER32+EY32),+ER32*DF_!$EA30+EY32*DF_!$EB30,"")</f>
        <v>9.9500000000000005E-2</v>
      </c>
      <c r="FG32" s="678">
        <f>IF(ISNUMBER(ES32)+ISNUMBER(EZ32)&gt;0,IF(ISNUMBER(ES32),ES32,$ET$42)*DF_!$EA30+IF(ISNUMBER(EZ32),EZ32,$FA$42)*DF_!$EB30,"")</f>
        <v>24.16</v>
      </c>
      <c r="FH32" s="678">
        <f>IF(ISNUMBER(ET32)+ISNUMBER(FA32)&gt;0,IF(ISNUMBER(ET32),ET32,$ET$42)*DF_!$EA30+IF(ISNUMBER(FA32),FA32,$FA$42)*DF_!$EB30,"")</f>
        <v>39.83</v>
      </c>
      <c r="FI32" s="687" t="str">
        <f>IF(EU32="","",+EU32*DF_!$EA30+FB32*DF_!$EB30)</f>
        <v/>
      </c>
      <c r="FJ32" s="687" t="str">
        <f>IF(EV32="","",+EV32*DF_!$EA30+FC32*DF_!$EB30)</f>
        <v/>
      </c>
      <c r="FK32" s="677" t="str">
        <f>IF(EW32="","",+EW32*DF_!$EA30+FD32*DF_!$EB30)</f>
        <v/>
      </c>
      <c r="FL32" s="691" t="str">
        <f>CLA_!BU32</f>
        <v/>
      </c>
      <c r="FM32" s="687" t="str">
        <f>CLA_!BV32</f>
        <v/>
      </c>
      <c r="FN32" s="678" t="str">
        <f>CLA_!BW32</f>
        <v/>
      </c>
      <c r="FO32" s="678" t="str">
        <f>CLA_!BX32</f>
        <v/>
      </c>
      <c r="FP32" s="687" t="str">
        <f>CLA_!BY32</f>
        <v/>
      </c>
      <c r="FQ32" s="687" t="str">
        <f>CLA_!BZ32</f>
        <v/>
      </c>
      <c r="FR32" s="677" t="str">
        <f>CLA_!CA32</f>
        <v/>
      </c>
      <c r="FS32" s="691">
        <f>CLA_!CB32</f>
        <v>0.71</v>
      </c>
      <c r="FT32" s="687">
        <f>CLA_!CC32</f>
        <v>3.9</v>
      </c>
      <c r="FU32" s="678">
        <f>CLA_!CD32</f>
        <v>13.6</v>
      </c>
      <c r="FV32" s="678">
        <f>CLA_!CE32</f>
        <v>16.3</v>
      </c>
      <c r="FW32" s="687" t="str">
        <f>CLA_!CF32</f>
        <v/>
      </c>
      <c r="FX32" s="687" t="str">
        <f>CLA_!CG32</f>
        <v/>
      </c>
      <c r="FY32" s="677" t="str">
        <f>CLA_!CH32</f>
        <v/>
      </c>
      <c r="FZ32" s="610" t="s">
        <v>334</v>
      </c>
      <c r="GA32" s="610" t="s">
        <v>334</v>
      </c>
      <c r="GB32" s="1968" t="str">
        <f>IF(CLA_!CY32="","",+CLA_!CY32)</f>
        <v/>
      </c>
      <c r="GC32" s="677" t="str">
        <f>IF(CLA_!CZ32="","",+CLA_!CZ32)</f>
        <v/>
      </c>
      <c r="GD32" s="677" t="str">
        <f>IF(CLA_!DA32="","",+CLA_!DA32)</f>
        <v/>
      </c>
      <c r="GE32" s="678" t="str">
        <f>IF(CLA_!DB32="","",+CLA_!DB32)</f>
        <v/>
      </c>
      <c r="GF32" s="677" t="str">
        <f>IF(CLA_!DO32="","",+CLA_!DO32)</f>
        <v/>
      </c>
      <c r="GG32" s="678" t="str">
        <f>IF(CLA_!DP32="","",+CLA_!DP32)</f>
        <v/>
      </c>
      <c r="GH32" s="677" t="str">
        <f>IF(CLA_!DQ32="","",+CLA_!DQ32)</f>
        <v/>
      </c>
      <c r="GI32" s="677" t="str">
        <f>IF(CLA_!DR32="","",+CLA_!DR32)</f>
        <v/>
      </c>
      <c r="GJ32" s="2030"/>
      <c r="GK32" s="2025" t="str">
        <f>IF(CLA_!CQ32="","",+CLA_!CQ32)</f>
        <v/>
      </c>
      <c r="GL32" s="2024"/>
      <c r="GM32" s="2026" t="str">
        <f>IF(CLA_!CR32="","",+CLA_!CR32)</f>
        <v/>
      </c>
      <c r="GN32" s="2024" t="str">
        <f>IF(CLA_!CZ32="","",+CLA_!CZ32)</f>
        <v/>
      </c>
      <c r="GO32" s="2026" t="str">
        <f>IF(CLA_!CS32="","",+CLA_!CS32)</f>
        <v/>
      </c>
      <c r="GP32" s="2024" t="str">
        <f>IF(CLA_!DA32="","",+CLA_!DA32)</f>
        <v/>
      </c>
      <c r="GQ32" s="2025" t="str">
        <f>IF(CLA_!CT32="","",+CLA_!CT32)</f>
        <v/>
      </c>
      <c r="GR32" s="2024" t="str">
        <f>IF(CLA_!CY32="","",+CLA_!CY32)</f>
        <v/>
      </c>
      <c r="GS32" s="2024" t="str">
        <f>IF(CLA_!CV32="","",+CLA_!CV32)</f>
        <v/>
      </c>
      <c r="GT32" s="2024" t="str">
        <f>IF(CLA_!DO32="","",+CLA_!DO32)</f>
        <v/>
      </c>
      <c r="GU32" s="2031" t="str">
        <f>IF(CLA_!CU32="","",+CLA_!CU32)</f>
        <v/>
      </c>
      <c r="GV32" s="1913" t="str">
        <f>CLA_!DF32</f>
        <v/>
      </c>
      <c r="GW32" s="677" t="str">
        <f>CLA_!DG32</f>
        <v/>
      </c>
      <c r="GX32" s="677" t="str">
        <f>CLA_!DH32</f>
        <v/>
      </c>
      <c r="GY32" s="678" t="str">
        <f>CLA_!DC32</f>
        <v/>
      </c>
      <c r="GZ32" s="648" t="s">
        <v>334</v>
      </c>
      <c r="HA32" s="635"/>
      <c r="HB32" s="648" t="s">
        <v>334</v>
      </c>
      <c r="HC32" s="685">
        <f>IF(PT_!BC32="","",+PT_!BC32)</f>
        <v>14</v>
      </c>
      <c r="HD32" s="677">
        <f>IF(PT_!BD32="","",+PT_!BD32)</f>
        <v>6</v>
      </c>
      <c r="HE32" s="677">
        <f>IF(PT_!BE32="","",+PT_!BE32)</f>
        <v>3</v>
      </c>
      <c r="HF32" s="677">
        <f>IF(PT_!BF32="","",+PT_!BF32)</f>
        <v>3</v>
      </c>
      <c r="HG32" s="677">
        <f>IF(PT_!BG32="","",+PT_!BG32)</f>
        <v>4</v>
      </c>
      <c r="HH32" s="677">
        <f>IF(PT_!BH32="","",+PT_!BH32)</f>
        <v>1</v>
      </c>
      <c r="HI32" s="677">
        <f>IF(PT_!BI32="","",+PT_!BI32)</f>
        <v>1</v>
      </c>
      <c r="HJ32" s="677">
        <f>IF(PT_!BJ32="","",+PT_!BJ32)</f>
        <v>4</v>
      </c>
      <c r="HK32" s="677">
        <f>IF(PT_!BK32="","",+PT_!BK32)</f>
        <v>2</v>
      </c>
      <c r="HL32" s="653"/>
      <c r="HM32" s="1782">
        <f t="shared" si="29"/>
        <v>64</v>
      </c>
      <c r="HN32" s="1787">
        <f t="shared" si="30"/>
        <v>31</v>
      </c>
      <c r="HO32" s="719">
        <f t="shared" si="31"/>
        <v>33</v>
      </c>
      <c r="HU32" s="730"/>
      <c r="HV32" s="2442"/>
      <c r="IU32" s="27"/>
    </row>
    <row r="33" spans="1:255" ht="17.100000000000001" customHeight="1">
      <c r="A33" s="579"/>
      <c r="B33" s="648" t="s">
        <v>335</v>
      </c>
      <c r="C33" s="674">
        <f>+CLA_!D33</f>
        <v>164</v>
      </c>
      <c r="D33" s="675" t="str">
        <f>+CLA_!E33</f>
        <v/>
      </c>
      <c r="E33" s="676">
        <f>+CLA_!F33</f>
        <v>132</v>
      </c>
      <c r="F33" s="675" t="str">
        <f>+CLA_!G33</f>
        <v/>
      </c>
      <c r="G33" s="676">
        <f>IF(C33="","",ROUND((IF(ISNUMBER(C33),C33,+$C$42)*DF_!$DY31+IF(ISNUMBER(E33),E33,$E$42)*DF_!$DZ31)/(DF_!$DY31+DF_!$DZ31),0))</f>
        <v>153</v>
      </c>
      <c r="H33" s="675" t="str">
        <f>IF(D33="","",ROUND((IF(+D33=0,+$D$42,+D33)*DF_!$DY31+IF(ISNUMBER(F33),F33,$F$42)*DF_!$DZ31)/(DF_!$DY31+DF_!$DZ31),1))</f>
        <v/>
      </c>
      <c r="I33" s="676" t="str">
        <f>+CLA_!H33</f>
        <v/>
      </c>
      <c r="J33" s="676" t="str">
        <f>+CLA_!I33</f>
        <v/>
      </c>
      <c r="K33" s="676">
        <f>+CLA_!J33</f>
        <v>90</v>
      </c>
      <c r="L33" s="676" t="str">
        <f>+CLA_!K33</f>
        <v/>
      </c>
      <c r="M33" s="677" t="str">
        <f>IF(SUM(CLA_!L33:N33)=0,"",ROUND(AVERAGE(CLA_!L33:N33),-2))</f>
        <v/>
      </c>
      <c r="N33" s="677" t="str">
        <f>IF(SUM(CLA_!O33:P33)=0,"",ROUND(AVERAGE(CLA_!O33:P33),-2))</f>
        <v/>
      </c>
      <c r="O33" s="677" t="str">
        <f>IF(SUM(CLA_!Q33:S33)=0,"",ROUND(AVERAGE(CLA_!Q33:S33),-2))</f>
        <v/>
      </c>
      <c r="P33" s="677" t="str">
        <f>IF(SUM(CLA_!T33:U33)=0,"",ROUND(AVERAGE(CLA_!T33:U33),-2))</f>
        <v/>
      </c>
      <c r="Q33" s="677" t="str">
        <f>+CLA_!V33</f>
        <v/>
      </c>
      <c r="R33" s="678" t="str">
        <f>+CLA_!W33</f>
        <v/>
      </c>
      <c r="S33" s="677" t="str">
        <f>+CLA_!X33</f>
        <v/>
      </c>
      <c r="T33" s="678" t="str">
        <f>+CLA_!Y33</f>
        <v/>
      </c>
      <c r="U33" s="675" t="str">
        <f>IF(M33="","",+M33/(PT_!Y33*10))</f>
        <v/>
      </c>
      <c r="V33" s="675" t="str">
        <f>IF(N33="","",+N33/(PT_!Z33*10))</f>
        <v/>
      </c>
      <c r="W33" s="675"/>
      <c r="X33" s="675"/>
      <c r="Y33" s="648" t="s">
        <v>335</v>
      </c>
      <c r="Z33" s="648" t="s">
        <v>335</v>
      </c>
      <c r="AA33" s="674">
        <f>IF(CLA_!Z33="","",+CLA_!Z33)</f>
        <v>116</v>
      </c>
      <c r="AB33" s="676">
        <f>IF(CLA_!AA33="","",+CLA_!AA33)</f>
        <v>115</v>
      </c>
      <c r="AC33" s="676">
        <f>IF(AA33="","",ROUND((IF(ISNUMBER(AA33),AA33,$AA$42)*DF_!$DY31+IF(ISNUMBER(AB33),AB33,$AB$42)*DF_!$DZ31)/(DF_!$DY31+DF_!$DZ31),0))</f>
        <v>116</v>
      </c>
      <c r="AD33" s="676" t="str">
        <f>IF(CLA_!AB33="","",+CLA_!AB33)</f>
        <v/>
      </c>
      <c r="AE33" s="676" t="str">
        <f>IF(CLA_!AC33="","",+CLA_!AC33)</f>
        <v/>
      </c>
      <c r="AF33" s="676">
        <f>IF(CLA_!AD33="","",+CLA_!AD33)</f>
        <v>33</v>
      </c>
      <c r="AG33" s="676" t="str">
        <f>IF(CLA_!AE33="","",+CLA_!AE33)</f>
        <v/>
      </c>
      <c r="AH33" s="675" t="str">
        <f>IF(CLA_!AF33="","",+CLA_!AF33)</f>
        <v/>
      </c>
      <c r="AI33" s="675" t="str">
        <f>IF(CLA_!AG33="","",+CLA_!AG33)</f>
        <v/>
      </c>
      <c r="AJ33" s="675" t="str">
        <f>IF(CLA_!AH33="","",+CLA_!AH33)</f>
        <v/>
      </c>
      <c r="AK33" s="675" t="str">
        <f>IF(CLA_!AI33="","",+CLA_!AI33)</f>
        <v/>
      </c>
      <c r="AL33" s="2192" t="str">
        <f t="shared" si="20"/>
        <v/>
      </c>
      <c r="AM33" s="675"/>
      <c r="AN33" s="676">
        <f>PT_!Y33</f>
        <v>140</v>
      </c>
      <c r="AO33" s="676">
        <f>PT_!Z33</f>
        <v>360</v>
      </c>
      <c r="AP33" s="682">
        <f t="shared" si="32"/>
        <v>0.13227513227513227</v>
      </c>
      <c r="AQ33" s="682">
        <f t="shared" si="21"/>
        <v>0.13068352905751279</v>
      </c>
      <c r="AR33" s="675">
        <f ca="1">IF(DMREZ!D33&gt;TODAY()-2,"",((IF(ISNUMBER(O33),O33,$O$42)*2.52*HD33)/((CF33*IF(ISNUMBER(K33),K33,$K$42)*(+HD33/(HD33+HE33)))+($HQ$14*IF(ISNUMBER(AT_!Q33),AT_!Q33,AT_!$Q$42)))))</f>
        <v>3.1518549913123937</v>
      </c>
      <c r="AS33" s="675">
        <f ca="1">IF(DMREZ!D33&gt;TODAY()-2,"",((IF(ISNUMBER(P33),P33,$P$42)*2.52*HE33)/((CF33*IF(ISNUMBER(K33),K33,$K$42)*(HE33/(HD33+HE33))+((PT_!BN33+2.5/3.5*PT_!BP33)*IF(ISNUMBER(AT_!S33),AT_!S33,AT_!$S$42))))))</f>
        <v>2.7169723218316739</v>
      </c>
      <c r="AT33" s="648" t="s">
        <v>335</v>
      </c>
      <c r="AU33" s="648" t="s">
        <v>335</v>
      </c>
      <c r="AV33" s="679" t="str">
        <f>IF(CLA_!AP33="","",+CLA_!AP33)</f>
        <v/>
      </c>
      <c r="AW33" s="680" t="str">
        <f>IF(CLA_!AQ33="","",+CLA_!AQ33)</f>
        <v/>
      </c>
      <c r="AX33" s="680" t="str">
        <f>IF(CLA_!AR33="","",+CLA_!AR33)</f>
        <v/>
      </c>
      <c r="AY33" s="680" t="str">
        <f>IF(CLA_!AS33="","",+CLA_!AS33)</f>
        <v/>
      </c>
      <c r="AZ33" s="680" t="str">
        <f>IF(CLA_!AT33="","",+CLA_!AT33)</f>
        <v/>
      </c>
      <c r="BA33" s="680" t="str">
        <f>IF(CLA_!AU33="","",+CLA_!AU33)</f>
        <v/>
      </c>
      <c r="BB33" s="680" t="str">
        <f>IF(CLA_!AV33="","",+CLA_!AV33)</f>
        <v/>
      </c>
      <c r="BC33" s="680" t="str">
        <f>IF(CLA_!AW33="","",+CLA_!AW33)</f>
        <v/>
      </c>
      <c r="BD33" s="680" t="str">
        <f>IF(CLA_!AX33="","",+CLA_!AX33)</f>
        <v/>
      </c>
      <c r="BE33" s="680" t="str">
        <f>IF(CLA_!AY33="","",+CLA_!AY33)</f>
        <v/>
      </c>
      <c r="BF33" s="675" t="str">
        <f>IF(CLA_!AZ33="","",+CLA_!AZ33)</f>
        <v/>
      </c>
      <c r="BG33" s="675" t="str">
        <f>IF(CLA_!BA33="","",+CLA_!BA33)</f>
        <v/>
      </c>
      <c r="BH33" s="675" t="str">
        <f>IF(CLA_!BB33="","",+CLA_!BB33)</f>
        <v/>
      </c>
      <c r="BI33" s="675" t="str">
        <f>IF(CLA_!BC33="","",+CLA_!BC33)</f>
        <v/>
      </c>
      <c r="BJ33" s="675" t="str">
        <f>IF(CLA_!BD33="","",+CLA_!BD33)</f>
        <v/>
      </c>
      <c r="BK33" s="681">
        <f>IF(PT_!U33="","",+PT_!U33)</f>
        <v>4.41</v>
      </c>
      <c r="BL33" s="675">
        <f>IF(PT_!V33="","",+PT_!V33)</f>
        <v>7.58</v>
      </c>
      <c r="BM33" s="675">
        <f>IF(PT_!W33="","",+PT_!W33)</f>
        <v>4.7300000000000004</v>
      </c>
      <c r="BN33" s="675">
        <f>IF(PT_!X33="","",+PT_!X33)</f>
        <v>4.3899999999999997</v>
      </c>
      <c r="BO33" s="675">
        <f>IF(PT_!T33="","",+PT_!T33)</f>
        <v>4.41</v>
      </c>
      <c r="BP33" s="676" t="str">
        <f>IF(CLA_!BE33="","",+CLA_!BE33)</f>
        <v/>
      </c>
      <c r="BQ33" s="676" t="str">
        <f>IF(CLA_!BF33="","",+CLA_!BF33)</f>
        <v/>
      </c>
      <c r="BR33" s="676" t="str">
        <f>IF(ISNUMBER(BQ33+BP33),+ROUND((BP33*DF_!DY31+BQ33*DF_!DZ31)/(DF_!DY31+DF_!DZ31),-1),"")</f>
        <v/>
      </c>
      <c r="BS33" s="676">
        <f>IF(PT_!C33="","",ROUND(+PT_!C33,0))</f>
        <v>12</v>
      </c>
      <c r="BT33" s="675">
        <f>IF(PT_!H33="","",ROUND(MAX(PT_!H33,PT_!K33),1))</f>
        <v>7</v>
      </c>
      <c r="BU33" s="675">
        <f>IF(PT_!I33="","",ROUND(MIN(PT_!I33,PT_!L33),1))</f>
        <v>6.7</v>
      </c>
      <c r="BV33" s="675">
        <f>IF(PT_!G33="","",ROUND((PT_!G33*DF_!DZ31+DF_!DY31*PT_!J33)/DF_!DS31,1))</f>
        <v>6.8</v>
      </c>
      <c r="BW33" s="675">
        <f>IF(PT_!N33="","",+PT_!N33)</f>
        <v>6.8</v>
      </c>
      <c r="BX33" s="675">
        <f>IF(PT_!O33="","",+PT_!O33)</f>
        <v>6.6</v>
      </c>
      <c r="BY33" s="675">
        <f>IF(PT_!M33="","",+PT_!M33)</f>
        <v>6.7</v>
      </c>
      <c r="BZ33" s="682" t="str">
        <f>IF(PT_!R33="","",+PT_!R33)</f>
        <v/>
      </c>
      <c r="CA33" s="1644" t="str">
        <f>IF(PT_!P33="","",+PT_!P33)</f>
        <v/>
      </c>
      <c r="CB33" s="1645" t="str">
        <f>IF(PT_!Q33="","",+PT_!Q33)</f>
        <v/>
      </c>
      <c r="CC33" s="648" t="s">
        <v>335</v>
      </c>
      <c r="CD33" s="635"/>
      <c r="CE33" s="648" t="s">
        <v>335</v>
      </c>
      <c r="CF33" s="685">
        <f>IF(DF_!AA31="","",+DF_!AA31)</f>
        <v>124</v>
      </c>
      <c r="CG33" s="677">
        <f ca="1">IF(+DMREZ!D33&lt;TODAY(),+DF_!AD31,"")</f>
        <v>97</v>
      </c>
      <c r="CH33" s="677">
        <f>IF(DF_!AB31="","",+DF_!AB31)</f>
        <v>220</v>
      </c>
      <c r="CI33" s="677">
        <f>IF(DF_!AC31="","",+DF_!AC31)</f>
        <v>53</v>
      </c>
      <c r="CJ33" s="677">
        <f>IF(DF_!AG31="","",+DF_!AG31)</f>
        <v>124</v>
      </c>
      <c r="CK33" s="677">
        <f>IF(PT_!BL33="","",ROUND(PT_!BL33,0))</f>
        <v>62</v>
      </c>
      <c r="CL33" s="686">
        <f t="shared" si="22"/>
        <v>0.5</v>
      </c>
      <c r="CM33" s="675">
        <f>IF(PT_!AL33="","",+PT_!AL33)</f>
        <v>98.4</v>
      </c>
      <c r="CN33" s="687">
        <f t="shared" si="10"/>
        <v>0.79354838709677422</v>
      </c>
      <c r="CO33" s="678">
        <f t="shared" si="11"/>
        <v>1.5</v>
      </c>
      <c r="CP33" s="678">
        <f t="shared" si="23"/>
        <v>2.9</v>
      </c>
      <c r="CQ33" s="678">
        <f t="shared" si="12"/>
        <v>3</v>
      </c>
      <c r="CR33" s="677">
        <f t="shared" si="13"/>
        <v>680</v>
      </c>
      <c r="CS33" s="675" t="str">
        <f t="shared" si="24"/>
        <v/>
      </c>
      <c r="CT33" s="643" t="s">
        <v>479</v>
      </c>
      <c r="CU33" s="678">
        <f t="shared" si="33"/>
        <v>79.099999999999994</v>
      </c>
      <c r="CV33" s="677">
        <f t="shared" si="48"/>
        <v>41.213653603034139</v>
      </c>
      <c r="CW33" s="678">
        <f t="shared" si="49"/>
        <v>32.6</v>
      </c>
      <c r="CX33" s="678">
        <f t="shared" si="34"/>
        <v>324.7</v>
      </c>
      <c r="CY33" s="678">
        <f t="shared" si="25"/>
        <v>39.1</v>
      </c>
      <c r="CZ33" s="678">
        <f t="shared" si="26"/>
        <v>8.3000000000000007</v>
      </c>
      <c r="DA33" s="2025">
        <f t="shared" si="27"/>
        <v>8.6</v>
      </c>
      <c r="DB33" s="741">
        <f t="shared" si="35"/>
        <v>8.3000000000000007</v>
      </c>
      <c r="DC33" s="648" t="s">
        <v>335</v>
      </c>
      <c r="DD33" s="648" t="s">
        <v>335</v>
      </c>
      <c r="DE33" s="688">
        <f>IF(Grit!AT30+Grit!AZ30=0,"",+Grit!AT30+Grit!AZ30*0.5)</f>
        <v>162</v>
      </c>
      <c r="DF33" s="689">
        <f>IF(Grit!AV30="0","",+Grit!AV30)</f>
        <v>162</v>
      </c>
      <c r="DG33" s="689">
        <f t="shared" si="16"/>
        <v>10400</v>
      </c>
      <c r="DH33" s="689" t="str">
        <f>IF(Grit!AX30+Grit!AY30=0,"",+Grit!AX30+Grit!AZ30*0.5)</f>
        <v/>
      </c>
      <c r="DI33" s="689" t="str">
        <f t="shared" si="17"/>
        <v/>
      </c>
      <c r="DJ33" s="675">
        <f ca="1">IF(+DMREZ!D33&lt;TODAY(),+PT_!AE33,"")</f>
        <v>37.799999999999997</v>
      </c>
      <c r="DK33" s="678">
        <f t="shared" ca="1" si="36"/>
        <v>78.599999999999994</v>
      </c>
      <c r="DL33" s="678">
        <f t="shared" ca="1" si="37"/>
        <v>65.3</v>
      </c>
      <c r="DM33" s="678">
        <f t="shared" ca="1" si="38"/>
        <v>37.799999999999997</v>
      </c>
      <c r="DN33" s="678">
        <f t="shared" ca="1" si="39"/>
        <v>40.5</v>
      </c>
      <c r="DO33" s="678">
        <f t="shared" ca="1" si="40"/>
        <v>28.9</v>
      </c>
      <c r="DP33" s="687" t="str">
        <f>IF(DW_!R33="","",+DW_!R33/1000)</f>
        <v/>
      </c>
      <c r="DQ33" s="678" t="str">
        <f>IF(DW_!S33="","",+DW_!S33*2)</f>
        <v/>
      </c>
      <c r="DR33" s="678" t="str">
        <f>+DW_!S33</f>
        <v/>
      </c>
      <c r="DS33" s="675"/>
      <c r="DT33" s="677">
        <f>IF(PT_!AC33="","",+PT_!AC33)</f>
        <v>102</v>
      </c>
      <c r="DU33" s="1388">
        <f>IF(ISNUMBER(CHEM_!G32),+CHEM_!G32,"")</f>
        <v>3440</v>
      </c>
      <c r="DV33" s="1375">
        <f t="shared" si="18"/>
        <v>27.7</v>
      </c>
      <c r="DW33" s="687">
        <f>IF(PT_!S33="","",+PT_!S33)</f>
        <v>0.42</v>
      </c>
      <c r="DX33" s="648" t="s">
        <v>335</v>
      </c>
      <c r="DY33" s="648" t="s">
        <v>335</v>
      </c>
      <c r="DZ33" s="690" t="str">
        <f>PT_!AK33</f>
        <v/>
      </c>
      <c r="EA33" s="678">
        <f>IF(PT_!AJ33="","",+PT_!AJ33)</f>
        <v>137.6</v>
      </c>
      <c r="EB33" s="2086">
        <f t="shared" si="19"/>
        <v>137.6</v>
      </c>
      <c r="EC33" s="2094">
        <f>IF(PT_!BO33="","",+PT_!BO33)</f>
        <v>57.515999999999998</v>
      </c>
      <c r="ED33" s="1902" t="s">
        <v>474</v>
      </c>
      <c r="EE33" s="643"/>
      <c r="EF33" s="2083">
        <v>205.7</v>
      </c>
      <c r="EG33" s="2084">
        <v>617.1</v>
      </c>
      <c r="EH33" s="1890"/>
      <c r="EI33" s="689"/>
      <c r="EJ33" s="1891" t="str">
        <f>+PT_!AF33</f>
        <v/>
      </c>
      <c r="EK33" s="759" t="str">
        <f t="shared" si="50"/>
        <v/>
      </c>
      <c r="EL33" s="689"/>
      <c r="EM33" s="689" t="str">
        <f>IF(PT_!AH33&gt;0,+PT_!AH33,"")</f>
        <v/>
      </c>
      <c r="EN33" s="614" t="str">
        <f>IF(PT_!AZ33="","",+PT_!AZ33)</f>
        <v>Snow</v>
      </c>
      <c r="EO33" s="615" t="s">
        <v>335</v>
      </c>
      <c r="EP33" s="610" t="s">
        <v>335</v>
      </c>
      <c r="EQ33" s="691">
        <f>CLA_!BG33</f>
        <v>7.0000000000000007E-2</v>
      </c>
      <c r="ER33" s="687">
        <f>CLA_!BH33</f>
        <v>0.11</v>
      </c>
      <c r="ES33" s="678">
        <f>CLA_!BI33</f>
        <v>11.6</v>
      </c>
      <c r="ET33" s="678">
        <f>CLA_!BJ33</f>
        <v>31.9</v>
      </c>
      <c r="EU33" s="687" t="str">
        <f>CLA_!BK33</f>
        <v/>
      </c>
      <c r="EV33" s="687" t="str">
        <f>CLA_!BL33</f>
        <v/>
      </c>
      <c r="EW33" s="677" t="str">
        <f>CLA_!BM33</f>
        <v/>
      </c>
      <c r="EX33" s="691">
        <f>CLA_!BN33</f>
        <v>0.02</v>
      </c>
      <c r="EY33" s="687">
        <f>CLA_!BO33</f>
        <v>0.13</v>
      </c>
      <c r="EZ33" s="678">
        <f>CLA_!BP33</f>
        <v>12.3</v>
      </c>
      <c r="FA33" s="678">
        <f>CLA_!BQ33</f>
        <v>29.2</v>
      </c>
      <c r="FB33" s="687" t="str">
        <f>CLA_!BR33</f>
        <v/>
      </c>
      <c r="FC33" s="687" t="str">
        <f>CLA_!BS33</f>
        <v/>
      </c>
      <c r="FD33" s="677" t="str">
        <f>CLA_!BT33</f>
        <v/>
      </c>
      <c r="FE33" s="691">
        <f>IF(ISNUMBER(EQ33+EX33),+EQ33*DF_!$EA31+EX33*DF_!$EB31,"")</f>
        <v>5.2500000000000005E-2</v>
      </c>
      <c r="FF33" s="687">
        <f>IF(ISNUMBER(+ER33+EY33),+ER33*DF_!$EA31+EY33*DF_!$EB31,"")</f>
        <v>0.11700000000000001</v>
      </c>
      <c r="FG33" s="678">
        <f>IF(ISNUMBER(ES33)+ISNUMBER(EZ33)&gt;0,IF(ISNUMBER(ES33),ES33,$ET$42)*DF_!$EA31+IF(ISNUMBER(EZ33),EZ33,$FA$42)*DF_!$EB31,"")</f>
        <v>11.844999999999999</v>
      </c>
      <c r="FH33" s="678">
        <f>IF(ISNUMBER(ET33)+ISNUMBER(FA33)&gt;0,IF(ISNUMBER(ET33),ET33,$ET$42)*DF_!$EA31+IF(ISNUMBER(FA33),FA33,$FA$42)*DF_!$EB31,"")</f>
        <v>30.954999999999998</v>
      </c>
      <c r="FI33" s="687" t="str">
        <f>IF(EU33="","",+EU33*DF_!$EA31+FB33*DF_!$EB31)</f>
        <v/>
      </c>
      <c r="FJ33" s="687" t="str">
        <f>IF(EV33="","",+EV33*DF_!$EA31+FC33*DF_!$EB31)</f>
        <v/>
      </c>
      <c r="FK33" s="677" t="str">
        <f>IF(EW33="","",+EW33*DF_!$EA31+FD33*DF_!$EB31)</f>
        <v/>
      </c>
      <c r="FL33" s="691" t="str">
        <f>CLA_!BU33</f>
        <v/>
      </c>
      <c r="FM33" s="687" t="str">
        <f>CLA_!BV33</f>
        <v/>
      </c>
      <c r="FN33" s="678" t="str">
        <f>CLA_!BW33</f>
        <v/>
      </c>
      <c r="FO33" s="678" t="str">
        <f>CLA_!BX33</f>
        <v/>
      </c>
      <c r="FP33" s="687" t="str">
        <f>CLA_!BY33</f>
        <v/>
      </c>
      <c r="FQ33" s="687" t="str">
        <f>CLA_!BZ33</f>
        <v/>
      </c>
      <c r="FR33" s="677" t="str">
        <f>CLA_!CA33</f>
        <v/>
      </c>
      <c r="FS33" s="691">
        <f>CLA_!CB33</f>
        <v>0.54</v>
      </c>
      <c r="FT33" s="687">
        <f>CLA_!CC33</f>
        <v>2.3199999999999998</v>
      </c>
      <c r="FU33" s="678">
        <f>CLA_!CD33</f>
        <v>16.600000000000001</v>
      </c>
      <c r="FV33" s="678">
        <f>CLA_!CE33</f>
        <v>22.3</v>
      </c>
      <c r="FW33" s="687" t="str">
        <f>CLA_!CF33</f>
        <v/>
      </c>
      <c r="FX33" s="687" t="str">
        <f>CLA_!CG33</f>
        <v/>
      </c>
      <c r="FY33" s="677" t="str">
        <f>CLA_!CH33</f>
        <v/>
      </c>
      <c r="FZ33" s="610" t="s">
        <v>335</v>
      </c>
      <c r="GA33" s="610" t="s">
        <v>335</v>
      </c>
      <c r="GB33" s="1968" t="str">
        <f>IF(CLA_!CY33="","",+CLA_!CY33)</f>
        <v/>
      </c>
      <c r="GC33" s="677" t="str">
        <f>IF(CLA_!CZ33="","",+CLA_!CZ33)</f>
        <v/>
      </c>
      <c r="GD33" s="677" t="str">
        <f>IF(CLA_!DA33="","",+CLA_!DA33)</f>
        <v/>
      </c>
      <c r="GE33" s="678" t="str">
        <f>IF(CLA_!DB33="","",+CLA_!DB33)</f>
        <v/>
      </c>
      <c r="GF33" s="677" t="str">
        <f>IF(CLA_!DO33="","",+CLA_!DO33)</f>
        <v/>
      </c>
      <c r="GG33" s="678" t="str">
        <f>IF(CLA_!DP33="","",+CLA_!DP33)</f>
        <v/>
      </c>
      <c r="GH33" s="677" t="str">
        <f>IF(CLA_!DQ33="","",+CLA_!DQ33)</f>
        <v/>
      </c>
      <c r="GI33" s="677" t="str">
        <f>IF(CLA_!DR33="","",+CLA_!DR33)</f>
        <v/>
      </c>
      <c r="GJ33" s="2030"/>
      <c r="GK33" s="2025" t="str">
        <f>IF(CLA_!CQ33="","",+CLA_!CQ33)</f>
        <v/>
      </c>
      <c r="GL33" s="2024"/>
      <c r="GM33" s="2026" t="str">
        <f>IF(CLA_!CR33="","",+CLA_!CR33)</f>
        <v/>
      </c>
      <c r="GN33" s="2024" t="str">
        <f>IF(CLA_!CZ33="","",+CLA_!CZ33)</f>
        <v/>
      </c>
      <c r="GO33" s="2026" t="str">
        <f>IF(CLA_!CS33="","",+CLA_!CS33)</f>
        <v/>
      </c>
      <c r="GP33" s="2024" t="str">
        <f>IF(CLA_!DA33="","",+CLA_!DA33)</f>
        <v/>
      </c>
      <c r="GQ33" s="2025" t="str">
        <f>IF(CLA_!CT33="","",+CLA_!CT33)</f>
        <v/>
      </c>
      <c r="GR33" s="2024" t="str">
        <f>IF(CLA_!CY33="","",+CLA_!CY33)</f>
        <v/>
      </c>
      <c r="GS33" s="2024" t="str">
        <f>IF(CLA_!CV33="","",+CLA_!CV33)</f>
        <v/>
      </c>
      <c r="GT33" s="2024" t="str">
        <f>IF(CLA_!DO33="","",+CLA_!DO33)</f>
        <v/>
      </c>
      <c r="GU33" s="2031" t="str">
        <f>IF(CLA_!CU33="","",+CLA_!CU33)</f>
        <v/>
      </c>
      <c r="GV33" s="1913" t="str">
        <f>CLA_!DF33</f>
        <v/>
      </c>
      <c r="GW33" s="677" t="str">
        <f>CLA_!DG33</f>
        <v/>
      </c>
      <c r="GX33" s="677" t="str">
        <f>CLA_!DH33</f>
        <v/>
      </c>
      <c r="GY33" s="678" t="str">
        <f>CLA_!DC33</f>
        <v/>
      </c>
      <c r="GZ33" s="648" t="s">
        <v>335</v>
      </c>
      <c r="HA33" s="635"/>
      <c r="HB33" s="648" t="s">
        <v>335</v>
      </c>
      <c r="HC33" s="685">
        <f>IF(PT_!BC33="","",+PT_!BC33)</f>
        <v>14</v>
      </c>
      <c r="HD33" s="677">
        <f>IF(PT_!BD33="","",+PT_!BD33)</f>
        <v>6</v>
      </c>
      <c r="HE33" s="677">
        <f>IF(PT_!BE33="","",+PT_!BE33)</f>
        <v>3</v>
      </c>
      <c r="HF33" s="677">
        <f>IF(PT_!BF33="","",+PT_!BF33)</f>
        <v>3</v>
      </c>
      <c r="HG33" s="677">
        <f>IF(PT_!BG33="","",+PT_!BG33)</f>
        <v>4</v>
      </c>
      <c r="HH33" s="677">
        <f>IF(PT_!BH33="","",+PT_!BH33)</f>
        <v>1</v>
      </c>
      <c r="HI33" s="677">
        <f>IF(PT_!BI33="","",+PT_!BI33)</f>
        <v>1</v>
      </c>
      <c r="HJ33" s="677">
        <f>IF(PT_!BJ33="","",+PT_!BJ33)</f>
        <v>4</v>
      </c>
      <c r="HK33" s="677">
        <f>IF(PT_!BK33="","",+PT_!BK33)</f>
        <v>2</v>
      </c>
      <c r="HL33" s="653"/>
      <c r="HM33" s="1782">
        <f t="shared" si="29"/>
        <v>89</v>
      </c>
      <c r="HN33" s="1787">
        <f t="shared" si="30"/>
        <v>44</v>
      </c>
      <c r="HO33" s="719">
        <f t="shared" si="31"/>
        <v>71</v>
      </c>
      <c r="HU33" s="730"/>
      <c r="HV33" s="2442"/>
      <c r="IU33" s="27"/>
    </row>
    <row r="34" spans="1:255" ht="17.100000000000001" customHeight="1">
      <c r="A34" s="579"/>
      <c r="B34" s="648" t="s">
        <v>336</v>
      </c>
      <c r="C34" s="674">
        <f>+CLA_!D34</f>
        <v>132</v>
      </c>
      <c r="D34" s="675" t="str">
        <f>+CLA_!E34</f>
        <v/>
      </c>
      <c r="E34" s="676">
        <f>+CLA_!F34</f>
        <v>128</v>
      </c>
      <c r="F34" s="675" t="str">
        <f>+CLA_!G34</f>
        <v/>
      </c>
      <c r="G34" s="676">
        <f>IF(C34="","",ROUND((IF(ISNUMBER(C34),C34,+$C$42)*DF_!$DY32+IF(ISNUMBER(E34),E34,$E$42)*DF_!$DZ32)/(DF_!$DY32+DF_!$DZ32),0))</f>
        <v>131</v>
      </c>
      <c r="H34" s="675" t="str">
        <f>IF(D34="","",ROUND((IF(+D34=0,+$D$42,+D34)*DF_!$DY32+IF(ISNUMBER(F34),F34,$F$42)*DF_!$DZ32)/(DF_!$DY32+DF_!$DZ32),1))</f>
        <v/>
      </c>
      <c r="I34" s="676">
        <f>+CLA_!H34</f>
        <v>84</v>
      </c>
      <c r="J34" s="676">
        <f>+CLA_!I34</f>
        <v>110</v>
      </c>
      <c r="K34" s="676">
        <f>+CLA_!J34</f>
        <v>22</v>
      </c>
      <c r="L34" s="676" t="str">
        <f>+CLA_!K34</f>
        <v/>
      </c>
      <c r="M34" s="677">
        <f>IF(SUM(CLA_!L34:N34)=0,"",ROUND(AVERAGE(CLA_!L34:N34),-2))</f>
        <v>2400</v>
      </c>
      <c r="N34" s="677">
        <f>IF(SUM(CLA_!O34:P34)=0,"",ROUND(AVERAGE(CLA_!O34:P34),-2))</f>
        <v>2900</v>
      </c>
      <c r="O34" s="677">
        <f>IF(SUM(CLA_!Q34:S34)=0,"",ROUND(AVERAGE(CLA_!Q34:S34),-2))</f>
        <v>2600</v>
      </c>
      <c r="P34" s="677">
        <f>IF(SUM(CLA_!T34:U34)=0,"",ROUND(AVERAGE(CLA_!T34:U34),-2))</f>
        <v>4900</v>
      </c>
      <c r="Q34" s="677">
        <f>+CLA_!V34</f>
        <v>4600</v>
      </c>
      <c r="R34" s="678" t="str">
        <f>+CLA_!W34</f>
        <v/>
      </c>
      <c r="S34" s="677">
        <f>+CLA_!X34</f>
        <v>6620</v>
      </c>
      <c r="T34" s="678" t="str">
        <f>+CLA_!Y34</f>
        <v/>
      </c>
      <c r="U34" s="675">
        <f>IF(M34="","",+M34/(PT_!Y34*10))</f>
        <v>1.3333333333333333</v>
      </c>
      <c r="V34" s="675">
        <f>IF(N34="","",+N34/(PT_!Z34*10))</f>
        <v>0.61702127659574468</v>
      </c>
      <c r="W34" s="675"/>
      <c r="X34" s="675"/>
      <c r="Y34" s="648" t="s">
        <v>336</v>
      </c>
      <c r="Z34" s="648" t="s">
        <v>336</v>
      </c>
      <c r="AA34" s="674">
        <f>IF(CLA_!Z34="","",+CLA_!Z34)</f>
        <v>117</v>
      </c>
      <c r="AB34" s="676">
        <f>IF(CLA_!AA34="","",+CLA_!AA34)</f>
        <v>112</v>
      </c>
      <c r="AC34" s="676">
        <f>IF(AA34="","",ROUND((IF(ISNUMBER(AA34),AA34,$AA$42)*DF_!$DY32+IF(ISNUMBER(AB34),AB34,$AB$42)*DF_!$DZ32)/(DF_!$DY32+DF_!$DZ32),0))</f>
        <v>115</v>
      </c>
      <c r="AD34" s="676" t="str">
        <f>IF(CLA_!AB34="","",+CLA_!AB34)</f>
        <v/>
      </c>
      <c r="AE34" s="676" t="str">
        <f>IF(CLA_!AC34="","",+CLA_!AC34)</f>
        <v/>
      </c>
      <c r="AF34" s="676">
        <f>IF(CLA_!AD34="","",+CLA_!AD34)</f>
        <v>16</v>
      </c>
      <c r="AG34" s="676" t="str">
        <f>IF(CLA_!AE34="","",+CLA_!AE34)</f>
        <v/>
      </c>
      <c r="AH34" s="675" t="str">
        <f>IF(CLA_!AF34="","",+CLA_!AF34)</f>
        <v/>
      </c>
      <c r="AI34" s="675" t="str">
        <f>IF(CLA_!AG34="","",+CLA_!AG34)</f>
        <v/>
      </c>
      <c r="AJ34" s="675" t="str">
        <f>IF(CLA_!AH34="","",+CLA_!AH34)</f>
        <v/>
      </c>
      <c r="AK34" s="675" t="str">
        <f>IF(CLA_!AI34="","",+CLA_!AI34)</f>
        <v/>
      </c>
      <c r="AL34" s="2192" t="str">
        <f t="shared" si="20"/>
        <v/>
      </c>
      <c r="AM34" s="675"/>
      <c r="AN34" s="676">
        <f>PT_!Y34</f>
        <v>180</v>
      </c>
      <c r="AO34" s="676">
        <f>PT_!Z34</f>
        <v>470</v>
      </c>
      <c r="AP34" s="682">
        <f t="shared" si="32"/>
        <v>0.15262515262515261</v>
      </c>
      <c r="AQ34" s="682">
        <f t="shared" si="21"/>
        <v>0.1058201058201058</v>
      </c>
      <c r="AR34" s="675">
        <f ca="1">IF(DMREZ!D34&gt;TODAY()-2,"",((IF(ISNUMBER(O34),O34,$O$42)*2.52*HD34)/((CF34*IF(ISNUMBER(K34),K34,$K$42)*(+HD34/(HD34+HE34)))+($HQ$14*IF(ISNUMBER(AT_!Q34),AT_!Q34,AT_!$Q$42)))))</f>
        <v>3.9713182909413498</v>
      </c>
      <c r="AS34" s="675">
        <f ca="1">IF(DMREZ!D34&gt;TODAY()-2,"",((IF(ISNUMBER(P34),P34,$P$42)*2.52*HE34)/((CF34*IF(ISNUMBER(K34),K34,$K$42)*(HE34/(HD34+HE34))+((PT_!BN34+2.5/3.5*PT_!BP34)*IF(ISNUMBER(AT_!S34),AT_!S34,AT_!$S$42))))))</f>
        <v>5.3240112115298972</v>
      </c>
      <c r="AT34" s="648" t="s">
        <v>336</v>
      </c>
      <c r="AU34" s="648" t="s">
        <v>336</v>
      </c>
      <c r="AV34" s="679" t="str">
        <f>IF(CLA_!AP34="","",+CLA_!AP34)</f>
        <v/>
      </c>
      <c r="AW34" s="680" t="str">
        <f>IF(CLA_!AQ34="","",+CLA_!AQ34)</f>
        <v/>
      </c>
      <c r="AX34" s="680" t="str">
        <f>IF(CLA_!AR34="","",+CLA_!AR34)</f>
        <v/>
      </c>
      <c r="AY34" s="680" t="str">
        <f>IF(CLA_!AS34="","",+CLA_!AS34)</f>
        <v/>
      </c>
      <c r="AZ34" s="680" t="str">
        <f>IF(CLA_!AT34="","",+CLA_!AT34)</f>
        <v/>
      </c>
      <c r="BA34" s="680" t="str">
        <f>IF(CLA_!AU34="","",+CLA_!AU34)</f>
        <v/>
      </c>
      <c r="BB34" s="680" t="str">
        <f>IF(CLA_!AV34="","",+CLA_!AV34)</f>
        <v/>
      </c>
      <c r="BC34" s="680" t="str">
        <f>IF(CLA_!AW34="","",+CLA_!AW34)</f>
        <v/>
      </c>
      <c r="BD34" s="680" t="str">
        <f>IF(CLA_!AX34="","",+CLA_!AX34)</f>
        <v/>
      </c>
      <c r="BE34" s="680" t="str">
        <f>IF(CLA_!AY34="","",+CLA_!AY34)</f>
        <v/>
      </c>
      <c r="BF34" s="675" t="str">
        <f>IF(CLA_!AZ34="","",+CLA_!AZ34)</f>
        <v/>
      </c>
      <c r="BG34" s="675" t="str">
        <f>IF(CLA_!BA34="","",+CLA_!BA34)</f>
        <v/>
      </c>
      <c r="BH34" s="675" t="str">
        <f>IF(CLA_!BB34="","",+CLA_!BB34)</f>
        <v/>
      </c>
      <c r="BI34" s="675" t="str">
        <f>IF(CLA_!BC34="","",+CLA_!BC34)</f>
        <v/>
      </c>
      <c r="BJ34" s="675" t="str">
        <f>IF(CLA_!BD34="","",+CLA_!BD34)</f>
        <v/>
      </c>
      <c r="BK34" s="681">
        <f>IF(PT_!U34="","",+PT_!U34)</f>
        <v>5.72</v>
      </c>
      <c r="BL34" s="675">
        <f>IF(PT_!V34="","",+PT_!V34)</f>
        <v>5.8</v>
      </c>
      <c r="BM34" s="675">
        <f>IF(PT_!W34="","",+PT_!W34)</f>
        <v>8.41</v>
      </c>
      <c r="BN34" s="675">
        <f>IF(PT_!X34="","",+PT_!X34)</f>
        <v>7.64</v>
      </c>
      <c r="BO34" s="675">
        <f>IF(PT_!T34="","",+PT_!T34)</f>
        <v>6.68</v>
      </c>
      <c r="BP34" s="676" t="str">
        <f>IF(CLA_!BE34="","",+CLA_!BE34)</f>
        <v/>
      </c>
      <c r="BQ34" s="676" t="str">
        <f>IF(CLA_!BF34="","",+CLA_!BF34)</f>
        <v/>
      </c>
      <c r="BR34" s="676" t="str">
        <f>IF(ISNUMBER(BQ34+BP34),+ROUND((BP34*DF_!DY32+BQ34*DF_!DZ32)/(DF_!DY32+DF_!DZ32),-1),"")</f>
        <v/>
      </c>
      <c r="BS34" s="676">
        <f>IF(PT_!C34="","",ROUND(+PT_!C34,0))</f>
        <v>14</v>
      </c>
      <c r="BT34" s="675">
        <f>IF(PT_!H34="","",ROUND(MAX(PT_!H34,PT_!K34),1))</f>
        <v>7</v>
      </c>
      <c r="BU34" s="675">
        <f>IF(PT_!I34="","",ROUND(MIN(PT_!I34,PT_!L34),1))</f>
        <v>6.7</v>
      </c>
      <c r="BV34" s="675">
        <f>IF(PT_!G34="","",ROUND((PT_!G34*DF_!DZ32+DF_!DY32*PT_!J34)/DF_!DS32,1))</f>
        <v>6.8</v>
      </c>
      <c r="BW34" s="675">
        <f>IF(PT_!N34="","",+PT_!N34)</f>
        <v>6.9</v>
      </c>
      <c r="BX34" s="675">
        <f>IF(PT_!O34="","",+PT_!O34)</f>
        <v>6.6</v>
      </c>
      <c r="BY34" s="675">
        <f>IF(PT_!M34="","",+PT_!M34)</f>
        <v>6.7</v>
      </c>
      <c r="BZ34" s="682">
        <f>IF(PT_!R34="","",+PT_!R34)</f>
        <v>0.5</v>
      </c>
      <c r="CA34" s="1644" t="str">
        <f>IF(PT_!P34="","",+PT_!P34)</f>
        <v/>
      </c>
      <c r="CB34" s="1645">
        <f>IF(PT_!Q34="","",+PT_!Q34)</f>
        <v>25</v>
      </c>
      <c r="CC34" s="648" t="s">
        <v>336</v>
      </c>
      <c r="CD34" s="635"/>
      <c r="CE34" s="648" t="s">
        <v>336</v>
      </c>
      <c r="CF34" s="685">
        <f>IF(DF_!AA32="","",+DF_!AA32)</f>
        <v>120</v>
      </c>
      <c r="CG34" s="677">
        <f ca="1">IF(+DMREZ!D34&lt;TODAY(),+DF_!AD32,"")</f>
        <v>98</v>
      </c>
      <c r="CH34" s="677">
        <f>IF(DF_!AB32="","",+DF_!AB32)</f>
        <v>178</v>
      </c>
      <c r="CI34" s="677">
        <f>IF(DF_!AC32="","",+DF_!AC32)</f>
        <v>72</v>
      </c>
      <c r="CJ34" s="677">
        <f>IF(DF_!AG32="","",+DF_!AG32)</f>
        <v>120</v>
      </c>
      <c r="CK34" s="677">
        <f>IF(PT_!BL34="","",ROUND(PT_!BL34,0))</f>
        <v>62</v>
      </c>
      <c r="CL34" s="686">
        <f t="shared" si="22"/>
        <v>0.51666666666666672</v>
      </c>
      <c r="CM34" s="675">
        <f>IF(PT_!AL34="","",+PT_!AL34)</f>
        <v>99.4</v>
      </c>
      <c r="CN34" s="687">
        <f t="shared" si="10"/>
        <v>0.82833333333333337</v>
      </c>
      <c r="CO34" s="678">
        <f t="shared" si="11"/>
        <v>1.5</v>
      </c>
      <c r="CP34" s="678">
        <f t="shared" si="23"/>
        <v>3</v>
      </c>
      <c r="CQ34" s="678">
        <f t="shared" si="12"/>
        <v>3.1</v>
      </c>
      <c r="CR34" s="677">
        <f t="shared" si="13"/>
        <v>660</v>
      </c>
      <c r="CS34" s="675">
        <f t="shared" si="24"/>
        <v>1</v>
      </c>
      <c r="CT34" s="643"/>
      <c r="CU34" s="678">
        <f t="shared" si="33"/>
        <v>65.599999999999994</v>
      </c>
      <c r="CV34" s="677">
        <f t="shared" si="48"/>
        <v>83.231707317073173</v>
      </c>
      <c r="CW34" s="678">
        <f t="shared" si="49"/>
        <v>54.6</v>
      </c>
      <c r="CX34" s="678">
        <f t="shared" si="34"/>
        <v>318.39999999999998</v>
      </c>
      <c r="CY34" s="678">
        <f t="shared" si="25"/>
        <v>47.2</v>
      </c>
      <c r="CZ34" s="678">
        <f t="shared" si="26"/>
        <v>5.9</v>
      </c>
      <c r="DA34" s="2025">
        <f t="shared" si="27"/>
        <v>8.4</v>
      </c>
      <c r="DB34" s="741">
        <f t="shared" si="35"/>
        <v>6.7</v>
      </c>
      <c r="DC34" s="648" t="s">
        <v>336</v>
      </c>
      <c r="DD34" s="648" t="s">
        <v>336</v>
      </c>
      <c r="DE34" s="688">
        <f>IF(Grit!AT31+Grit!AZ31=0,"",+Grit!AT31+Grit!AZ31*0.5)</f>
        <v>162</v>
      </c>
      <c r="DF34" s="689">
        <f>IF(Grit!AV31="0","",+Grit!AV31)</f>
        <v>486</v>
      </c>
      <c r="DG34" s="689">
        <f t="shared" si="16"/>
        <v>31100</v>
      </c>
      <c r="DH34" s="689" t="str">
        <f>IF(Grit!AX31+Grit!AY31=0,"",+Grit!AX31+Grit!AZ31*0.5)</f>
        <v/>
      </c>
      <c r="DI34" s="689" t="str">
        <f t="shared" si="17"/>
        <v/>
      </c>
      <c r="DJ34" s="675">
        <f ca="1">IF(+DMREZ!D34&lt;TODAY(),+PT_!AE34,"")</f>
        <v>63.8</v>
      </c>
      <c r="DK34" s="678">
        <f t="shared" ca="1" si="36"/>
        <v>132.6</v>
      </c>
      <c r="DL34" s="678">
        <f t="shared" ca="1" si="37"/>
        <v>110.2</v>
      </c>
      <c r="DM34" s="678">
        <f t="shared" ca="1" si="38"/>
        <v>63.8</v>
      </c>
      <c r="DN34" s="678">
        <f t="shared" ca="1" si="39"/>
        <v>68.3</v>
      </c>
      <c r="DO34" s="678">
        <f t="shared" ca="1" si="40"/>
        <v>48.8</v>
      </c>
      <c r="DP34" s="687" t="str">
        <f>IF(DW_!R34="","",+DW_!R34/1000)</f>
        <v/>
      </c>
      <c r="DQ34" s="678" t="str">
        <f>IF(DW_!S34="","",+DW_!S34*2)</f>
        <v/>
      </c>
      <c r="DR34" s="678" t="str">
        <f>+DW_!S34</f>
        <v/>
      </c>
      <c r="DS34" s="675"/>
      <c r="DT34" s="677">
        <f>IF(PT_!AC34="","",+PT_!AC34)</f>
        <v>102</v>
      </c>
      <c r="DU34" s="689">
        <f>IF(ISNUMBER(CHEM_!G33),+CHEM_!G33,"")</f>
        <v>1800</v>
      </c>
      <c r="DV34" s="675">
        <f t="shared" si="18"/>
        <v>15</v>
      </c>
      <c r="DW34" s="687">
        <f>IF(PT_!S34="","",+PT_!S34)</f>
        <v>0.48</v>
      </c>
      <c r="DX34" s="648" t="s">
        <v>336</v>
      </c>
      <c r="DY34" s="648" t="s">
        <v>336</v>
      </c>
      <c r="DZ34" s="690" t="str">
        <f>PT_!AK34</f>
        <v/>
      </c>
      <c r="EA34" s="678">
        <f>IF(PT_!AJ34="","",+PT_!AJ34)</f>
        <v>153.60000000000002</v>
      </c>
      <c r="EB34" s="2086">
        <f t="shared" si="19"/>
        <v>153.60000000000002</v>
      </c>
      <c r="EC34" s="2094">
        <f>IF(PT_!BO34="","",+PT_!BO34)</f>
        <v>57.731999999999999</v>
      </c>
      <c r="ED34" s="1902" t="s">
        <v>475</v>
      </c>
      <c r="EE34" s="643"/>
      <c r="EF34" s="2083">
        <v>205.7</v>
      </c>
      <c r="EG34" s="2084">
        <v>617.1</v>
      </c>
      <c r="EH34" s="1890"/>
      <c r="EI34" s="689"/>
      <c r="EJ34" s="1891" t="str">
        <f>+PT_!AF34</f>
        <v/>
      </c>
      <c r="EK34" s="759" t="str">
        <f t="shared" si="50"/>
        <v/>
      </c>
      <c r="EL34" s="689"/>
      <c r="EM34" s="689" t="str">
        <f>IF(PT_!AH34&gt;0,+PT_!AH34,"")</f>
        <v/>
      </c>
      <c r="EN34" s="614" t="str">
        <f>IF(PT_!AZ34="","",+PT_!AZ34)</f>
        <v>Snow Melt</v>
      </c>
      <c r="EO34" s="615" t="s">
        <v>336</v>
      </c>
      <c r="EP34" s="610" t="s">
        <v>336</v>
      </c>
      <c r="EQ34" s="691">
        <f>CLA_!BG34</f>
        <v>0.12</v>
      </c>
      <c r="ER34" s="687">
        <f>CLA_!BH34</f>
        <v>0.13</v>
      </c>
      <c r="ES34" s="678">
        <f>CLA_!BI34</f>
        <v>10.6</v>
      </c>
      <c r="ET34" s="678">
        <f>CLA_!BJ34</f>
        <v>32.299999999999997</v>
      </c>
      <c r="EU34" s="687" t="str">
        <f>CLA_!BK34</f>
        <v/>
      </c>
      <c r="EV34" s="687" t="str">
        <f>CLA_!BL34</f>
        <v/>
      </c>
      <c r="EW34" s="677" t="str">
        <f>CLA_!BM34</f>
        <v/>
      </c>
      <c r="EX34" s="691">
        <f>CLA_!BN34</f>
        <v>0.04</v>
      </c>
      <c r="EY34" s="687">
        <f>CLA_!BO34</f>
        <v>0.15</v>
      </c>
      <c r="EZ34" s="678">
        <f>CLA_!BP34</f>
        <v>17.7</v>
      </c>
      <c r="FA34" s="678">
        <f>CLA_!BQ34</f>
        <v>31.3</v>
      </c>
      <c r="FB34" s="687" t="str">
        <f>CLA_!BR34</f>
        <v/>
      </c>
      <c r="FC34" s="687" t="str">
        <f>CLA_!BS34</f>
        <v/>
      </c>
      <c r="FD34" s="677" t="str">
        <f>CLA_!BT34</f>
        <v/>
      </c>
      <c r="FE34" s="691">
        <f>IF(ISNUMBER(EQ34+EX34),+EQ34*DF_!$EA32+EX34*DF_!$EB32,"")</f>
        <v>9.1999999999999998E-2</v>
      </c>
      <c r="FF34" s="687">
        <f>IF(ISNUMBER(+ER34+EY34),+ER34*DF_!$EA32+EY34*DF_!$EB32,"")</f>
        <v>0.13700000000000001</v>
      </c>
      <c r="FG34" s="678">
        <f>IF(ISNUMBER(ES34)+ISNUMBER(EZ34)&gt;0,IF(ISNUMBER(ES34),ES34,$ET$42)*DF_!$EA32+IF(ISNUMBER(EZ34),EZ34,$FA$42)*DF_!$EB32,"")</f>
        <v>13.084999999999999</v>
      </c>
      <c r="FH34" s="678">
        <f>IF(ISNUMBER(ET34)+ISNUMBER(FA34)&gt;0,IF(ISNUMBER(ET34),ET34,$ET$42)*DF_!$EA32+IF(ISNUMBER(FA34),FA34,$FA$42)*DF_!$EB32,"")</f>
        <v>31.949999999999996</v>
      </c>
      <c r="FI34" s="687" t="str">
        <f>IF(EU34="","",+EU34*DF_!$EA32+FB34*DF_!$EB32)</f>
        <v/>
      </c>
      <c r="FJ34" s="687" t="str">
        <f>IF(EV34="","",+EV34*DF_!$EA32+FC34*DF_!$EB32)</f>
        <v/>
      </c>
      <c r="FK34" s="677" t="str">
        <f>IF(EW34="","",+EW34*DF_!$EA32+FD34*DF_!$EB32)</f>
        <v/>
      </c>
      <c r="FL34" s="691" t="str">
        <f>CLA_!BU34</f>
        <v/>
      </c>
      <c r="FM34" s="687" t="str">
        <f>CLA_!BV34</f>
        <v/>
      </c>
      <c r="FN34" s="678" t="str">
        <f>CLA_!BW34</f>
        <v/>
      </c>
      <c r="FO34" s="678" t="str">
        <f>CLA_!BX34</f>
        <v/>
      </c>
      <c r="FP34" s="687" t="str">
        <f>CLA_!BY34</f>
        <v/>
      </c>
      <c r="FQ34" s="687" t="str">
        <f>CLA_!BZ34</f>
        <v/>
      </c>
      <c r="FR34" s="677" t="str">
        <f>CLA_!CA34</f>
        <v/>
      </c>
      <c r="FS34" s="691">
        <f>CLA_!CB34</f>
        <v>0.96</v>
      </c>
      <c r="FT34" s="687">
        <f>CLA_!CC34</f>
        <v>2.86</v>
      </c>
      <c r="FU34" s="678">
        <f>CLA_!CD34</f>
        <v>13.5</v>
      </c>
      <c r="FV34" s="678">
        <f>CLA_!CE34</f>
        <v>18.2</v>
      </c>
      <c r="FW34" s="687" t="str">
        <f>CLA_!CF34</f>
        <v/>
      </c>
      <c r="FX34" s="687" t="str">
        <f>CLA_!CG34</f>
        <v/>
      </c>
      <c r="FY34" s="677" t="str">
        <f>CLA_!CH34</f>
        <v/>
      </c>
      <c r="FZ34" s="610" t="s">
        <v>336</v>
      </c>
      <c r="GA34" s="610" t="s">
        <v>336</v>
      </c>
      <c r="GB34" s="1968" t="str">
        <f>IF(CLA_!CY34="","",+CLA_!CY34)</f>
        <v/>
      </c>
      <c r="GC34" s="677" t="str">
        <f>IF(CLA_!CZ34="","",+CLA_!CZ34)</f>
        <v/>
      </c>
      <c r="GD34" s="677" t="str">
        <f>IF(CLA_!DA34="","",+CLA_!DA34)</f>
        <v/>
      </c>
      <c r="GE34" s="678" t="str">
        <f>IF(CLA_!DB34="","",+CLA_!DB34)</f>
        <v/>
      </c>
      <c r="GF34" s="677" t="str">
        <f>IF(CLA_!DO34="","",+CLA_!DO34)</f>
        <v/>
      </c>
      <c r="GG34" s="678" t="str">
        <f>IF(CLA_!DP34="","",+CLA_!DP34)</f>
        <v/>
      </c>
      <c r="GH34" s="677" t="str">
        <f>IF(CLA_!DQ34="","",+CLA_!DQ34)</f>
        <v/>
      </c>
      <c r="GI34" s="677" t="str">
        <f>IF(CLA_!DR34="","",+CLA_!DR34)</f>
        <v/>
      </c>
      <c r="GJ34" s="2030"/>
      <c r="GK34" s="2025" t="str">
        <f>IF(CLA_!CQ34="","",+CLA_!CQ34)</f>
        <v/>
      </c>
      <c r="GL34" s="2024"/>
      <c r="GM34" s="2026" t="str">
        <f>IF(CLA_!CR34="","",+CLA_!CR34)</f>
        <v/>
      </c>
      <c r="GN34" s="2024" t="str">
        <f>IF(CLA_!CZ34="","",+CLA_!CZ34)</f>
        <v/>
      </c>
      <c r="GO34" s="2026" t="str">
        <f>IF(CLA_!CS34="","",+CLA_!CS34)</f>
        <v/>
      </c>
      <c r="GP34" s="2024" t="str">
        <f>IF(CLA_!DA34="","",+CLA_!DA34)</f>
        <v/>
      </c>
      <c r="GQ34" s="2025" t="str">
        <f>IF(CLA_!CT34="","",+CLA_!CT34)</f>
        <v/>
      </c>
      <c r="GR34" s="2024" t="str">
        <f>IF(CLA_!CY34="","",+CLA_!CY34)</f>
        <v/>
      </c>
      <c r="GS34" s="2024" t="str">
        <f>IF(CLA_!CV34="","",+CLA_!CV34)</f>
        <v/>
      </c>
      <c r="GT34" s="2024" t="str">
        <f>IF(CLA_!DO34="","",+CLA_!DO34)</f>
        <v/>
      </c>
      <c r="GU34" s="2031" t="str">
        <f>IF(CLA_!CU34="","",+CLA_!CU34)</f>
        <v/>
      </c>
      <c r="GV34" s="1913" t="str">
        <f>CLA_!DF34</f>
        <v/>
      </c>
      <c r="GW34" s="677" t="str">
        <f>CLA_!DG34</f>
        <v/>
      </c>
      <c r="GX34" s="677" t="str">
        <f>CLA_!DH34</f>
        <v/>
      </c>
      <c r="GY34" s="678" t="str">
        <f>CLA_!DC34</f>
        <v/>
      </c>
      <c r="GZ34" s="648" t="s">
        <v>336</v>
      </c>
      <c r="HA34" s="635"/>
      <c r="HB34" s="648" t="s">
        <v>336</v>
      </c>
      <c r="HC34" s="685">
        <f>IF(PT_!BC34="","",+PT_!BC34)</f>
        <v>14</v>
      </c>
      <c r="HD34" s="677">
        <f>IF(PT_!BD34="","",+PT_!BD34)</f>
        <v>6</v>
      </c>
      <c r="HE34" s="677">
        <f>IF(PT_!BE34="","",+PT_!BE34)</f>
        <v>3</v>
      </c>
      <c r="HF34" s="677">
        <f>IF(PT_!BF34="","",+PT_!BF34)</f>
        <v>3</v>
      </c>
      <c r="HG34" s="677">
        <f>IF(PT_!BG34="","",+PT_!BG34)</f>
        <v>4</v>
      </c>
      <c r="HH34" s="677">
        <f>IF(PT_!BH34="","",+PT_!BH34)</f>
        <v>1</v>
      </c>
      <c r="HI34" s="677">
        <f>IF(PT_!BI34="","",+PT_!BI34)</f>
        <v>1</v>
      </c>
      <c r="HJ34" s="677">
        <f>IF(PT_!BJ34="","",+PT_!BJ34)</f>
        <v>4</v>
      </c>
      <c r="HK34" s="677">
        <f>IF(PT_!BK34="","",+PT_!BK34)</f>
        <v>2</v>
      </c>
      <c r="HL34" s="653"/>
      <c r="HM34" s="1782">
        <f t="shared" si="29"/>
        <v>63</v>
      </c>
      <c r="HN34" s="1787">
        <f t="shared" si="30"/>
        <v>45</v>
      </c>
      <c r="HO34" s="719">
        <f t="shared" si="31"/>
        <v>46</v>
      </c>
      <c r="HU34" s="730"/>
      <c r="HV34" s="2442"/>
      <c r="IU34" s="27"/>
    </row>
    <row r="35" spans="1:255" ht="17.100000000000001" customHeight="1">
      <c r="B35" s="648" t="s">
        <v>337</v>
      </c>
      <c r="C35" s="674">
        <f>+CLA_!D35</f>
        <v>146</v>
      </c>
      <c r="D35" s="675">
        <f>+CLA_!E35</f>
        <v>82.2</v>
      </c>
      <c r="E35" s="676">
        <f>+CLA_!F35</f>
        <v>144</v>
      </c>
      <c r="F35" s="675">
        <f>+CLA_!G35</f>
        <v>83.3</v>
      </c>
      <c r="G35" s="676">
        <f>IF(C35="","",ROUND((IF(ISNUMBER(C35),C35,+$C$42)*DF_!$DY33+IF(ISNUMBER(E35),E35,$E$42)*DF_!$DZ33)/(DF_!$DY33+DF_!$DZ33),0))</f>
        <v>145</v>
      </c>
      <c r="H35" s="675">
        <f>IF(D35="","",ROUND((IF(+D35=0,+$D$42,+D35)*DF_!$DY33+IF(ISNUMBER(F35),F35,$F$42)*DF_!$DZ33)/(DF_!$DY33+DF_!$DZ33),1))</f>
        <v>82.6</v>
      </c>
      <c r="I35" s="676">
        <f>+CLA_!H35</f>
        <v>82</v>
      </c>
      <c r="J35" s="676">
        <f>+CLA_!I35</f>
        <v>116</v>
      </c>
      <c r="K35" s="676">
        <f>+CLA_!J35</f>
        <v>9</v>
      </c>
      <c r="L35" s="676">
        <f>+CLA_!K35</f>
        <v>280</v>
      </c>
      <c r="M35" s="677">
        <f>IF(SUM(CLA_!L35:N35)=0,"",ROUND(AVERAGE(CLA_!L35:N35),-2))</f>
        <v>1900</v>
      </c>
      <c r="N35" s="677">
        <f>IF(SUM(CLA_!O35:P35)=0,"",ROUND(AVERAGE(CLA_!O35:P35),-2))</f>
        <v>2400</v>
      </c>
      <c r="O35" s="677">
        <f>IF(SUM(CLA_!Q35:S35)=0,"",ROUND(AVERAGE(CLA_!Q35:S35),-2))</f>
        <v>2300</v>
      </c>
      <c r="P35" s="677">
        <f>IF(SUM(CLA_!T35:U35)=0,"",ROUND(AVERAGE(CLA_!T35:U35),-2))</f>
        <v>4500</v>
      </c>
      <c r="Q35" s="677">
        <f>+CLA_!V35</f>
        <v>3340</v>
      </c>
      <c r="R35" s="678">
        <f>+CLA_!W35</f>
        <v>82.6</v>
      </c>
      <c r="S35" s="677">
        <f>+CLA_!X35</f>
        <v>5460</v>
      </c>
      <c r="T35" s="678">
        <f>+CLA_!Y35</f>
        <v>82.4</v>
      </c>
      <c r="U35" s="675">
        <f>IF(M35="","",+M35/(PT_!Y35*10))</f>
        <v>1.9</v>
      </c>
      <c r="V35" s="675">
        <f>IF(N35="","",+N35/(PT_!Z35*10))</f>
        <v>1.0434782608695652</v>
      </c>
      <c r="W35" s="675"/>
      <c r="X35" s="675"/>
      <c r="Y35" s="648" t="s">
        <v>337</v>
      </c>
      <c r="Z35" s="648" t="s">
        <v>337</v>
      </c>
      <c r="AA35" s="674">
        <f>IF(CLA_!Z35="","",+CLA_!Z35)</f>
        <v>136</v>
      </c>
      <c r="AB35" s="676">
        <f>IF(CLA_!AA35="","",+CLA_!AA35)</f>
        <v>124</v>
      </c>
      <c r="AC35" s="676">
        <f>IF(AA35="","",ROUND((IF(ISNUMBER(AA35),AA35,$AA$42)*DF_!$DY33+IF(ISNUMBER(AB35),AB35,$AB$42)*DF_!$DZ33)/(DF_!$DY33+DF_!$DZ33),0))</f>
        <v>132</v>
      </c>
      <c r="AD35" s="676">
        <f>IF(CLA_!AB35="","",+CLA_!AB35)</f>
        <v>57</v>
      </c>
      <c r="AE35" s="676">
        <f>IF(CLA_!AC35="","",+CLA_!AC35)</f>
        <v>71</v>
      </c>
      <c r="AF35" s="676">
        <f>IF(CLA_!AD35="","",+CLA_!AD35)</f>
        <v>6</v>
      </c>
      <c r="AG35" s="676">
        <f>IF(CLA_!AE35="","",+CLA_!AE35)</f>
        <v>2040</v>
      </c>
      <c r="AH35" s="675">
        <f>IF(CLA_!AF35="","",+CLA_!AF35)</f>
        <v>4.4000000000000004</v>
      </c>
      <c r="AI35" s="675">
        <f>IF(CLA_!AG35="","",+CLA_!AG35)</f>
        <v>79.5</v>
      </c>
      <c r="AJ35" s="675">
        <f>IF(CLA_!AH35="","",+CLA_!AH35)</f>
        <v>1.79</v>
      </c>
      <c r="AK35" s="675">
        <f>IF(CLA_!AI35="","",+CLA_!AI35)</f>
        <v>69.400000000000006</v>
      </c>
      <c r="AL35" s="2192">
        <f t="shared" si="20"/>
        <v>0.64</v>
      </c>
      <c r="AM35" s="675"/>
      <c r="AN35" s="676">
        <f>PT_!Y35</f>
        <v>100</v>
      </c>
      <c r="AO35" s="676">
        <f>PT_!Z35</f>
        <v>230</v>
      </c>
      <c r="AP35" s="682">
        <f t="shared" si="32"/>
        <v>0.11582700713135498</v>
      </c>
      <c r="AQ35" s="682">
        <f t="shared" si="21"/>
        <v>7.3740936703899668E-2</v>
      </c>
      <c r="AR35" s="675">
        <f ca="1">IF(DMREZ!D35&gt;TODAY()-2,"",((IF(ISNUMBER(O35),O35,$O$42)*2.52*HD35)/((CF35*IF(ISNUMBER(K35),K35,$K$42)*(+HD35/(HD35+HE35)))+($HQ$14*IF(ISNUMBER(AT_!Q35),AT_!Q35,AT_!$Q$42)))))</f>
        <v>5.3128761276194432</v>
      </c>
      <c r="AS35" s="675">
        <f ca="1">IF(DMREZ!D35&gt;TODAY()-2,"",((IF(ISNUMBER(P35),P35,$P$42)*2.52*HE35)/((CF35*IF(ISNUMBER(K35),K35,$K$42)*(HE35/(HD35+HE35))+((PT_!BN35+2.5/3.5*PT_!BP35)*IF(ISNUMBER(AT_!S35),AT_!S35,AT_!$S$42))))))</f>
        <v>7.6118920189942534</v>
      </c>
      <c r="AT35" s="648" t="s">
        <v>337</v>
      </c>
      <c r="AU35" s="648" t="s">
        <v>337</v>
      </c>
      <c r="AV35" s="679">
        <f>IF(CLA_!AP35="","",+CLA_!AP35)</f>
        <v>160</v>
      </c>
      <c r="AW35" s="680" t="str">
        <f>IF(CLA_!AQ35="","",+CLA_!AQ35)</f>
        <v/>
      </c>
      <c r="AX35" s="680">
        <f>IF(CLA_!AR35="","",+CLA_!AR35)</f>
        <v>150</v>
      </c>
      <c r="AY35" s="680">
        <f>IF(CLA_!AS35="","",+CLA_!AS35)</f>
        <v>130</v>
      </c>
      <c r="AZ35" s="680">
        <f>IF(CLA_!AT35="","",+CLA_!AT35)</f>
        <v>120</v>
      </c>
      <c r="BA35" s="680">
        <f>IF(CLA_!AU35="","",+CLA_!AU35)</f>
        <v>3000</v>
      </c>
      <c r="BB35" s="680" t="str">
        <f>IF(CLA_!AV35="","",+CLA_!AV35)</f>
        <v/>
      </c>
      <c r="BC35" s="680">
        <f>IF(CLA_!AW35="","",+CLA_!AW35)</f>
        <v>3400</v>
      </c>
      <c r="BD35" s="680">
        <f>IF(CLA_!AX35="","",+CLA_!AX35)</f>
        <v>3200</v>
      </c>
      <c r="BE35" s="680">
        <f>IF(CLA_!AY35="","",+CLA_!AY35)</f>
        <v>3200</v>
      </c>
      <c r="BF35" s="675">
        <f>IF(CLA_!AZ35="","",+CLA_!AZ35)</f>
        <v>6.9</v>
      </c>
      <c r="BG35" s="675" t="str">
        <f>IF(CLA_!BA35="","",+CLA_!BA35)</f>
        <v/>
      </c>
      <c r="BH35" s="675">
        <f>IF(CLA_!BB35="","",+CLA_!BB35)</f>
        <v>7</v>
      </c>
      <c r="BI35" s="675">
        <f>IF(CLA_!BC35="","",+CLA_!BC35)</f>
        <v>6.9</v>
      </c>
      <c r="BJ35" s="675">
        <f>IF(CLA_!BD35="","",+CLA_!BD35)</f>
        <v>6.8</v>
      </c>
      <c r="BK35" s="681">
        <f>IF(PT_!U35="","",+PT_!U35)</f>
        <v>5.73</v>
      </c>
      <c r="BL35" s="675">
        <f>IF(PT_!V35="","",+PT_!V35)</f>
        <v>4.8899999999999997</v>
      </c>
      <c r="BM35" s="675">
        <f>IF(PT_!W35="","",+PT_!W35)</f>
        <v>6.5</v>
      </c>
      <c r="BN35" s="675">
        <f>IF(PT_!X35="","",+PT_!X35)</f>
        <v>5.88</v>
      </c>
      <c r="BO35" s="675">
        <f>IF(PT_!T35="","",+PT_!T35)</f>
        <v>4.8</v>
      </c>
      <c r="BP35" s="676" t="str">
        <f>IF(CLA_!BE35="","",+CLA_!BE35)</f>
        <v/>
      </c>
      <c r="BQ35" s="676" t="str">
        <f>IF(CLA_!BF35="","",+CLA_!BF35)</f>
        <v/>
      </c>
      <c r="BR35" s="676" t="str">
        <f>IF(ISNUMBER(BQ35+BP35),+ROUND((BP35*DF_!DY33+BQ35*DF_!DZ33)/(DF_!DY33+DF_!DZ33),-1),"")</f>
        <v/>
      </c>
      <c r="BS35" s="676">
        <f>IF(PT_!C35="","",ROUND(+PT_!C35,0))</f>
        <v>17</v>
      </c>
      <c r="BT35" s="675">
        <f>IF(PT_!H35="","",ROUND(MAX(PT_!H35,PT_!K35),1))</f>
        <v>7.1</v>
      </c>
      <c r="BU35" s="675">
        <f>IF(PT_!I35="","",ROUND(MIN(PT_!I35,PT_!L35),1))</f>
        <v>6.7</v>
      </c>
      <c r="BV35" s="675">
        <f>IF(PT_!G35="","",ROUND((PT_!G35*DF_!DZ33+DF_!DY33*PT_!J35)/DF_!DS33,1))</f>
        <v>7</v>
      </c>
      <c r="BW35" s="675">
        <f>IF(PT_!N35="","",+PT_!N35)</f>
        <v>6.9</v>
      </c>
      <c r="BX35" s="675">
        <f>IF(PT_!O35="","",+PT_!O35)</f>
        <v>6.5</v>
      </c>
      <c r="BY35" s="675">
        <f>IF(PT_!M35="","",+PT_!M35)</f>
        <v>6.7</v>
      </c>
      <c r="BZ35" s="682">
        <f>IF(PT_!R35="","",+PT_!R35)</f>
        <v>0.38</v>
      </c>
      <c r="CA35" s="1644" t="str">
        <f>IF(PT_!P35="","",+PT_!P35)</f>
        <v/>
      </c>
      <c r="CB35" s="1645">
        <f>IF(PT_!Q35="","",+PT_!Q35)</f>
        <v>31</v>
      </c>
      <c r="CC35" s="648" t="s">
        <v>337</v>
      </c>
      <c r="CD35" s="635"/>
      <c r="CE35" s="648" t="s">
        <v>337</v>
      </c>
      <c r="CF35" s="685">
        <f>IF(DF_!AA33="","",+DF_!AA33)</f>
        <v>106</v>
      </c>
      <c r="CG35" s="677">
        <f ca="1">IF(+DMREZ!D35&lt;TODAY(),+DF_!AD33,"")</f>
        <v>106</v>
      </c>
      <c r="CH35" s="677">
        <f>IF(DF_!AB33="","",+DF_!AB33)</f>
        <v>127</v>
      </c>
      <c r="CI35" s="677">
        <f>IF(DF_!AC33="","",+DF_!AC33)</f>
        <v>73</v>
      </c>
      <c r="CJ35" s="677">
        <f>IF(DF_!AG33="","",+DF_!AG33)</f>
        <v>106</v>
      </c>
      <c r="CK35" s="677">
        <f>IF(PT_!BL35="","",ROUND(PT_!BL35,0))</f>
        <v>62</v>
      </c>
      <c r="CL35" s="686">
        <f t="shared" si="22"/>
        <v>0.58490566037735847</v>
      </c>
      <c r="CM35" s="675">
        <f>IF(PT_!AL35="","",+PT_!AL35)</f>
        <v>98</v>
      </c>
      <c r="CN35" s="687">
        <f t="shared" si="10"/>
        <v>0.92452830188679247</v>
      </c>
      <c r="CO35" s="678">
        <f t="shared" si="11"/>
        <v>1.7</v>
      </c>
      <c r="CP35" s="678">
        <f t="shared" si="23"/>
        <v>3.2</v>
      </c>
      <c r="CQ35" s="678">
        <f t="shared" si="12"/>
        <v>3.6</v>
      </c>
      <c r="CR35" s="677">
        <f t="shared" si="13"/>
        <v>580</v>
      </c>
      <c r="CS35" s="675">
        <f t="shared" si="24"/>
        <v>1.5</v>
      </c>
      <c r="CT35" s="643" t="s">
        <v>480</v>
      </c>
      <c r="CU35" s="678">
        <f t="shared" si="33"/>
        <v>64.099999999999994</v>
      </c>
      <c r="CV35" s="677">
        <f t="shared" si="48"/>
        <v>93.759750390015611</v>
      </c>
      <c r="CW35" s="678">
        <f t="shared" si="49"/>
        <v>60.1</v>
      </c>
      <c r="CX35" s="678">
        <f t="shared" si="34"/>
        <v>286.89999999999998</v>
      </c>
      <c r="CY35" s="678">
        <f t="shared" si="25"/>
        <v>42.3</v>
      </c>
      <c r="CZ35" s="678">
        <f t="shared" si="26"/>
        <v>6</v>
      </c>
      <c r="DA35" s="2025">
        <f t="shared" si="27"/>
        <v>8.3000000000000007</v>
      </c>
      <c r="DB35" s="741">
        <f t="shared" si="35"/>
        <v>6.8</v>
      </c>
      <c r="DC35" s="648" t="s">
        <v>337</v>
      </c>
      <c r="DD35" s="648" t="s">
        <v>337</v>
      </c>
      <c r="DE35" s="688">
        <f>IF(Grit!AT32+Grit!AZ32=0,"",+Grit!AT32+Grit!AZ32*0.5)</f>
        <v>270</v>
      </c>
      <c r="DF35" s="689">
        <f>IF(Grit!AV32="0","",+Grit!AV32)</f>
        <v>0</v>
      </c>
      <c r="DG35" s="689">
        <f t="shared" si="16"/>
        <v>0</v>
      </c>
      <c r="DH35" s="689" t="str">
        <f>IF(Grit!AX32+Grit!AY32=0,"",+Grit!AX32+Grit!AZ32*0.5)</f>
        <v/>
      </c>
      <c r="DI35" s="689" t="str">
        <f t="shared" si="17"/>
        <v/>
      </c>
      <c r="DJ35" s="675">
        <f ca="1">IF(+DMREZ!D35&lt;TODAY(),+PT_!AE35,"")</f>
        <v>49.6</v>
      </c>
      <c r="DK35" s="678">
        <f t="shared" ca="1" si="36"/>
        <v>137.5</v>
      </c>
      <c r="DL35" s="678">
        <f t="shared" ca="1" si="37"/>
        <v>109.3</v>
      </c>
      <c r="DM35" s="678">
        <f t="shared" ca="1" si="38"/>
        <v>49.6</v>
      </c>
      <c r="DN35" s="678">
        <f t="shared" ca="1" si="39"/>
        <v>55.9</v>
      </c>
      <c r="DO35" s="678">
        <f t="shared" ca="1" si="40"/>
        <v>38.799999999999997</v>
      </c>
      <c r="DP35" s="687" t="str">
        <f>IF(DW_!R35="","",+DW_!R35/1000)</f>
        <v/>
      </c>
      <c r="DQ35" s="678" t="str">
        <f>IF(DW_!S35="","",+DW_!S35*2)</f>
        <v/>
      </c>
      <c r="DR35" s="678" t="str">
        <f>+DW_!S35</f>
        <v/>
      </c>
      <c r="DS35" s="675"/>
      <c r="DT35" s="677">
        <f>IF(PT_!AC35="","",+PT_!AC35)</f>
        <v>103</v>
      </c>
      <c r="DU35" s="689">
        <f>IF(ISNUMBER(CHEM_!G34),+CHEM_!G34,"")</f>
        <v>1320</v>
      </c>
      <c r="DV35" s="675">
        <f t="shared" si="18"/>
        <v>12.5</v>
      </c>
      <c r="DW35" s="687">
        <f>IF(PT_!S35="","",+PT_!S35)</f>
        <v>0.43</v>
      </c>
      <c r="DX35" s="648" t="s">
        <v>337</v>
      </c>
      <c r="DY35" s="648" t="s">
        <v>337</v>
      </c>
      <c r="DZ35" s="690" t="str">
        <f>PT_!AK35</f>
        <v/>
      </c>
      <c r="EA35" s="678">
        <f>IF(PT_!AJ35="","",+PT_!AJ35)</f>
        <v>144</v>
      </c>
      <c r="EB35" s="2086">
        <f t="shared" si="19"/>
        <v>144</v>
      </c>
      <c r="EC35" s="2094">
        <f>IF(PT_!BO35="","",+PT_!BO35)</f>
        <v>57.61992</v>
      </c>
      <c r="ED35" s="1902" t="s">
        <v>477</v>
      </c>
      <c r="EE35" s="643"/>
      <c r="EF35" s="2083">
        <v>205.7</v>
      </c>
      <c r="EG35" s="2084">
        <v>617.1</v>
      </c>
      <c r="EH35" s="1890"/>
      <c r="EI35" s="689"/>
      <c r="EJ35" s="1891" t="str">
        <f>+PT_!AF35</f>
        <v/>
      </c>
      <c r="EK35" s="759" t="str">
        <f t="shared" si="50"/>
        <v/>
      </c>
      <c r="EL35" s="689"/>
      <c r="EM35" s="689" t="str">
        <f>IF(PT_!AH35&gt;0,+PT_!AH35,"")</f>
        <v/>
      </c>
      <c r="EN35" s="614" t="str">
        <f>IF(PT_!AZ35="","",+PT_!AZ35)</f>
        <v>Clear</v>
      </c>
      <c r="EO35" s="615" t="s">
        <v>337</v>
      </c>
      <c r="EP35" s="610" t="s">
        <v>337</v>
      </c>
      <c r="EQ35" s="691">
        <f>CLA_!BG35</f>
        <v>0.1</v>
      </c>
      <c r="ER35" s="687">
        <f>CLA_!BH35</f>
        <v>0.05</v>
      </c>
      <c r="ES35" s="678">
        <f>CLA_!BI35</f>
        <v>11.6</v>
      </c>
      <c r="ET35" s="678">
        <f>CLA_!BJ35</f>
        <v>34.700000000000003</v>
      </c>
      <c r="EU35" s="687" t="str">
        <f>CLA_!BK35</f>
        <v/>
      </c>
      <c r="EV35" s="687" t="str">
        <f>CLA_!BL35</f>
        <v/>
      </c>
      <c r="EW35" s="677" t="str">
        <f>CLA_!BM35</f>
        <v/>
      </c>
      <c r="EX35" s="691">
        <f>CLA_!BN35</f>
        <v>0.05</v>
      </c>
      <c r="EY35" s="687">
        <f>CLA_!BO35</f>
        <v>0.08</v>
      </c>
      <c r="EZ35" s="678">
        <f>CLA_!BP35</f>
        <v>12.4</v>
      </c>
      <c r="FA35" s="678">
        <f>CLA_!BQ35</f>
        <v>33.4</v>
      </c>
      <c r="FB35" s="687" t="str">
        <f>CLA_!BR35</f>
        <v/>
      </c>
      <c r="FC35" s="687" t="str">
        <f>CLA_!BS35</f>
        <v/>
      </c>
      <c r="FD35" s="677" t="str">
        <f>CLA_!BT35</f>
        <v/>
      </c>
      <c r="FE35" s="691">
        <f>IF(ISNUMBER(EQ35+EX35),+EQ35*DF_!$EA33+EX35*DF_!$EB33,"")</f>
        <v>8.2500000000000004E-2</v>
      </c>
      <c r="FF35" s="687">
        <f>IF(ISNUMBER(+ER35+EY35),+ER35*DF_!$EA33+EY35*DF_!$EB33,"")</f>
        <v>6.0499999999999998E-2</v>
      </c>
      <c r="FG35" s="678">
        <f>IF(ISNUMBER(ES35)+ISNUMBER(EZ35)&gt;0,IF(ISNUMBER(ES35),ES35,$ET$42)*DF_!$EA33+IF(ISNUMBER(EZ35),EZ35,$FA$42)*DF_!$EB33,"")</f>
        <v>11.879999999999999</v>
      </c>
      <c r="FH35" s="678">
        <f>IF(ISNUMBER(ET35)+ISNUMBER(FA35)&gt;0,IF(ISNUMBER(ET35),ET35,$ET$42)*DF_!$EA33+IF(ISNUMBER(FA35),FA35,$FA$42)*DF_!$EB33,"")</f>
        <v>34.245000000000005</v>
      </c>
      <c r="FI35" s="687" t="str">
        <f>IF(EU35="","",+EU35*DF_!$EA33+FB35*DF_!$EB33)</f>
        <v/>
      </c>
      <c r="FJ35" s="687" t="str">
        <f>IF(EV35="","",+EV35*DF_!$EA33+FC35*DF_!$EB33)</f>
        <v/>
      </c>
      <c r="FK35" s="677" t="str">
        <f>IF(EW35="","",+EW35*DF_!$EA33+FD35*DF_!$EB33)</f>
        <v/>
      </c>
      <c r="FL35" s="691" t="str">
        <f>CLA_!BU35</f>
        <v/>
      </c>
      <c r="FM35" s="687" t="str">
        <f>CLA_!BV35</f>
        <v/>
      </c>
      <c r="FN35" s="678" t="str">
        <f>CLA_!BW35</f>
        <v/>
      </c>
      <c r="FO35" s="678" t="str">
        <f>CLA_!BX35</f>
        <v/>
      </c>
      <c r="FP35" s="687" t="str">
        <f>CLA_!BY35</f>
        <v/>
      </c>
      <c r="FQ35" s="687" t="str">
        <f>CLA_!BZ35</f>
        <v/>
      </c>
      <c r="FR35" s="677" t="str">
        <f>CLA_!CA35</f>
        <v/>
      </c>
      <c r="FS35" s="691">
        <f>CLA_!CB35</f>
        <v>1.07</v>
      </c>
      <c r="FT35" s="687">
        <f>CLA_!CC35</f>
        <v>3.37</v>
      </c>
      <c r="FU35" s="678">
        <f>CLA_!CD35</f>
        <v>10</v>
      </c>
      <c r="FV35" s="678">
        <f>CLA_!CE35</f>
        <v>12.1</v>
      </c>
      <c r="FW35" s="687" t="str">
        <f>CLA_!CF35</f>
        <v/>
      </c>
      <c r="FX35" s="687" t="str">
        <f>CLA_!CG35</f>
        <v/>
      </c>
      <c r="FY35" s="677" t="str">
        <f>CLA_!CH35</f>
        <v/>
      </c>
      <c r="FZ35" s="610" t="s">
        <v>337</v>
      </c>
      <c r="GA35" s="610" t="s">
        <v>337</v>
      </c>
      <c r="GB35" s="1968" t="str">
        <f>IF(CLA_!CY35="","",+CLA_!CY35)</f>
        <v/>
      </c>
      <c r="GC35" s="677" t="str">
        <f>IF(CLA_!CZ35="","",+CLA_!CZ35)</f>
        <v/>
      </c>
      <c r="GD35" s="677" t="str">
        <f>IF(CLA_!DA35="","",+CLA_!DA35)</f>
        <v/>
      </c>
      <c r="GE35" s="678" t="str">
        <f>IF(CLA_!DB35="","",+CLA_!DB35)</f>
        <v/>
      </c>
      <c r="GF35" s="677" t="str">
        <f>IF(CLA_!DO35="","",+CLA_!DO35)</f>
        <v/>
      </c>
      <c r="GG35" s="678" t="str">
        <f>IF(CLA_!DP35="","",+CLA_!DP35)</f>
        <v/>
      </c>
      <c r="GH35" s="677" t="str">
        <f>IF(CLA_!DQ35="","",+CLA_!DQ35)</f>
        <v/>
      </c>
      <c r="GI35" s="677" t="str">
        <f>IF(CLA_!DR35="","",+CLA_!DR35)</f>
        <v/>
      </c>
      <c r="GJ35" s="2030"/>
      <c r="GK35" s="2025" t="str">
        <f>IF(CLA_!CQ35="","",+CLA_!CQ35)</f>
        <v/>
      </c>
      <c r="GL35" s="2024"/>
      <c r="GM35" s="2026" t="str">
        <f>IF(CLA_!CR35="","",+CLA_!CR35)</f>
        <v/>
      </c>
      <c r="GN35" s="2024" t="str">
        <f>IF(CLA_!CZ35="","",+CLA_!CZ35)</f>
        <v/>
      </c>
      <c r="GO35" s="2026" t="str">
        <f>IF(CLA_!CS35="","",+CLA_!CS35)</f>
        <v/>
      </c>
      <c r="GP35" s="2024" t="str">
        <f>IF(CLA_!DA35="","",+CLA_!DA35)</f>
        <v/>
      </c>
      <c r="GQ35" s="2025" t="str">
        <f>IF(CLA_!CT35="","",+CLA_!CT35)</f>
        <v/>
      </c>
      <c r="GR35" s="2024" t="str">
        <f>IF(CLA_!CY35="","",+CLA_!CY35)</f>
        <v/>
      </c>
      <c r="GS35" s="2024" t="str">
        <f>IF(CLA_!CV35="","",+CLA_!CV35)</f>
        <v/>
      </c>
      <c r="GT35" s="2024" t="str">
        <f>IF(CLA_!DO35="","",+CLA_!DO35)</f>
        <v/>
      </c>
      <c r="GU35" s="2031" t="str">
        <f>IF(CLA_!CU35="","",+CLA_!CU35)</f>
        <v/>
      </c>
      <c r="GV35" s="1913" t="str">
        <f>CLA_!DF35</f>
        <v/>
      </c>
      <c r="GW35" s="677" t="str">
        <f>CLA_!DG35</f>
        <v/>
      </c>
      <c r="GX35" s="677" t="str">
        <f>CLA_!DH35</f>
        <v/>
      </c>
      <c r="GY35" s="678" t="str">
        <f>CLA_!DC35</f>
        <v/>
      </c>
      <c r="GZ35" s="648" t="s">
        <v>337</v>
      </c>
      <c r="HA35" s="635"/>
      <c r="HB35" s="648" t="s">
        <v>337</v>
      </c>
      <c r="HC35" s="685">
        <f>IF(PT_!BC35="","",+PT_!BC35)</f>
        <v>14</v>
      </c>
      <c r="HD35" s="677">
        <f>IF(PT_!BD35="","",+PT_!BD35)</f>
        <v>6</v>
      </c>
      <c r="HE35" s="677">
        <f>IF(PT_!BE35="","",+PT_!BE35)</f>
        <v>3</v>
      </c>
      <c r="HF35" s="677">
        <f>IF(PT_!BF35="","",+PT_!BF35)</f>
        <v>3</v>
      </c>
      <c r="HG35" s="677">
        <f>IF(PT_!BG35="","",+PT_!BG35)</f>
        <v>4</v>
      </c>
      <c r="HH35" s="677">
        <f>IF(PT_!BH35="","",+PT_!BH35)</f>
        <v>1</v>
      </c>
      <c r="HI35" s="677">
        <f>IF(PT_!BI35="","",+PT_!BI35)</f>
        <v>1</v>
      </c>
      <c r="HJ35" s="677">
        <f>IF(PT_!BJ35="","",+PT_!BJ35)</f>
        <v>4</v>
      </c>
      <c r="HK35" s="677">
        <f>IF(PT_!BK35="","",+PT_!BK35)</f>
        <v>2</v>
      </c>
      <c r="HL35" s="653"/>
      <c r="HM35" s="1782">
        <f t="shared" si="29"/>
        <v>67</v>
      </c>
      <c r="HN35" s="1787">
        <f t="shared" si="30"/>
        <v>40</v>
      </c>
      <c r="HO35" s="719">
        <f t="shared" si="31"/>
        <v>45</v>
      </c>
      <c r="HU35" s="730"/>
      <c r="HV35" s="2442"/>
      <c r="IU35" s="27"/>
    </row>
    <row r="36" spans="1:255" ht="17.100000000000001" customHeight="1">
      <c r="A36" s="579"/>
      <c r="B36" s="648" t="s">
        <v>338</v>
      </c>
      <c r="C36" s="674">
        <f>+CLA_!D36</f>
        <v>256</v>
      </c>
      <c r="D36" s="675" t="str">
        <f>+CLA_!E36</f>
        <v/>
      </c>
      <c r="E36" s="676">
        <f>+CLA_!F36</f>
        <v>140</v>
      </c>
      <c r="F36" s="675" t="str">
        <f>+CLA_!G36</f>
        <v/>
      </c>
      <c r="G36" s="676">
        <f>IF(C36="","",ROUND((IF(ISNUMBER(C36),C36,+$C$42)*DF_!$DY34+IF(ISNUMBER(E36),E36,$E$42)*DF_!$DZ34)/(DF_!$DY34+DF_!$DZ34),0))</f>
        <v>215</v>
      </c>
      <c r="H36" s="675" t="str">
        <f>IF(D36="","",ROUND((IF(+D36=0,+$D$42,+D36)*DF_!$DY34+IF(ISNUMBER(F36),F36,$F$42)*DF_!$DZ34)/(DF_!$DY34+DF_!$DZ34),1))</f>
        <v/>
      </c>
      <c r="I36" s="676">
        <f>+CLA_!H36</f>
        <v>54</v>
      </c>
      <c r="J36" s="676">
        <f>+CLA_!I36</f>
        <v>138</v>
      </c>
      <c r="K36" s="676">
        <f>+CLA_!J36</f>
        <v>17</v>
      </c>
      <c r="L36" s="676">
        <f>+CLA_!K36</f>
        <v>194</v>
      </c>
      <c r="M36" s="677">
        <f>IF(SUM(CLA_!L36:N36)=0,"",ROUND(AVERAGE(CLA_!L36:N36),-2))</f>
        <v>2800</v>
      </c>
      <c r="N36" s="677">
        <f>IF(SUM(CLA_!O36:P36)=0,"",ROUND(AVERAGE(CLA_!O36:P36),-2))</f>
        <v>3000</v>
      </c>
      <c r="O36" s="677">
        <f>IF(SUM(CLA_!Q36:S36)=0,"",ROUND(AVERAGE(CLA_!Q36:S36),-2))</f>
        <v>3800</v>
      </c>
      <c r="P36" s="677">
        <f>IF(SUM(CLA_!T36:U36)=0,"",ROUND(AVERAGE(CLA_!T36:U36),-2))</f>
        <v>4000</v>
      </c>
      <c r="Q36" s="677">
        <f>+CLA_!V36</f>
        <v>3520</v>
      </c>
      <c r="R36" s="678" t="str">
        <f>+CLA_!W36</f>
        <v/>
      </c>
      <c r="S36" s="677">
        <f>+CLA_!X36</f>
        <v>5920</v>
      </c>
      <c r="T36" s="678" t="str">
        <f>+CLA_!Y36</f>
        <v/>
      </c>
      <c r="U36" s="675">
        <f>IF(M36="","",+M36/(PT_!Y36*10))</f>
        <v>2.3333333333333335</v>
      </c>
      <c r="V36" s="675">
        <f>IF(N36="","",+N36/(PT_!Z36*10))</f>
        <v>0.90909090909090906</v>
      </c>
      <c r="W36" s="675"/>
      <c r="X36" s="675"/>
      <c r="Y36" s="648" t="s">
        <v>338</v>
      </c>
      <c r="Z36" s="648" t="s">
        <v>338</v>
      </c>
      <c r="AA36" s="674">
        <f>IF(CLA_!Z36="","",+CLA_!Z36)</f>
        <v>193</v>
      </c>
      <c r="AB36" s="676">
        <f>IF(CLA_!AA36="","",+CLA_!AA36)</f>
        <v>125</v>
      </c>
      <c r="AC36" s="676">
        <f>IF(AA36="","",ROUND((IF(ISNUMBER(AA36),AA36,$AA$42)*DF_!$DY34+IF(ISNUMBER(AB36),AB36,$AB$42)*DF_!$DZ34)/(DF_!$DY34+DF_!$DZ34),0))</f>
        <v>169</v>
      </c>
      <c r="AD36" s="676">
        <f>IF(CLA_!AB36="","",+CLA_!AB36)</f>
        <v>83</v>
      </c>
      <c r="AE36" s="676">
        <f>IF(CLA_!AC36="","",+CLA_!AC36)</f>
        <v>81</v>
      </c>
      <c r="AF36" s="676">
        <f>IF(CLA_!AD36="","",+CLA_!AD36)</f>
        <v>10</v>
      </c>
      <c r="AG36" s="676">
        <f>IF(CLA_!AE36="","",+CLA_!AE36)</f>
        <v>2620</v>
      </c>
      <c r="AH36" s="675">
        <f>IF(CLA_!AF36="","",+CLA_!AF36)</f>
        <v>3.91</v>
      </c>
      <c r="AI36" s="675">
        <f>IF(CLA_!AG36="","",+CLA_!AG36)</f>
        <v>81.3</v>
      </c>
      <c r="AJ36" s="675">
        <f>IF(CLA_!AH36="","",+CLA_!AH36)</f>
        <v>1.7</v>
      </c>
      <c r="AK36" s="675">
        <f>IF(CLA_!AI36="","",+CLA_!AI36)</f>
        <v>67.400000000000006</v>
      </c>
      <c r="AL36" s="2192">
        <f t="shared" si="20"/>
        <v>0.64</v>
      </c>
      <c r="AM36" s="675"/>
      <c r="AN36" s="676">
        <f>PT_!Y36</f>
        <v>120</v>
      </c>
      <c r="AO36" s="676">
        <f>PT_!Z36</f>
        <v>330</v>
      </c>
      <c r="AP36" s="682">
        <f t="shared" si="32"/>
        <v>0.15505198180636778</v>
      </c>
      <c r="AQ36" s="682">
        <f t="shared" si="21"/>
        <v>0.14374999999999999</v>
      </c>
      <c r="AR36" s="675">
        <f ca="1">IF(DMREZ!D36&gt;TODAY()-2,"",((IF(ISNUMBER(O36),O36,$O$42)*2.52*HD36)/((CF36*IF(ISNUMBER(K36),K36,$K$42)*(+HD36/(HD36+HE36)))+($HQ$14*IF(ISNUMBER(AT_!Q36),AT_!Q36,AT_!$Q$42)))))</f>
        <v>7.1349488957037375</v>
      </c>
      <c r="AS36" s="675">
        <f ca="1">IF(DMREZ!D36&gt;TODAY()-2,"",((IF(ISNUMBER(P36),P36,$P$42)*2.52*HE36)/((CF36*IF(ISNUMBER(K36),K36,$K$42)*(HE36/(HD36+HE36))+((PT_!BN36+2.5/3.5*PT_!BP36)*IF(ISNUMBER(AT_!S36),AT_!S36,AT_!$S$42))))))</f>
        <v>4.6859749011724094</v>
      </c>
      <c r="AT36" s="648" t="s">
        <v>338</v>
      </c>
      <c r="AU36" s="648" t="s">
        <v>338</v>
      </c>
      <c r="AV36" s="679" t="str">
        <f>IF(CLA_!AP36="","",+CLA_!AP36)</f>
        <v/>
      </c>
      <c r="AW36" s="680" t="str">
        <f>IF(CLA_!AQ36="","",+CLA_!AQ36)</f>
        <v/>
      </c>
      <c r="AX36" s="680" t="str">
        <f>IF(CLA_!AR36="","",+CLA_!AR36)</f>
        <v/>
      </c>
      <c r="AY36" s="680" t="str">
        <f>IF(CLA_!AS36="","",+CLA_!AS36)</f>
        <v/>
      </c>
      <c r="AZ36" s="680" t="str">
        <f>IF(CLA_!AT36="","",+CLA_!AT36)</f>
        <v/>
      </c>
      <c r="BA36" s="680" t="str">
        <f>IF(CLA_!AU36="","",+CLA_!AU36)</f>
        <v/>
      </c>
      <c r="BB36" s="680" t="str">
        <f>IF(CLA_!AV36="","",+CLA_!AV36)</f>
        <v/>
      </c>
      <c r="BC36" s="680" t="str">
        <f>IF(CLA_!AW36="","",+CLA_!AW36)</f>
        <v/>
      </c>
      <c r="BD36" s="680" t="str">
        <f>IF(CLA_!AX36="","",+CLA_!AX36)</f>
        <v/>
      </c>
      <c r="BE36" s="680" t="str">
        <f>IF(CLA_!AY36="","",+CLA_!AY36)</f>
        <v/>
      </c>
      <c r="BF36" s="675" t="str">
        <f>IF(CLA_!AZ36="","",+CLA_!AZ36)</f>
        <v/>
      </c>
      <c r="BG36" s="675" t="str">
        <f>IF(CLA_!BA36="","",+CLA_!BA36)</f>
        <v/>
      </c>
      <c r="BH36" s="675" t="str">
        <f>IF(CLA_!BB36="","",+CLA_!BB36)</f>
        <v/>
      </c>
      <c r="BI36" s="675" t="str">
        <f>IF(CLA_!BC36="","",+CLA_!BC36)</f>
        <v/>
      </c>
      <c r="BJ36" s="675" t="str">
        <f>IF(CLA_!BD36="","",+CLA_!BD36)</f>
        <v/>
      </c>
      <c r="BK36" s="681">
        <f>IF(PT_!U36="","",+PT_!U36)</f>
        <v>5.53</v>
      </c>
      <c r="BL36" s="675">
        <f>IF(PT_!V36="","",+PT_!V36)</f>
        <v>5.26</v>
      </c>
      <c r="BM36" s="675">
        <f>IF(PT_!W36="","",+PT_!W36)</f>
        <v>7.09</v>
      </c>
      <c r="BN36" s="675">
        <f>IF(PT_!X36="","",+PT_!X36)</f>
        <v>7.01</v>
      </c>
      <c r="BO36" s="675">
        <f>IF(PT_!T36="","",+PT_!T36)</f>
        <v>4.59</v>
      </c>
      <c r="BP36" s="676">
        <f>IF(CLA_!BE36="","",+CLA_!BE36)</f>
        <v>1550</v>
      </c>
      <c r="BQ36" s="676">
        <f>IF(CLA_!BF36="","",+CLA_!BF36)</f>
        <v>1510</v>
      </c>
      <c r="BR36" s="676">
        <f>IF(ISNUMBER(BQ36+BP36),+ROUND((BP36*DF_!DY34+BQ36*DF_!DZ34)/(DF_!DY34+DF_!DZ34),-1),"")</f>
        <v>1540</v>
      </c>
      <c r="BS36" s="676">
        <f>IF(PT_!C36="","",ROUND(+PT_!C36,0))</f>
        <v>17</v>
      </c>
      <c r="BT36" s="675">
        <f>IF(PT_!H36="","",ROUND(MAX(PT_!H36,PT_!K36),1))</f>
        <v>7.1</v>
      </c>
      <c r="BU36" s="675">
        <f>IF(PT_!I36="","",ROUND(MIN(PT_!I36,PT_!L36),1))</f>
        <v>6.7</v>
      </c>
      <c r="BV36" s="675">
        <f>IF(PT_!G36="","",ROUND((PT_!G36*DF_!DZ34+DF_!DY34*PT_!J36)/DF_!DS34,1))</f>
        <v>7</v>
      </c>
      <c r="BW36" s="675">
        <f>IF(PT_!N36="","",+PT_!N36)</f>
        <v>6.8</v>
      </c>
      <c r="BX36" s="675">
        <f>IF(PT_!O36="","",+PT_!O36)</f>
        <v>6.4</v>
      </c>
      <c r="BY36" s="675">
        <f>IF(PT_!M36="","",+PT_!M36)</f>
        <v>6.6</v>
      </c>
      <c r="BZ36" s="682">
        <f>IF(PT_!R36="","",+PT_!R36)</f>
        <v>0.42</v>
      </c>
      <c r="CA36" s="1644" t="str">
        <f>IF(PT_!P36="","",+PT_!P36)</f>
        <v/>
      </c>
      <c r="CB36" s="1645">
        <f>IF(PT_!Q36="","",+PT_!Q36)</f>
        <v>72</v>
      </c>
      <c r="CC36" s="648" t="s">
        <v>338</v>
      </c>
      <c r="CD36" s="635"/>
      <c r="CE36" s="648" t="s">
        <v>338</v>
      </c>
      <c r="CF36" s="685">
        <f>IF(DF_!AA34="","",+DF_!AA34)</f>
        <v>161</v>
      </c>
      <c r="CG36" s="677">
        <f ca="1">IF(+DMREZ!D36&lt;TODAY(),+DF_!AD34,"")</f>
        <v>98</v>
      </c>
      <c r="CH36" s="677">
        <f>IF(DF_!AB34="","",+DF_!AB34)</f>
        <v>213</v>
      </c>
      <c r="CI36" s="677">
        <f>IF(DF_!AC34="","",+DF_!AC34)</f>
        <v>76</v>
      </c>
      <c r="CJ36" s="677">
        <f>IF(DF_!AG34="","",+DF_!AG34)</f>
        <v>161</v>
      </c>
      <c r="CK36" s="677">
        <f>IF(PT_!BL36="","",ROUND(PT_!BL36,0))</f>
        <v>62</v>
      </c>
      <c r="CL36" s="686">
        <f t="shared" si="22"/>
        <v>0.38509316770186336</v>
      </c>
      <c r="CM36" s="675">
        <f>IF(PT_!AL36="","",+PT_!AL36)</f>
        <v>94.4</v>
      </c>
      <c r="CN36" s="687">
        <f t="shared" si="10"/>
        <v>0.58633540372670812</v>
      </c>
      <c r="CO36" s="678">
        <f t="shared" si="11"/>
        <v>1.1000000000000001</v>
      </c>
      <c r="CP36" s="678">
        <f t="shared" si="23"/>
        <v>2.4</v>
      </c>
      <c r="CQ36" s="678">
        <f t="shared" si="12"/>
        <v>2.2999999999999998</v>
      </c>
      <c r="CR36" s="677">
        <f t="shared" si="13"/>
        <v>880</v>
      </c>
      <c r="CS36" s="675">
        <f t="shared" si="24"/>
        <v>1.6</v>
      </c>
      <c r="CT36" s="643"/>
      <c r="CU36" s="678">
        <f t="shared" si="33"/>
        <v>144.30000000000001</v>
      </c>
      <c r="CV36" s="677">
        <f t="shared" si="48"/>
        <v>92.099792099792097</v>
      </c>
      <c r="CW36" s="678">
        <f t="shared" si="49"/>
        <v>132.9</v>
      </c>
      <c r="CX36" s="678">
        <f t="shared" si="34"/>
        <v>365.7</v>
      </c>
      <c r="CY36" s="678">
        <f t="shared" si="25"/>
        <v>58.8</v>
      </c>
      <c r="CZ36" s="678">
        <f t="shared" si="26"/>
        <v>9.9</v>
      </c>
      <c r="DA36" s="2025">
        <f t="shared" ref="DA36:DA37" si="51">IF(CJ36="","",ROUND((+$HE$8*$HE36*8.34*IF(ISTEXT(P36),$P$42,P36))/((HE36/(HD36+HE36))*8.34*CJ36*IF(ISTEXT(J36),$J$42,J36)),1))</f>
        <v>4.0999999999999996</v>
      </c>
      <c r="DB36" s="741">
        <f t="shared" si="35"/>
        <v>6.2</v>
      </c>
      <c r="DC36" s="648" t="s">
        <v>338</v>
      </c>
      <c r="DD36" s="648" t="s">
        <v>338</v>
      </c>
      <c r="DE36" s="688">
        <f>IF(Grit!AT33+Grit!AZ33=0,"",+Grit!AT33+Grit!AZ33*0.5)</f>
        <v>594</v>
      </c>
      <c r="DF36" s="689">
        <f>IF(Grit!AV33="0","",+Grit!AV33)</f>
        <v>0</v>
      </c>
      <c r="DG36" s="689">
        <f t="shared" si="16"/>
        <v>0</v>
      </c>
      <c r="DH36" s="689" t="str">
        <f>IF(Grit!AX33+Grit!AY33=0,"",+Grit!AX33+Grit!AZ33*0.5)</f>
        <v/>
      </c>
      <c r="DI36" s="689" t="str">
        <f t="shared" si="17"/>
        <v/>
      </c>
      <c r="DJ36" s="675">
        <f ca="1">IF(+DMREZ!D36&lt;TODAY(),+PT_!AE36,"")</f>
        <v>29.4</v>
      </c>
      <c r="DK36" s="678">
        <f t="shared" ca="1" si="36"/>
        <v>72.400000000000006</v>
      </c>
      <c r="DL36" s="678">
        <f t="shared" ca="1" si="37"/>
        <v>58.9</v>
      </c>
      <c r="DM36" s="678">
        <f t="shared" ca="1" si="38"/>
        <v>29.4</v>
      </c>
      <c r="DN36" s="678">
        <f t="shared" ca="1" si="39"/>
        <v>31.5</v>
      </c>
      <c r="DO36" s="678">
        <f t="shared" ca="1" si="40"/>
        <v>21.2</v>
      </c>
      <c r="DP36" s="687" t="str">
        <f>IF(DW_!R36="","",+DW_!R36/1000)</f>
        <v/>
      </c>
      <c r="DQ36" s="678" t="str">
        <f>IF(DW_!S36="","",+DW_!S36*2)</f>
        <v/>
      </c>
      <c r="DR36" s="678" t="str">
        <f>+DW_!S36</f>
        <v/>
      </c>
      <c r="DS36" s="675"/>
      <c r="DT36" s="677">
        <f>IF(PT_!AC36="","",+PT_!AC36)</f>
        <v>100</v>
      </c>
      <c r="DU36" s="689">
        <f>IF(ISNUMBER(CHEM_!G35),+CHEM_!G35,"")</f>
        <v>1210</v>
      </c>
      <c r="DV36" s="675">
        <f t="shared" si="18"/>
        <v>7.5</v>
      </c>
      <c r="DW36" s="687">
        <f>IF(PT_!S36="","",+PT_!S36)</f>
        <v>0.41</v>
      </c>
      <c r="DX36" s="648" t="s">
        <v>338</v>
      </c>
      <c r="DY36" s="648" t="s">
        <v>338</v>
      </c>
      <c r="DZ36" s="690" t="str">
        <f>PT_!AK36</f>
        <v/>
      </c>
      <c r="EA36" s="678">
        <f>IF(PT_!AJ36="","",+PT_!AJ36)</f>
        <v>137.6</v>
      </c>
      <c r="EB36" s="2086">
        <f t="shared" si="19"/>
        <v>137.6</v>
      </c>
      <c r="EC36" s="2094">
        <f>IF(PT_!BO36="","",+PT_!BO36)</f>
        <v>53.244</v>
      </c>
      <c r="ED36" s="1903"/>
      <c r="EE36" s="643"/>
      <c r="EF36" s="2083">
        <v>205.7</v>
      </c>
      <c r="EG36" s="2084">
        <v>617.1</v>
      </c>
      <c r="EH36" s="1890"/>
      <c r="EI36" s="689"/>
      <c r="EJ36" s="1891" t="str">
        <f>+PT_!AF36</f>
        <v/>
      </c>
      <c r="EK36" s="759" t="str">
        <f t="shared" si="50"/>
        <v/>
      </c>
      <c r="EL36" s="689"/>
      <c r="EM36" s="689" t="str">
        <f>IF(PT_!AH36&gt;0,+PT_!AH36,"")</f>
        <v/>
      </c>
      <c r="EN36" s="614" t="str">
        <f>IF(PT_!AZ36="","",+PT_!AZ36)</f>
        <v>Snow Melt</v>
      </c>
      <c r="EO36" s="615" t="s">
        <v>338</v>
      </c>
      <c r="EP36" s="610" t="s">
        <v>338</v>
      </c>
      <c r="EQ36" s="691">
        <f>CLA_!BG36</f>
        <v>0.06</v>
      </c>
      <c r="ER36" s="687">
        <f>CLA_!BH36</f>
        <v>0.28999999999999998</v>
      </c>
      <c r="ES36" s="678">
        <f>CLA_!BI36</f>
        <v>13</v>
      </c>
      <c r="ET36" s="678">
        <f>CLA_!BJ36</f>
        <v>38.1</v>
      </c>
      <c r="EU36" s="687" t="str">
        <f>CLA_!BK36</f>
        <v/>
      </c>
      <c r="EV36" s="687" t="str">
        <f>CLA_!BL36</f>
        <v/>
      </c>
      <c r="EW36" s="677" t="str">
        <f>CLA_!BM36</f>
        <v/>
      </c>
      <c r="EX36" s="691">
        <f>CLA_!BN36</f>
        <v>0.06</v>
      </c>
      <c r="EY36" s="687">
        <f>CLA_!BO36</f>
        <v>0.31</v>
      </c>
      <c r="EZ36" s="678">
        <f>CLA_!BP36</f>
        <v>14.2</v>
      </c>
      <c r="FA36" s="678">
        <f>CLA_!BQ36</f>
        <v>26.3</v>
      </c>
      <c r="FB36" s="687" t="str">
        <f>CLA_!BR36</f>
        <v/>
      </c>
      <c r="FC36" s="687" t="str">
        <f>CLA_!BS36</f>
        <v/>
      </c>
      <c r="FD36" s="677" t="str">
        <f>CLA_!BT36</f>
        <v/>
      </c>
      <c r="FE36" s="691">
        <f>IF(ISNUMBER(EQ36+EX36),+EQ36*DF_!$EA34+EX36*DF_!$EB34,"")</f>
        <v>0.06</v>
      </c>
      <c r="FF36" s="687">
        <f>IF(ISNUMBER(+ER36+EY36),+ER36*DF_!$EA34+EY36*DF_!$EB34,"")</f>
        <v>0.29699999999999999</v>
      </c>
      <c r="FG36" s="678">
        <f>IF(ISNUMBER(ES36)+ISNUMBER(EZ36)&gt;0,IF(ISNUMBER(ES36),ES36,$ET$42)*DF_!$EA34+IF(ISNUMBER(EZ36),EZ36,$FA$42)*DF_!$EB34,"")</f>
        <v>13.420000000000002</v>
      </c>
      <c r="FH36" s="678">
        <f>IF(ISNUMBER(ET36)+ISNUMBER(FA36)&gt;0,IF(ISNUMBER(ET36),ET36,$ET$42)*DF_!$EA34+IF(ISNUMBER(FA36),FA36,$FA$42)*DF_!$EB34,"")</f>
        <v>33.97</v>
      </c>
      <c r="FI36" s="687" t="str">
        <f>IF(EU36="","",+EU36*DF_!$EA34+FB36*DF_!$EB34)</f>
        <v/>
      </c>
      <c r="FJ36" s="687" t="str">
        <f>IF(EV36="","",+EV36*DF_!$EA34+FC36*DF_!$EB34)</f>
        <v/>
      </c>
      <c r="FK36" s="677" t="str">
        <f>IF(EW36="","",+EW36*DF_!$EA34+FD36*DF_!$EB34)</f>
        <v/>
      </c>
      <c r="FL36" s="691">
        <f>CLA_!BU36</f>
        <v>7.0000000000000007E-2</v>
      </c>
      <c r="FM36" s="687">
        <f>CLA_!BV36</f>
        <v>0</v>
      </c>
      <c r="FN36" s="678">
        <f>CLA_!BW36</f>
        <v>25.4</v>
      </c>
      <c r="FO36" s="678" t="str">
        <f>CLA_!BX36</f>
        <v/>
      </c>
      <c r="FP36" s="687" t="str">
        <f>CLA_!BY36</f>
        <v/>
      </c>
      <c r="FQ36" s="687" t="str">
        <f>CLA_!BZ36</f>
        <v/>
      </c>
      <c r="FR36" s="677" t="str">
        <f>CLA_!CA36</f>
        <v/>
      </c>
      <c r="FS36" s="691">
        <f>CLA_!CB36</f>
        <v>0.96</v>
      </c>
      <c r="FT36" s="687">
        <f>CLA_!CC36</f>
        <v>2.4</v>
      </c>
      <c r="FU36" s="678">
        <f>CLA_!CD36</f>
        <v>10.1</v>
      </c>
      <c r="FV36" s="678">
        <f>CLA_!CE36</f>
        <v>12.9</v>
      </c>
      <c r="FW36" s="687" t="str">
        <f>CLA_!CF36</f>
        <v/>
      </c>
      <c r="FX36" s="687" t="str">
        <f>CLA_!CG36</f>
        <v/>
      </c>
      <c r="FY36" s="677" t="str">
        <f>CLA_!CH36</f>
        <v/>
      </c>
      <c r="FZ36" s="610" t="s">
        <v>338</v>
      </c>
      <c r="GA36" s="610" t="s">
        <v>338</v>
      </c>
      <c r="GB36" s="1968" t="str">
        <f>IF(CLA_!CY36="","",+CLA_!CY36)</f>
        <v/>
      </c>
      <c r="GC36" s="677" t="str">
        <f>IF(CLA_!CZ36="","",+CLA_!CZ36)</f>
        <v/>
      </c>
      <c r="GD36" s="677" t="str">
        <f>IF(CLA_!DA36="","",+CLA_!DA36)</f>
        <v/>
      </c>
      <c r="GE36" s="678" t="str">
        <f>IF(CLA_!DB36="","",+CLA_!DB36)</f>
        <v/>
      </c>
      <c r="GF36" s="677" t="str">
        <f>IF(CLA_!DO36="","",+CLA_!DO36)</f>
        <v/>
      </c>
      <c r="GG36" s="678" t="str">
        <f>IF(CLA_!DP36="","",+CLA_!DP36)</f>
        <v/>
      </c>
      <c r="GH36" s="677" t="str">
        <f>IF(CLA_!DQ36="","",+CLA_!DQ36)</f>
        <v/>
      </c>
      <c r="GI36" s="677" t="str">
        <f>IF(CLA_!DR36="","",+CLA_!DR36)</f>
        <v/>
      </c>
      <c r="GJ36" s="2030"/>
      <c r="GK36" s="2025" t="str">
        <f>IF(CLA_!CQ36="","",+CLA_!CQ36)</f>
        <v/>
      </c>
      <c r="GL36" s="2024"/>
      <c r="GM36" s="2026" t="str">
        <f>IF(CLA_!CR36="","",+CLA_!CR36)</f>
        <v/>
      </c>
      <c r="GN36" s="2024" t="str">
        <f>IF(CLA_!CZ36="","",+CLA_!CZ36)</f>
        <v/>
      </c>
      <c r="GO36" s="2026" t="str">
        <f>IF(CLA_!CS36="","",+CLA_!CS36)</f>
        <v/>
      </c>
      <c r="GP36" s="2024" t="str">
        <f>IF(CLA_!DA36="","",+CLA_!DA36)</f>
        <v/>
      </c>
      <c r="GQ36" s="2025" t="str">
        <f>IF(CLA_!CT36="","",+CLA_!CT36)</f>
        <v/>
      </c>
      <c r="GR36" s="2024" t="str">
        <f>IF(CLA_!CY36="","",+CLA_!CY36)</f>
        <v/>
      </c>
      <c r="GS36" s="2024" t="str">
        <f>IF(CLA_!CV36="","",+CLA_!CV36)</f>
        <v/>
      </c>
      <c r="GT36" s="2024" t="str">
        <f>IF(CLA_!DO36="","",+CLA_!DO36)</f>
        <v/>
      </c>
      <c r="GU36" s="2031" t="str">
        <f>IF(CLA_!CU36="","",+CLA_!CU36)</f>
        <v/>
      </c>
      <c r="GV36" s="1913" t="str">
        <f>CLA_!DF36</f>
        <v/>
      </c>
      <c r="GW36" s="677" t="str">
        <f>CLA_!DG36</f>
        <v/>
      </c>
      <c r="GX36" s="677" t="str">
        <f>CLA_!DH36</f>
        <v/>
      </c>
      <c r="GY36" s="678" t="str">
        <f>CLA_!DC36</f>
        <v/>
      </c>
      <c r="GZ36" s="648" t="s">
        <v>338</v>
      </c>
      <c r="HA36" s="635"/>
      <c r="HB36" s="648" t="s">
        <v>338</v>
      </c>
      <c r="HC36" s="685">
        <f>IF(PT_!BC36="","",+PT_!BC36)</f>
        <v>14</v>
      </c>
      <c r="HD36" s="677">
        <f>IF(PT_!BD36="","",+PT_!BD36)</f>
        <v>6</v>
      </c>
      <c r="HE36" s="677">
        <f>IF(PT_!BE36="","",+PT_!BE36)</f>
        <v>3</v>
      </c>
      <c r="HF36" s="677">
        <f>IF(PT_!BF36="","",+PT_!BF36)</f>
        <v>3</v>
      </c>
      <c r="HG36" s="677">
        <f>IF(PT_!BG36="","",+PT_!BG36)</f>
        <v>4</v>
      </c>
      <c r="HH36" s="677">
        <f>IF(PT_!BH36="","",+PT_!BH36)</f>
        <v>1</v>
      </c>
      <c r="HI36" s="677">
        <f>IF(PT_!BI36="","",+PT_!BI36)</f>
        <v>1</v>
      </c>
      <c r="HJ36" s="677">
        <f>IF(PT_!BJ36="","",+PT_!BJ36)</f>
        <v>4</v>
      </c>
      <c r="HK36" s="677">
        <f>IF(PT_!BK36="","",+PT_!BK36)</f>
        <v>2</v>
      </c>
      <c r="HL36" s="653"/>
      <c r="HM36" s="1782">
        <f t="shared" si="29"/>
        <v>307</v>
      </c>
      <c r="HN36" s="1787">
        <f t="shared" si="30"/>
        <v>79</v>
      </c>
      <c r="HO36" s="719">
        <f t="shared" si="31"/>
        <v>324</v>
      </c>
      <c r="HU36" s="730"/>
      <c r="HV36" s="2442"/>
      <c r="IU36" s="27"/>
    </row>
    <row r="37" spans="1:255" ht="17.100000000000001" customHeight="1">
      <c r="A37" s="579"/>
      <c r="B37" s="648" t="s">
        <v>339</v>
      </c>
      <c r="C37" s="674">
        <f>+CLA_!D37</f>
        <v>148</v>
      </c>
      <c r="D37" s="675">
        <f>+CLA_!E37</f>
        <v>85.1</v>
      </c>
      <c r="E37" s="676">
        <f>+CLA_!F37</f>
        <v>98</v>
      </c>
      <c r="F37" s="675">
        <f>+CLA_!G37</f>
        <v>78.599999999999994</v>
      </c>
      <c r="G37" s="676">
        <f>IF(C37="","",ROUND((IF(ISNUMBER(C37),C37,+$C$42)*DF_!$DY35+IF(ISNUMBER(E37),E37,$E$42)*DF_!$DZ35)/(DF_!$DY35+DF_!$DZ35),0))</f>
        <v>131</v>
      </c>
      <c r="H37" s="675">
        <f>IF(D37="","",ROUND((IF(+D37=0,+$D$42,+D37)*DF_!$DY35+IF(ISNUMBER(F37),F37,$F$42)*DF_!$DZ35)/(DF_!$DY35+DF_!$DZ35),1))</f>
        <v>82.8</v>
      </c>
      <c r="I37" s="676">
        <f>+CLA_!H37</f>
        <v>96</v>
      </c>
      <c r="J37" s="676">
        <f>+CLA_!I37</f>
        <v>68</v>
      </c>
      <c r="K37" s="676">
        <f>+CLA_!J37</f>
        <v>13</v>
      </c>
      <c r="L37" s="676">
        <f>+CLA_!K37</f>
        <v>84</v>
      </c>
      <c r="M37" s="677">
        <f>IF(SUM(CLA_!L37:N37)=0,"",ROUND(AVERAGE(CLA_!L37:N37),-2))</f>
        <v>2600</v>
      </c>
      <c r="N37" s="677">
        <f>IF(SUM(CLA_!O37:P37)=0,"",ROUND(AVERAGE(CLA_!O37:P37),-2))</f>
        <v>2500</v>
      </c>
      <c r="O37" s="677">
        <f>IF(SUM(CLA_!Q37:S37)=0,"",ROUND(AVERAGE(CLA_!Q37:S37),-2))</f>
        <v>4200</v>
      </c>
      <c r="P37" s="677">
        <f>IF(SUM(CLA_!T37:U37)=0,"",ROUND(AVERAGE(CLA_!T37:U37),-2))</f>
        <v>5000</v>
      </c>
      <c r="Q37" s="677">
        <f>+CLA_!V37</f>
        <v>5140</v>
      </c>
      <c r="R37" s="678">
        <f>+CLA_!W37</f>
        <v>83.7</v>
      </c>
      <c r="S37" s="677">
        <f>+CLA_!X37</f>
        <v>6020</v>
      </c>
      <c r="T37" s="678">
        <f>+CLA_!Y37</f>
        <v>82.7</v>
      </c>
      <c r="U37" s="675">
        <f>IF(M37="","",+M37/(PT_!Y37*10))</f>
        <v>1.7333333333333334</v>
      </c>
      <c r="V37" s="675">
        <f>IF(N37="","",+N37/(PT_!Z37*10))</f>
        <v>0.92592592592592593</v>
      </c>
      <c r="W37" s="675"/>
      <c r="X37" s="675"/>
      <c r="Y37" s="648" t="s">
        <v>339</v>
      </c>
      <c r="Z37" s="648" t="s">
        <v>339</v>
      </c>
      <c r="AA37" s="674">
        <f>IF(CLA_!Z37="","",+CLA_!Z37)</f>
        <v>131</v>
      </c>
      <c r="AB37" s="676">
        <f>IF(CLA_!AA37="","",+CLA_!AA37)</f>
        <v>128</v>
      </c>
      <c r="AC37" s="676">
        <f>IF(AA37="","",ROUND((IF(ISNUMBER(AA37),AA37,$AA$42)*DF_!$DY35+IF(ISNUMBER(AB37),AB37,$AB$42)*DF_!$DZ35)/(DF_!$DY35+DF_!$DZ35),0))</f>
        <v>130</v>
      </c>
      <c r="AD37" s="676">
        <f>IF(CLA_!AB37="","",+CLA_!AB37)</f>
        <v>49</v>
      </c>
      <c r="AE37" s="676">
        <f>IF(CLA_!AC37="","",+CLA_!AC37)</f>
        <v>60</v>
      </c>
      <c r="AF37" s="676">
        <f>IF(CLA_!AD37="","",+CLA_!AD37)</f>
        <v>8</v>
      </c>
      <c r="AG37" s="676">
        <f>IF(CLA_!AE37="","",+CLA_!AE37)</f>
        <v>2080</v>
      </c>
      <c r="AH37" s="675">
        <f>IF(CLA_!AF37="","",+CLA_!AF37)</f>
        <v>3.93</v>
      </c>
      <c r="AI37" s="675">
        <f>IF(CLA_!AG37="","",+CLA_!AG37)</f>
        <v>80.400000000000006</v>
      </c>
      <c r="AJ37" s="675">
        <f>IF(CLA_!AH37="","",+CLA_!AH37)</f>
        <v>1.56</v>
      </c>
      <c r="AK37" s="675">
        <f>IF(CLA_!AI37="","",+CLA_!AI37)</f>
        <v>71.8</v>
      </c>
      <c r="AL37" s="2192">
        <f t="shared" si="20"/>
        <v>0.65</v>
      </c>
      <c r="AM37" s="675"/>
      <c r="AN37" s="676">
        <f>PT_!Y37</f>
        <v>150</v>
      </c>
      <c r="AO37" s="676">
        <f>PT_!Z37</f>
        <v>270</v>
      </c>
      <c r="AP37" s="682">
        <f t="shared" si="32"/>
        <v>7.2016460905349786E-2</v>
      </c>
      <c r="AQ37" s="682">
        <f t="shared" si="21"/>
        <v>7.407407407407407E-2</v>
      </c>
      <c r="AR37" s="675">
        <f ca="1">IF(DMREZ!D37&gt;TODAY()-2,"",((IF(ISNUMBER(O37),O37,$O$42)*2.52*HD37)/((CF37*IF(ISNUMBER(K37),K37,$K$42)*(+HD37/(HD37+HE37)))+($HQ$14*IF(ISNUMBER(AT_!Q37),AT_!Q37,AT_!$Q$42)))))</f>
        <v>6.160796128681203</v>
      </c>
      <c r="AS37" s="675">
        <f ca="1">IF(DMREZ!D37&gt;TODAY()-2,"",((IF(ISNUMBER(P37),P37,$P$42)*2.52*HE37)/((CF37*IF(ISNUMBER(K37),K37,$K$42)*(HE37/(HD37+HE37))+((PT_!BN37+2.5/3.5*PT_!BP37)*IF(ISNUMBER(AT_!S37),AT_!S37,AT_!$S$42))))))</f>
        <v>5.8021582940280769</v>
      </c>
      <c r="AT37" s="648" t="s">
        <v>339</v>
      </c>
      <c r="AU37" s="648" t="s">
        <v>339</v>
      </c>
      <c r="AV37" s="679" t="str">
        <f>IF(CLA_!AP37="","",+CLA_!AP37)</f>
        <v/>
      </c>
      <c r="AW37" s="680" t="str">
        <f>IF(CLA_!AQ37="","",+CLA_!AQ37)</f>
        <v/>
      </c>
      <c r="AX37" s="680" t="str">
        <f>IF(CLA_!AR37="","",+CLA_!AR37)</f>
        <v/>
      </c>
      <c r="AY37" s="680" t="str">
        <f>IF(CLA_!AS37="","",+CLA_!AS37)</f>
        <v/>
      </c>
      <c r="AZ37" s="680" t="str">
        <f>IF(CLA_!AT37="","",+CLA_!AT37)</f>
        <v/>
      </c>
      <c r="BA37" s="680" t="str">
        <f>IF(CLA_!AU37="","",+CLA_!AU37)</f>
        <v/>
      </c>
      <c r="BB37" s="680" t="str">
        <f>IF(CLA_!AV37="","",+CLA_!AV37)</f>
        <v/>
      </c>
      <c r="BC37" s="680" t="str">
        <f>IF(CLA_!AW37="","",+CLA_!AW37)</f>
        <v/>
      </c>
      <c r="BD37" s="680" t="str">
        <f>IF(CLA_!AX37="","",+CLA_!AX37)</f>
        <v/>
      </c>
      <c r="BE37" s="680" t="str">
        <f>IF(CLA_!AY37="","",+CLA_!AY37)</f>
        <v/>
      </c>
      <c r="BF37" s="675" t="str">
        <f>IF(CLA_!AZ37="","",+CLA_!AZ37)</f>
        <v/>
      </c>
      <c r="BG37" s="675" t="str">
        <f>IF(CLA_!BA37="","",+CLA_!BA37)</f>
        <v/>
      </c>
      <c r="BH37" s="675" t="str">
        <f>IF(CLA_!BB37="","",+CLA_!BB37)</f>
        <v/>
      </c>
      <c r="BI37" s="675" t="str">
        <f>IF(CLA_!BC37="","",+CLA_!BC37)</f>
        <v/>
      </c>
      <c r="BJ37" s="675" t="str">
        <f>IF(CLA_!BD37="","",+CLA_!BD37)</f>
        <v/>
      </c>
      <c r="BK37" s="681">
        <f>IF(PT_!U37="","",+PT_!U37)</f>
        <v>6.87</v>
      </c>
      <c r="BL37" s="675">
        <f>IF(PT_!V37="","",+PT_!V37)</f>
        <v>6.52</v>
      </c>
      <c r="BM37" s="675">
        <f>IF(PT_!W37="","",+PT_!W37)</f>
        <v>9.08</v>
      </c>
      <c r="BN37" s="675">
        <f>IF(PT_!X37="","",+PT_!X37)</f>
        <v>7.94</v>
      </c>
      <c r="BO37" s="675">
        <f>IF(PT_!T37="","",+PT_!T37)</f>
        <v>5.86</v>
      </c>
      <c r="BP37" s="676" t="str">
        <f>IF(CLA_!BE37="","",+CLA_!BE37)</f>
        <v/>
      </c>
      <c r="BQ37" s="676" t="str">
        <f>IF(CLA_!BF37="","",+CLA_!BF37)</f>
        <v/>
      </c>
      <c r="BR37" s="676" t="str">
        <f>IF(ISNUMBER(BQ37+BP37),+ROUND((BP37*DF_!DY35+BQ37*DF_!DZ35)/(DF_!DY35+DF_!DZ35),-1),"")</f>
        <v/>
      </c>
      <c r="BS37" s="676">
        <f>IF(PT_!C37="","",ROUND(+PT_!C37,0))</f>
        <v>13</v>
      </c>
      <c r="BT37" s="675">
        <f>IF(PT_!H37="","",ROUND(MAX(PT_!H37,PT_!K37),1))</f>
        <v>6.9</v>
      </c>
      <c r="BU37" s="675">
        <f>IF(PT_!I37="","",ROUND(MIN(PT_!I37,PT_!L37),1))</f>
        <v>6.4</v>
      </c>
      <c r="BV37" s="675">
        <f>IF(PT_!G37="","",ROUND((PT_!G37*DF_!DZ35+DF_!DY35*PT_!J37)/DF_!DS35,1))</f>
        <v>6.7</v>
      </c>
      <c r="BW37" s="675">
        <f>IF(PT_!N37="","",+PT_!N37)</f>
        <v>6.9</v>
      </c>
      <c r="BX37" s="675">
        <f>IF(PT_!O37="","",+PT_!O37)</f>
        <v>6.2</v>
      </c>
      <c r="BY37" s="675">
        <f>IF(PT_!M37="","",+PT_!M37)</f>
        <v>6.5</v>
      </c>
      <c r="BZ37" s="682">
        <f>IF(PT_!R37="","",+PT_!R37)</f>
        <v>0.53</v>
      </c>
      <c r="CA37" s="1644" t="str">
        <f>IF(PT_!P37="","",+PT_!P37)</f>
        <v/>
      </c>
      <c r="CB37" s="1645">
        <f>IF(PT_!Q37="","",+PT_!Q37)</f>
        <v>56</v>
      </c>
      <c r="CC37" s="648" t="s">
        <v>339</v>
      </c>
      <c r="CD37" s="635"/>
      <c r="CE37" s="648" t="s">
        <v>339</v>
      </c>
      <c r="CF37" s="685">
        <f>IF(DF_!AA35="","",+DF_!AA35)</f>
        <v>140</v>
      </c>
      <c r="CG37" s="677">
        <f ca="1">IF(+DMREZ!D37&lt;TODAY(),+DF_!AD35,"")</f>
        <v>95</v>
      </c>
      <c r="CH37" s="677">
        <f>IF(DF_!AB35="","",+DF_!AB35)</f>
        <v>195</v>
      </c>
      <c r="CI37" s="677">
        <f>IF(DF_!AC35="","",+DF_!AC35)</f>
        <v>58</v>
      </c>
      <c r="CJ37" s="677">
        <f>IF(DF_!AG35="","",+DF_!AG35)</f>
        <v>140</v>
      </c>
      <c r="CK37" s="677">
        <f>IF(PT_!BL37="","",ROUND(PT_!BL37,0))</f>
        <v>61</v>
      </c>
      <c r="CL37" s="686">
        <f t="shared" si="22"/>
        <v>0.43571428571428572</v>
      </c>
      <c r="CM37" s="675">
        <f>IF(PT_!AL37="","",+PT_!AL37)</f>
        <v>86.8</v>
      </c>
      <c r="CN37" s="687">
        <f t="shared" si="10"/>
        <v>0.62</v>
      </c>
      <c r="CO37" s="678">
        <f t="shared" si="11"/>
        <v>1.3</v>
      </c>
      <c r="CP37" s="678">
        <f t="shared" si="23"/>
        <v>2.7</v>
      </c>
      <c r="CQ37" s="678">
        <f t="shared" si="12"/>
        <v>2.7</v>
      </c>
      <c r="CR37" s="677">
        <f t="shared" si="13"/>
        <v>770</v>
      </c>
      <c r="CS37" s="675">
        <f t="shared" si="24"/>
        <v>1.3</v>
      </c>
      <c r="CT37" s="643"/>
      <c r="CU37" s="678">
        <f t="shared" si="33"/>
        <v>76.5</v>
      </c>
      <c r="CV37" s="677">
        <f t="shared" si="48"/>
        <v>90.06535947712419</v>
      </c>
      <c r="CW37" s="678">
        <f t="shared" si="49"/>
        <v>68.900000000000006</v>
      </c>
      <c r="CX37" s="678">
        <f t="shared" si="34"/>
        <v>422.4</v>
      </c>
      <c r="CY37" s="678">
        <f t="shared" si="25"/>
        <v>49.5</v>
      </c>
      <c r="CZ37" s="678">
        <f t="shared" si="26"/>
        <v>7.1</v>
      </c>
      <c r="DA37" s="2025">
        <f t="shared" si="51"/>
        <v>11.9</v>
      </c>
      <c r="DB37" s="741">
        <f t="shared" si="35"/>
        <v>8.5</v>
      </c>
      <c r="DC37" s="648" t="s">
        <v>339</v>
      </c>
      <c r="DD37" s="648" t="s">
        <v>339</v>
      </c>
      <c r="DE37" s="688" t="str">
        <f>IF(Grit!AT34+Grit!AZ34=0,"",+Grit!AT34+Grit!AZ34*0.5)</f>
        <v/>
      </c>
      <c r="DF37" s="689">
        <f>IF(Grit!AV34="0","",+Grit!AV34)</f>
        <v>162</v>
      </c>
      <c r="DG37" s="689">
        <f t="shared" si="16"/>
        <v>10400</v>
      </c>
      <c r="DH37" s="689" t="str">
        <f>IF(Grit!AX34+Grit!AY34=0,"",+Grit!AX34+Grit!AZ34*0.5)</f>
        <v/>
      </c>
      <c r="DI37" s="689" t="str">
        <f t="shared" si="17"/>
        <v/>
      </c>
      <c r="DJ37" s="675">
        <f ca="1">IF(+DMREZ!D37&lt;TODAY(),+PT_!AE37,"")</f>
        <v>45</v>
      </c>
      <c r="DK37" s="678">
        <f ca="1">IF(ISTEXT(DJ37),"",ROUND(+DJ37*$HQ$9*IF(ISTEXT(AH37),$AH$42,AH37)/100,1))</f>
        <v>111.4</v>
      </c>
      <c r="DL37" s="678">
        <f ca="1">IF(ISTEXT(DJ37),"",ROUND((+DK37*(IF(ISTEXT(AI37),$AI$42,AI37)/100)),1))</f>
        <v>89.6</v>
      </c>
      <c r="DM37" s="678">
        <f ca="1">DJ37</f>
        <v>45</v>
      </c>
      <c r="DN37" s="678">
        <f ca="1">IF(ISTEXT(DM37),"",ROUND(+DM37*$HQ$9*(IF(ISTEXT(AJ37),$AJ$42,AJ37)/100),1))</f>
        <v>44.2</v>
      </c>
      <c r="DO37" s="678">
        <f ca="1">IF(ISNUMBER(DN37),ROUND((+DN37*(IF(ISTEXT(AK37),$AK$42,AK37)/100)),1),"")</f>
        <v>31.7</v>
      </c>
      <c r="DP37" s="687" t="str">
        <f>IF(DW_!R37="","",+DW_!R37/1000)</f>
        <v/>
      </c>
      <c r="DQ37" s="678" t="str">
        <f>IF(DW_!S37="","",+DW_!S37*2)</f>
        <v/>
      </c>
      <c r="DR37" s="678" t="str">
        <f>+DW_!S37</f>
        <v/>
      </c>
      <c r="DS37" s="675"/>
      <c r="DT37" s="677">
        <f>IF(PT_!AC37="","",+PT_!AC37)</f>
        <v>104</v>
      </c>
      <c r="DU37" s="689">
        <f>IF(ISNUMBER(CHEM_!G36),+CHEM_!G36,"")</f>
        <v>1270</v>
      </c>
      <c r="DV37" s="675">
        <f t="shared" si="18"/>
        <v>9.1</v>
      </c>
      <c r="DW37" s="687">
        <f>IF(PT_!S37="","",+PT_!S37)</f>
        <v>0.45</v>
      </c>
      <c r="DX37" s="648" t="s">
        <v>339</v>
      </c>
      <c r="DY37" s="648" t="s">
        <v>339</v>
      </c>
      <c r="DZ37" s="690" t="str">
        <f>PT_!AK37</f>
        <v/>
      </c>
      <c r="EA37" s="678">
        <f>IF(PT_!AJ37="","",+PT_!AJ37)</f>
        <v>144</v>
      </c>
      <c r="EB37" s="2086">
        <f t="shared" si="19"/>
        <v>144</v>
      </c>
      <c r="EC37" s="2094">
        <f>IF(PT_!BO37="","",+PT_!BO37)</f>
        <v>51.844080000000005</v>
      </c>
      <c r="ED37" s="1903"/>
      <c r="EE37" s="643"/>
      <c r="EF37" s="2083">
        <v>205.7</v>
      </c>
      <c r="EG37" s="2084">
        <v>617.1</v>
      </c>
      <c r="EH37" s="1890"/>
      <c r="EI37" s="689"/>
      <c r="EJ37" s="1891" t="str">
        <f>+PT_!AF37</f>
        <v/>
      </c>
      <c r="EK37" s="759" t="str">
        <f t="shared" si="50"/>
        <v/>
      </c>
      <c r="EL37" s="689"/>
      <c r="EM37" s="689" t="str">
        <f>IF(PT_!AH37&gt;0,+PT_!AH37,"")</f>
        <v/>
      </c>
      <c r="EN37" s="614" t="str">
        <f>IF(PT_!AZ37="","",+PT_!AZ37)</f>
        <v>Snow Melt</v>
      </c>
      <c r="EO37" s="615" t="s">
        <v>339</v>
      </c>
      <c r="EP37" s="610" t="s">
        <v>339</v>
      </c>
      <c r="EQ37" s="691">
        <f>CLA_!BG37</f>
        <v>0.06</v>
      </c>
      <c r="ER37" s="687">
        <f>CLA_!BH37</f>
        <v>0.43</v>
      </c>
      <c r="ES37" s="678">
        <f>CLA_!BI37</f>
        <v>11.7</v>
      </c>
      <c r="ET37" s="678">
        <f>CLA_!BJ37</f>
        <v>25.7</v>
      </c>
      <c r="EU37" s="687" t="str">
        <f>CLA_!BK37</f>
        <v/>
      </c>
      <c r="EV37" s="687" t="str">
        <f>CLA_!BL37</f>
        <v/>
      </c>
      <c r="EW37" s="677" t="str">
        <f>CLA_!BM37</f>
        <v/>
      </c>
      <c r="EX37" s="691">
        <f>CLA_!BN37</f>
        <v>7.0000000000000007E-2</v>
      </c>
      <c r="EY37" s="687">
        <f>CLA_!BO37</f>
        <v>0.41</v>
      </c>
      <c r="EZ37" s="678">
        <f>CLA_!BP37</f>
        <v>11.5</v>
      </c>
      <c r="FA37" s="678">
        <f>CLA_!BQ37</f>
        <v>23.7</v>
      </c>
      <c r="FB37" s="687" t="str">
        <f>CLA_!BR37</f>
        <v/>
      </c>
      <c r="FC37" s="687" t="str">
        <f>CLA_!BS37</f>
        <v/>
      </c>
      <c r="FD37" s="677" t="str">
        <f>CLA_!BT37</f>
        <v/>
      </c>
      <c r="FE37" s="691">
        <f>IF(ISNUMBER(EQ37+EX37),+EQ37*DF_!$EA35+EX37*DF_!$EB35,"")</f>
        <v>6.3500000000000001E-2</v>
      </c>
      <c r="FF37" s="687">
        <f>IF(ISNUMBER(+ER37+EY37),+ER37*DF_!$EA35+EY37*DF_!$EB35,"")</f>
        <v>0.42300000000000004</v>
      </c>
      <c r="FG37" s="678">
        <f>IF(ISNUMBER(ES37)+ISNUMBER(EZ37)&gt;0,IF(ISNUMBER(ES37),ES37,$ET$42)*DF_!$EA35+IF(ISNUMBER(EZ37),EZ37,$FA$42)*DF_!$EB35,"")</f>
        <v>11.629999999999999</v>
      </c>
      <c r="FH37" s="678">
        <f>IF(ISNUMBER(ET37)+ISNUMBER(FA37)&gt;0,IF(ISNUMBER(ET37),ET37,$ET$42)*DF_!$EA35+IF(ISNUMBER(FA37),FA37,$FA$42)*DF_!$EB35,"")</f>
        <v>25</v>
      </c>
      <c r="FI37" s="687" t="str">
        <f>IF(EU37="","",+EU37*DF_!$EA35+FB37*DF_!$EB35)</f>
        <v/>
      </c>
      <c r="FJ37" s="687" t="str">
        <f>IF(EV37="","",+EV37*DF_!$EA35+FC37*DF_!$EB35)</f>
        <v/>
      </c>
      <c r="FK37" s="677" t="str">
        <f>IF(EW37="","",+EW37*DF_!$EA35+FD37*DF_!$EB35)</f>
        <v/>
      </c>
      <c r="FL37" s="691" t="str">
        <f>CLA_!BU37</f>
        <v/>
      </c>
      <c r="FM37" s="687" t="str">
        <f>CLA_!BV37</f>
        <v/>
      </c>
      <c r="FN37" s="678" t="str">
        <f>CLA_!BW37</f>
        <v/>
      </c>
      <c r="FO37" s="678" t="str">
        <f>CLA_!BX37</f>
        <v/>
      </c>
      <c r="FP37" s="687" t="str">
        <f>CLA_!BY37</f>
        <v/>
      </c>
      <c r="FQ37" s="687" t="str">
        <f>CLA_!BZ37</f>
        <v/>
      </c>
      <c r="FR37" s="677" t="str">
        <f>CLA_!CA37</f>
        <v/>
      </c>
      <c r="FS37" s="691">
        <f>CLA_!CB37</f>
        <v>0.82</v>
      </c>
      <c r="FT37" s="687">
        <f>CLA_!CC37</f>
        <v>2.38</v>
      </c>
      <c r="FU37" s="678">
        <f>CLA_!CD37</f>
        <v>7.9</v>
      </c>
      <c r="FV37" s="678">
        <f>CLA_!CE37</f>
        <v>10.6</v>
      </c>
      <c r="FW37" s="687" t="str">
        <f>CLA_!CF37</f>
        <v/>
      </c>
      <c r="FX37" s="687" t="str">
        <f>CLA_!CG37</f>
        <v/>
      </c>
      <c r="FY37" s="677" t="str">
        <f>CLA_!CH37</f>
        <v/>
      </c>
      <c r="FZ37" s="610" t="s">
        <v>339</v>
      </c>
      <c r="GA37" s="610" t="s">
        <v>339</v>
      </c>
      <c r="GB37" s="1968" t="str">
        <f>IF(CLA_!CY37="","",+CLA_!CY37)</f>
        <v/>
      </c>
      <c r="GC37" s="677" t="str">
        <f>IF(CLA_!CZ37="","",+CLA_!CZ37)</f>
        <v/>
      </c>
      <c r="GD37" s="677" t="str">
        <f>IF(CLA_!DA37="","",+CLA_!DA37)</f>
        <v/>
      </c>
      <c r="GE37" s="678" t="str">
        <f>IF(CLA_!DB37="","",+CLA_!DB37)</f>
        <v/>
      </c>
      <c r="GF37" s="677" t="str">
        <f>IF(CLA_!DO37="","",+CLA_!DO37)</f>
        <v/>
      </c>
      <c r="GG37" s="678" t="str">
        <f>IF(CLA_!DP37="","",+CLA_!DP37)</f>
        <v/>
      </c>
      <c r="GH37" s="677" t="str">
        <f>IF(CLA_!DQ37="","",+CLA_!DQ37)</f>
        <v/>
      </c>
      <c r="GI37" s="677" t="str">
        <f>IF(CLA_!DR37="","",+CLA_!DR37)</f>
        <v/>
      </c>
      <c r="GJ37" s="2030"/>
      <c r="GK37" s="2025" t="str">
        <f>IF(CLA_!CQ37="","",+CLA_!CQ37)</f>
        <v/>
      </c>
      <c r="GL37" s="2024"/>
      <c r="GM37" s="2026" t="str">
        <f>IF(CLA_!CR37="","",+CLA_!CR37)</f>
        <v/>
      </c>
      <c r="GN37" s="2024" t="str">
        <f>IF(CLA_!CZ37="","",+CLA_!CZ37)</f>
        <v/>
      </c>
      <c r="GO37" s="2026" t="str">
        <f>IF(CLA_!CS37="","",+CLA_!CS37)</f>
        <v/>
      </c>
      <c r="GP37" s="2024" t="str">
        <f>IF(CLA_!DA37="","",+CLA_!DA37)</f>
        <v/>
      </c>
      <c r="GQ37" s="2025" t="str">
        <f>IF(CLA_!CT37="","",+CLA_!CT37)</f>
        <v/>
      </c>
      <c r="GR37" s="2024" t="str">
        <f>IF(CLA_!CY37="","",+CLA_!CY37)</f>
        <v/>
      </c>
      <c r="GS37" s="2024" t="str">
        <f>IF(CLA_!CV37="","",+CLA_!CV37)</f>
        <v/>
      </c>
      <c r="GT37" s="2024" t="str">
        <f>IF(CLA_!DO37="","",+CLA_!DO37)</f>
        <v/>
      </c>
      <c r="GU37" s="2031" t="str">
        <f>IF(CLA_!CU37="","",+CLA_!CU37)</f>
        <v/>
      </c>
      <c r="GV37" s="1913" t="str">
        <f>CLA_!DF37</f>
        <v/>
      </c>
      <c r="GW37" s="677" t="str">
        <f>CLA_!DG37</f>
        <v/>
      </c>
      <c r="GX37" s="677" t="str">
        <f>CLA_!DH37</f>
        <v/>
      </c>
      <c r="GY37" s="678" t="str">
        <f>CLA_!DC37</f>
        <v/>
      </c>
      <c r="GZ37" s="648" t="s">
        <v>339</v>
      </c>
      <c r="HA37" s="635"/>
      <c r="HB37" s="648" t="s">
        <v>339</v>
      </c>
      <c r="HC37" s="685">
        <f>IF(PT_!BC37="","",+PT_!BC37)</f>
        <v>14</v>
      </c>
      <c r="HD37" s="677">
        <f>IF(PT_!BD37="","",+PT_!BD37)</f>
        <v>6</v>
      </c>
      <c r="HE37" s="677">
        <f>IF(PT_!BE37="","",+PT_!BE37)</f>
        <v>3</v>
      </c>
      <c r="HF37" s="677">
        <f>IF(PT_!BF37="","",+PT_!BF37)</f>
        <v>3</v>
      </c>
      <c r="HG37" s="677">
        <f>IF(PT_!BG37="","",+PT_!BG37)</f>
        <v>4</v>
      </c>
      <c r="HH37" s="677">
        <f>IF(PT_!BH37="","",+PT_!BH37)</f>
        <v>1</v>
      </c>
      <c r="HI37" s="677">
        <f>IF(PT_!BI37="","",+PT_!BI37)</f>
        <v>1</v>
      </c>
      <c r="HJ37" s="677">
        <f>IF(PT_!BJ37="","",+PT_!BJ37)</f>
        <v>4</v>
      </c>
      <c r="HK37" s="677">
        <f>IF(PT_!BK37="","",+PT_!BK37)</f>
        <v>2</v>
      </c>
      <c r="HL37" s="653"/>
      <c r="HM37" s="1782">
        <f t="shared" si="29"/>
        <v>69</v>
      </c>
      <c r="HN37" s="1787">
        <f t="shared" si="30"/>
        <v>48</v>
      </c>
      <c r="HO37" s="719">
        <f t="shared" si="31"/>
        <v>56</v>
      </c>
      <c r="HU37" s="730"/>
      <c r="HV37" s="2442"/>
      <c r="IU37" s="27"/>
    </row>
    <row r="38" spans="1:255" ht="17.100000000000001" customHeight="1">
      <c r="A38" s="579"/>
      <c r="B38" s="648" t="s">
        <v>340</v>
      </c>
      <c r="C38" s="674">
        <f>+CLA_!D38</f>
        <v>108</v>
      </c>
      <c r="D38" s="675" t="str">
        <f>+CLA_!E38</f>
        <v/>
      </c>
      <c r="E38" s="676">
        <f>+CLA_!F38</f>
        <v>110</v>
      </c>
      <c r="F38" s="675" t="str">
        <f>+CLA_!G38</f>
        <v/>
      </c>
      <c r="G38" s="676">
        <f>IF(C38="","",ROUND((IF(ISNUMBER(C38),C38,+$C$42)*DF_!$DY36+IF(ISNUMBER(E38),E38,$E$42)*DF_!$DZ36)/(DF_!$DY36+DF_!$DZ36),0))</f>
        <v>109</v>
      </c>
      <c r="H38" s="675" t="str">
        <f>IF(D38="","",ROUND((IF(+D38=0,+$D$42,+D38)*DF_!$DY36+IF(ISNUMBER(F38),F38,$F$42)*DF_!$DZ36)/(DF_!$DY36+DF_!$DZ36),1))</f>
        <v/>
      </c>
      <c r="I38" s="676">
        <f>+CLA_!H38</f>
        <v>72</v>
      </c>
      <c r="J38" s="676">
        <f>+CLA_!I38</f>
        <v>84</v>
      </c>
      <c r="K38" s="676">
        <f>+CLA_!J38</f>
        <v>9</v>
      </c>
      <c r="L38" s="676">
        <f>+CLA_!K38</f>
        <v>190</v>
      </c>
      <c r="M38" s="677">
        <f>IF(SUM(CLA_!L38:N38)=0,"",ROUND(AVERAGE(CLA_!L38:N38),-2))</f>
        <v>2300</v>
      </c>
      <c r="N38" s="677">
        <f>IF(SUM(CLA_!O38:P38)=0,"",ROUND(AVERAGE(CLA_!O38:P38),-2))</f>
        <v>2100</v>
      </c>
      <c r="O38" s="677">
        <f>IF(SUM(CLA_!Q38:S38)=0,"",ROUND(AVERAGE(CLA_!Q38:S38),-2))</f>
        <v>3100</v>
      </c>
      <c r="P38" s="677">
        <f>IF(SUM(CLA_!T38:U38)=0,"",ROUND(AVERAGE(CLA_!T38:U38),-2))</f>
        <v>4100</v>
      </c>
      <c r="Q38" s="677">
        <f>+CLA_!V38</f>
        <v>4560</v>
      </c>
      <c r="R38" s="678" t="str">
        <f>+CLA_!W38</f>
        <v/>
      </c>
      <c r="S38" s="677">
        <f>+CLA_!X38</f>
        <v>5540</v>
      </c>
      <c r="T38" s="678" t="str">
        <f>+CLA_!Y38</f>
        <v/>
      </c>
      <c r="U38" s="675">
        <f>IF(M38="","",+M38/(PT_!Y38*10))</f>
        <v>1.6428571428571428</v>
      </c>
      <c r="V38" s="675">
        <f>IF(N38="","",+N38/(PT_!Z38*10))</f>
        <v>0.875</v>
      </c>
      <c r="W38" s="675"/>
      <c r="X38" s="675"/>
      <c r="Y38" s="648" t="s">
        <v>340</v>
      </c>
      <c r="Z38" s="648" t="s">
        <v>340</v>
      </c>
      <c r="AA38" s="674">
        <f>IF(CLA_!Z38="","",+CLA_!Z38)</f>
        <v>132</v>
      </c>
      <c r="AB38" s="676">
        <f>IF(CLA_!AA38="","",+CLA_!AA38)</f>
        <v>128</v>
      </c>
      <c r="AC38" s="676">
        <f>IF(AA38="","",ROUND((IF(ISNUMBER(AA38),AA38,$AA$42)*DF_!$DY36+IF(ISNUMBER(AB38),AB38,$AB$42)*DF_!$DZ36)/(DF_!$DY36+DF_!$DZ36),0))</f>
        <v>131</v>
      </c>
      <c r="AD38" s="676">
        <f>IF(CLA_!AB38="","",+CLA_!AB38)</f>
        <v>68</v>
      </c>
      <c r="AE38" s="676">
        <f>IF(CLA_!AC38="","",+CLA_!AC38)</f>
        <v>73</v>
      </c>
      <c r="AF38" s="676">
        <f>IF(CLA_!AD38="","",+CLA_!AD38)</f>
        <v>8</v>
      </c>
      <c r="AG38" s="676">
        <f>IF(CLA_!AE38="","",+CLA_!AE38)</f>
        <v>2900</v>
      </c>
      <c r="AH38" s="675">
        <f>IF(CLA_!AF38="","",+CLA_!AF38)</f>
        <v>3.75</v>
      </c>
      <c r="AI38" s="675">
        <f>IF(CLA_!AG38="","",+CLA_!AG38)</f>
        <v>80</v>
      </c>
      <c r="AJ38" s="675">
        <f>IF(CLA_!AH38="","",+CLA_!AH38)</f>
        <v>1.6</v>
      </c>
      <c r="AK38" s="675">
        <f>IF(CLA_!AI38="","",+CLA_!AI38)</f>
        <v>67.400000000000006</v>
      </c>
      <c r="AL38" s="2192">
        <f t="shared" si="20"/>
        <v>0.64</v>
      </c>
      <c r="AM38" s="675"/>
      <c r="AN38" s="676">
        <f>PT_!Y38</f>
        <v>140</v>
      </c>
      <c r="AO38" s="676">
        <f>PT_!Z38</f>
        <v>240</v>
      </c>
      <c r="AP38" s="682">
        <f t="shared" si="32"/>
        <v>0.10348751208966264</v>
      </c>
      <c r="AQ38" s="682">
        <f t="shared" si="21"/>
        <v>8.400008603260635E-2</v>
      </c>
      <c r="AR38" s="675">
        <f ca="1">IF(DMREZ!D38&gt;TODAY()-2,"",((IF(ISNUMBER(O38),O38,$O$42)*2.52*HD38)/((CF38*IF(ISNUMBER(K38),K38,$K$42)*(+HD38/(HD38+HE38)))+($HQ$14*IF(ISNUMBER(AT_!Q38),AT_!Q38,AT_!$Q$42)))))</f>
        <v>5.3812733070915773</v>
      </c>
      <c r="AS38" s="675">
        <f ca="1">IF(DMREZ!D38&gt;TODAY()-2,"",((IF(ISNUMBER(P38),P38,$P$42)*2.52*HE38)/((CF38*IF(ISNUMBER(K38),K38,$K$42)*(HE38/(HD38+HE38))+((PT_!BN38+2.5/3.5*PT_!BP38)*IF(ISNUMBER(AT_!S38),AT_!S38,AT_!$S$42))))))</f>
        <v>5.2705286107671458</v>
      </c>
      <c r="AT38" s="648" t="s">
        <v>340</v>
      </c>
      <c r="AU38" s="648" t="s">
        <v>340</v>
      </c>
      <c r="AV38" s="679">
        <f>IF(CLA_!AP38="","",+CLA_!AP38)</f>
        <v>230</v>
      </c>
      <c r="AW38" s="680" t="str">
        <f>IF(CLA_!AQ38="","",+CLA_!AQ38)</f>
        <v/>
      </c>
      <c r="AX38" s="680">
        <f>IF(CLA_!AR38="","",+CLA_!AR38)</f>
        <v>160</v>
      </c>
      <c r="AY38" s="680">
        <f>IF(CLA_!AS38="","",+CLA_!AS38)</f>
        <v>200</v>
      </c>
      <c r="AZ38" s="680">
        <f>IF(CLA_!AT38="","",+CLA_!AT38)</f>
        <v>110</v>
      </c>
      <c r="BA38" s="680">
        <f>IF(CLA_!AU38="","",+CLA_!AU38)</f>
        <v>2800</v>
      </c>
      <c r="BB38" s="680" t="str">
        <f>IF(CLA_!AV38="","",+CLA_!AV38)</f>
        <v/>
      </c>
      <c r="BC38" s="680">
        <f>IF(CLA_!AW38="","",+CLA_!AW38)</f>
        <v>2900</v>
      </c>
      <c r="BD38" s="680">
        <f>IF(CLA_!AX38="","",+CLA_!AX38)</f>
        <v>3200</v>
      </c>
      <c r="BE38" s="680">
        <f>IF(CLA_!AY38="","",+CLA_!AY38)</f>
        <v>3000</v>
      </c>
      <c r="BF38" s="675">
        <f>IF(CLA_!AZ38="","",+CLA_!AZ38)</f>
        <v>6.9</v>
      </c>
      <c r="BG38" s="675" t="str">
        <f>IF(CLA_!BA38="","",+CLA_!BA38)</f>
        <v/>
      </c>
      <c r="BH38" s="675">
        <f>IF(CLA_!BB38="","",+CLA_!BB38)</f>
        <v>7</v>
      </c>
      <c r="BI38" s="675">
        <f>IF(CLA_!BC38="","",+CLA_!BC38)</f>
        <v>7.1</v>
      </c>
      <c r="BJ38" s="675">
        <f>IF(CLA_!BD38="","",+CLA_!BD38)</f>
        <v>7.1</v>
      </c>
      <c r="BK38" s="681">
        <f>IF(PT_!U38="","",+PT_!U38)</f>
        <v>6.04</v>
      </c>
      <c r="BL38" s="675">
        <f>IF(PT_!V38="","",+PT_!V38)</f>
        <v>5.13</v>
      </c>
      <c r="BM38" s="675">
        <f>IF(PT_!W38="","",+PT_!W38)</f>
        <v>6.8860000000000001</v>
      </c>
      <c r="BN38" s="675">
        <f>IF(PT_!X38="","",+PT_!X38)</f>
        <v>6.17</v>
      </c>
      <c r="BO38" s="675">
        <f>IF(PT_!T38="","",+PT_!T38)</f>
        <v>4.79</v>
      </c>
      <c r="BP38" s="676" t="str">
        <f>IF(CLA_!BE38="","",+CLA_!BE38)</f>
        <v/>
      </c>
      <c r="BQ38" s="676" t="str">
        <f>IF(CLA_!BF38="","",+CLA_!BF38)</f>
        <v/>
      </c>
      <c r="BR38" s="676" t="str">
        <f>IF(ISNUMBER(BQ38+BP38),+ROUND((BP38*DF_!DY36+BQ38*DF_!DZ36)/(DF_!DY36+DF_!DZ36),-1),"")</f>
        <v/>
      </c>
      <c r="BS38" s="676">
        <f>IF(PT_!C38="","",ROUND(+PT_!C38,0))</f>
        <v>15</v>
      </c>
      <c r="BT38" s="675">
        <f>IF(PT_!H38="","",ROUND(MAX(PT_!H38,PT_!K38),1))</f>
        <v>6.9</v>
      </c>
      <c r="BU38" s="675">
        <f>IF(PT_!I38="","",ROUND(MIN(PT_!I38,PT_!L38),1))</f>
        <v>6.6</v>
      </c>
      <c r="BV38" s="675">
        <f>IF(PT_!G38="","",ROUND((PT_!G38*DF_!DZ36+DF_!DY36*PT_!J38)/DF_!DS36,1))</f>
        <v>6.8</v>
      </c>
      <c r="BW38" s="675">
        <f>IF(PT_!N38="","",+PT_!N38)</f>
        <v>6.6</v>
      </c>
      <c r="BX38" s="675">
        <f>IF(PT_!O38="","",+PT_!O38)</f>
        <v>6.3</v>
      </c>
      <c r="BY38" s="675">
        <f>IF(PT_!M38="","",+PT_!M38)</f>
        <v>6.4</v>
      </c>
      <c r="BZ38" s="682">
        <f>IF(PT_!R38="","",+PT_!R38)</f>
        <v>0.38</v>
      </c>
      <c r="CA38" s="1644" t="str">
        <f>IF(PT_!P38="","",+PT_!P38)</f>
        <v/>
      </c>
      <c r="CB38" s="1645">
        <f>IF(PT_!Q38="","",+PT_!Q38)</f>
        <v>20</v>
      </c>
      <c r="CC38" s="648" t="s">
        <v>340</v>
      </c>
      <c r="CD38" s="635"/>
      <c r="CE38" s="648" t="s">
        <v>340</v>
      </c>
      <c r="CF38" s="685">
        <f>IF(DF_!AA36="","",+DF_!AA36)</f>
        <v>107</v>
      </c>
      <c r="CG38" s="677">
        <f ca="1">IF(+DMREZ!D38&lt;TODAY(),+DF_!AD36,"")</f>
        <v>98</v>
      </c>
      <c r="CH38" s="677">
        <f>IF(DF_!AB36="","",+DF_!AB36)</f>
        <v>143</v>
      </c>
      <c r="CI38" s="677">
        <f>IF(DF_!AC36="","",+DF_!AC36)</f>
        <v>59</v>
      </c>
      <c r="CJ38" s="677">
        <f>IF(DF_!AG36="","",+DF_!AG36)</f>
        <v>107</v>
      </c>
      <c r="CK38" s="677">
        <f>IF(PT_!BL38="","",ROUND(PT_!BL38,0))</f>
        <v>61</v>
      </c>
      <c r="CL38" s="686">
        <f t="shared" si="22"/>
        <v>0.57009345794392519</v>
      </c>
      <c r="CM38" s="675">
        <f>IF(PT_!AL38="","",+PT_!AL38)</f>
        <v>85.4</v>
      </c>
      <c r="CN38" s="687">
        <f t="shared" si="10"/>
        <v>0.79813084112149535</v>
      </c>
      <c r="CO38" s="678">
        <f t="shared" si="11"/>
        <v>1.7</v>
      </c>
      <c r="CP38" s="678">
        <f t="shared" si="23"/>
        <v>3.2</v>
      </c>
      <c r="CQ38" s="678">
        <f t="shared" si="12"/>
        <v>3.5</v>
      </c>
      <c r="CR38" s="677">
        <f t="shared" si="13"/>
        <v>590</v>
      </c>
      <c r="CS38" s="675">
        <f t="shared" si="24"/>
        <v>1.3</v>
      </c>
      <c r="CT38" s="643"/>
      <c r="CU38" s="678"/>
      <c r="CV38" s="677"/>
      <c r="CW38" s="678"/>
      <c r="CX38" s="678">
        <f t="shared" si="34"/>
        <v>324.7</v>
      </c>
      <c r="CY38" s="678">
        <f t="shared" si="25"/>
        <v>34.299999999999997</v>
      </c>
      <c r="CZ38" s="678">
        <f t="shared" si="26"/>
        <v>9.1</v>
      </c>
      <c r="DA38" s="2025">
        <f t="shared" si="27"/>
        <v>10.3</v>
      </c>
      <c r="DB38" s="741">
        <f t="shared" si="35"/>
        <v>9.5</v>
      </c>
      <c r="DC38" s="648" t="s">
        <v>340</v>
      </c>
      <c r="DD38" s="648" t="s">
        <v>340</v>
      </c>
      <c r="DE38" s="688" t="str">
        <f>IF(Grit!AT35+Grit!AZ35=0,"",+Grit!AT35+Grit!AZ35*0.5)</f>
        <v/>
      </c>
      <c r="DF38" s="689">
        <f>IF(Grit!AV35="0","",+Grit!AV35)</f>
        <v>810</v>
      </c>
      <c r="DG38" s="689">
        <f t="shared" si="16"/>
        <v>51800</v>
      </c>
      <c r="DH38" s="689" t="str">
        <f>IF(Grit!AX35+Grit!AY35=0,"",+Grit!AX35+Grit!AZ35*0.5)</f>
        <v/>
      </c>
      <c r="DI38" s="689" t="str">
        <f t="shared" si="17"/>
        <v/>
      </c>
      <c r="DJ38" s="675">
        <f ca="1">IF(+DMREZ!D38&lt;TODAY(),+PT_!AE38,"")</f>
        <v>51.6</v>
      </c>
      <c r="DK38" s="678">
        <f ca="1">IF(ISTEXT(DJ38),"",ROUND(+DJ38*$HQ$9*IF(ISTEXT(AH38),$AH$42,AH38)/100,1))</f>
        <v>121.9</v>
      </c>
      <c r="DL38" s="678">
        <f ca="1">IF(ISTEXT(DJ38),"",ROUND((+DK38*(IF(ISTEXT(AI38),$AI$42,AI38)/100)),1))</f>
        <v>97.5</v>
      </c>
      <c r="DM38" s="678">
        <f ca="1">DJ38</f>
        <v>51.6</v>
      </c>
      <c r="DN38" s="678">
        <f ca="1">IF(ISTEXT(DM38),"",ROUND(+DM38*$HQ$9*(IF(ISTEXT(AJ38),$AJ$42,AJ38)/100),1))</f>
        <v>52</v>
      </c>
      <c r="DO38" s="678">
        <f ca="1">IF(ISNUMBER(DN38),ROUND((+DN38*(IF(ISTEXT(AK38),$AK$42,AK38)/100)),1),"")</f>
        <v>35</v>
      </c>
      <c r="DP38" s="687" t="str">
        <f>IF(DW_!R38="","",+DW_!R38/1000)</f>
        <v/>
      </c>
      <c r="DQ38" s="678" t="str">
        <f>IF(DW_!S38="","",+DW_!S38*2)</f>
        <v/>
      </c>
      <c r="DR38" s="678" t="str">
        <f>+DW_!S38</f>
        <v/>
      </c>
      <c r="DS38" s="675"/>
      <c r="DT38" s="677">
        <f>IF(PT_!AC38="","",+PT_!AC38)</f>
        <v>104</v>
      </c>
      <c r="DU38" s="689">
        <f>IF(ISNUMBER(CHEM_!G37),+CHEM_!G37,"")</f>
        <v>480</v>
      </c>
      <c r="DV38" s="675">
        <f t="shared" si="18"/>
        <v>4.5</v>
      </c>
      <c r="DW38" s="687">
        <f>IF(PT_!S38="","",+PT_!S38)</f>
        <v>0.45</v>
      </c>
      <c r="DX38" s="648" t="s">
        <v>340</v>
      </c>
      <c r="DY38" s="648" t="s">
        <v>340</v>
      </c>
      <c r="DZ38" s="690" t="str">
        <f>PT_!AK38</f>
        <v/>
      </c>
      <c r="EA38" s="678">
        <f>IF(PT_!AJ38="","",+PT_!AJ38)</f>
        <v>144</v>
      </c>
      <c r="EB38" s="2086">
        <f t="shared" si="19"/>
        <v>144</v>
      </c>
      <c r="EC38" s="2094">
        <f>IF(PT_!BO38="","",+PT_!BO38)</f>
        <v>51.71208</v>
      </c>
      <c r="ED38" s="1903"/>
      <c r="EE38" s="643"/>
      <c r="EF38" s="2083">
        <v>205.7</v>
      </c>
      <c r="EG38" s="2084">
        <v>617.1</v>
      </c>
      <c r="EH38" s="1890"/>
      <c r="EI38" s="689"/>
      <c r="EJ38" s="1891" t="str">
        <f>+PT_!AF38</f>
        <v/>
      </c>
      <c r="EK38" s="759" t="str">
        <f t="shared" si="50"/>
        <v/>
      </c>
      <c r="EL38" s="689"/>
      <c r="EM38" s="689" t="str">
        <f>IF(PT_!AH38&gt;0,+PT_!AH38,"")</f>
        <v/>
      </c>
      <c r="EN38" s="614" t="str">
        <f>IF(PT_!AZ38="","",+PT_!AZ38)</f>
        <v>Snow Melt</v>
      </c>
      <c r="EO38" s="615" t="s">
        <v>340</v>
      </c>
      <c r="EP38" s="610" t="s">
        <v>340</v>
      </c>
      <c r="EQ38" s="691">
        <f>CLA_!BG38</f>
        <v>0.09</v>
      </c>
      <c r="ER38" s="687">
        <f>CLA_!BH38</f>
        <v>0.26</v>
      </c>
      <c r="ES38" s="678">
        <f>CLA_!BI38</f>
        <v>16.899999999999999</v>
      </c>
      <c r="ET38" s="678">
        <f>CLA_!BJ38</f>
        <v>31.3</v>
      </c>
      <c r="EU38" s="687" t="str">
        <f>CLA_!BK38</f>
        <v/>
      </c>
      <c r="EV38" s="687" t="str">
        <f>CLA_!BL38</f>
        <v/>
      </c>
      <c r="EW38" s="677" t="str">
        <f>CLA_!BM38</f>
        <v/>
      </c>
      <c r="EX38" s="691">
        <f>CLA_!BN38</f>
        <v>0.05</v>
      </c>
      <c r="EY38" s="687">
        <f>CLA_!BO38</f>
        <v>0.27</v>
      </c>
      <c r="EZ38" s="678">
        <f>CLA_!BP38</f>
        <v>17</v>
      </c>
      <c r="FA38" s="678">
        <f>CLA_!BQ38</f>
        <v>30</v>
      </c>
      <c r="FB38" s="687" t="str">
        <f>CLA_!BR38</f>
        <v/>
      </c>
      <c r="FC38" s="687" t="str">
        <f>CLA_!BS38</f>
        <v/>
      </c>
      <c r="FD38" s="677" t="str">
        <f>CLA_!BT38</f>
        <v/>
      </c>
      <c r="FE38" s="691">
        <f>IF(ISNUMBER(EQ38+EX38),+EQ38*DF_!$EA36+EX38*DF_!$EB36,"")</f>
        <v>7.5999999999999998E-2</v>
      </c>
      <c r="FF38" s="687">
        <f>IF(ISNUMBER(+ER38+EY38),+ER38*DF_!$EA36+EY38*DF_!$EB36,"")</f>
        <v>0.26350000000000001</v>
      </c>
      <c r="FG38" s="678">
        <f>IF(ISNUMBER(ES38)+ISNUMBER(EZ38)&gt;0,IF(ISNUMBER(ES38),ES38,$ET$42)*DF_!$EA36+IF(ISNUMBER(EZ38),EZ38,$FA$42)*DF_!$EB36,"")</f>
        <v>16.934999999999999</v>
      </c>
      <c r="FH38" s="678">
        <f>IF(ISNUMBER(ET38)+ISNUMBER(FA38)&gt;0,IF(ISNUMBER(ET38),ET38,$ET$42)*DF_!$EA36+IF(ISNUMBER(FA38),FA38,$FA$42)*DF_!$EB36,"")</f>
        <v>30.845000000000002</v>
      </c>
      <c r="FI38" s="687" t="str">
        <f>IF(EU38="","",+EU38*DF_!$EA36+FB38*DF_!$EB36)</f>
        <v/>
      </c>
      <c r="FJ38" s="687" t="str">
        <f>IF(EV38="","",+EV38*DF_!$EA36+FC38*DF_!$EB36)</f>
        <v/>
      </c>
      <c r="FK38" s="677" t="str">
        <f>IF(EW38="","",+EW38*DF_!$EA36+FD38*DF_!$EB36)</f>
        <v/>
      </c>
      <c r="FL38" s="691" t="str">
        <f>CLA_!BU38</f>
        <v/>
      </c>
      <c r="FM38" s="687" t="str">
        <f>CLA_!BV38</f>
        <v/>
      </c>
      <c r="FN38" s="678" t="str">
        <f>CLA_!BW38</f>
        <v/>
      </c>
      <c r="FO38" s="678" t="str">
        <f>CLA_!BX38</f>
        <v/>
      </c>
      <c r="FP38" s="687" t="str">
        <f>CLA_!BY38</f>
        <v/>
      </c>
      <c r="FQ38" s="687" t="str">
        <f>CLA_!BZ38</f>
        <v/>
      </c>
      <c r="FR38" s="677" t="str">
        <f>CLA_!CA38</f>
        <v/>
      </c>
      <c r="FS38" s="691">
        <f>CLA_!CB38</f>
        <v>0.72</v>
      </c>
      <c r="FT38" s="687">
        <f>CLA_!CC38</f>
        <v>2.11</v>
      </c>
      <c r="FU38" s="678">
        <f>CLA_!CD38</f>
        <v>10.8</v>
      </c>
      <c r="FV38" s="678">
        <f>CLA_!CE38</f>
        <v>12.7</v>
      </c>
      <c r="FW38" s="687" t="str">
        <f>CLA_!CF38</f>
        <v/>
      </c>
      <c r="FX38" s="687" t="str">
        <f>CLA_!CG38</f>
        <v/>
      </c>
      <c r="FY38" s="677" t="str">
        <f>CLA_!CH38</f>
        <v/>
      </c>
      <c r="FZ38" s="610" t="s">
        <v>340</v>
      </c>
      <c r="GA38" s="610" t="s">
        <v>340</v>
      </c>
      <c r="GB38" s="1968" t="str">
        <f>IF(CLA_!CY38="","",+CLA_!CY38)</f>
        <v/>
      </c>
      <c r="GC38" s="677" t="str">
        <f>IF(CLA_!CZ38="","",+CLA_!CZ38)</f>
        <v/>
      </c>
      <c r="GD38" s="677" t="str">
        <f>IF(CLA_!DA38="","",+CLA_!DA38)</f>
        <v/>
      </c>
      <c r="GE38" s="678" t="str">
        <f>IF(CLA_!DB38="","",+CLA_!DB38)</f>
        <v/>
      </c>
      <c r="GF38" s="677" t="str">
        <f>IF(CLA_!DO38="","",+CLA_!DO38)</f>
        <v/>
      </c>
      <c r="GG38" s="678" t="str">
        <f>IF(CLA_!DP38="","",+CLA_!DP38)</f>
        <v/>
      </c>
      <c r="GH38" s="677" t="str">
        <f>IF(CLA_!DQ38="","",+CLA_!DQ38)</f>
        <v/>
      </c>
      <c r="GI38" s="677" t="str">
        <f>IF(CLA_!DR38="","",+CLA_!DR38)</f>
        <v/>
      </c>
      <c r="GJ38" s="2030"/>
      <c r="GK38" s="2025" t="str">
        <f>IF(CLA_!CQ38="","",+CLA_!CQ38)</f>
        <v/>
      </c>
      <c r="GL38" s="2024"/>
      <c r="GM38" s="2026" t="str">
        <f>IF(CLA_!CR38="","",+CLA_!CR38)</f>
        <v/>
      </c>
      <c r="GN38" s="2024" t="str">
        <f>IF(CLA_!CZ38="","",+CLA_!CZ38)</f>
        <v/>
      </c>
      <c r="GO38" s="2026" t="str">
        <f>IF(CLA_!CS38="","",+CLA_!CS38)</f>
        <v/>
      </c>
      <c r="GP38" s="2024" t="str">
        <f>IF(CLA_!DA38="","",+CLA_!DA38)</f>
        <v/>
      </c>
      <c r="GQ38" s="2025" t="str">
        <f>IF(CLA_!CT38="","",+CLA_!CT38)</f>
        <v/>
      </c>
      <c r="GR38" s="2024" t="str">
        <f>IF(CLA_!CY38="","",+CLA_!CY38)</f>
        <v/>
      </c>
      <c r="GS38" s="2024" t="str">
        <f>IF(CLA_!CV38="","",+CLA_!CV38)</f>
        <v/>
      </c>
      <c r="GT38" s="2024" t="str">
        <f>IF(CLA_!DO38="","",+CLA_!DO38)</f>
        <v/>
      </c>
      <c r="GU38" s="2031" t="str">
        <f>IF(CLA_!CU38="","",+CLA_!CU38)</f>
        <v/>
      </c>
      <c r="GV38" s="1913" t="str">
        <f>CLA_!DF38</f>
        <v/>
      </c>
      <c r="GW38" s="677" t="str">
        <f>CLA_!DG38</f>
        <v/>
      </c>
      <c r="GX38" s="677" t="str">
        <f>CLA_!DH38</f>
        <v/>
      </c>
      <c r="GY38" s="678" t="str">
        <f>CLA_!DC38</f>
        <v/>
      </c>
      <c r="GZ38" s="648" t="s">
        <v>340</v>
      </c>
      <c r="HA38" s="635"/>
      <c r="HB38" s="648" t="s">
        <v>340</v>
      </c>
      <c r="HC38" s="685">
        <f>IF(PT_!BC38="","",+PT_!BC38)</f>
        <v>14</v>
      </c>
      <c r="HD38" s="677">
        <f>IF(PT_!BD38="","",+PT_!BD38)</f>
        <v>6</v>
      </c>
      <c r="HE38" s="677">
        <f>IF(PT_!BE38="","",+PT_!BE38)</f>
        <v>3</v>
      </c>
      <c r="HF38" s="677">
        <f>IF(PT_!BF38="","",+PT_!BF38)</f>
        <v>3</v>
      </c>
      <c r="HG38" s="677">
        <f>IF(PT_!BG38="","",+PT_!BG38)</f>
        <v>4</v>
      </c>
      <c r="HH38" s="677">
        <f>IF(PT_!BH38="","",+PT_!BH38)</f>
        <v>1</v>
      </c>
      <c r="HI38" s="677">
        <f>IF(PT_!BI38="","",+PT_!BI38)</f>
        <v>1</v>
      </c>
      <c r="HJ38" s="677">
        <f>IF(PT_!BJ38="","",+PT_!BJ38)</f>
        <v>4</v>
      </c>
      <c r="HK38" s="677">
        <f>IF(PT_!BK38="","",+PT_!BK38)</f>
        <v>2</v>
      </c>
      <c r="HL38" s="653"/>
      <c r="HM38" s="1782">
        <f t="shared" si="29"/>
        <v>53</v>
      </c>
      <c r="HN38" s="1787">
        <f t="shared" si="30"/>
        <v>31</v>
      </c>
      <c r="HO38" s="719">
        <f t="shared" si="31"/>
        <v>23</v>
      </c>
      <c r="HU38" s="730"/>
      <c r="HV38" s="2442"/>
      <c r="IU38" s="27"/>
    </row>
    <row r="39" spans="1:255" ht="17.100000000000001" customHeight="1">
      <c r="A39" s="579"/>
      <c r="B39" s="648" t="s">
        <v>341</v>
      </c>
      <c r="C39" s="674">
        <f>+CLA_!D39</f>
        <v>176</v>
      </c>
      <c r="D39" s="675" t="str">
        <f>+CLA_!E39</f>
        <v/>
      </c>
      <c r="E39" s="676">
        <f>+CLA_!F39</f>
        <v>124</v>
      </c>
      <c r="F39" s="675" t="str">
        <f>+CLA_!G39</f>
        <v/>
      </c>
      <c r="G39" s="676">
        <f>IF(C39="","",ROUND((IF(ISNUMBER(C39),C39,+$C$42)*DF_!$DY37+IF(ISNUMBER(E39),E39,$E$42)*DF_!$DZ37)/(DF_!$DY37+DF_!$DZ37),0))</f>
        <v>158</v>
      </c>
      <c r="H39" s="675" t="str">
        <f>IF(D39="","",ROUND((IF(+D39=0,+$D$42,+D39)*DF_!$DY37+IF(ISNUMBER(F39),F39,$F$42)*DF_!$DZ37)/(DF_!$DY37+DF_!$DZ37),1))</f>
        <v/>
      </c>
      <c r="I39" s="676" t="str">
        <f>+CLA_!H39</f>
        <v/>
      </c>
      <c r="J39" s="676" t="str">
        <f>+CLA_!I39</f>
        <v/>
      </c>
      <c r="K39" s="676">
        <f>+CLA_!J39</f>
        <v>8</v>
      </c>
      <c r="L39" s="676" t="str">
        <f>+CLA_!K39</f>
        <v/>
      </c>
      <c r="M39" s="677" t="str">
        <f>IF(SUM(CLA_!L39:N39)=0,"",ROUND(AVERAGE(CLA_!L39:N39),-2))</f>
        <v/>
      </c>
      <c r="N39" s="677" t="str">
        <f>IF(SUM(CLA_!O39:P39)=0,"",ROUND(AVERAGE(CLA_!O39:P39),-2))</f>
        <v/>
      </c>
      <c r="O39" s="677" t="str">
        <f>IF(SUM(CLA_!Q39:S39)=0,"",ROUND(AVERAGE(CLA_!Q39:S39),-2))</f>
        <v/>
      </c>
      <c r="P39" s="677" t="str">
        <f>IF(SUM(CLA_!T39:U39)=0,"",ROUND(AVERAGE(CLA_!T39:U39),-2))</f>
        <v/>
      </c>
      <c r="Q39" s="677" t="str">
        <f>+CLA_!V39</f>
        <v/>
      </c>
      <c r="R39" s="678" t="str">
        <f>+CLA_!W39</f>
        <v/>
      </c>
      <c r="S39" s="677" t="str">
        <f>+CLA_!X39</f>
        <v/>
      </c>
      <c r="T39" s="678" t="str">
        <f>+CLA_!Y39</f>
        <v/>
      </c>
      <c r="U39" s="675" t="str">
        <f>IF(M39="","",+M39/(PT_!Y39*10))</f>
        <v/>
      </c>
      <c r="V39" s="675" t="str">
        <f>IF(N39="","",+N39/(PT_!Z39*10))</f>
        <v/>
      </c>
      <c r="W39" s="675"/>
      <c r="X39" s="675"/>
      <c r="Y39" s="648" t="s">
        <v>341</v>
      </c>
      <c r="Z39" s="648" t="s">
        <v>341</v>
      </c>
      <c r="AA39" s="674">
        <f>IF(CLA_!Z39="","",+CLA_!Z39)</f>
        <v>125</v>
      </c>
      <c r="AB39" s="676">
        <f>IF(CLA_!AA39="","",+CLA_!AA39)</f>
        <v>119</v>
      </c>
      <c r="AC39" s="676">
        <f>IF(AA39="","",ROUND((IF(ISNUMBER(AA39),AA39,$AA$42)*DF_!$DY37+IF(ISNUMBER(AB39),AB39,$AB$42)*DF_!$DZ37)/(DF_!$DY37+DF_!$DZ37),0))</f>
        <v>123</v>
      </c>
      <c r="AD39" s="676" t="str">
        <f>IF(CLA_!AB39="","",+CLA_!AB39)</f>
        <v/>
      </c>
      <c r="AE39" s="676" t="str">
        <f>IF(CLA_!AC39="","",+CLA_!AC39)</f>
        <v/>
      </c>
      <c r="AF39" s="676">
        <f>IF(CLA_!AD39="","",+CLA_!AD39)</f>
        <v>5</v>
      </c>
      <c r="AG39" s="676" t="str">
        <f>IF(CLA_!AE39="","",+CLA_!AE39)</f>
        <v/>
      </c>
      <c r="AH39" s="675" t="str">
        <f>IF(CLA_!AF39="","",+CLA_!AF39)</f>
        <v/>
      </c>
      <c r="AI39" s="675" t="str">
        <f>IF(CLA_!AG39="","",+CLA_!AG39)</f>
        <v/>
      </c>
      <c r="AJ39" s="675" t="str">
        <f>IF(CLA_!AH39="","",+CLA_!AH39)</f>
        <v/>
      </c>
      <c r="AK39" s="675" t="str">
        <f>IF(CLA_!AI39="","",+CLA_!AI39)</f>
        <v/>
      </c>
      <c r="AL39" s="2192" t="str">
        <f t="shared" si="20"/>
        <v/>
      </c>
      <c r="AM39" s="675"/>
      <c r="AN39" s="676">
        <f>PT_!Y39</f>
        <v>120</v>
      </c>
      <c r="AO39" s="676">
        <f>PT_!Z39</f>
        <v>270</v>
      </c>
      <c r="AP39" s="682">
        <f t="shared" si="32"/>
        <v>0.10774022870797065</v>
      </c>
      <c r="AQ39" s="682">
        <f t="shared" si="21"/>
        <v>0.10644384221619993</v>
      </c>
      <c r="AR39" s="675">
        <f ca="1">IF(DMREZ!D39&gt;TODAY()-2,"",((IF(ISNUMBER(O39),O39,$O$42)*2.52*HD39)/((CF39*IF(ISNUMBER(K39),K39,$K$42)*(+HD39/(HD39+HE39)))+($HQ$14*IF(ISNUMBER(AT_!Q39),AT_!Q39,AT_!$Q$42)))))</f>
        <v>5.8811209556368489</v>
      </c>
      <c r="AS39" s="675">
        <f ca="1">IF(DMREZ!D39&gt;TODAY()-2,"",((IF(ISNUMBER(P39),P39,$P$42)*2.52*HE39)/((CF39*IF(ISNUMBER(K39),K39,$K$42)*(HE39/(HD39+HE39))+((PT_!BN39+2.5/3.5*PT_!BP39)*IF(ISNUMBER(AT_!S39),AT_!S39,AT_!$S$42))))))</f>
        <v>4.9465948158975284</v>
      </c>
      <c r="AT39" s="648" t="s">
        <v>341</v>
      </c>
      <c r="AU39" s="648" t="s">
        <v>341</v>
      </c>
      <c r="AV39" s="679" t="str">
        <f>IF(CLA_!AP39="","",+CLA_!AP39)</f>
        <v/>
      </c>
      <c r="AW39" s="680" t="str">
        <f>IF(CLA_!AQ39="","",+CLA_!AQ39)</f>
        <v/>
      </c>
      <c r="AX39" s="680" t="str">
        <f>IF(CLA_!AR39="","",+CLA_!AR39)</f>
        <v/>
      </c>
      <c r="AY39" s="680" t="str">
        <f>IF(CLA_!AS39="","",+CLA_!AS39)</f>
        <v/>
      </c>
      <c r="AZ39" s="680" t="str">
        <f>IF(CLA_!AT39="","",+CLA_!AT39)</f>
        <v/>
      </c>
      <c r="BA39" s="680" t="str">
        <f>IF(CLA_!AU39="","",+CLA_!AU39)</f>
        <v/>
      </c>
      <c r="BB39" s="680" t="str">
        <f>IF(CLA_!AV39="","",+CLA_!AV39)</f>
        <v/>
      </c>
      <c r="BC39" s="680" t="str">
        <f>IF(CLA_!AW39="","",+CLA_!AW39)</f>
        <v/>
      </c>
      <c r="BD39" s="680" t="str">
        <f>IF(CLA_!AX39="","",+CLA_!AX39)</f>
        <v/>
      </c>
      <c r="BE39" s="680" t="str">
        <f>IF(CLA_!AY39="","",+CLA_!AY39)</f>
        <v/>
      </c>
      <c r="BF39" s="675" t="str">
        <f>IF(CLA_!AZ39="","",+CLA_!AZ39)</f>
        <v/>
      </c>
      <c r="BG39" s="675" t="str">
        <f>IF(CLA_!BA39="","",+CLA_!BA39)</f>
        <v/>
      </c>
      <c r="BH39" s="675" t="str">
        <f>IF(CLA_!BB39="","",+CLA_!BB39)</f>
        <v/>
      </c>
      <c r="BI39" s="675" t="str">
        <f>IF(CLA_!BC39="","",+CLA_!BC39)</f>
        <v/>
      </c>
      <c r="BJ39" s="675" t="str">
        <f>IF(CLA_!BD39="","",+CLA_!BD39)</f>
        <v/>
      </c>
      <c r="BK39" s="681">
        <f>IF(PT_!U39="","",+PT_!U39)</f>
        <v>4.76</v>
      </c>
      <c r="BL39" s="675">
        <f>IF(PT_!V39="","",+PT_!V39)</f>
        <v>4.49</v>
      </c>
      <c r="BM39" s="675">
        <f>IF(PT_!W39="","",+PT_!W39)</f>
        <v>5.29</v>
      </c>
      <c r="BN39" s="675">
        <f>IF(PT_!X39="","",+PT_!X39)</f>
        <v>2.81</v>
      </c>
      <c r="BO39" s="675">
        <f>IF(PT_!T39="","",+PT_!T39)</f>
        <v>3.94</v>
      </c>
      <c r="BP39" s="676" t="str">
        <f>IF(CLA_!BE39="","",+CLA_!BE39)</f>
        <v/>
      </c>
      <c r="BQ39" s="676" t="str">
        <f>IF(CLA_!BF39="","",+CLA_!BF39)</f>
        <v/>
      </c>
      <c r="BR39" s="676" t="str">
        <f>IF(ISNUMBER(BQ39+BP39),+ROUND((BP39*DF_!DY37+BQ39*DF_!DZ37)/(DF_!DY37+DF_!DZ37),-1),"")</f>
        <v/>
      </c>
      <c r="BS39" s="676">
        <f>IF(PT_!C39="","",ROUND(+PT_!C39,0))</f>
        <v>16</v>
      </c>
      <c r="BT39" s="675">
        <f>IF(PT_!H39="","",ROUND(MAX(PT_!H39,PT_!K39),1))</f>
        <v>7.1</v>
      </c>
      <c r="BU39" s="675">
        <f>IF(PT_!I39="","",ROUND(MIN(PT_!I39,PT_!L39),1))</f>
        <v>6.3</v>
      </c>
      <c r="BV39" s="675">
        <f>IF(PT_!G39="","",ROUND((PT_!G39*DF_!DZ37+DF_!DY37*PT_!J39)/DF_!DS37,1))</f>
        <v>6.6</v>
      </c>
      <c r="BW39" s="675">
        <f>IF(PT_!N39="","",+PT_!N39)</f>
        <v>6.5</v>
      </c>
      <c r="BX39" s="675">
        <f>IF(PT_!O39="","",+PT_!O39)</f>
        <v>6.3</v>
      </c>
      <c r="BY39" s="675">
        <f>IF(PT_!M39="","",+PT_!M39)</f>
        <v>6.3</v>
      </c>
      <c r="BZ39" s="682">
        <f>IF(PT_!R39="","",+PT_!R39)</f>
        <v>0.48</v>
      </c>
      <c r="CA39" s="1644" t="str">
        <f>IF(PT_!P39="","",+PT_!P39)</f>
        <v/>
      </c>
      <c r="CB39" s="1645">
        <f>IF(PT_!Q39="","",+PT_!Q39)</f>
        <v>372</v>
      </c>
      <c r="CC39" s="648" t="s">
        <v>341</v>
      </c>
      <c r="CD39" s="635"/>
      <c r="CE39" s="648" t="s">
        <v>341</v>
      </c>
      <c r="CF39" s="685">
        <f>IF(DF_!AA37="","",+DF_!AA37)</f>
        <v>101</v>
      </c>
      <c r="CG39" s="677">
        <f ca="1">IF(+DMREZ!D39&lt;TODAY(),+DF_!AD37,"")</f>
        <v>101</v>
      </c>
      <c r="CH39" s="677">
        <f>IF(DF_!AB37="","",+DF_!AB37)</f>
        <v>120</v>
      </c>
      <c r="CI39" s="677">
        <f>IF(DF_!AC37="","",+DF_!AC37)</f>
        <v>58</v>
      </c>
      <c r="CJ39" s="677">
        <f>IF(DF_!AG37="","",+DF_!AG37)</f>
        <v>101</v>
      </c>
      <c r="CK39" s="677">
        <f>IF(PT_!BL39="","",ROUND(PT_!BL39,0))</f>
        <v>61</v>
      </c>
      <c r="CL39" s="686">
        <f t="shared" si="22"/>
        <v>0.60396039603960394</v>
      </c>
      <c r="CM39" s="675">
        <f>IF(PT_!AL39="","",+PT_!AL39)</f>
        <v>80.5</v>
      </c>
      <c r="CN39" s="687">
        <f t="shared" si="10"/>
        <v>0.79702970297029707</v>
      </c>
      <c r="CO39" s="678">
        <f t="shared" si="11"/>
        <v>1.8</v>
      </c>
      <c r="CP39" s="678">
        <f t="shared" si="23"/>
        <v>3.4</v>
      </c>
      <c r="CQ39" s="678">
        <f t="shared" si="12"/>
        <v>3.7</v>
      </c>
      <c r="CR39" s="677">
        <f t="shared" si="13"/>
        <v>560</v>
      </c>
      <c r="CS39" s="675" t="str">
        <f t="shared" si="24"/>
        <v/>
      </c>
      <c r="CT39" s="643"/>
      <c r="CU39" s="678">
        <f t="shared" si="33"/>
        <v>66.5</v>
      </c>
      <c r="CV39" s="677">
        <f t="shared" si="48"/>
        <v>94.887218045112789</v>
      </c>
      <c r="CW39" s="678">
        <f t="shared" si="49"/>
        <v>63.1</v>
      </c>
      <c r="CX39" s="678">
        <f t="shared" si="34"/>
        <v>324.7</v>
      </c>
      <c r="CY39" s="678">
        <f t="shared" si="25"/>
        <v>31.8</v>
      </c>
      <c r="CZ39" s="678">
        <f t="shared" si="26"/>
        <v>10.199999999999999</v>
      </c>
      <c r="DA39" s="2025">
        <f t="shared" si="27"/>
        <v>10.6</v>
      </c>
      <c r="DB39" s="741">
        <f t="shared" si="35"/>
        <v>10.199999999999999</v>
      </c>
      <c r="DC39" s="648" t="s">
        <v>341</v>
      </c>
      <c r="DD39" s="648" t="s">
        <v>341</v>
      </c>
      <c r="DE39" s="688" t="str">
        <f>IF(Grit!AT36+Grit!AZ36=0,"",+Grit!AT36+Grit!AZ36*0.5)</f>
        <v/>
      </c>
      <c r="DF39" s="689">
        <f>IF(Grit!AV36="0","",+Grit!AV36)</f>
        <v>0</v>
      </c>
      <c r="DG39" s="689">
        <f t="shared" ref="DG39:DG41" si="52">IF(DF39="","",ROUND(DF39*$HQ$7,-2))</f>
        <v>0</v>
      </c>
      <c r="DH39" s="689" t="str">
        <f>IF(Grit!AX36+Grit!AY36=0,"",+Grit!AX36+Grit!AZ36*0.5)</f>
        <v/>
      </c>
      <c r="DI39" s="689" t="str">
        <f t="shared" si="17"/>
        <v/>
      </c>
      <c r="DJ39" s="675">
        <f ca="1">IF(+DMREZ!D39&lt;TODAY(),+PT_!AE39,"")</f>
        <v>52.9</v>
      </c>
      <c r="DK39" s="678">
        <f ca="1">IF(ISTEXT(DJ39),"",ROUND(+DJ39*$HQ$9*IF(ISTEXT(AH39),$AH$42,AH39)/100,1))</f>
        <v>110</v>
      </c>
      <c r="DL39" s="678">
        <f ca="1">IF(ISTEXT(DJ39),"",ROUND((+DK39*(IF(ISTEXT(AI39),$AI$42,AI39)/100)),1))</f>
        <v>91.4</v>
      </c>
      <c r="DM39" s="678">
        <f ca="1">DJ39</f>
        <v>52.9</v>
      </c>
      <c r="DN39" s="678">
        <f ca="1">IF(ISTEXT(DM39),"",ROUND(+DM39*$HQ$9*(IF(ISTEXT(AJ39),$AJ$42,AJ39)/100),1))</f>
        <v>56.7</v>
      </c>
      <c r="DO39" s="678">
        <f ca="1">IF(ISNUMBER(DN39),ROUND((+DN39*(IF(ISTEXT(AK39),$AK$42,AK39)/100)),1),"")</f>
        <v>40.5</v>
      </c>
      <c r="DP39" s="687" t="str">
        <f>IF(DW_!R39="","",+DW_!R39/1000)</f>
        <v/>
      </c>
      <c r="DQ39" s="678" t="str">
        <f>IF(DW_!S39="","",+DW_!S39*2)</f>
        <v/>
      </c>
      <c r="DR39" s="678" t="str">
        <f>+DW_!S39</f>
        <v/>
      </c>
      <c r="DS39" s="675"/>
      <c r="DT39" s="677">
        <f>IF(PT_!AC39="","",+PT_!AC39)</f>
        <v>103</v>
      </c>
      <c r="DU39" s="689">
        <f>IF(ISNUMBER(CHEM_!G38),+CHEM_!G38,"")</f>
        <v>1420</v>
      </c>
      <c r="DV39" s="675">
        <f t="shared" si="18"/>
        <v>14.1</v>
      </c>
      <c r="DW39" s="687">
        <f>IF(PT_!S39="","",+PT_!S39)</f>
        <v>0.42</v>
      </c>
      <c r="DX39" s="648" t="s">
        <v>341</v>
      </c>
      <c r="DY39" s="648" t="s">
        <v>341</v>
      </c>
      <c r="DZ39" s="690" t="str">
        <f>PT_!AK39</f>
        <v/>
      </c>
      <c r="EA39" s="678">
        <f>IF(PT_!AJ39="","",+PT_!AJ39)</f>
        <v>131.20000000000002</v>
      </c>
      <c r="EB39" s="2086">
        <f t="shared" si="19"/>
        <v>131.20000000000002</v>
      </c>
      <c r="EC39" s="2094">
        <f>IF(PT_!BO39="","",+PT_!BO39)</f>
        <v>74.320799999999991</v>
      </c>
      <c r="ED39" s="1903"/>
      <c r="EE39" s="643"/>
      <c r="EF39" s="2083">
        <v>205.7</v>
      </c>
      <c r="EG39" s="2084">
        <v>617.1</v>
      </c>
      <c r="EH39" s="1890"/>
      <c r="EI39" s="689"/>
      <c r="EJ39" s="1891" t="str">
        <f>+PT_!AF39</f>
        <v/>
      </c>
      <c r="EK39" s="759" t="str">
        <f t="shared" si="28"/>
        <v/>
      </c>
      <c r="EL39" s="689"/>
      <c r="EM39" s="689" t="str">
        <f>IF(PT_!AH39&gt;0,+PT_!AH39,"")</f>
        <v/>
      </c>
      <c r="EN39" s="614" t="str">
        <f>IF(PT_!AZ39="","",+PT_!AZ39)</f>
        <v>Clear</v>
      </c>
      <c r="EO39" s="615" t="s">
        <v>341</v>
      </c>
      <c r="EP39" s="610" t="s">
        <v>341</v>
      </c>
      <c r="EQ39" s="691">
        <f>CLA_!BG39</f>
        <v>0.06</v>
      </c>
      <c r="ER39" s="687">
        <f>CLA_!BH39</f>
        <v>0.17</v>
      </c>
      <c r="ES39" s="678">
        <f>CLA_!BI39</f>
        <v>20.399999999999999</v>
      </c>
      <c r="ET39" s="678">
        <f>CLA_!BJ39</f>
        <v>36.9</v>
      </c>
      <c r="EU39" s="687" t="str">
        <f>CLA_!BK39</f>
        <v/>
      </c>
      <c r="EV39" s="687" t="str">
        <f>CLA_!BL39</f>
        <v/>
      </c>
      <c r="EW39" s="677" t="str">
        <f>CLA_!BM39</f>
        <v/>
      </c>
      <c r="EX39" s="691">
        <f>CLA_!BN39</f>
        <v>0.06</v>
      </c>
      <c r="EY39" s="687">
        <f>CLA_!BO39</f>
        <v>0.15</v>
      </c>
      <c r="EZ39" s="678">
        <f>CLA_!BP39</f>
        <v>19</v>
      </c>
      <c r="FA39" s="678">
        <f>CLA_!BQ39</f>
        <v>33.299999999999997</v>
      </c>
      <c r="FB39" s="687" t="str">
        <f>CLA_!BR39</f>
        <v/>
      </c>
      <c r="FC39" s="687" t="str">
        <f>CLA_!BS39</f>
        <v/>
      </c>
      <c r="FD39" s="677" t="str">
        <f>CLA_!BT39</f>
        <v/>
      </c>
      <c r="FE39" s="691">
        <f>IF(ISNUMBER(EQ39+EX39),+EQ39*DF_!$EA37+EX39*DF_!$EB37,"")</f>
        <v>0.06</v>
      </c>
      <c r="FF39" s="687">
        <f>IF(ISNUMBER(+ER39+EY39),+ER39*DF_!$EA37+EY39*DF_!$EB37,"")</f>
        <v>0.16300000000000001</v>
      </c>
      <c r="FG39" s="678">
        <f>IF(ISNUMBER(ES39)+ISNUMBER(EZ39)&gt;0,IF(ISNUMBER(ES39),ES39,$ET$42)*DF_!$EA37+IF(ISNUMBER(EZ39),EZ39,$FA$42)*DF_!$EB37,"")</f>
        <v>19.91</v>
      </c>
      <c r="FH39" s="678">
        <f>IF(ISNUMBER(ET39)+ISNUMBER(FA39)&gt;0,IF(ISNUMBER(ET39),ET39,$ET$42)*DF_!$EA37+IF(ISNUMBER(FA39),FA39,$FA$42)*DF_!$EB37,"")</f>
        <v>35.64</v>
      </c>
      <c r="FI39" s="687" t="str">
        <f>IF(EU39="","",+EU39*DF_!$EA37+FB39*DF_!$EB37)</f>
        <v/>
      </c>
      <c r="FJ39" s="687" t="str">
        <f>IF(EV39="","",+EV39*DF_!$EA37+FC39*DF_!$EB37)</f>
        <v/>
      </c>
      <c r="FK39" s="677" t="str">
        <f>IF(EW39="","",+EW39*DF_!$EA37+FD39*DF_!$EB37)</f>
        <v/>
      </c>
      <c r="FL39" s="691" t="str">
        <f>CLA_!BU39</f>
        <v/>
      </c>
      <c r="FM39" s="687" t="str">
        <f>CLA_!BV39</f>
        <v/>
      </c>
      <c r="FN39" s="678" t="str">
        <f>CLA_!BW39</f>
        <v/>
      </c>
      <c r="FO39" s="678" t="str">
        <f>CLA_!BX39</f>
        <v/>
      </c>
      <c r="FP39" s="687" t="str">
        <f>CLA_!BY39</f>
        <v/>
      </c>
      <c r="FQ39" s="687" t="str">
        <f>CLA_!BZ39</f>
        <v/>
      </c>
      <c r="FR39" s="677" t="str">
        <f>CLA_!CA39</f>
        <v/>
      </c>
      <c r="FS39" s="691">
        <f>CLA_!CB39</f>
        <v>0.77</v>
      </c>
      <c r="FT39" s="687">
        <f>CLA_!CC39</f>
        <v>2.5</v>
      </c>
      <c r="FU39" s="678">
        <f>CLA_!CD39</f>
        <v>10.7</v>
      </c>
      <c r="FV39" s="678">
        <f>CLA_!CE39</f>
        <v>13.3</v>
      </c>
      <c r="FW39" s="687" t="str">
        <f>CLA_!CF39</f>
        <v/>
      </c>
      <c r="FX39" s="687" t="str">
        <f>CLA_!CG39</f>
        <v/>
      </c>
      <c r="FY39" s="677" t="str">
        <f>CLA_!CH39</f>
        <v/>
      </c>
      <c r="FZ39" s="610" t="s">
        <v>341</v>
      </c>
      <c r="GA39" s="610" t="s">
        <v>341</v>
      </c>
      <c r="GB39" s="1968" t="str">
        <f>IF(CLA_!CY39="","",+CLA_!CY39)</f>
        <v/>
      </c>
      <c r="GC39" s="677" t="str">
        <f>IF(CLA_!CZ39="","",+CLA_!CZ39)</f>
        <v/>
      </c>
      <c r="GD39" s="677" t="str">
        <f>IF(CLA_!DA39="","",+CLA_!DA39)</f>
        <v/>
      </c>
      <c r="GE39" s="678" t="str">
        <f>IF(CLA_!DB39="","",+CLA_!DB39)</f>
        <v/>
      </c>
      <c r="GF39" s="677" t="str">
        <f>IF(CLA_!DO39="","",+CLA_!DO39)</f>
        <v/>
      </c>
      <c r="GG39" s="678" t="str">
        <f>IF(CLA_!DP39="","",+CLA_!DP39)</f>
        <v/>
      </c>
      <c r="GH39" s="677" t="str">
        <f>IF(CLA_!DQ39="","",+CLA_!DQ39)</f>
        <v/>
      </c>
      <c r="GI39" s="677" t="str">
        <f>IF(CLA_!DR39="","",+CLA_!DR39)</f>
        <v/>
      </c>
      <c r="GJ39" s="2030"/>
      <c r="GK39" s="2025" t="str">
        <f>IF(CLA_!CQ39="","",+CLA_!CQ39)</f>
        <v/>
      </c>
      <c r="GL39" s="2024"/>
      <c r="GM39" s="2026" t="str">
        <f>IF(CLA_!CR39="","",+CLA_!CR39)</f>
        <v/>
      </c>
      <c r="GN39" s="2024" t="str">
        <f>IF(CLA_!CZ39="","",+CLA_!CZ39)</f>
        <v/>
      </c>
      <c r="GO39" s="2026" t="str">
        <f>IF(CLA_!CS39="","",+CLA_!CS39)</f>
        <v/>
      </c>
      <c r="GP39" s="2024" t="str">
        <f>IF(CLA_!DA39="","",+CLA_!DA39)</f>
        <v/>
      </c>
      <c r="GQ39" s="2025" t="str">
        <f>IF(CLA_!CT39="","",+CLA_!CT39)</f>
        <v/>
      </c>
      <c r="GR39" s="2024" t="str">
        <f>IF(CLA_!CY39="","",+CLA_!CY39)</f>
        <v/>
      </c>
      <c r="GS39" s="2024" t="str">
        <f>IF(CLA_!CV39="","",+CLA_!CV39)</f>
        <v/>
      </c>
      <c r="GT39" s="2024" t="str">
        <f>IF(CLA_!DO39="","",+CLA_!DO39)</f>
        <v/>
      </c>
      <c r="GU39" s="2031" t="str">
        <f>IF(CLA_!CU39="","",+CLA_!CU39)</f>
        <v/>
      </c>
      <c r="GV39" s="1913" t="str">
        <f>CLA_!DF39</f>
        <v/>
      </c>
      <c r="GW39" s="677" t="str">
        <f>CLA_!DG39</f>
        <v/>
      </c>
      <c r="GX39" s="677" t="str">
        <f>CLA_!DH39</f>
        <v/>
      </c>
      <c r="GY39" s="678" t="str">
        <f>CLA_!DC39</f>
        <v/>
      </c>
      <c r="GZ39" s="648" t="s">
        <v>341</v>
      </c>
      <c r="HA39" s="635"/>
      <c r="HB39" s="648" t="s">
        <v>341</v>
      </c>
      <c r="HC39" s="685">
        <f>IF(PT_!BC39="","",+PT_!BC39)</f>
        <v>14</v>
      </c>
      <c r="HD39" s="677">
        <f>IF(PT_!BD39="","",+PT_!BD39)</f>
        <v>6</v>
      </c>
      <c r="HE39" s="677">
        <f>IF(PT_!BE39="","",+PT_!BE39)</f>
        <v>3</v>
      </c>
      <c r="HF39" s="677">
        <f>IF(PT_!BF39="","",+PT_!BF39)</f>
        <v>3</v>
      </c>
      <c r="HG39" s="677">
        <f>IF(PT_!BG39="","",+PT_!BG39)</f>
        <v>4</v>
      </c>
      <c r="HH39" s="677">
        <f>IF(PT_!BH39="","",+PT_!BH39)</f>
        <v>1</v>
      </c>
      <c r="HI39" s="677">
        <f>IF(PT_!BI39="","",+PT_!BI39)</f>
        <v>1</v>
      </c>
      <c r="HJ39" s="677">
        <f>IF(PT_!BJ39="","",+PT_!BJ39)</f>
        <v>4</v>
      </c>
      <c r="HK39" s="677">
        <f>IF(PT_!BK39="","",+PT_!BK39)</f>
        <v>2</v>
      </c>
      <c r="HL39" s="653"/>
      <c r="HM39" s="1782">
        <f t="shared" si="29"/>
        <v>72</v>
      </c>
      <c r="HN39" s="1787">
        <f t="shared" si="30"/>
        <v>36</v>
      </c>
      <c r="HO39" s="719">
        <f t="shared" si="31"/>
        <v>47</v>
      </c>
      <c r="HU39" s="730"/>
      <c r="HV39" s="2442"/>
      <c r="IU39" s="27"/>
    </row>
    <row r="40" spans="1:255" ht="17.100000000000001" customHeight="1">
      <c r="A40" s="579"/>
      <c r="B40" s="648" t="s">
        <v>342</v>
      </c>
      <c r="C40" s="674">
        <f>+CLA_!D40</f>
        <v>142</v>
      </c>
      <c r="D40" s="675" t="str">
        <f>+CLA_!E40</f>
        <v/>
      </c>
      <c r="E40" s="676">
        <f>+CLA_!F40</f>
        <v>124</v>
      </c>
      <c r="F40" s="675" t="str">
        <f>+CLA_!G40</f>
        <v/>
      </c>
      <c r="G40" s="676">
        <f>IF(C40="","",IF(+C40+E40=0,ROUND(((+$C$42*DF_!$DY38)+($E$42*DF_!DZ38))/(DF_!DY38+DF_!$DZ38),0),ROUND((IF(+C40=0,+$C$42,+C40)*DF_!$DY38+IF(+E40=0,$E$42,E40)*DF_!$DZ38)/(DF_!$DY38+DF_!$DZ38),0)))</f>
        <v>136</v>
      </c>
      <c r="H40" s="675" t="str">
        <f>IF(D40="","",ROUND((IF(+D40=0,+$D$42,+D40)*DF_!$DY38+IF(ISNUMBER(F40),F40,$F$42)*DF_!$DZ38)/(DF_!$DY38+DF_!$DZ38),1))</f>
        <v/>
      </c>
      <c r="I40" s="676" t="str">
        <f>+CLA_!H40</f>
        <v/>
      </c>
      <c r="J40" s="676" t="str">
        <f>+CLA_!I40</f>
        <v/>
      </c>
      <c r="K40" s="676">
        <f>+CLA_!J40</f>
        <v>8</v>
      </c>
      <c r="L40" s="676" t="str">
        <f>+CLA_!K40</f>
        <v/>
      </c>
      <c r="M40" s="677" t="str">
        <f>IF(SUM(CLA_!L40:N40)=0,"",ROUND(AVERAGE(CLA_!L40:N40),-2))</f>
        <v/>
      </c>
      <c r="N40" s="677" t="str">
        <f>IF(SUM(CLA_!O40:P40)=0,"",ROUND(AVERAGE(CLA_!O40:P40),-2))</f>
        <v/>
      </c>
      <c r="O40" s="677" t="str">
        <f>IF(SUM(CLA_!Q40:S40)=0,"",ROUND(AVERAGE(CLA_!Q40:S40),-2))</f>
        <v/>
      </c>
      <c r="P40" s="677" t="str">
        <f>IF(SUM(CLA_!T40:U40)=0,"",ROUND(AVERAGE(CLA_!T40:U40),-2))</f>
        <v/>
      </c>
      <c r="Q40" s="677" t="str">
        <f>+CLA_!V40</f>
        <v/>
      </c>
      <c r="R40" s="678" t="str">
        <f>+CLA_!W40</f>
        <v/>
      </c>
      <c r="S40" s="677" t="str">
        <f>+CLA_!X40</f>
        <v/>
      </c>
      <c r="T40" s="678" t="str">
        <f>+CLA_!Y40</f>
        <v/>
      </c>
      <c r="U40" s="675" t="str">
        <f>IF(M40="","",+M40/(PT_!Y40*10))</f>
        <v/>
      </c>
      <c r="V40" s="675" t="str">
        <f>IF(N40="","",+N40/(PT_!Z40*10))</f>
        <v/>
      </c>
      <c r="W40" s="675"/>
      <c r="X40" s="675"/>
      <c r="Y40" s="648" t="s">
        <v>342</v>
      </c>
      <c r="Z40" s="648" t="s">
        <v>342</v>
      </c>
      <c r="AA40" s="674">
        <f>IF(CLA_!Z40="","",+CLA_!Z40)</f>
        <v>113</v>
      </c>
      <c r="AB40" s="676">
        <f>IF(CLA_!AA40="","",+CLA_!AA40)</f>
        <v>121</v>
      </c>
      <c r="AC40" s="676">
        <f>IF(AA40="","",ROUND((IF(ISNUMBER(AA40),AA40,$AA$42)*DF_!$DY38+IF(ISNUMBER(AB40),AB40,$AB$42)*DF_!$DZ38)/(DF_!$DY38+DF_!$DZ38),0))</f>
        <v>116</v>
      </c>
      <c r="AD40" s="676" t="str">
        <f>IF(CLA_!AB40="","",+CLA_!AB40)</f>
        <v/>
      </c>
      <c r="AE40" s="676" t="str">
        <f>IF(CLA_!AC40="","",+CLA_!AC40)</f>
        <v/>
      </c>
      <c r="AF40" s="676">
        <f>IF(CLA_!AD40="","",+CLA_!AD40)</f>
        <v>4</v>
      </c>
      <c r="AG40" s="676" t="str">
        <f>IF(CLA_!AE40="","",+CLA_!AE40)</f>
        <v/>
      </c>
      <c r="AH40" s="675" t="str">
        <f>IF(CLA_!AF40="","",+CLA_!AF40)</f>
        <v/>
      </c>
      <c r="AI40" s="675" t="str">
        <f>IF(CLA_!AG40="","",+CLA_!AG40)</f>
        <v/>
      </c>
      <c r="AJ40" s="675" t="str">
        <f>IF(CLA_!AH40="","",+CLA_!AH40)</f>
        <v/>
      </c>
      <c r="AK40" s="675" t="str">
        <f>IF(CLA_!AI40="","",+CLA_!AI40)</f>
        <v/>
      </c>
      <c r="AL40" s="2192" t="str">
        <f t="shared" si="20"/>
        <v/>
      </c>
      <c r="AM40" s="675"/>
      <c r="AN40" s="676">
        <f>PT_!Y40</f>
        <v>110</v>
      </c>
      <c r="AO40" s="676">
        <f>PT_!Z40</f>
        <v>250</v>
      </c>
      <c r="AP40" s="682">
        <f t="shared" si="32"/>
        <v>0.10667349377026797</v>
      </c>
      <c r="AQ40" s="682">
        <f t="shared" si="21"/>
        <v>0.10538994278831677</v>
      </c>
      <c r="AR40" s="675">
        <f ca="1">IF(DMREZ!D40&gt;TODAY()-2,"",((IF(ISNUMBER(O40),O40,$O$42)*2.52*HD40)/((CF40*IF(ISNUMBER(K40),K40,$K$42)*(+HD40/(HD40+HE40)))+($HQ$14*IF(ISNUMBER(AT_!Q40),AT_!Q40,AT_!$Q$42)))))</f>
        <v>5.8850591412932207</v>
      </c>
      <c r="AS40" s="675">
        <f ca="1">IF(DMREZ!D40&gt;TODAY()-2,"",((IF(ISNUMBER(P40),P40,$P$42)*2.52*HE40)/((CF40*IF(ISNUMBER(K40),K40,$K$42)*(HE40/(HD40+HE40))+((PT_!BN40+2.5/3.5*PT_!BP40)*IF(ISNUMBER(AT_!S40),AT_!S40,AT_!$S$42))))))</f>
        <v>5.5581264721721722</v>
      </c>
      <c r="AT40" s="648" t="s">
        <v>342</v>
      </c>
      <c r="AU40" s="648" t="s">
        <v>342</v>
      </c>
      <c r="AV40" s="679" t="str">
        <f>IF(CLA_!AP40="","",+CLA_!AP40)</f>
        <v/>
      </c>
      <c r="AW40" s="680" t="str">
        <f>IF(CLA_!AQ40="","",+CLA_!AQ40)</f>
        <v/>
      </c>
      <c r="AX40" s="680" t="str">
        <f>IF(CLA_!AR40="","",+CLA_!AR40)</f>
        <v/>
      </c>
      <c r="AY40" s="680" t="str">
        <f>IF(CLA_!AS40="","",+CLA_!AS40)</f>
        <v/>
      </c>
      <c r="AZ40" s="680" t="str">
        <f>IF(CLA_!AT40="","",+CLA_!AT40)</f>
        <v/>
      </c>
      <c r="BA40" s="680" t="str">
        <f>IF(CLA_!AU40="","",+CLA_!AU40)</f>
        <v/>
      </c>
      <c r="BB40" s="680" t="str">
        <f>IF(CLA_!AV40="","",+CLA_!AV40)</f>
        <v/>
      </c>
      <c r="BC40" s="680" t="str">
        <f>IF(CLA_!AW40="","",+CLA_!AW40)</f>
        <v/>
      </c>
      <c r="BD40" s="680" t="str">
        <f>IF(CLA_!AX40="","",+CLA_!AX40)</f>
        <v/>
      </c>
      <c r="BE40" s="680" t="str">
        <f>IF(CLA_!AY40="","",+CLA_!AY40)</f>
        <v/>
      </c>
      <c r="BF40" s="675" t="str">
        <f>IF(CLA_!AZ40="","",+CLA_!AZ40)</f>
        <v/>
      </c>
      <c r="BG40" s="675" t="str">
        <f>IF(CLA_!BA40="","",+CLA_!BA40)</f>
        <v/>
      </c>
      <c r="BH40" s="675" t="str">
        <f>IF(CLA_!BB40="","",+CLA_!BB40)</f>
        <v/>
      </c>
      <c r="BI40" s="675" t="str">
        <f>IF(CLA_!BC40="","",+CLA_!BC40)</f>
        <v/>
      </c>
      <c r="BJ40" s="675" t="str">
        <f>IF(CLA_!BD40="","",+CLA_!BD40)</f>
        <v/>
      </c>
      <c r="BK40" s="681">
        <f>IF(PT_!U40="","",+PT_!U40)</f>
        <v>4.6500000000000004</v>
      </c>
      <c r="BL40" s="675">
        <f>IF(PT_!V40="","",+PT_!V40)</f>
        <v>4.26</v>
      </c>
      <c r="BM40" s="675">
        <f>IF(PT_!W40="","",+PT_!W40)</f>
        <v>5.59</v>
      </c>
      <c r="BN40" s="675">
        <f>IF(PT_!X40="","",+PT_!X40)</f>
        <v>3.59</v>
      </c>
      <c r="BO40" s="675">
        <f>IF(PT_!T40="","",+PT_!T40)</f>
        <v>4.05</v>
      </c>
      <c r="BP40" s="676" t="str">
        <f>IF(CLA_!BE40="","",+CLA_!BE40)</f>
        <v/>
      </c>
      <c r="BQ40" s="676" t="str">
        <f>IF(CLA_!BF40="","",+CLA_!BF40)</f>
        <v/>
      </c>
      <c r="BR40" s="676" t="str">
        <f>IF(ISNUMBER(BQ40+BP40),+ROUND((BP40*DF_!DY38+BQ40*DF_!DZ38)/(DF_!DY38+DF_!DZ38),-1),"")</f>
        <v/>
      </c>
      <c r="BS40" s="676">
        <f>IF(PT_!C40="","",ROUND(+PT_!C40,0))</f>
        <v>16</v>
      </c>
      <c r="BT40" s="675">
        <f>IF(PT_!H40="","",ROUND(MAX(PT_!H40,PT_!K40),1))</f>
        <v>7</v>
      </c>
      <c r="BU40" s="675">
        <f>IF(PT_!I40="","",ROUND(MIN(PT_!I40,PT_!L40),1))</f>
        <v>6.4</v>
      </c>
      <c r="BV40" s="675">
        <f>IF(PT_!G40="","",ROUND((PT_!G40*DF_!DZ38+DF_!DY38*PT_!J40)/DF_!DS38,1))</f>
        <v>6.6</v>
      </c>
      <c r="BW40" s="675">
        <f>IF(PT_!N40="","",+PT_!N40)</f>
        <v>6.8</v>
      </c>
      <c r="BX40" s="675">
        <f>IF(PT_!O40="","",+PT_!O40)</f>
        <v>6.3</v>
      </c>
      <c r="BY40" s="675">
        <f>IF(PT_!M40="","",+PT_!M40)</f>
        <v>6.6</v>
      </c>
      <c r="BZ40" s="682">
        <f>IF(PT_!R40="","",+PT_!R40)</f>
        <v>0.32</v>
      </c>
      <c r="CA40" s="1644" t="str">
        <f>IF(PT_!P40="","",+PT_!P40)</f>
        <v>&gt;</v>
      </c>
      <c r="CB40" s="1645">
        <f>IF(PT_!Q40="","",+PT_!Q40)</f>
        <v>4000</v>
      </c>
      <c r="CC40" s="648" t="s">
        <v>342</v>
      </c>
      <c r="CD40" s="635"/>
      <c r="CE40" s="648" t="s">
        <v>342</v>
      </c>
      <c r="CF40" s="685">
        <f>IF(DF_!AA38="","",+DF_!AA38)</f>
        <v>100</v>
      </c>
      <c r="CG40" s="677">
        <f ca="1">IF(+DMREZ!D40&lt;TODAY(),+DF_!AD38,"")</f>
        <v>100</v>
      </c>
      <c r="CH40" s="677">
        <f>IF(DF_!AB38="","",+DF_!AB38)</f>
        <v>126</v>
      </c>
      <c r="CI40" s="677">
        <f>IF(DF_!AC38="","",+DF_!AC38)</f>
        <v>57</v>
      </c>
      <c r="CJ40" s="677">
        <f>IF(DF_!AG38="","",+DF_!AG38)</f>
        <v>100</v>
      </c>
      <c r="CK40" s="677">
        <f>IF(PT_!BL40="","",ROUND(PT_!BL40,0))</f>
        <v>61</v>
      </c>
      <c r="CL40" s="686">
        <f t="shared" si="22"/>
        <v>0.61</v>
      </c>
      <c r="CM40" s="675">
        <f>IF(PT_!AL40="","",+PT_!AL40)</f>
        <v>85.5</v>
      </c>
      <c r="CN40" s="687">
        <f t="shared" si="10"/>
        <v>0.85499999999999998</v>
      </c>
      <c r="CO40" s="678">
        <f t="shared" si="11"/>
        <v>1.8</v>
      </c>
      <c r="CP40" s="678">
        <f t="shared" si="23"/>
        <v>3.4</v>
      </c>
      <c r="CQ40" s="678">
        <f t="shared" si="12"/>
        <v>3.8</v>
      </c>
      <c r="CR40" s="677">
        <f t="shared" si="13"/>
        <v>550</v>
      </c>
      <c r="CS40" s="675" t="str">
        <f t="shared" si="24"/>
        <v/>
      </c>
      <c r="CT40" s="643"/>
      <c r="CU40" s="678">
        <f t="shared" si="33"/>
        <v>56.7</v>
      </c>
      <c r="CV40" s="677">
        <f t="shared" si="48"/>
        <v>94.179894179894177</v>
      </c>
      <c r="CW40" s="678">
        <f t="shared" si="49"/>
        <v>53.4</v>
      </c>
      <c r="CX40" s="678">
        <f t="shared" si="34"/>
        <v>324.7</v>
      </c>
      <c r="CY40" s="678">
        <f t="shared" si="25"/>
        <v>31.5</v>
      </c>
      <c r="CZ40" s="678">
        <f t="shared" si="26"/>
        <v>10.3</v>
      </c>
      <c r="DA40" s="2025">
        <f t="shared" si="27"/>
        <v>10.7</v>
      </c>
      <c r="DB40" s="741">
        <f t="shared" si="35"/>
        <v>10.3</v>
      </c>
      <c r="DC40" s="648" t="s">
        <v>342</v>
      </c>
      <c r="DD40" s="648" t="s">
        <v>342</v>
      </c>
      <c r="DE40" s="688" t="str">
        <f>IF(Grit!AT37+Grit!AZ37=0,"",+Grit!AT37+Grit!AZ37*0.5)</f>
        <v/>
      </c>
      <c r="DF40" s="689">
        <f>IF(Grit!AV37="0","",+Grit!AV37)</f>
        <v>324</v>
      </c>
      <c r="DG40" s="689">
        <f t="shared" si="52"/>
        <v>20700</v>
      </c>
      <c r="DH40" s="689" t="str">
        <f>IF(Grit!AX37+Grit!AY37=0,"",+Grit!AX37+Grit!AZ37*0.5)</f>
        <v/>
      </c>
      <c r="DI40" s="689" t="str">
        <f t="shared" si="17"/>
        <v/>
      </c>
      <c r="DJ40" s="675">
        <f ca="1">IF(+DMREZ!D40&lt;TODAY(),+PT_!AE40,"")</f>
        <v>49.2</v>
      </c>
      <c r="DK40" s="678">
        <f ca="1">IF(ISTEXT(DJ40),"",ROUND(+DJ40*$HQ$9*IF(ISTEXT(AH40),$AH$42,AH40)/100,1))</f>
        <v>102.3</v>
      </c>
      <c r="DL40" s="678">
        <f ca="1">IF(ISTEXT(DJ40),"",ROUND((+DK40*(IF(ISTEXT(AI40),$AI$42,AI40)/100)),1))</f>
        <v>85</v>
      </c>
      <c r="DM40" s="678">
        <f ca="1">DJ40</f>
        <v>49.2</v>
      </c>
      <c r="DN40" s="678">
        <f ca="1">IF(ISTEXT(DM40),"",ROUND(+DM40*$HQ$9*(IF(ISTEXT(AJ40),$AJ$42,AJ40)/100),1))</f>
        <v>52.7</v>
      </c>
      <c r="DO40" s="678">
        <f ca="1">IF(ISNUMBER(DN40),ROUND((+DN40*(IF(ISTEXT(AK40),$AK$42,AK40)/100)),1),"")</f>
        <v>37.6</v>
      </c>
      <c r="DP40" s="687" t="str">
        <f>IF(DW_!R40="","",+DW_!R40/1000)</f>
        <v/>
      </c>
      <c r="DQ40" s="678" t="str">
        <f>IF(DW_!S40="","",+DW_!S40*2)</f>
        <v/>
      </c>
      <c r="DR40" s="678" t="str">
        <f>+DW_!S40</f>
        <v/>
      </c>
      <c r="DS40" s="675"/>
      <c r="DT40" s="677">
        <f>IF(PT_!AC40="","",+PT_!AC40)</f>
        <v>104</v>
      </c>
      <c r="DU40" s="689">
        <f>IF(ISNUMBER(CHEM_!G39),+CHEM_!G39,"")</f>
        <v>970</v>
      </c>
      <c r="DV40" s="675">
        <f t="shared" si="18"/>
        <v>9.6999999999999993</v>
      </c>
      <c r="DW40" s="687">
        <f>IF(PT_!S40="","",+PT_!S40)</f>
        <v>0.49</v>
      </c>
      <c r="DX40" s="648" t="s">
        <v>342</v>
      </c>
      <c r="DY40" s="648" t="s">
        <v>342</v>
      </c>
      <c r="DZ40" s="690" t="str">
        <f>PT_!AK40</f>
        <v/>
      </c>
      <c r="EA40" s="678">
        <f>IF(PT_!AJ40="","",+PT_!AJ40)</f>
        <v>137.6</v>
      </c>
      <c r="EB40" s="2086">
        <f t="shared" si="19"/>
        <v>137.6</v>
      </c>
      <c r="EC40" s="2094">
        <f>IF(PT_!BO40="","",+PT_!BO40)</f>
        <v>51.188160000000003</v>
      </c>
      <c r="ED40" s="1903"/>
      <c r="EE40" s="643"/>
      <c r="EF40" s="2083">
        <v>205.7</v>
      </c>
      <c r="EG40" s="2084">
        <v>617.1</v>
      </c>
      <c r="EH40" s="1890"/>
      <c r="EI40" s="689"/>
      <c r="EJ40" s="1891" t="str">
        <f>+PT_!AF40</f>
        <v/>
      </c>
      <c r="EK40" s="759" t="str">
        <f t="shared" si="28"/>
        <v/>
      </c>
      <c r="EL40" s="689"/>
      <c r="EM40" s="689" t="str">
        <f>IF(PT_!AH40&gt;0,+PT_!AH40,"")</f>
        <v/>
      </c>
      <c r="EN40" s="614" t="str">
        <f>IF(PT_!AZ40="","",+PT_!AZ40)</f>
        <v>Clear</v>
      </c>
      <c r="EO40" s="615" t="s">
        <v>342</v>
      </c>
      <c r="EP40" s="610" t="s">
        <v>342</v>
      </c>
      <c r="EQ40" s="691">
        <f>CLA_!BG40</f>
        <v>0.03</v>
      </c>
      <c r="ER40" s="687">
        <f>CLA_!BH40</f>
        <v>0.17</v>
      </c>
      <c r="ES40" s="678">
        <f>CLA_!BI40</f>
        <v>23.2</v>
      </c>
      <c r="ET40" s="678">
        <f>CLA_!BJ40</f>
        <v>37.4</v>
      </c>
      <c r="EU40" s="687" t="str">
        <f>CLA_!BK40</f>
        <v/>
      </c>
      <c r="EV40" s="687" t="str">
        <f>CLA_!BL40</f>
        <v/>
      </c>
      <c r="EW40" s="677" t="str">
        <f>CLA_!BM40</f>
        <v/>
      </c>
      <c r="EX40" s="691">
        <f>CLA_!BN40</f>
        <v>0.02</v>
      </c>
      <c r="EY40" s="687">
        <f>CLA_!BO40</f>
        <v>0.14000000000000001</v>
      </c>
      <c r="EZ40" s="678">
        <f>CLA_!BP40</f>
        <v>22.4</v>
      </c>
      <c r="FA40" s="678">
        <f>CLA_!BQ40</f>
        <v>35.700000000000003</v>
      </c>
      <c r="FB40" s="687" t="str">
        <f>CLA_!BR40</f>
        <v/>
      </c>
      <c r="FC40" s="687" t="str">
        <f>CLA_!BS40</f>
        <v/>
      </c>
      <c r="FD40" s="677" t="str">
        <f>CLA_!BT40</f>
        <v/>
      </c>
      <c r="FE40" s="691">
        <f>IF(ISNUMBER(EQ40+EX40),+EQ40*DF_!$EA38+EX40*DF_!$EB38,"")</f>
        <v>2.6499999999999999E-2</v>
      </c>
      <c r="FF40" s="687">
        <f>IF(ISNUMBER(+ER40+EY40),+ER40*DF_!$EA38+EY40*DF_!$EB38,"")</f>
        <v>0.15950000000000003</v>
      </c>
      <c r="FG40" s="678">
        <f>IF(ISNUMBER(ES40)+ISNUMBER(EZ40)&gt;0,IF(ISNUMBER(ES40),ES40,$ET$42)*DF_!$EA38+IF(ISNUMBER(EZ40),EZ40,$FA$42)*DF_!$EB38,"")</f>
        <v>22.919999999999998</v>
      </c>
      <c r="FH40" s="678">
        <f>IF(ISNUMBER(ET40)+ISNUMBER(FA40)&gt;0,IF(ISNUMBER(ET40),ET40,$ET$42)*DF_!$EA38+IF(ISNUMBER(FA40),FA40,$FA$42)*DF_!$EB38,"")</f>
        <v>36.805</v>
      </c>
      <c r="FI40" s="687" t="str">
        <f>IF(EU40="","",+EU40*DF_!$EA38+FB40*DF_!$EB38)</f>
        <v/>
      </c>
      <c r="FJ40" s="687" t="str">
        <f>IF(EV40="","",+EV40*DF_!$EA38+FC40*DF_!$EB38)</f>
        <v/>
      </c>
      <c r="FK40" s="677" t="str">
        <f>IF(EW40="","",+EW40*DF_!$EA38+FD40*DF_!$EB38)</f>
        <v/>
      </c>
      <c r="FL40" s="691" t="str">
        <f>CLA_!BU40</f>
        <v/>
      </c>
      <c r="FM40" s="687" t="str">
        <f>CLA_!BV40</f>
        <v/>
      </c>
      <c r="FN40" s="678" t="str">
        <f>CLA_!BW40</f>
        <v/>
      </c>
      <c r="FO40" s="678" t="str">
        <f>CLA_!BX40</f>
        <v/>
      </c>
      <c r="FP40" s="687" t="str">
        <f>CLA_!BY40</f>
        <v/>
      </c>
      <c r="FQ40" s="687" t="str">
        <f>CLA_!BZ40</f>
        <v/>
      </c>
      <c r="FR40" s="677" t="str">
        <f>CLA_!CA40</f>
        <v/>
      </c>
      <c r="FS40" s="691">
        <f>CLA_!CB40</f>
        <v>0.7</v>
      </c>
      <c r="FT40" s="687">
        <f>CLA_!CC40</f>
        <v>2.8</v>
      </c>
      <c r="FU40" s="678">
        <f>CLA_!CD40</f>
        <v>11.6</v>
      </c>
      <c r="FV40" s="678">
        <f>CLA_!CE40</f>
        <v>13.6</v>
      </c>
      <c r="FW40" s="687" t="str">
        <f>CLA_!CF40</f>
        <v/>
      </c>
      <c r="FX40" s="687" t="str">
        <f>CLA_!CG40</f>
        <v/>
      </c>
      <c r="FY40" s="677" t="str">
        <f>CLA_!CH40</f>
        <v/>
      </c>
      <c r="FZ40" s="610" t="s">
        <v>342</v>
      </c>
      <c r="GA40" s="610" t="s">
        <v>342</v>
      </c>
      <c r="GB40" s="1968" t="str">
        <f>IF(CLA_!CY40="","",+CLA_!CY40)</f>
        <v/>
      </c>
      <c r="GC40" s="677" t="str">
        <f>IF(CLA_!CZ40="","",+CLA_!CZ40)</f>
        <v/>
      </c>
      <c r="GD40" s="677" t="str">
        <f>IF(CLA_!DA40="","",+CLA_!DA40)</f>
        <v/>
      </c>
      <c r="GE40" s="678" t="str">
        <f>IF(CLA_!DB40="","",+CLA_!DB40)</f>
        <v/>
      </c>
      <c r="GF40" s="677" t="str">
        <f>IF(CLA_!DO40="","",+CLA_!DO40)</f>
        <v/>
      </c>
      <c r="GG40" s="678" t="str">
        <f>IF(CLA_!DP40="","",+CLA_!DP40)</f>
        <v/>
      </c>
      <c r="GH40" s="677" t="str">
        <f>IF(CLA_!DQ40="","",+CLA_!DQ40)</f>
        <v/>
      </c>
      <c r="GI40" s="677" t="str">
        <f>IF(CLA_!DR40="","",+CLA_!DR40)</f>
        <v/>
      </c>
      <c r="GJ40" s="2030"/>
      <c r="GK40" s="2025" t="str">
        <f>IF(CLA_!CQ40="","",+CLA_!CQ40)</f>
        <v/>
      </c>
      <c r="GL40" s="2024"/>
      <c r="GM40" s="2026" t="str">
        <f>IF(CLA_!CR40="","",+CLA_!CR40)</f>
        <v/>
      </c>
      <c r="GN40" s="2024" t="str">
        <f>IF(CLA_!CZ40="","",+CLA_!CZ40)</f>
        <v/>
      </c>
      <c r="GO40" s="2026" t="str">
        <f>IF(CLA_!CS40="","",+CLA_!CS40)</f>
        <v/>
      </c>
      <c r="GP40" s="2024" t="str">
        <f>IF(CLA_!DA40="","",+CLA_!DA40)</f>
        <v/>
      </c>
      <c r="GQ40" s="2025" t="str">
        <f>IF(CLA_!CT40="","",+CLA_!CT40)</f>
        <v/>
      </c>
      <c r="GR40" s="2024" t="str">
        <f>IF(CLA_!CY40="","",+CLA_!CY40)</f>
        <v/>
      </c>
      <c r="GS40" s="2024" t="str">
        <f>IF(CLA_!CV40="","",+CLA_!CV40)</f>
        <v/>
      </c>
      <c r="GT40" s="2024" t="str">
        <f>IF(CLA_!DO40="","",+CLA_!DO40)</f>
        <v/>
      </c>
      <c r="GU40" s="2031" t="str">
        <f>IF(CLA_!CU40="","",+CLA_!CU40)</f>
        <v/>
      </c>
      <c r="GV40" s="1913" t="str">
        <f>CLA_!DF40</f>
        <v/>
      </c>
      <c r="GW40" s="677" t="str">
        <f>CLA_!DG40</f>
        <v/>
      </c>
      <c r="GX40" s="677" t="str">
        <f>CLA_!DH40</f>
        <v/>
      </c>
      <c r="GY40" s="678" t="str">
        <f>CLA_!DC40</f>
        <v/>
      </c>
      <c r="GZ40" s="648" t="s">
        <v>342</v>
      </c>
      <c r="HA40" s="635"/>
      <c r="HB40" s="648" t="s">
        <v>342</v>
      </c>
      <c r="HC40" s="685">
        <f>IF(PT_!BC40="","",+PT_!BC40)</f>
        <v>14</v>
      </c>
      <c r="HD40" s="677">
        <f>IF(PT_!BD40="","",+PT_!BD40)</f>
        <v>6</v>
      </c>
      <c r="HE40" s="677">
        <f>IF(PT_!BE40="","",+PT_!BE40)</f>
        <v>3</v>
      </c>
      <c r="HF40" s="677">
        <f>IF(PT_!BF40="","",+PT_!BF40)</f>
        <v>3</v>
      </c>
      <c r="HG40" s="677">
        <f>IF(PT_!BG40="","",+PT_!BG40)</f>
        <v>4</v>
      </c>
      <c r="HH40" s="677">
        <f>IF(PT_!BH40="","",+PT_!BH40)</f>
        <v>1</v>
      </c>
      <c r="HI40" s="677">
        <f>IF(PT_!BI40="","",+PT_!BI40)</f>
        <v>1</v>
      </c>
      <c r="HJ40" s="677">
        <f>IF(PT_!BJ40="","",+PT_!BJ40)</f>
        <v>4</v>
      </c>
      <c r="HK40" s="677">
        <f>IF(PT_!BK40="","",+PT_!BK40)</f>
        <v>2</v>
      </c>
      <c r="HL40" s="653"/>
      <c r="HM40" s="1782">
        <f>IF(ISNUMBER(CF40),ROUND((IF(ISTEXT(M40),$M$42,M40)-IF(ISTEXT(I40),$I$42,I40))/(IF(ISTEXT(Q40),$Q$42,Q40)-IF(ISTEXT(M40),$M$42,M40))*CF40*0.5,0),"")</f>
        <v>72</v>
      </c>
      <c r="HN40" s="1787">
        <f t="shared" si="30"/>
        <v>35</v>
      </c>
      <c r="HO40" s="719">
        <f t="shared" si="31"/>
        <v>46</v>
      </c>
      <c r="HU40" s="730"/>
      <c r="HV40" s="2442"/>
      <c r="IU40" s="27"/>
    </row>
    <row r="41" spans="1:255" ht="17.100000000000001" customHeight="1" thickBot="1">
      <c r="A41" s="579"/>
      <c r="B41" s="648" t="s">
        <v>343</v>
      </c>
      <c r="C41" s="674">
        <f>+CLA_!D41</f>
        <v>132</v>
      </c>
      <c r="D41" s="675" t="str">
        <f>+CLA_!E41</f>
        <v/>
      </c>
      <c r="E41" s="676">
        <f>+CLA_!F41</f>
        <v>130</v>
      </c>
      <c r="F41" s="675" t="str">
        <f>+CLA_!G41</f>
        <v/>
      </c>
      <c r="G41" s="676">
        <f>IF(C41="","",IF(+C41+E41=0,ROUND(((+$C$42*DF_!$DY39)+($E$42*DF_!DZ39))/(DF_!DY39+DF_!$DZ39),0),ROUND((IF(+C41=0,+$C$42,+C41)*DF_!$DY39+IF(+E41=0,$E$42,E41)*DF_!$DZ39)/(DF_!$DY39+DF_!$DZ39),0)))</f>
        <v>131</v>
      </c>
      <c r="H41" s="675" t="str">
        <f>IF(D41="","",ROUND((IF(+D41=0,+$D$42,+D41)*DF_!$DY39+IF(ISNUMBER(F41),F41,$F$42)*DF_!$DZ39)/(DF_!$DY39+DF_!$DZ39),1))</f>
        <v/>
      </c>
      <c r="I41" s="676">
        <f>+CLA_!H41</f>
        <v>60</v>
      </c>
      <c r="J41" s="676">
        <f>+CLA_!I41</f>
        <v>72</v>
      </c>
      <c r="K41" s="676">
        <f>+CLA_!J41</f>
        <v>12</v>
      </c>
      <c r="L41" s="676" t="str">
        <f>+CLA_!K41</f>
        <v/>
      </c>
      <c r="M41" s="677">
        <f>IF(SUM(CLA_!L41:N41)=0,"",ROUND(AVERAGE(CLA_!L41:N41),-2))</f>
        <v>2200</v>
      </c>
      <c r="N41" s="677">
        <f>IF(SUM(CLA_!O41:P41)=0,"",ROUND(AVERAGE(CLA_!O41:P41),-2))</f>
        <v>2100</v>
      </c>
      <c r="O41" s="677">
        <f>IF(SUM(CLA_!Q41:S41)=0,"",ROUND(AVERAGE(CLA_!Q41:S41),-2))</f>
        <v>2100</v>
      </c>
      <c r="P41" s="677">
        <f>IF(SUM(CLA_!T41:U41)=0,"",ROUND(AVERAGE(CLA_!T41:U41),-2))</f>
        <v>2100</v>
      </c>
      <c r="Q41" s="677">
        <f>+CLA_!V41</f>
        <v>4200</v>
      </c>
      <c r="R41" s="678" t="str">
        <f>+CLA_!W41</f>
        <v/>
      </c>
      <c r="S41" s="677">
        <f>+CLA_!X41</f>
        <v>6040</v>
      </c>
      <c r="T41" s="678" t="str">
        <f>+CLA_!Y41</f>
        <v/>
      </c>
      <c r="U41" s="675">
        <f>IF(M41="","",+M41/(PT_!Y41*10))</f>
        <v>1.8333333333333333</v>
      </c>
      <c r="V41" s="675">
        <f>IF(N41="","",+N41/(PT_!Z41*10))</f>
        <v>0.65625</v>
      </c>
      <c r="W41" s="675"/>
      <c r="X41" s="675"/>
      <c r="Y41" s="648" t="s">
        <v>343</v>
      </c>
      <c r="Z41" s="648" t="s">
        <v>343</v>
      </c>
      <c r="AA41" s="674">
        <f>IF(CLA_!Z41="","",+CLA_!Z41)</f>
        <v>117</v>
      </c>
      <c r="AB41" s="676">
        <f>IF(CLA_!AA41="","",+CLA_!AA41)</f>
        <v>115</v>
      </c>
      <c r="AC41" s="676">
        <f>IF(AA41="","",ROUND((IF(ISNUMBER(AA41),AA41,$AA$42)*DF_!$DY39+IF(ISNUMBER(AB41),AB41,$AB$42)*DF_!$DZ39)/(DF_!$DY39+DF_!$DZ39),0))</f>
        <v>116</v>
      </c>
      <c r="AD41" s="676" t="str">
        <f>IF(CLA_!AB41="","",+CLA_!AB41)</f>
        <v/>
      </c>
      <c r="AE41" s="676" t="str">
        <f>IF(CLA_!AC41="","",+CLA_!AC41)</f>
        <v/>
      </c>
      <c r="AF41" s="676">
        <f>IF(CLA_!AD41="","",+CLA_!AD41)</f>
        <v>8</v>
      </c>
      <c r="AG41" s="676" t="str">
        <f>IF(CLA_!AE41="","",+CLA_!AE41)</f>
        <v/>
      </c>
      <c r="AH41" s="675" t="str">
        <f>IF(CLA_!AF41="","",+CLA_!AF41)</f>
        <v/>
      </c>
      <c r="AI41" s="675" t="str">
        <f>IF(CLA_!AG41="","",+CLA_!AG41)</f>
        <v/>
      </c>
      <c r="AJ41" s="675" t="str">
        <f>IF(CLA_!AH41="","",+CLA_!AH41)</f>
        <v/>
      </c>
      <c r="AK41" s="675" t="str">
        <f>IF(CLA_!AI41="","",+CLA_!AI41)</f>
        <v/>
      </c>
      <c r="AL41" s="2192" t="str">
        <f t="shared" si="20"/>
        <v/>
      </c>
      <c r="AM41" s="675"/>
      <c r="AN41" s="676">
        <f>PT_!Y41</f>
        <v>120</v>
      </c>
      <c r="AO41" s="676">
        <f>PT_!Z41</f>
        <v>320</v>
      </c>
      <c r="AP41" s="682">
        <f t="shared" si="32"/>
        <v>0.17794154698916603</v>
      </c>
      <c r="AQ41" s="682">
        <f t="shared" si="21"/>
        <v>0.23251028806584362</v>
      </c>
      <c r="AR41" s="675">
        <f ca="1">IF(DMREZ!D41&gt;TODAY()-2,"",((IF(ISNUMBER(O41),O41,$O$42)*2.52*HD41)/((CF41*IF(ISNUMBER(K41),K41,$K$42)*(+HD41/(HD41+HE41)))+($HQ$14*IF(ISNUMBER(AT_!Q41),AT_!Q41,AT_!$Q$42)))))</f>
        <v>3.8093672595506143</v>
      </c>
      <c r="AS41" s="675">
        <f ca="1">IF(DMREZ!D41&gt;TODAY()-2,"",((IF(ISNUMBER(P41),P41,$P$42)*2.52*HE41)/((CF41*IF(ISNUMBER(K41),K41,$K$42)*(HE41/(HD41+HE41))+((PT_!BN41+2.5/3.5*PT_!BP41)*IF(ISNUMBER(AT_!S41),AT_!S41,AT_!$S$42))))))</f>
        <v>3.1897172713831603</v>
      </c>
      <c r="AT41" s="648" t="s">
        <v>343</v>
      </c>
      <c r="AU41" s="648" t="s">
        <v>343</v>
      </c>
      <c r="AV41" s="679" t="str">
        <f>IF(CLA_!AP41="","",+CLA_!AP41)</f>
        <v/>
      </c>
      <c r="AW41" s="680" t="str">
        <f>IF(CLA_!AQ41="","",+CLA_!AQ41)</f>
        <v/>
      </c>
      <c r="AX41" s="680" t="str">
        <f>IF(CLA_!AR41="","",+CLA_!AR41)</f>
        <v/>
      </c>
      <c r="AY41" s="680" t="str">
        <f>IF(CLA_!AS41="","",+CLA_!AS41)</f>
        <v/>
      </c>
      <c r="AZ41" s="680" t="str">
        <f>IF(CLA_!AT41="","",+CLA_!AT41)</f>
        <v/>
      </c>
      <c r="BA41" s="680" t="str">
        <f>IF(CLA_!AU41="","",+CLA_!AU41)</f>
        <v/>
      </c>
      <c r="BB41" s="680" t="str">
        <f>IF(CLA_!AV41="","",+CLA_!AV41)</f>
        <v/>
      </c>
      <c r="BC41" s="680" t="str">
        <f>IF(CLA_!AW41="","",+CLA_!AW41)</f>
        <v/>
      </c>
      <c r="BD41" s="680" t="str">
        <f>IF(CLA_!AX41="","",+CLA_!AX41)</f>
        <v/>
      </c>
      <c r="BE41" s="680" t="str">
        <f>IF(CLA_!AY41="","",+CLA_!AY41)</f>
        <v/>
      </c>
      <c r="BF41" s="675" t="str">
        <f>IF(CLA_!AZ41="","",+CLA_!AZ41)</f>
        <v/>
      </c>
      <c r="BG41" s="675" t="str">
        <f>IF(CLA_!BA41="","",+CLA_!BA41)</f>
        <v/>
      </c>
      <c r="BH41" s="675" t="str">
        <f>IF(CLA_!BB41="","",+CLA_!BB41)</f>
        <v/>
      </c>
      <c r="BI41" s="675" t="str">
        <f>IF(CLA_!BC41="","",+CLA_!BC41)</f>
        <v/>
      </c>
      <c r="BJ41" s="675" t="str">
        <f>IF(CLA_!BD41="","",+CLA_!BD41)</f>
        <v/>
      </c>
      <c r="BK41" s="681">
        <f>IF(PT_!U41="","",+PT_!U41)</f>
        <v>4.37</v>
      </c>
      <c r="BL41" s="675">
        <f>IF(PT_!V41="","",+PT_!V41)</f>
        <v>4.6500000000000004</v>
      </c>
      <c r="BM41" s="675">
        <f>IF(PT_!W41="","",+PT_!W41)</f>
        <v>4.0599999999999996</v>
      </c>
      <c r="BN41" s="675">
        <f>IF(PT_!X41="","",+PT_!X41)</f>
        <v>4.3499999999999996</v>
      </c>
      <c r="BO41" s="675">
        <f>IF(PT_!T41="","",+PT_!T41)</f>
        <v>4.63</v>
      </c>
      <c r="BP41" s="676" t="str">
        <f>IF(CLA_!BE41="","",+CLA_!BE41)</f>
        <v/>
      </c>
      <c r="BQ41" s="676" t="str">
        <f>IF(CLA_!BF41="","",+CLA_!BF41)</f>
        <v/>
      </c>
      <c r="BR41" s="676" t="str">
        <f>IF(ISNUMBER(BQ41+BP41),+ROUND((BP41*DF_!DY39+BQ41*DF_!DZ39)/(DF_!DY39+DF_!DZ39),-1),"")</f>
        <v/>
      </c>
      <c r="BS41" s="676">
        <f>IF(PT_!C41="","",ROUND(+PT_!C41,0))</f>
        <v>17</v>
      </c>
      <c r="BT41" s="675">
        <f>IF(PT_!H41="","",ROUND(MAX(PT_!H41,PT_!K41),1))</f>
        <v>7.1</v>
      </c>
      <c r="BU41" s="675">
        <f>IF(PT_!I41="","",ROUND(MIN(PT_!I41,PT_!L41),1))</f>
        <v>6.6</v>
      </c>
      <c r="BV41" s="675">
        <f>IF(PT_!G41="","",ROUND((PT_!G41*DF_!DZ39+DF_!DY39*PT_!J41)/DF_!DS39,1))</f>
        <v>6.9</v>
      </c>
      <c r="BW41" s="675">
        <f>IF(PT_!N41="","",+PT_!N41)</f>
        <v>7</v>
      </c>
      <c r="BX41" s="675">
        <f>IF(PT_!O41="","",+PT_!O41)</f>
        <v>6.6</v>
      </c>
      <c r="BY41" s="675">
        <f>IF(PT_!M41="","",+PT_!M41)</f>
        <v>6.8</v>
      </c>
      <c r="BZ41" s="682">
        <f>IF(PT_!R41="","",+PT_!R41)</f>
        <v>0.49</v>
      </c>
      <c r="CA41" s="1644" t="str">
        <f>IF(PT_!P41="","",+PT_!P41)</f>
        <v/>
      </c>
      <c r="CB41" s="1645">
        <f>IF(PT_!Q41="","",+PT_!Q41)</f>
        <v>21</v>
      </c>
      <c r="CC41" s="648" t="s">
        <v>343</v>
      </c>
      <c r="CD41" s="635"/>
      <c r="CE41" s="648" t="s">
        <v>343</v>
      </c>
      <c r="CF41" s="685">
        <f>IF(DF_!AA39="","",+DF_!AA39)</f>
        <v>113</v>
      </c>
      <c r="CG41" s="677">
        <f ca="1">IF(+DMREZ!D41&lt;TODAY(),+DF_!AD39,"")</f>
        <v>96</v>
      </c>
      <c r="CH41" s="677">
        <f>IF(DF_!AB39="","",+DF_!AB39)</f>
        <v>161</v>
      </c>
      <c r="CI41" s="677">
        <f>IF(DF_!AC39="","",+DF_!AC39)</f>
        <v>62</v>
      </c>
      <c r="CJ41" s="677">
        <f>IF(DF_!AG39="","",+DF_!AG39)</f>
        <v>113</v>
      </c>
      <c r="CK41" s="677">
        <f>IF(PT_!BL41="","",ROUND(PT_!BL41,0))</f>
        <v>61</v>
      </c>
      <c r="CL41" s="686">
        <f t="shared" si="22"/>
        <v>0.53982300884955747</v>
      </c>
      <c r="CM41" s="675">
        <f>IF(PT_!AL41="","",+PT_!AL41)</f>
        <v>84.7</v>
      </c>
      <c r="CN41" s="687">
        <f t="shared" si="10"/>
        <v>0.74955752212389382</v>
      </c>
      <c r="CO41" s="678">
        <f t="shared" si="11"/>
        <v>1.6</v>
      </c>
      <c r="CP41" s="678">
        <f t="shared" si="23"/>
        <v>3.1</v>
      </c>
      <c r="CQ41" s="678">
        <f t="shared" si="12"/>
        <v>3.3</v>
      </c>
      <c r="CR41" s="677">
        <f t="shared" si="13"/>
        <v>620</v>
      </c>
      <c r="CS41" s="675">
        <f t="shared" si="24"/>
        <v>1.2</v>
      </c>
      <c r="CT41" s="643"/>
      <c r="CU41" s="678">
        <f t="shared" si="33"/>
        <v>61.7</v>
      </c>
      <c r="CV41" s="677">
        <f t="shared" si="48"/>
        <v>90.761750405186376</v>
      </c>
      <c r="CW41" s="678">
        <f t="shared" si="49"/>
        <v>56</v>
      </c>
      <c r="CX41" s="678">
        <f>IF(CF41="","",+ROUND($HQ$6*(($HD$8*$HD41*IF(O41="",$O$42,O41)+(IF(ISNUMBER(P41),P41,$P$42)*$HE$8*$HE41))),1))</f>
        <v>198.6</v>
      </c>
      <c r="CY41" s="678">
        <f t="shared" si="25"/>
        <v>30.5</v>
      </c>
      <c r="CZ41" s="678">
        <f t="shared" si="26"/>
        <v>7</v>
      </c>
      <c r="DA41" s="1090">
        <f t="shared" ref="DA41" si="53">IF(CJ41="","",ROUND((+$HE$8*$HE41*8.34*IF(ISTEXT(P41),$P$42,P41))/((HE41/(HD41+HE41))*8.34*CJ41*IF(ISTEXT(J41),$J$42,J41)),1))</f>
        <v>5.9</v>
      </c>
      <c r="DB41" s="678">
        <f>IF(CJ41="","",ROUND(+CX41/CY41,1))</f>
        <v>6.5</v>
      </c>
      <c r="DC41" s="648" t="s">
        <v>343</v>
      </c>
      <c r="DD41" s="648" t="s">
        <v>343</v>
      </c>
      <c r="DE41" s="688" t="str">
        <f>IF(Grit!AT38+Grit!AZ38=0,"",+Grit!AT38+Grit!AZ38*0.5)</f>
        <v/>
      </c>
      <c r="DF41" s="689">
        <f>IF(Grit!AV38="0","",+Grit!AV38)</f>
        <v>0</v>
      </c>
      <c r="DG41" s="689">
        <f t="shared" si="52"/>
        <v>0</v>
      </c>
      <c r="DH41" s="689" t="str">
        <f>IF(Grit!AX38+Grit!AY38=0,"",+Grit!AX38+Grit!AZ38*0.5)</f>
        <v/>
      </c>
      <c r="DI41" s="689" t="str">
        <f t="shared" si="17"/>
        <v/>
      </c>
      <c r="DJ41" s="675">
        <f ca="1">IF(+DMREZ!D41&lt;TODAY(),+PT_!AE41,"")</f>
        <v>56.6</v>
      </c>
      <c r="DK41" s="678">
        <f ca="1">IF(ISTEXT(DJ41),"",ROUND(+DJ41*$HQ$9*IF(ISTEXT(AH41),$AH$42,AH41)/100,1))</f>
        <v>117.7</v>
      </c>
      <c r="DL41" s="678">
        <f ca="1">IF(ISTEXT(DJ41),"",ROUND((+DK41*(IF(ISTEXT(AI41),$AI$42,AI41)/100)),1))</f>
        <v>97.8</v>
      </c>
      <c r="DM41" s="678">
        <f ca="1">DJ41</f>
        <v>56.6</v>
      </c>
      <c r="DN41" s="678">
        <f ca="1">IF(ISTEXT(DM41),"",ROUND(+DM41*$HQ$9*(IF(ISTEXT(AJ41),$AJ$42,AJ41)/100),1))</f>
        <v>60.6</v>
      </c>
      <c r="DO41" s="678">
        <f ca="1">IF(ISNUMBER(DN41),ROUND((+DN41*(IF(ISTEXT(AK41),$AK$42,AK41)/100)),1),"")</f>
        <v>43.3</v>
      </c>
      <c r="DP41" s="687" t="str">
        <f>IF(DW_!R41="","",+DW_!R41/1000)</f>
        <v/>
      </c>
      <c r="DQ41" s="678" t="str">
        <f>IF(DW_!S41="","",+DW_!S41*2)</f>
        <v/>
      </c>
      <c r="DR41" s="678" t="str">
        <f>+DW_!S41</f>
        <v/>
      </c>
      <c r="DS41" s="675"/>
      <c r="DT41" s="677">
        <f>IF(PT_!AC41="","",+PT_!AC41)</f>
        <v>105</v>
      </c>
      <c r="DU41" s="689">
        <f>IF(ISNUMBER(CHEM_!G40),+CHEM_!G40,"")</f>
        <v>1030</v>
      </c>
      <c r="DV41" s="675">
        <f t="shared" si="18"/>
        <v>9.1</v>
      </c>
      <c r="DW41" s="687">
        <f>IF(PT_!S41="","",+PT_!S41)</f>
        <v>0.5</v>
      </c>
      <c r="DX41" s="648" t="s">
        <v>343</v>
      </c>
      <c r="DY41" s="648" t="s">
        <v>343</v>
      </c>
      <c r="DZ41" s="690" t="str">
        <f>PT_!AK41</f>
        <v/>
      </c>
      <c r="EA41" s="678">
        <f>IF(PT_!AJ41="","",+PT_!AJ41)</f>
        <v>137.6</v>
      </c>
      <c r="EB41" s="2086">
        <f t="shared" si="19"/>
        <v>137.6</v>
      </c>
      <c r="EC41" s="2094">
        <f>IF(PT_!BO41="","",+PT_!BO41)</f>
        <v>49.86</v>
      </c>
      <c r="ED41" s="1903"/>
      <c r="EE41" s="614"/>
      <c r="EF41" s="2083">
        <v>205.7</v>
      </c>
      <c r="EG41" s="2084">
        <v>617.1</v>
      </c>
      <c r="EH41" s="1890"/>
      <c r="EI41" s="689"/>
      <c r="EJ41" s="1891" t="str">
        <f>+PT_!AF41</f>
        <v/>
      </c>
      <c r="EK41" s="759" t="str">
        <f t="shared" si="28"/>
        <v/>
      </c>
      <c r="EL41" s="689"/>
      <c r="EM41" s="689" t="str">
        <f>IF(PT_!AH41&gt;0,+PT_!AH41,"")</f>
        <v/>
      </c>
      <c r="EN41" s="614" t="str">
        <f>IF(PT_!AZ41="","",+PT_!AZ41)</f>
        <v>Snow Melt</v>
      </c>
      <c r="EO41" s="615" t="s">
        <v>343</v>
      </c>
      <c r="EP41" s="610" t="s">
        <v>343</v>
      </c>
      <c r="EQ41" s="691">
        <f>CLA_!BG41</f>
        <v>0.01</v>
      </c>
      <c r="ER41" s="687">
        <f>CLA_!BH41</f>
        <v>0.16</v>
      </c>
      <c r="ES41" s="678">
        <f>CLA_!BI41</f>
        <v>20.8</v>
      </c>
      <c r="ET41" s="678">
        <f>CLA_!BJ41</f>
        <v>36</v>
      </c>
      <c r="EU41" s="687" t="str">
        <f>CLA_!BK41</f>
        <v/>
      </c>
      <c r="EV41" s="687" t="str">
        <f>CLA_!BL41</f>
        <v/>
      </c>
      <c r="EW41" s="677" t="str">
        <f>CLA_!BM41</f>
        <v/>
      </c>
      <c r="EX41" s="691">
        <f>CLA_!BN41</f>
        <v>0.03</v>
      </c>
      <c r="EY41" s="687">
        <f>CLA_!BO41</f>
        <v>0.14000000000000001</v>
      </c>
      <c r="EZ41" s="678">
        <f>CLA_!BP41</f>
        <v>20.5</v>
      </c>
      <c r="FA41" s="678">
        <f>CLA_!BQ41</f>
        <v>33.5</v>
      </c>
      <c r="FB41" s="687" t="str">
        <f>CLA_!BR41</f>
        <v/>
      </c>
      <c r="FC41" s="687" t="str">
        <f>CLA_!BS41</f>
        <v/>
      </c>
      <c r="FD41" s="677" t="str">
        <f>CLA_!BT41</f>
        <v/>
      </c>
      <c r="FE41" s="691">
        <f>IF(ISNUMBER(EQ41+EX41),+EQ41*DF_!$EA39+EX41*DF_!$EB39,"")</f>
        <v>1.7000000000000001E-2</v>
      </c>
      <c r="FF41" s="687">
        <f>IF(ISNUMBER(+ER41+EY41),+ER41*DF_!$EA39+EY41*DF_!$EB39,"")</f>
        <v>0.15300000000000002</v>
      </c>
      <c r="FG41" s="678">
        <f>IF(ISNUMBER(ES41)+ISNUMBER(EZ41)&gt;0,IF(ISNUMBER(ES41),ES41,$ET$42)*DF_!$EA39+IF(ISNUMBER(EZ41),EZ41,$FA$42)*DF_!$EB39,"")</f>
        <v>20.695</v>
      </c>
      <c r="FH41" s="678">
        <f>IF(ISNUMBER(ET41)+ISNUMBER(FA41)&gt;0,IF(ISNUMBER(ET41),ET41,$ET$42)*DF_!$EA39+IF(ISNUMBER(FA41),FA41,$FA$42)*DF_!$EB39,"")</f>
        <v>35.125</v>
      </c>
      <c r="FI41" s="687" t="str">
        <f>IF(EU41="","",+EU41*DF_!$EA39+FB41*DF_!$EB39)</f>
        <v/>
      </c>
      <c r="FJ41" s="687" t="str">
        <f>IF(EV41="","",+EV41*DF_!$EA39+FC41*DF_!$EB39)</f>
        <v/>
      </c>
      <c r="FK41" s="677" t="str">
        <f>IF(EW41="","",+EW41*DF_!$EA39+FD41*DF_!$EB39)</f>
        <v/>
      </c>
      <c r="FL41" s="691" t="str">
        <f>CLA_!BU41</f>
        <v/>
      </c>
      <c r="FM41" s="687" t="str">
        <f>CLA_!BV41</f>
        <v/>
      </c>
      <c r="FN41" s="678" t="str">
        <f>CLA_!BW41</f>
        <v/>
      </c>
      <c r="FO41" s="678" t="str">
        <f>CLA_!BX41</f>
        <v/>
      </c>
      <c r="FP41" s="687" t="str">
        <f>CLA_!BY41</f>
        <v/>
      </c>
      <c r="FQ41" s="687" t="str">
        <f>CLA_!BZ41</f>
        <v/>
      </c>
      <c r="FR41" s="677" t="str">
        <f>CLA_!CA41</f>
        <v/>
      </c>
      <c r="FS41" s="691">
        <f>CLA_!CB41</f>
        <v>0.56999999999999995</v>
      </c>
      <c r="FT41" s="687">
        <f>CLA_!CC41</f>
        <v>2.0099999999999998</v>
      </c>
      <c r="FU41" s="678">
        <f>CLA_!CD41</f>
        <v>14.2</v>
      </c>
      <c r="FV41" s="678">
        <f>CLA_!CE41</f>
        <v>16.100000000000001</v>
      </c>
      <c r="FW41" s="687" t="str">
        <f>CLA_!CF41</f>
        <v/>
      </c>
      <c r="FX41" s="687" t="str">
        <f>CLA_!CG41</f>
        <v/>
      </c>
      <c r="FY41" s="677" t="str">
        <f>CLA_!CH41</f>
        <v/>
      </c>
      <c r="FZ41" s="610" t="s">
        <v>343</v>
      </c>
      <c r="GA41" s="610" t="s">
        <v>343</v>
      </c>
      <c r="GB41" s="1968" t="str">
        <f>IF(CLA_!CY41="","",+CLA_!CY41)</f>
        <v/>
      </c>
      <c r="GC41" s="677" t="str">
        <f>IF(CLA_!CZ41="","",+CLA_!CZ41)</f>
        <v/>
      </c>
      <c r="GD41" s="677" t="str">
        <f>IF(CLA_!DA41="","",+CLA_!DA41)</f>
        <v/>
      </c>
      <c r="GE41" s="678" t="str">
        <f>IF(CLA_!DB41="","",+CLA_!DB41)</f>
        <v/>
      </c>
      <c r="GF41" s="677" t="str">
        <f>IF(CLA_!DO41="","",+CLA_!DO41)</f>
        <v/>
      </c>
      <c r="GG41" s="678" t="str">
        <f>IF(CLA_!DP41="","",+CLA_!DP41)</f>
        <v/>
      </c>
      <c r="GH41" s="677" t="str">
        <f>IF(CLA_!DQ41="","",+CLA_!DQ41)</f>
        <v/>
      </c>
      <c r="GI41" s="677" t="str">
        <f>IF(CLA_!DR41="","",+CLA_!DR41)</f>
        <v/>
      </c>
      <c r="GJ41" s="2034"/>
      <c r="GK41" s="2046" t="str">
        <f>IF(CLA_!CQ41="","",+CLA_!CQ41)</f>
        <v/>
      </c>
      <c r="GL41" s="2035"/>
      <c r="GM41" s="2047" t="str">
        <f>IF(CLA_!CR41="","",+CLA_!CR41)</f>
        <v/>
      </c>
      <c r="GN41" s="2035" t="str">
        <f>IF(CLA_!CZ41="","",+CLA_!CZ41)</f>
        <v/>
      </c>
      <c r="GO41" s="2047" t="str">
        <f>IF(CLA_!CS41="","",+CLA_!CS41)</f>
        <v/>
      </c>
      <c r="GP41" s="2035" t="str">
        <f>IF(CLA_!DA41="","",+CLA_!DA41)</f>
        <v/>
      </c>
      <c r="GQ41" s="2046" t="str">
        <f>IF(CLA_!CT41="","",+CLA_!CT41)</f>
        <v/>
      </c>
      <c r="GR41" s="2035" t="str">
        <f>IF(CLA_!CY41="","",+CLA_!CY41)</f>
        <v/>
      </c>
      <c r="GS41" s="2035" t="str">
        <f>IF(CLA_!CV41="","",+CLA_!CV41)</f>
        <v/>
      </c>
      <c r="GT41" s="2035" t="str">
        <f>IF(CLA_!DO41="","",+CLA_!DO41)</f>
        <v/>
      </c>
      <c r="GU41" s="2048" t="str">
        <f>IF(CLA_!CU41="","",+CLA_!CU41)</f>
        <v/>
      </c>
      <c r="GV41" s="1913" t="str">
        <f>CLA_!DF41</f>
        <v/>
      </c>
      <c r="GW41" s="677" t="str">
        <f>CLA_!DG41</f>
        <v/>
      </c>
      <c r="GX41" s="677" t="str">
        <f>CLA_!DH41</f>
        <v/>
      </c>
      <c r="GY41" s="678" t="str">
        <f>CLA_!DC41</f>
        <v/>
      </c>
      <c r="GZ41" s="648" t="s">
        <v>343</v>
      </c>
      <c r="HA41" s="635"/>
      <c r="HB41" s="648" t="s">
        <v>343</v>
      </c>
      <c r="HC41" s="685">
        <f>IF(PT_!BC41="","",+PT_!BC41)</f>
        <v>14</v>
      </c>
      <c r="HD41" s="677">
        <f>IF(PT_!BD41="","",+PT_!BD41)</f>
        <v>6</v>
      </c>
      <c r="HE41" s="677">
        <f>IF(PT_!BE41="","",+PT_!BE41)</f>
        <v>3</v>
      </c>
      <c r="HF41" s="677">
        <f>IF(PT_!BF41="","",+PT_!BF41)</f>
        <v>3</v>
      </c>
      <c r="HG41" s="677">
        <f>IF(PT_!BG41="","",+PT_!BG41)</f>
        <v>4</v>
      </c>
      <c r="HH41" s="677">
        <f>IF(PT_!BH41="","",+PT_!BH41)</f>
        <v>1</v>
      </c>
      <c r="HI41" s="677">
        <f>IF(PT_!BI41="","",+PT_!BI41)</f>
        <v>1</v>
      </c>
      <c r="HJ41" s="677">
        <f>IF(PT_!BJ41="","",+PT_!BJ41)</f>
        <v>4</v>
      </c>
      <c r="HK41" s="677">
        <f>IF(PT_!BK41="","",+PT_!BK41)</f>
        <v>2</v>
      </c>
      <c r="HL41" s="653"/>
      <c r="HM41" s="1782">
        <f t="shared" si="29"/>
        <v>60</v>
      </c>
      <c r="HN41" s="1787">
        <f t="shared" si="30"/>
        <v>29</v>
      </c>
      <c r="HO41" s="719">
        <f t="shared" si="31"/>
        <v>28</v>
      </c>
      <c r="HU41" s="730"/>
      <c r="HV41" s="2442"/>
      <c r="IU41" s="27"/>
    </row>
    <row r="42" spans="1:255" ht="17.100000000000001" customHeight="1" thickTop="1" thickBot="1">
      <c r="A42" s="579"/>
      <c r="B42" s="693" t="s">
        <v>131</v>
      </c>
      <c r="C42" s="693">
        <f>IF(SUM(C11:C41)=0,"",ROUND(AVERAGE(C11:C41),0))</f>
        <v>143</v>
      </c>
      <c r="D42" s="694">
        <f>IF(SUM(D11:D41)=0,"",ROUND(AVERAGE(D11:D41),1))</f>
        <v>81.3</v>
      </c>
      <c r="E42" s="695">
        <f>IF(SUM(E11:E41)=0,"",ROUND(AVERAGE(E11:E41),0))</f>
        <v>131</v>
      </c>
      <c r="F42" s="694">
        <f>IF(SUM(F11:F41)=0,"",ROUND(AVERAGE(F11:F41),1))</f>
        <v>82.2</v>
      </c>
      <c r="G42" s="696">
        <f>IF(SUM(G11:G41)=0,"",ROUND(AVERAGE(G11:G41),0))</f>
        <v>139</v>
      </c>
      <c r="H42" s="694">
        <f>IF(SUM(H11:H41)=0,"",ROUND(AVERAGE(H11:H41),1))</f>
        <v>81.599999999999994</v>
      </c>
      <c r="I42" s="695">
        <f>IF(SUM(I11:I41)=0,"",ROUND(AVERAGE(I11:I41),0))</f>
        <v>68</v>
      </c>
      <c r="J42" s="695">
        <f>IF(SUM(J11:J41)=0,"",ROUND(AVERAGE(J11:J41),0))</f>
        <v>87</v>
      </c>
      <c r="K42" s="695">
        <f>IF(SUM(K11:K41)=0,"",ROUND(AVERAGE(K11:K41),0))</f>
        <v>16</v>
      </c>
      <c r="L42" s="695">
        <f>IF(SUM(L11:L41)=0,"",ROUND(AVERAGE(L11:L41),0))</f>
        <v>173</v>
      </c>
      <c r="M42" s="695">
        <f>IF(SUM(M11:M41)=0,"",ROUND(AVERAGE(M11:M41),-2))</f>
        <v>2500</v>
      </c>
      <c r="N42" s="695">
        <f>IF(SUM(N11:N41)=0,"",ROUND(AVERAGE(N11:N41),-2))</f>
        <v>2900</v>
      </c>
      <c r="O42" s="695">
        <f>IF(SUM(O11:O41)=0,"",ROUND(AVERAGE(O11:O41),-2))</f>
        <v>3100</v>
      </c>
      <c r="P42" s="695">
        <f>IF(SUM(P11:P41)=0,"",ROUND(AVERAGE(P11:P41),-2))</f>
        <v>4100</v>
      </c>
      <c r="Q42" s="695">
        <f>IF(SUM(Q11:Q41)=0,"",ROUND(AVERAGE(Q11:Q41),-2))</f>
        <v>4200</v>
      </c>
      <c r="R42" s="694">
        <f>IF(SUM(R11:R41)=0,"",ROUND(AVERAGE(R11:R41),0))</f>
        <v>81</v>
      </c>
      <c r="S42" s="695">
        <f>IF(SUM(S11:S41)=0,"",ROUND(AVERAGE(S11:S41),-2))</f>
        <v>6900</v>
      </c>
      <c r="T42" s="694">
        <f>IF(SUM(T11:T41)=0,"",ROUND(AVERAGE(T11:T41),0))</f>
        <v>82</v>
      </c>
      <c r="U42" s="694">
        <f>IF(SUM(U11:U41)=0,"",ROUND(AVERAGE(U11:U41),1))</f>
        <v>1.4</v>
      </c>
      <c r="V42" s="694">
        <f>IF(SUM(V11:V41)=0,"",ROUND(AVERAGE(V11:V41),1))</f>
        <v>0.7</v>
      </c>
      <c r="W42" s="694"/>
      <c r="X42" s="694"/>
      <c r="Y42" s="693" t="s">
        <v>131</v>
      </c>
      <c r="Z42" s="693" t="s">
        <v>131</v>
      </c>
      <c r="AA42" s="697">
        <f t="shared" ref="AA42:AF42" si="54">IF(SUM(AA11:AA41)=0,"",ROUND(AVERAGE(AA11:AA41),0))</f>
        <v>142</v>
      </c>
      <c r="AB42" s="696">
        <f t="shared" si="54"/>
        <v>136</v>
      </c>
      <c r="AC42" s="696">
        <f t="shared" si="54"/>
        <v>140</v>
      </c>
      <c r="AD42" s="696">
        <f t="shared" si="54"/>
        <v>75</v>
      </c>
      <c r="AE42" s="696">
        <f t="shared" si="54"/>
        <v>98</v>
      </c>
      <c r="AF42" s="696">
        <f t="shared" si="54"/>
        <v>7</v>
      </c>
      <c r="AG42" s="696">
        <f>IF(SUM(AG11:AG41)=0,"",ROUND(AVERAGE(AG11:AG41),2))</f>
        <v>1898.75</v>
      </c>
      <c r="AH42" s="694">
        <f>IF(SUM(AH11:AH41)=0,"",ROUND(AVERAGE(AH11:AH41),1))</f>
        <v>3.3</v>
      </c>
      <c r="AI42" s="694">
        <f>IF(SUM(AI11:AI41)=0,"",ROUND(AVERAGE(AI11:AI41),1))</f>
        <v>83.1</v>
      </c>
      <c r="AJ42" s="694">
        <f>IF(SUM(AJ11:AJ41)=0,"",ROUND(AVERAGE(AJ11:AJ41),1))</f>
        <v>1.7</v>
      </c>
      <c r="AK42" s="694">
        <f>IF(SUM(AK11:AK41)=0,"",ROUND(AVERAGE(AK11:AK41),1))</f>
        <v>71.400000000000006</v>
      </c>
      <c r="AL42" s="2194">
        <f>IF(SUM(AL11:AL41)=0,"",ROUND(AVERAGE(AL11:AL41),1))</f>
        <v>0.5</v>
      </c>
      <c r="AM42" s="694"/>
      <c r="AN42" s="696">
        <f>IF(SUM(AN11:AN41)=0,"",ROUND(AVERAGE(AN11:AN41),-1))</f>
        <v>200</v>
      </c>
      <c r="AO42" s="696">
        <f>IF(SUM(AO11:AO41)=0,"",ROUND(AVERAGE(AO11:AO41),-1))</f>
        <v>400</v>
      </c>
      <c r="AP42" s="701">
        <f>IF(SUM(AP11:AP41)=0,"",ROUND(AVERAGE(AP11:AP41),2))</f>
        <v>0.12</v>
      </c>
      <c r="AQ42" s="701">
        <f>IF(SUM(AQ11:AQ41)=0,"",ROUND(AVERAGE(AQ11:AQ41),2))</f>
        <v>0.12</v>
      </c>
      <c r="AR42" s="694">
        <f ca="1">IF(SUM(AR11:AR41)=0,"",ROUND(AVERAGE(AR11:AR41),1))</f>
        <v>5.6</v>
      </c>
      <c r="AS42" s="694">
        <f ca="1">IF(SUM(AS11:AS41)=0,"",ROUND(AVERAGE(AS11:AS41),1))</f>
        <v>6.6</v>
      </c>
      <c r="AT42" s="693" t="s">
        <v>131</v>
      </c>
      <c r="AU42" s="693" t="s">
        <v>131</v>
      </c>
      <c r="AV42" s="698">
        <f>IF(SUM(AV11:AV41)=0,"",ROUND(AVERAGE(AV11:AV41),-1))</f>
        <v>210</v>
      </c>
      <c r="AW42" s="699" t="str">
        <f>IF(SUM(AW11:AW41)=0,"",ROUND(AVERAGE(AW11:AW41),-1))</f>
        <v/>
      </c>
      <c r="AX42" s="699">
        <f>IF(SUM(AX11:AX41)=0,"",ROUND(AVERAGE(AX11:AX41),-1))</f>
        <v>170</v>
      </c>
      <c r="AY42" s="699">
        <f>IF(SUM(AY11:AY41)=0,"",ROUND(AVERAGE(AY11:AY41),-1))</f>
        <v>160</v>
      </c>
      <c r="AZ42" s="699">
        <f>IF(SUM(AZ11:AZ41)=0,"",ROUND(AVERAGE(AZ11:AZ41),-1))</f>
        <v>130</v>
      </c>
      <c r="BA42" s="699">
        <f>IF(SUM(BA11:BA41)=0,"",ROUND(AVERAGE(BA11:BA41),-2))</f>
        <v>2700</v>
      </c>
      <c r="BB42" s="699" t="str">
        <f>IF(SUM(BB11:BB41)=0,"",ROUND(AVERAGE(BB11:BB41),-2))</f>
        <v/>
      </c>
      <c r="BC42" s="699">
        <f>IF(SUM(BC11:BC41)=0,"",ROUND(AVERAGE(BC11:BC41),-2))</f>
        <v>2800</v>
      </c>
      <c r="BD42" s="699">
        <f>IF(SUM(BD11:BD41)=0,"",ROUND(AVERAGE(BD11:BD41),-2))</f>
        <v>2900</v>
      </c>
      <c r="BE42" s="699">
        <f>IF(SUM(BE11:BE41)=0,"",ROUND(AVERAGE(BE11:BE41),-2))</f>
        <v>2900</v>
      </c>
      <c r="BF42" s="694">
        <f>IF(SUM(BF11:BF41)=0,"",ROUND(AVERAGE(BF11:BF41),1))</f>
        <v>7</v>
      </c>
      <c r="BG42" s="694" t="str">
        <f t="shared" ref="BG42:BO42" si="55">IF(SUM(BG11:BG41)=0,"",ROUND(AVERAGE(BG11:BG41),1))</f>
        <v/>
      </c>
      <c r="BH42" s="694">
        <f t="shared" si="55"/>
        <v>7</v>
      </c>
      <c r="BI42" s="694">
        <f t="shared" si="55"/>
        <v>7</v>
      </c>
      <c r="BJ42" s="694">
        <f t="shared" si="55"/>
        <v>7</v>
      </c>
      <c r="BK42" s="700">
        <f t="shared" si="55"/>
        <v>5.2</v>
      </c>
      <c r="BL42" s="694">
        <f t="shared" si="55"/>
        <v>5.5</v>
      </c>
      <c r="BM42" s="694">
        <f t="shared" si="55"/>
        <v>4.9000000000000004</v>
      </c>
      <c r="BN42" s="694">
        <f t="shared" si="55"/>
        <v>4.9000000000000004</v>
      </c>
      <c r="BO42" s="694">
        <f t="shared" si="55"/>
        <v>4.9000000000000004</v>
      </c>
      <c r="BP42" s="696">
        <f>IF(SUM(BP11:BP41)=0,"",ROUND(AVERAGE(BP11:BP41),-1))</f>
        <v>510</v>
      </c>
      <c r="BQ42" s="696">
        <f>IF(SUM(BQ11:BQ41)=0,"",ROUND(AVERAGE(BQ11:BQ41),-1))</f>
        <v>550</v>
      </c>
      <c r="BR42" s="696">
        <f>IF(SUM(BR11:BR41)=0,"",ROUND(AVERAGE(BR11:BR41),-1))</f>
        <v>530</v>
      </c>
      <c r="BS42" s="696">
        <f>IF(SUM(BS11:BS41)=0,"",ROUND(AVERAGE(BS11:BS41),0))</f>
        <v>17</v>
      </c>
      <c r="BT42" s="694">
        <f t="shared" ref="BT42:BY42" si="56">IF(SUM(BT11:BT41)=0,"",ROUND(AVERAGE(BT11:BT41),1))</f>
        <v>7.1</v>
      </c>
      <c r="BU42" s="694">
        <f t="shared" si="56"/>
        <v>6.6</v>
      </c>
      <c r="BV42" s="694">
        <f t="shared" si="56"/>
        <v>6.8</v>
      </c>
      <c r="BW42" s="694">
        <f t="shared" si="56"/>
        <v>6.8</v>
      </c>
      <c r="BX42" s="694">
        <f t="shared" si="56"/>
        <v>6.4</v>
      </c>
      <c r="BY42" s="694">
        <f t="shared" si="56"/>
        <v>6.6</v>
      </c>
      <c r="BZ42" s="701">
        <f>IF(SUM(BZ11:BZ41)=0,"",ROUND(AVERAGE(BZ11:BZ41),2))</f>
        <v>0.45</v>
      </c>
      <c r="CA42" s="701"/>
      <c r="CB42" s="702">
        <f>ROUND(PRODUCT(CB11:CB41)^(1/COUNT(CB11:CB41)),0)</f>
        <v>28</v>
      </c>
      <c r="CC42" s="693" t="s">
        <v>369</v>
      </c>
      <c r="CD42" s="635"/>
      <c r="CE42" s="693" t="s">
        <v>439</v>
      </c>
      <c r="CF42" s="697">
        <f>IF(SUM(CF11:CF41)=0,"",SUM(CF11:CF41))</f>
        <v>3203</v>
      </c>
      <c r="CG42" s="696">
        <f ca="1">IF(SUM(CG11:CG41)=0,"",SUM(CG11:CG41))</f>
        <v>2895</v>
      </c>
      <c r="CH42" s="696"/>
      <c r="CI42" s="696"/>
      <c r="CJ42" s="696">
        <f>IF(SUM(CJ11:CJ41)=0,"",SUM(CJ11:CJ41))</f>
        <v>3203</v>
      </c>
      <c r="CK42" s="696"/>
      <c r="CL42" s="703"/>
      <c r="CM42" s="694">
        <f>SUM(CM11:CM41)</f>
        <v>2865.2000000000007</v>
      </c>
      <c r="CN42" s="701"/>
      <c r="CO42" s="694"/>
      <c r="CP42" s="694"/>
      <c r="CQ42" s="694"/>
      <c r="CR42" s="695"/>
      <c r="CS42" s="695"/>
      <c r="CT42" s="695"/>
      <c r="CU42" s="694">
        <f>IF(SUM(CU11:CU41)=0,"",SUM(CU11:CU41))</f>
        <v>1821.2</v>
      </c>
      <c r="CV42" s="696"/>
      <c r="CW42" s="694">
        <f>IF(SUM(CW11:CW41)=0,"",SUM(CW11:CW41))</f>
        <v>1604.9</v>
      </c>
      <c r="CX42" s="694">
        <f>IF(SUM(CX11:CX41)=0,"",SUM(CX11:CX41))</f>
        <v>9942.8000000000011</v>
      </c>
      <c r="CY42" s="694">
        <f>IF(SUM(CY11:CY41)=0,"",SUM(CY11:CY41))</f>
        <v>1031</v>
      </c>
      <c r="CZ42" s="694"/>
      <c r="DA42" s="694"/>
      <c r="DB42" s="694"/>
      <c r="DC42" s="693" t="s">
        <v>1051</v>
      </c>
      <c r="DD42" s="693" t="s">
        <v>1051</v>
      </c>
      <c r="DE42" s="698">
        <f t="shared" ref="DE42:DS42" si="57">IF(SUM(DE11:DE41)=0,"",SUM(DE11:DE41))</f>
        <v>5022</v>
      </c>
      <c r="DF42" s="699">
        <f t="shared" si="57"/>
        <v>7938</v>
      </c>
      <c r="DG42" s="699">
        <f t="shared" si="57"/>
        <v>507900</v>
      </c>
      <c r="DH42" s="699">
        <f>+SUM(DH11:DH41)</f>
        <v>0</v>
      </c>
      <c r="DI42" s="699">
        <f>+SUM(DI11:DI41)</f>
        <v>0</v>
      </c>
      <c r="DJ42" s="694">
        <f t="shared" ca="1" si="57"/>
        <v>1804.8</v>
      </c>
      <c r="DK42" s="694">
        <f t="shared" ca="1" si="57"/>
        <v>3725.900000000001</v>
      </c>
      <c r="DL42" s="694">
        <f t="shared" ca="1" si="57"/>
        <v>3095.6000000000004</v>
      </c>
      <c r="DM42" s="694">
        <f t="shared" ca="1" si="57"/>
        <v>1804.8</v>
      </c>
      <c r="DN42" s="694">
        <f t="shared" ca="1" si="57"/>
        <v>1951.4999999999998</v>
      </c>
      <c r="DO42" s="694">
        <f t="shared" ca="1" si="57"/>
        <v>1395</v>
      </c>
      <c r="DP42" s="694">
        <f t="shared" si="57"/>
        <v>172.29745989304814</v>
      </c>
      <c r="DQ42" s="694">
        <f t="shared" si="57"/>
        <v>186.40000000000003</v>
      </c>
      <c r="DR42" s="694">
        <f t="shared" si="57"/>
        <v>93.200000000000017</v>
      </c>
      <c r="DS42" s="694" t="str">
        <f t="shared" si="57"/>
        <v/>
      </c>
      <c r="DT42" s="694"/>
      <c r="DU42" s="699">
        <f>IF(SUM(DU11:DU41)=0,"",SUM(DU11:DU41))</f>
        <v>33580</v>
      </c>
      <c r="DV42" s="694"/>
      <c r="DW42" s="694"/>
      <c r="DX42" s="693" t="s">
        <v>1051</v>
      </c>
      <c r="DY42" s="693" t="s">
        <v>1051</v>
      </c>
      <c r="DZ42" s="700">
        <f>SUM(DZ11:DZ41)</f>
        <v>0</v>
      </c>
      <c r="EA42" s="694">
        <f>IF(SUM(EA11:EA41)=0,"",SUM(EA11:EA41))</f>
        <v>4278.4000000000005</v>
      </c>
      <c r="EB42" s="2088">
        <f>IF(SUM(EB11:EB41)=0,"",SUM(EB11:EB41))</f>
        <v>4278.4000000000005</v>
      </c>
      <c r="EC42" s="2088">
        <f>IF(SUM(EC11:EC41)=0,"",SUM(EC11:EC41))</f>
        <v>1770.0765600000002</v>
      </c>
      <c r="ED42" s="1905">
        <f ca="1">+$CK$58/1000</f>
        <v>25509.000000000007</v>
      </c>
      <c r="EE42" s="695"/>
      <c r="EF42" s="1906">
        <f>SUM(EF11:EF41)</f>
        <v>6376.6999999999962</v>
      </c>
      <c r="EG42" s="1906">
        <f>SUM(EG11:EG41)</f>
        <v>19130.099999999999</v>
      </c>
      <c r="EH42" s="1894">
        <f>+EI42+EJ42</f>
        <v>55</v>
      </c>
      <c r="EI42" s="699">
        <f>+'Energy Report'!Q21</f>
        <v>42</v>
      </c>
      <c r="EJ42" s="1895">
        <f>+'Energy Report'!Q22+'Energy Report'!Q23+'Energy Report'!Q25</f>
        <v>13</v>
      </c>
      <c r="EK42" s="1881">
        <f>+EL42+EM42</f>
        <v>12124</v>
      </c>
      <c r="EL42" s="699">
        <f>+'Energy Report'!B32</f>
        <v>11990</v>
      </c>
      <c r="EM42" s="699">
        <f>+'Energy Report'!H32</f>
        <v>134</v>
      </c>
      <c r="EN42" s="695"/>
      <c r="EO42" s="695" t="s">
        <v>1051</v>
      </c>
      <c r="EP42" s="588" t="s">
        <v>369</v>
      </c>
      <c r="EQ42" s="704">
        <f>IF(SUM(EQ11:EQ41)=0,"",ROUND(AVERAGE(EQ11:EQ41),2))</f>
        <v>0.05</v>
      </c>
      <c r="ER42" s="595">
        <f>IF(SUM(ER11:ER41)=0,"",ROUND(AVERAGE(ER11:ER41),2))</f>
        <v>0.14000000000000001</v>
      </c>
      <c r="ES42" s="705">
        <f>IF(SUM(ES11:ES41)=0,"",ROUND(AVERAGE(ES11:ES41),1))</f>
        <v>20.7</v>
      </c>
      <c r="ET42" s="705">
        <f>IF(SUM(ET11:ET41)=0,"",ROUND(AVERAGE(ET11:ET41),1))</f>
        <v>36.700000000000003</v>
      </c>
      <c r="EU42" s="595">
        <f>IF(SUM(EU11:EU41)=0,"",ROUND(AVERAGE(EU11:EU41),2))</f>
        <v>2.85</v>
      </c>
      <c r="EV42" s="595">
        <f>IF(SUM(EV11:EV41)=0,"",ROUND(AVERAGE(EV11:EV41),2))</f>
        <v>4.8099999999999996</v>
      </c>
      <c r="EW42" s="598">
        <f>IF(SUM(EW11:EW41)=0,"",ROUND(AVERAGE(EW11:EW41),0))</f>
        <v>385</v>
      </c>
      <c r="EX42" s="704">
        <f>IF(SUM(EX11:EX41)=0,"",ROUND(AVERAGE(EX11:EX41),2))</f>
        <v>0.04</v>
      </c>
      <c r="EY42" s="595">
        <f>IF(SUM(EY11:EY41)=0,"",ROUND(AVERAGE(EY11:EY41),2))</f>
        <v>0.12</v>
      </c>
      <c r="EZ42" s="705">
        <f>IF(SUM(EZ11:EZ41)=0,"",ROUND(AVERAGE(EZ11:EZ41),1))</f>
        <v>21</v>
      </c>
      <c r="FA42" s="705">
        <f>IF(SUM(FA11:FA41)=0,"",ROUND(AVERAGE(FA11:FA41),1))</f>
        <v>34.799999999999997</v>
      </c>
      <c r="FB42" s="595">
        <f>IF(SUM(FB11:FB41)=0,"",ROUND(AVERAGE(FB11:FB41),2))</f>
        <v>2.72</v>
      </c>
      <c r="FC42" s="595">
        <f>IF(SUM(FC11:FC41)=0,"",ROUND(AVERAGE(FC11:FC41),2))</f>
        <v>4.68</v>
      </c>
      <c r="FD42" s="598">
        <f>IF(SUM(FD11:FD41)=0,"",ROUND(AVERAGE(FD11:FD41),0))</f>
        <v>402</v>
      </c>
      <c r="FE42" s="704">
        <f>IF(SUM(FE11:FE41)=0,"",ROUND(AVERAGE(FE11:FE41),2))</f>
        <v>0.05</v>
      </c>
      <c r="FF42" s="595">
        <f>IF(SUM(FF11:FF41)=0,"",ROUND(AVERAGE(FF11:FF41),2))</f>
        <v>0.13</v>
      </c>
      <c r="FG42" s="705">
        <f>IF(SUM(FG11:FG41)=0,"",ROUND(AVERAGE(FG11:FG41),1))</f>
        <v>20.8</v>
      </c>
      <c r="FH42" s="705">
        <f>IF(SUM(FH11:FH41)=0,"",ROUND(AVERAGE(FH11:FH41),1))</f>
        <v>36</v>
      </c>
      <c r="FI42" s="595">
        <f>IF(SUM(FI11:FI41)=0,"",ROUND(AVERAGE(FI11:FI41),2))</f>
        <v>2.8</v>
      </c>
      <c r="FJ42" s="595">
        <f>IF(SUM(FJ11:FJ41)=0,"",ROUND(AVERAGE(FJ11:FJ41),2))</f>
        <v>4.76</v>
      </c>
      <c r="FK42" s="598">
        <f>IF(SUM(FK11:FK41)=0,"",ROUND(AVERAGE(FK11:FK41),0))</f>
        <v>391</v>
      </c>
      <c r="FL42" s="704">
        <f>IF(SUM(FL11:FL41)=0,"",ROUND(AVERAGE(FL11:FL41),2))</f>
        <v>0.04</v>
      </c>
      <c r="FM42" s="595">
        <f>IF(SUM(FM11:FM41)=0,"",ROUND(AVERAGE(FM11:FM41),2))</f>
        <v>0.21</v>
      </c>
      <c r="FN42" s="705">
        <f>IF(SUM(FN11:FN41)=0,"",ROUND(AVERAGE(FN11:FN41),1))</f>
        <v>24</v>
      </c>
      <c r="FO42" s="705">
        <f>IF(SUM(FO11:FO41)=0,"",ROUND(AVERAGE(FO11:FO41),1))</f>
        <v>33.1</v>
      </c>
      <c r="FP42" s="595">
        <f>IF(SUM(FP11:FP41)=0,"",ROUND(AVERAGE(FP11:FP41),2))</f>
        <v>3</v>
      </c>
      <c r="FQ42" s="595">
        <f>IF(SUM(FQ11:FQ41)=0,"",ROUND(AVERAGE(FQ11:FQ41),2))</f>
        <v>5</v>
      </c>
      <c r="FR42" s="598">
        <f>IF(SUM(FR11:FR41)=0,"",ROUND(AVERAGE(FR11:FR41),0))</f>
        <v>276</v>
      </c>
      <c r="FS42" s="704">
        <f>IF(SUM(FS11:FS41)=0,"",ROUND(AVERAGE(FS11:FS41),2))</f>
        <v>0.65</v>
      </c>
      <c r="FT42" s="595">
        <f>IF(SUM(FT11:FT41)=0,"",ROUND(AVERAGE(FT11:FT41),2))</f>
        <v>3.27</v>
      </c>
      <c r="FU42" s="705">
        <f>IF(SUM(FU11:FU41)=0,"",ROUND(AVERAGE(FU11:FU41),1))</f>
        <v>11</v>
      </c>
      <c r="FV42" s="705">
        <f>IF(SUM(FV11:FV41)=0,"",ROUND(AVERAGE(FV11:FV41),1))</f>
        <v>13.6</v>
      </c>
      <c r="FW42" s="595">
        <f>IF(SUM(FW11:FW41)=0,"",ROUND(AVERAGE(FW11:FW41),2))</f>
        <v>2.11</v>
      </c>
      <c r="FX42" s="595">
        <f>IF(SUM(FX11:FX41)=0,"",ROUND(AVERAGE(FX11:FX41),2))</f>
        <v>2.56</v>
      </c>
      <c r="FY42" s="598">
        <f>IF(SUM(FY11:FY41)=0,"",ROUND(AVERAGE(FY11:FY41),0))</f>
        <v>44</v>
      </c>
      <c r="FZ42" s="588" t="s">
        <v>369</v>
      </c>
      <c r="GA42" s="588" t="s">
        <v>369</v>
      </c>
      <c r="GB42" s="1970">
        <f>IF(SUM(GB11:GB41)=0,"",ROUND(AVERAGE(GB11:GB41),1))</f>
        <v>7.6</v>
      </c>
      <c r="GC42" s="1972" t="str">
        <f>IF(SUM(GC11:GC41)=0,"",ROUND(AVERAGE(GC11:GC41),0))</f>
        <v/>
      </c>
      <c r="GD42" s="1972" t="str">
        <f>IF(SUM(GD11:GD41)=0,"",ROUND(AVERAGE(GD11:GD41),-2))</f>
        <v/>
      </c>
      <c r="GE42" s="1971" t="str">
        <f>IF(SUM(GE11:GE41)=0,"",ROUND(AVERAGE(GE11:GE41),1))</f>
        <v/>
      </c>
      <c r="GF42" s="1972">
        <f>IF(SUM(GF11:GF41)=0,"",ROUND(AVERAGE(GF11:GF41),1))</f>
        <v>3140</v>
      </c>
      <c r="GG42" s="1971" t="str">
        <f>IF(SUM(GG11:GG41)=0,"",ROUND(AVERAGE(GG11:GG41),1))</f>
        <v/>
      </c>
      <c r="GH42" s="1972">
        <f>IF(SUM(GH11:GH41)=0,"",ROUND(AVERAGE(GH11:GH41),0))</f>
        <v>195</v>
      </c>
      <c r="GI42" s="1972" t="str">
        <f>IF(SUM(GI11:GI41)=0,"",ROUND(AVERAGE(GI11:GI41),0))</f>
        <v/>
      </c>
      <c r="GJ42" s="2041" t="str">
        <f t="shared" ref="GJ42:GS42" si="58">IF(SUM(GJ11:GJ41)=0,"",ROUND(AVERAGE(GJ11:GJ41),1))</f>
        <v/>
      </c>
      <c r="GK42" s="2043">
        <f t="shared" si="58"/>
        <v>18.8</v>
      </c>
      <c r="GL42" s="2043" t="str">
        <f t="shared" si="58"/>
        <v/>
      </c>
      <c r="GM42" s="2589">
        <f t="shared" si="58"/>
        <v>34.200000000000003</v>
      </c>
      <c r="GN42" s="2588"/>
      <c r="GO42" s="2044">
        <f t="shared" si="58"/>
        <v>27</v>
      </c>
      <c r="GP42" s="2044" t="str">
        <f t="shared" si="58"/>
        <v/>
      </c>
      <c r="GQ42" s="2044">
        <f t="shared" si="58"/>
        <v>21</v>
      </c>
      <c r="GR42" s="2043">
        <f t="shared" si="58"/>
        <v>7.6</v>
      </c>
      <c r="GS42" s="2043">
        <f t="shared" si="58"/>
        <v>5.5</v>
      </c>
      <c r="GT42" s="2042">
        <f>IF(SUM(GT11:GT41)=0,"",ROUND(AVERAGE(GT11:GT41),-1))</f>
        <v>3140</v>
      </c>
      <c r="GU42" s="2045">
        <f>IF(SUM(GU11:GU41)=0,"",ROUND(AVERAGE(GU11:GU41),-1))</f>
        <v>2830</v>
      </c>
      <c r="GV42" s="590" t="str">
        <f>IF(SUM(GV11:GV41)=0,"",ROUND(AVERAGE(GV11:GV41),0))</f>
        <v/>
      </c>
      <c r="GW42" s="598" t="str">
        <f>IF(SUM(GW11:GW41)=0,"",ROUND(AVERAGE(GW11:GW41),0))</f>
        <v/>
      </c>
      <c r="GX42" s="598" t="str">
        <f>IF(SUM(GX11:GX41)=0,"",ROUND(AVERAGE(GX11:GX41),0))</f>
        <v/>
      </c>
      <c r="GY42" s="705" t="str">
        <f>IF(SUM(GY11:GY41)=0,"",ROUND(AVERAGE(GY11:GY41),1))</f>
        <v/>
      </c>
      <c r="GZ42" s="594" t="s">
        <v>369</v>
      </c>
      <c r="HA42" s="635"/>
      <c r="HB42" s="594" t="s">
        <v>131</v>
      </c>
      <c r="HC42" s="666">
        <f t="shared" ref="HC42:HK42" si="59">IF(SUM(HC11:HC41)=0,"",ROUND(AVERAGE(HC11:HC41),0))</f>
        <v>14</v>
      </c>
      <c r="HD42" s="658">
        <f t="shared" si="59"/>
        <v>6</v>
      </c>
      <c r="HE42" s="658">
        <f t="shared" si="59"/>
        <v>3</v>
      </c>
      <c r="HF42" s="658">
        <f t="shared" si="59"/>
        <v>3</v>
      </c>
      <c r="HG42" s="658">
        <f t="shared" si="59"/>
        <v>4</v>
      </c>
      <c r="HH42" s="658">
        <f t="shared" si="59"/>
        <v>1</v>
      </c>
      <c r="HI42" s="658">
        <f t="shared" si="59"/>
        <v>1</v>
      </c>
      <c r="HJ42" s="677">
        <f>IF(PT_!BJ42="","",+PT_!BJ42)</f>
        <v>4</v>
      </c>
      <c r="HK42" s="658">
        <f t="shared" si="59"/>
        <v>2</v>
      </c>
      <c r="HL42" s="653"/>
      <c r="HM42" s="1783">
        <f>AVERAGE(HM11:HM41)</f>
        <v>68.290322580645167</v>
      </c>
      <c r="HN42" s="1786">
        <f>AVERAGE(HN11:HN41)</f>
        <v>39.12903225806452</v>
      </c>
      <c r="HU42" s="730"/>
      <c r="HV42" s="2443"/>
      <c r="IU42" s="27"/>
    </row>
    <row r="43" spans="1:255" ht="17.100000000000001" customHeight="1" thickBot="1">
      <c r="B43" s="706"/>
      <c r="C43" s="634" t="s">
        <v>347</v>
      </c>
      <c r="D43" s="634"/>
      <c r="E43" s="707"/>
      <c r="F43" s="708"/>
      <c r="G43" s="708"/>
      <c r="H43" s="708"/>
      <c r="I43" s="709"/>
      <c r="J43" s="708"/>
      <c r="K43" s="708"/>
      <c r="L43" s="708"/>
      <c r="M43" s="708"/>
      <c r="N43" s="708"/>
      <c r="O43" s="710"/>
      <c r="P43" s="710"/>
      <c r="Q43" s="710"/>
      <c r="R43" s="710"/>
      <c r="S43" s="710"/>
      <c r="T43" s="710"/>
      <c r="U43" s="710"/>
      <c r="V43" s="710"/>
      <c r="W43" s="710"/>
      <c r="X43" s="710"/>
      <c r="Y43" s="710"/>
      <c r="Z43" s="608"/>
      <c r="AA43" s="30"/>
      <c r="AB43" s="30"/>
      <c r="AC43" s="30"/>
      <c r="AD43" s="30"/>
      <c r="AE43" s="30"/>
      <c r="AF43" s="711"/>
      <c r="AG43" s="712"/>
      <c r="AH43" s="711"/>
      <c r="AI43" s="711"/>
      <c r="AJ43" s="711"/>
      <c r="AK43" s="711"/>
      <c r="AL43" s="711"/>
      <c r="AM43" s="711"/>
      <c r="AN43" s="711"/>
      <c r="AO43" s="711"/>
      <c r="AP43" s="711"/>
      <c r="AQ43" s="708"/>
      <c r="AR43" s="708"/>
      <c r="AS43" s="708"/>
      <c r="AT43" s="710"/>
      <c r="AU43" s="608"/>
      <c r="AV43" s="713"/>
      <c r="AW43" s="713"/>
      <c r="AX43" s="713"/>
      <c r="AY43" s="713"/>
      <c r="AZ43" s="713"/>
      <c r="BA43" s="710"/>
      <c r="BB43" s="710"/>
      <c r="BC43" s="710"/>
      <c r="BD43" s="710"/>
      <c r="BE43" s="710"/>
      <c r="BF43" s="710"/>
      <c r="BG43" s="710"/>
      <c r="BH43" s="710"/>
      <c r="BI43" s="710"/>
      <c r="BJ43" s="710"/>
      <c r="BK43" s="710"/>
      <c r="BL43" s="710"/>
      <c r="BM43" s="710"/>
      <c r="BN43" s="710"/>
      <c r="BO43" s="714"/>
      <c r="BP43" s="714"/>
      <c r="BQ43" s="714"/>
      <c r="BR43" s="714"/>
      <c r="BS43" s="708"/>
      <c r="BT43" s="708"/>
      <c r="BU43" s="708"/>
      <c r="BV43" s="708"/>
      <c r="BW43" s="708"/>
      <c r="BX43" s="709"/>
      <c r="BY43" s="708"/>
      <c r="BZ43" s="707"/>
      <c r="CA43" s="707"/>
      <c r="CB43" s="708"/>
      <c r="CC43" s="708"/>
      <c r="CD43" s="635"/>
      <c r="CE43" s="648" t="s">
        <v>131</v>
      </c>
      <c r="CF43" s="644">
        <f>IF(SUM(CF11:CF41)=0,"",AVERAGE(CF11:CF41))</f>
        <v>103.3225806451613</v>
      </c>
      <c r="CG43" s="614">
        <f ca="1">IF(SUM(CG11:CG41)=0,"",AVERAGE(CG11:CG41))</f>
        <v>93.387096774193552</v>
      </c>
      <c r="CH43" s="614">
        <f>IF(SUM(CH11:CH41)=0,"",AVERAGE(CH11:CH41))</f>
        <v>144.03225806451613</v>
      </c>
      <c r="CI43" s="614">
        <f>IF(SUM(CI11:CI41)=0,"",AVERAGE(CI11:CI41))</f>
        <v>58.096774193548384</v>
      </c>
      <c r="CJ43" s="614">
        <f>IF(SUM(CJ11:CJ41)=0,"",AVERAGE(CJ11:CJ41))</f>
        <v>103.3225806451613</v>
      </c>
      <c r="CK43" s="614">
        <f>AVERAGE(CK11:CK41)</f>
        <v>61.322580645161288</v>
      </c>
      <c r="CL43" s="715">
        <f>AVERAGE(CL11:CL41)</f>
        <v>0.61303958671539083</v>
      </c>
      <c r="CM43" s="643">
        <f>IF(SUM(CM11:CM41)=0,"",ROUND(AVERAGE(CM11:CM41),1))</f>
        <v>92.4</v>
      </c>
      <c r="CN43" s="716">
        <f>IF(SUM(CN11:CN41)=0,"",ROUND(AVERAGE(CN11:CN41),2))</f>
        <v>0.93</v>
      </c>
      <c r="CO43" s="643">
        <f>IF(SUM(CO11:CO41)=0,"",AVERAGE(CO11:CO41))</f>
        <v>1.8</v>
      </c>
      <c r="CP43" s="643">
        <f>IF(SUM(CP11:CP41)=0,"",AVERAGE(CP11:CP41))</f>
        <v>3.3129032258064526</v>
      </c>
      <c r="CQ43" s="643">
        <f>IF(SUM(CQ11:CQ41)=0,"",AVERAGE(CQ11:CQ41))</f>
        <v>3.9612903225806453</v>
      </c>
      <c r="CR43" s="614">
        <f>IF(SUM(CR11:CR41)=0,"",ROUND(AVERAGE(CR11:CR41),-2))</f>
        <v>500</v>
      </c>
      <c r="CS43" s="643">
        <f>IF(SUM(CS11:CS41)=0,"",ROUND(AVERAGE(CS11:CS41),1))</f>
        <v>1.1000000000000001</v>
      </c>
      <c r="CT43" s="615"/>
      <c r="CU43" s="643">
        <f>IF(SUM(CU11:CU41)=0,"",ROUND(AVERAGE(CU11:CU41),1))</f>
        <v>60.7</v>
      </c>
      <c r="CV43" s="614">
        <f>IF(SUM(CV11:CV41)=0,"",AVERAGE(CV11:CV41))</f>
        <v>88.50510444260199</v>
      </c>
      <c r="CW43" s="643">
        <f>IF(SUM(CW11:CW41)=0,"",AVERAGE(CW11:CW41))</f>
        <v>53.49666666666667</v>
      </c>
      <c r="CX43" s="643">
        <f>IF(SUM(CX11:CX41)=0,"",AVERAGE(CX11:CX41))</f>
        <v>320.73548387096776</v>
      </c>
      <c r="CY43" s="643">
        <f>IF(SUM(CY11:CY41)=0,"",AVERAGE(CY11:CY41))</f>
        <v>33.258064516129032</v>
      </c>
      <c r="CZ43" s="643">
        <f>IF(SUM(CZ11:CZ41)=0,"",ROUND(AVERAGE(CZ11:CZ41),1))</f>
        <v>10.8</v>
      </c>
      <c r="DA43" s="643">
        <f>IF(SUM(DA11:DA41)=0,"",ROUND(AVERAGE(DA11:DA41),1))</f>
        <v>10.9</v>
      </c>
      <c r="DB43" s="643">
        <f>IF(SUM(DB11:DB41)=0,"",ROUND(AVERAGE(DB11:DB41),1))</f>
        <v>10.5</v>
      </c>
      <c r="DC43" s="717" t="s">
        <v>131</v>
      </c>
      <c r="DD43" s="717" t="s">
        <v>131</v>
      </c>
      <c r="DE43" s="629">
        <f t="shared" ref="DE43:DS43" si="60">IF(SUM(DE11:DE41)=0,"",AVERAGE(DE11:DE41))</f>
        <v>334.8</v>
      </c>
      <c r="DF43" s="630">
        <f t="shared" si="60"/>
        <v>256.06451612903226</v>
      </c>
      <c r="DG43" s="630">
        <f t="shared" si="60"/>
        <v>16383.870967741936</v>
      </c>
      <c r="DH43" s="630">
        <f>IF(SUM(DH11:DH41)=0,0,AVERAGE(DH11:DH41))</f>
        <v>0</v>
      </c>
      <c r="DI43" s="630">
        <f>IF(SUM(DI11:DI41)=0,0,AVERAGE(DI11:DI41))</f>
        <v>0</v>
      </c>
      <c r="DJ43" s="643">
        <f t="shared" ca="1" si="60"/>
        <v>58.219354838709677</v>
      </c>
      <c r="DK43" s="643">
        <f t="shared" ca="1" si="60"/>
        <v>120.19032258064519</v>
      </c>
      <c r="DL43" s="643">
        <f t="shared" ca="1" si="60"/>
        <v>99.858064516129048</v>
      </c>
      <c r="DM43" s="643">
        <f t="shared" ca="1" si="60"/>
        <v>58.219354838709677</v>
      </c>
      <c r="DN43" s="643">
        <f t="shared" ca="1" si="60"/>
        <v>62.951612903225801</v>
      </c>
      <c r="DO43" s="643">
        <f t="shared" ca="1" si="60"/>
        <v>45</v>
      </c>
      <c r="DP43" s="643">
        <f t="shared" si="60"/>
        <v>57.432486631016047</v>
      </c>
      <c r="DQ43" s="643">
        <f t="shared" si="60"/>
        <v>62.133333333333347</v>
      </c>
      <c r="DR43" s="643">
        <f t="shared" si="60"/>
        <v>31.066666666666674</v>
      </c>
      <c r="DS43" s="643" t="str">
        <f t="shared" si="60"/>
        <v/>
      </c>
      <c r="DT43" s="614">
        <f>IF(SUM(DT11:DT41)=0,"",ROUND(AVERAGE(DT11:DT41),0))</f>
        <v>102</v>
      </c>
      <c r="DU43" s="630">
        <f>IF(SUM(DU11:DU41)=0,"",ROUND(AVERAGE(DU11:DU41),0))</f>
        <v>1083</v>
      </c>
      <c r="DV43" s="643">
        <f>IF(SUM(DV11:DV41)=0,"",ROUND(AVERAGE(DV11:DV41),1))</f>
        <v>10.3</v>
      </c>
      <c r="DW43" s="716">
        <f>IF(SUM(DW11:DW41)=0,"",ROUND(AVERAGE(DW11:DW41),2))</f>
        <v>0.45</v>
      </c>
      <c r="DX43" s="717" t="s">
        <v>131</v>
      </c>
      <c r="DY43" s="717" t="s">
        <v>131</v>
      </c>
      <c r="DZ43" s="718" t="str">
        <f>IF(SUM(DZ11:DZ41)=0,"",ROUND(AVERAGE(DZ11:DZ41),2))</f>
        <v/>
      </c>
      <c r="EA43" s="643">
        <f>IF(SUM(EA11:EA41)=0,"",ROUND(AVERAGE(EA11:EA41),1))</f>
        <v>138</v>
      </c>
      <c r="EB43" s="2089">
        <f>IF(SUM(EB11:EB41)=0,"",ROUND(AVERAGE(EB11:EB41),1))</f>
        <v>138</v>
      </c>
      <c r="EC43" s="2089">
        <f>IF(SUM(EC11:EC41)=0,"",ROUND(AVERAGE(EC11:EC41),1))</f>
        <v>57.1</v>
      </c>
      <c r="ED43" s="1907"/>
      <c r="EE43" s="1908"/>
      <c r="EF43" s="1909"/>
      <c r="EG43" s="1898"/>
      <c r="EH43" s="1896"/>
      <c r="EI43" s="1897" t="str">
        <f>IF(SUM(EI11:EI41)=0,"",ROUND(AVERAGE(EI11:EI41),0))</f>
        <v/>
      </c>
      <c r="EJ43" s="1898"/>
      <c r="EK43" s="1882" t="str">
        <f>IF(SUM(EK11:EK41)=0,"",ROUND(AVERAGE(EK11:EK41),0))</f>
        <v/>
      </c>
      <c r="EL43" s="615"/>
      <c r="EM43" s="615"/>
      <c r="EN43" s="615"/>
      <c r="EO43" s="615" t="s">
        <v>131</v>
      </c>
      <c r="EP43" s="608"/>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608"/>
      <c r="GB43" s="730"/>
      <c r="GC43" s="730"/>
      <c r="GD43" s="730"/>
      <c r="GE43" s="730"/>
      <c r="GF43" s="730"/>
      <c r="GG43" s="730"/>
      <c r="GH43" s="730"/>
      <c r="GI43" s="730"/>
      <c r="GJ43" s="730"/>
      <c r="GK43" s="730"/>
      <c r="GL43" s="730"/>
      <c r="GM43" s="730"/>
      <c r="GN43" s="730"/>
      <c r="GO43" s="730"/>
      <c r="GP43" s="730"/>
      <c r="GQ43" s="730"/>
      <c r="GR43" s="730"/>
      <c r="GS43" s="730"/>
      <c r="GT43" s="730"/>
      <c r="GU43" s="730"/>
      <c r="GV43" s="708"/>
      <c r="GW43" s="708"/>
      <c r="GX43" s="708"/>
      <c r="GY43" s="708"/>
      <c r="GZ43" s="708"/>
      <c r="HA43" s="635"/>
      <c r="HB43" s="708"/>
      <c r="HC43" s="708"/>
      <c r="HD43" s="708"/>
      <c r="HE43" s="708"/>
      <c r="HF43" s="708"/>
      <c r="HG43" s="708"/>
      <c r="HH43" s="710"/>
      <c r="HI43" s="710"/>
      <c r="HJ43" s="710"/>
      <c r="HK43" s="708"/>
      <c r="IU43" s="27"/>
    </row>
    <row r="44" spans="1:255" ht="17.100000000000001" customHeight="1" thickBot="1">
      <c r="B44" s="653"/>
      <c r="C44" s="586" t="s">
        <v>348</v>
      </c>
      <c r="D44" s="586"/>
      <c r="E44" s="580"/>
      <c r="I44" s="719"/>
      <c r="M44" s="588"/>
      <c r="N44" s="588" t="s">
        <v>370</v>
      </c>
      <c r="O44" s="591"/>
      <c r="P44" s="591"/>
      <c r="Q44" s="591"/>
      <c r="R44" s="590"/>
      <c r="S44" s="591"/>
      <c r="T44" s="591"/>
      <c r="U44" s="591"/>
      <c r="V44" s="635"/>
      <c r="Y44" s="582"/>
      <c r="Z44" s="635"/>
      <c r="AA44" s="1301"/>
      <c r="AB44" s="27"/>
      <c r="AC44" s="27"/>
      <c r="AD44" s="27"/>
      <c r="AE44" s="27"/>
      <c r="AF44" s="585"/>
      <c r="AG44" s="720"/>
      <c r="AH44" s="2163"/>
      <c r="AI44" s="2163"/>
      <c r="AJ44" s="2163"/>
      <c r="AK44" s="2163"/>
      <c r="AL44" s="585"/>
      <c r="AM44" s="585"/>
      <c r="AN44" s="585"/>
      <c r="AO44" s="585"/>
      <c r="AP44" s="585"/>
      <c r="AQ44" s="719"/>
      <c r="AR44" s="719"/>
      <c r="AS44" s="719"/>
      <c r="AT44" s="582"/>
      <c r="AU44" s="2528" t="s">
        <v>1367</v>
      </c>
      <c r="AV44" s="2847" t="s">
        <v>1366</v>
      </c>
      <c r="AW44" s="2847"/>
      <c r="AX44" s="2848"/>
      <c r="AY44" s="1679"/>
      <c r="AZ44" s="1301"/>
      <c r="BA44" s="1309" t="s">
        <v>413</v>
      </c>
      <c r="BB44" s="1310"/>
      <c r="BC44" s="1311"/>
      <c r="BD44" s="1311"/>
      <c r="BE44" s="1309" t="s">
        <v>417</v>
      </c>
      <c r="BF44" s="1310"/>
      <c r="BG44" s="1311"/>
      <c r="BH44" s="1311"/>
      <c r="BI44" s="1311"/>
      <c r="BJ44" s="1312"/>
      <c r="BK44" s="730"/>
      <c r="BL44" s="1308"/>
      <c r="BO44" s="588" t="s">
        <v>422</v>
      </c>
      <c r="BP44" s="591"/>
      <c r="BQ44" s="591"/>
      <c r="BR44" s="606"/>
      <c r="BX44" s="719"/>
      <c r="BZ44" s="580"/>
      <c r="CA44" s="580"/>
      <c r="CB44" s="719"/>
      <c r="CD44" s="635"/>
      <c r="CE44" s="706"/>
      <c r="CF44" s="708"/>
      <c r="CG44" s="708"/>
      <c r="CH44" s="708"/>
      <c r="CI44" s="708"/>
      <c r="CJ44" s="708"/>
      <c r="CK44" s="708"/>
      <c r="CL44" s="708"/>
      <c r="CM44" s="708"/>
      <c r="CN44" s="708"/>
      <c r="CO44" s="708"/>
      <c r="CP44" s="708"/>
      <c r="CQ44" s="708"/>
      <c r="CR44" s="708"/>
      <c r="CS44" s="708"/>
      <c r="CT44" s="708"/>
      <c r="CU44" s="708"/>
      <c r="CV44" s="708"/>
      <c r="CW44" s="708"/>
      <c r="CX44" s="708"/>
      <c r="CY44" s="708"/>
      <c r="CZ44" s="708"/>
      <c r="DA44" s="708"/>
      <c r="DB44" s="708"/>
      <c r="DC44" s="710"/>
      <c r="DD44" s="608"/>
      <c r="DE44" s="721"/>
      <c r="DF44" s="721"/>
      <c r="DG44" s="721"/>
      <c r="DH44" s="721"/>
      <c r="DI44" s="721"/>
      <c r="DJ44" s="708"/>
      <c r="DK44" s="708"/>
      <c r="DL44" s="708"/>
      <c r="DM44" s="708"/>
      <c r="DN44" s="708"/>
      <c r="DO44" s="708"/>
      <c r="DP44" s="708"/>
      <c r="DQ44" s="708"/>
      <c r="DR44" s="708"/>
      <c r="DS44" s="708"/>
      <c r="DT44" s="708"/>
      <c r="DU44" s="708"/>
      <c r="DV44" s="708"/>
      <c r="DW44" s="708"/>
      <c r="DX44" s="710"/>
      <c r="DY44" s="608"/>
      <c r="DZ44" s="708"/>
      <c r="EA44" s="708"/>
      <c r="EB44" s="708"/>
      <c r="EC44" s="730"/>
      <c r="ED44" s="730"/>
      <c r="EE44" s="730"/>
      <c r="EF44" s="730"/>
      <c r="EG44" s="1883" t="str">
        <f>IF(ABS(EG42-SUM(EH42:EJ42))=0,"","CHECK!!!!!")</f>
        <v>CHECK!!!!!</v>
      </c>
      <c r="EH44" s="730" t="s">
        <v>999</v>
      </c>
      <c r="EI44" s="730"/>
      <c r="EJ44" s="730"/>
      <c r="EK44" s="708"/>
      <c r="EL44" s="708"/>
      <c r="EM44" s="708"/>
      <c r="EN44" s="708"/>
      <c r="EO44" s="708"/>
      <c r="EP44" s="653"/>
      <c r="EQ44" s="581" t="str">
        <f>IF(ISERR(AVERAGE(#REF!)),"",AVERAGE(#REF!))</f>
        <v/>
      </c>
      <c r="ER44" s="722"/>
      <c r="ES44" s="723"/>
      <c r="ET44" s="724" t="s">
        <v>1051</v>
      </c>
      <c r="EU44" s="725"/>
      <c r="EV44" s="726"/>
      <c r="EW44" s="726"/>
      <c r="EX44" s="726"/>
      <c r="EY44" s="725"/>
      <c r="EZ44" s="724" t="s">
        <v>1051</v>
      </c>
      <c r="FA44" s="724" t="s">
        <v>549</v>
      </c>
      <c r="FB44" s="726"/>
      <c r="FC44" s="726"/>
      <c r="FD44" s="727"/>
      <c r="FE44" s="727"/>
      <c r="FF44" s="726"/>
      <c r="FG44" s="726"/>
      <c r="FH44" s="726"/>
      <c r="FI44" s="726"/>
      <c r="FJ44" s="726"/>
      <c r="FK44" s="728"/>
      <c r="FL44" s="729"/>
      <c r="FV44" s="730"/>
      <c r="FW44" s="730"/>
      <c r="FX44" s="731"/>
      <c r="FY44" s="732"/>
      <c r="FZ44" s="732"/>
      <c r="GA44" s="733"/>
      <c r="HA44" s="635"/>
      <c r="HH44" s="582"/>
      <c r="HI44" s="582"/>
      <c r="HJ44" s="582"/>
      <c r="HV44" s="578" t="s">
        <v>1387</v>
      </c>
      <c r="IU44" s="27"/>
    </row>
    <row r="45" spans="1:255" ht="17.100000000000001" customHeight="1" thickBot="1">
      <c r="B45" s="653"/>
      <c r="C45" s="586" t="s">
        <v>349</v>
      </c>
      <c r="D45" s="586"/>
      <c r="E45" s="580"/>
      <c r="I45" s="719"/>
      <c r="M45" s="609"/>
      <c r="N45" s="610" t="s">
        <v>371</v>
      </c>
      <c r="O45" s="611"/>
      <c r="P45" s="610" t="s">
        <v>375</v>
      </c>
      <c r="Q45" s="611"/>
      <c r="R45" s="610" t="s">
        <v>376</v>
      </c>
      <c r="S45" s="611"/>
      <c r="T45" s="610" t="s">
        <v>380</v>
      </c>
      <c r="U45" s="611"/>
      <c r="V45" s="635"/>
      <c r="Y45" s="582"/>
      <c r="Z45" s="635"/>
      <c r="AA45" s="1301"/>
      <c r="AB45" s="27"/>
      <c r="AC45" s="27"/>
      <c r="AD45" s="27"/>
      <c r="AE45" s="27"/>
      <c r="AF45" s="585"/>
      <c r="AG45" s="31"/>
      <c r="AH45" s="2165"/>
      <c r="AI45" s="27"/>
      <c r="AJ45" s="27"/>
      <c r="AK45" s="27"/>
      <c r="AL45" s="27"/>
      <c r="AM45" s="27"/>
      <c r="AN45" s="27"/>
      <c r="AO45" s="27"/>
      <c r="AP45" s="27"/>
      <c r="AQ45" s="719"/>
      <c r="AR45" s="719"/>
      <c r="AS45" s="719"/>
      <c r="AT45" s="582"/>
      <c r="AU45" s="2529">
        <v>3</v>
      </c>
      <c r="AV45" s="2843">
        <f>AV42/BA42</f>
        <v>7.7777777777777779E-2</v>
      </c>
      <c r="AW45" s="2843"/>
      <c r="AX45" s="2844"/>
      <c r="AY45" s="1680"/>
      <c r="AZ45" s="1301"/>
      <c r="BA45" s="1313"/>
      <c r="BB45" s="614" t="s">
        <v>414</v>
      </c>
      <c r="BC45" s="614"/>
      <c r="BD45" s="614" t="s">
        <v>414</v>
      </c>
      <c r="BE45" s="1313"/>
      <c r="BF45" s="614" t="s">
        <v>414</v>
      </c>
      <c r="BG45" s="614" t="s">
        <v>414</v>
      </c>
      <c r="BH45" s="614"/>
      <c r="BI45" s="614" t="s">
        <v>414</v>
      </c>
      <c r="BJ45" s="1314" t="s">
        <v>414</v>
      </c>
      <c r="BK45" s="730"/>
      <c r="BO45" s="706" t="s">
        <v>383</v>
      </c>
      <c r="BP45" s="734">
        <f>G42</f>
        <v>139</v>
      </c>
      <c r="BQ45" s="599" t="s">
        <v>428</v>
      </c>
      <c r="BR45" s="606"/>
      <c r="BX45" s="579"/>
      <c r="BZ45" s="579"/>
      <c r="CA45" s="579"/>
      <c r="CD45" s="635"/>
      <c r="CE45" s="653"/>
      <c r="CF45" s="706"/>
      <c r="CG45" s="708"/>
      <c r="CH45" s="708"/>
      <c r="CI45" s="706"/>
      <c r="CJ45" s="708"/>
      <c r="CK45" s="599" t="s">
        <v>453</v>
      </c>
      <c r="CL45" s="599" t="s">
        <v>450</v>
      </c>
      <c r="CM45" s="599" t="s">
        <v>458</v>
      </c>
      <c r="CN45" s="599" t="s">
        <v>461</v>
      </c>
      <c r="CO45" s="653"/>
      <c r="CP45" s="1884" t="s">
        <v>466</v>
      </c>
      <c r="CQ45" s="1885"/>
      <c r="CR45" s="1885"/>
      <c r="CS45" s="1735"/>
      <c r="CV45" s="581"/>
      <c r="DC45" s="582"/>
      <c r="DD45" s="635"/>
      <c r="DE45" s="32"/>
      <c r="DF45" s="32"/>
      <c r="DG45" s="32"/>
      <c r="DH45" s="32"/>
      <c r="DI45" s="32"/>
      <c r="DJ45" s="27"/>
      <c r="DK45" s="27"/>
      <c r="DL45" s="27"/>
      <c r="DM45" s="27"/>
      <c r="DN45" s="27"/>
      <c r="DO45" s="27"/>
      <c r="DP45" s="27"/>
      <c r="DQ45" s="27"/>
      <c r="DR45" s="27"/>
      <c r="DS45" s="27"/>
      <c r="DT45" s="27"/>
      <c r="DU45" s="27"/>
      <c r="DV45" s="27"/>
      <c r="DW45" s="27"/>
      <c r="DX45" s="585"/>
      <c r="DY45" s="735"/>
      <c r="DZ45" s="617"/>
      <c r="EB45" s="588" t="s">
        <v>521</v>
      </c>
      <c r="EC45" s="591"/>
      <c r="ED45" s="591"/>
      <c r="EE45" s="591"/>
      <c r="EF45" s="591"/>
      <c r="EG45" s="591"/>
      <c r="EH45" s="591"/>
      <c r="EI45" s="591"/>
      <c r="EJ45" s="591"/>
      <c r="EK45" s="591"/>
      <c r="EL45" s="591"/>
      <c r="EM45" s="653"/>
      <c r="EP45" s="653"/>
      <c r="EQ45" s="581"/>
      <c r="ER45" s="736" t="s">
        <v>537</v>
      </c>
      <c r="ES45" s="737"/>
      <c r="ET45" s="625" t="s">
        <v>536</v>
      </c>
      <c r="EU45" s="638" t="s">
        <v>541</v>
      </c>
      <c r="EV45" s="738">
        <f>$DB$43</f>
        <v>10.5</v>
      </c>
      <c r="EW45" s="730" t="s">
        <v>546</v>
      </c>
      <c r="EX45" s="730"/>
      <c r="EY45" s="625" t="s">
        <v>933</v>
      </c>
      <c r="EZ45" s="625" t="s">
        <v>536</v>
      </c>
      <c r="FA45" s="739"/>
      <c r="FB45" s="740"/>
      <c r="FC45" s="741"/>
      <c r="FD45" s="742"/>
      <c r="FE45" s="742"/>
      <c r="FF45" s="741"/>
      <c r="FG45" s="742"/>
      <c r="FH45" s="742"/>
      <c r="FI45" s="743"/>
      <c r="FJ45" s="744"/>
      <c r="FK45" s="745"/>
      <c r="FL45" s="729"/>
      <c r="FV45" s="730"/>
      <c r="FW45" s="730"/>
      <c r="FX45" s="731"/>
      <c r="FY45" s="732"/>
      <c r="FZ45" s="732"/>
      <c r="GA45" s="733"/>
      <c r="HA45" s="653"/>
      <c r="HJ45" s="582"/>
      <c r="IU45" s="27"/>
    </row>
    <row r="46" spans="1:255" ht="17.100000000000001" customHeight="1" thickBot="1">
      <c r="B46" s="653"/>
      <c r="C46" s="586" t="s">
        <v>350</v>
      </c>
      <c r="D46" s="586"/>
      <c r="E46" s="580"/>
      <c r="I46" s="719"/>
      <c r="M46" s="609" t="s">
        <v>975</v>
      </c>
      <c r="N46" s="610" t="s">
        <v>372</v>
      </c>
      <c r="O46" s="618" t="s">
        <v>374</v>
      </c>
      <c r="P46" s="610" t="s">
        <v>372</v>
      </c>
      <c r="Q46" s="618" t="s">
        <v>374</v>
      </c>
      <c r="R46" s="610" t="s">
        <v>372</v>
      </c>
      <c r="S46" s="618" t="s">
        <v>374</v>
      </c>
      <c r="T46" s="610" t="s">
        <v>372</v>
      </c>
      <c r="U46" s="618" t="s">
        <v>374</v>
      </c>
      <c r="V46" s="635"/>
      <c r="Y46" s="582"/>
      <c r="Z46" s="635"/>
      <c r="AA46" s="1301"/>
      <c r="AB46" s="27"/>
      <c r="AC46" s="27"/>
      <c r="AD46" s="27"/>
      <c r="AE46" s="27"/>
      <c r="AF46" s="585"/>
      <c r="AG46" s="31"/>
      <c r="AH46" s="2164"/>
      <c r="AI46" s="27"/>
      <c r="AJ46" s="27"/>
      <c r="AK46" s="27"/>
      <c r="AL46" s="27"/>
      <c r="AM46" s="27"/>
      <c r="AN46" s="27"/>
      <c r="AO46" s="27"/>
      <c r="AP46" s="27"/>
      <c r="AQ46" s="719"/>
      <c r="AR46" s="719"/>
      <c r="AS46" s="719"/>
      <c r="AT46" s="582"/>
      <c r="AU46" s="2529">
        <v>6</v>
      </c>
      <c r="AV46" s="2843">
        <f>AX42/BC42</f>
        <v>6.0714285714285714E-2</v>
      </c>
      <c r="AW46" s="2843"/>
      <c r="AX46" s="2844"/>
      <c r="AY46" s="1681"/>
      <c r="AZ46" s="1301"/>
      <c r="BA46" s="1636" t="s">
        <v>937</v>
      </c>
      <c r="BB46" s="1637" t="s">
        <v>415</v>
      </c>
      <c r="BC46" s="1637" t="s">
        <v>937</v>
      </c>
      <c r="BD46" s="1637" t="s">
        <v>415</v>
      </c>
      <c r="BE46" s="1638" t="s">
        <v>937</v>
      </c>
      <c r="BF46" s="1637" t="s">
        <v>363</v>
      </c>
      <c r="BG46" s="1637" t="s">
        <v>361</v>
      </c>
      <c r="BH46" s="1637" t="s">
        <v>937</v>
      </c>
      <c r="BI46" s="1637" t="s">
        <v>363</v>
      </c>
      <c r="BJ46" s="1639" t="s">
        <v>361</v>
      </c>
      <c r="BK46" s="730"/>
      <c r="BO46" s="746" t="s">
        <v>394</v>
      </c>
      <c r="BP46" s="677">
        <f>(0.5*I42)+(0.5*J42)</f>
        <v>77.5</v>
      </c>
      <c r="BQ46" s="686">
        <f>1-(BP46/$BP$45)</f>
        <v>0.44244604316546765</v>
      </c>
      <c r="BR46" s="748"/>
      <c r="BX46" s="579"/>
      <c r="BZ46" s="579"/>
      <c r="CA46" s="579"/>
      <c r="CD46" s="635"/>
      <c r="CE46" s="653"/>
      <c r="CF46" s="653" t="s">
        <v>442</v>
      </c>
      <c r="CI46" s="609" t="s">
        <v>451</v>
      </c>
      <c r="CJ46" s="617"/>
      <c r="CK46" s="625" t="s">
        <v>454</v>
      </c>
      <c r="CL46" s="625" t="s">
        <v>455</v>
      </c>
      <c r="CM46" s="625" t="s">
        <v>931</v>
      </c>
      <c r="CN46" s="625" t="s">
        <v>462</v>
      </c>
      <c r="CO46" s="653"/>
      <c r="CP46" s="2104" t="s">
        <v>1304</v>
      </c>
      <c r="CQ46" s="1308"/>
      <c r="CR46" s="1679"/>
      <c r="CS46" s="2105"/>
      <c r="DC46" s="582"/>
      <c r="DD46" s="635"/>
      <c r="DE46" s="32"/>
      <c r="DF46" s="32"/>
      <c r="DG46" s="32"/>
      <c r="DH46" s="32"/>
      <c r="DI46" s="32"/>
      <c r="DJ46" s="27"/>
      <c r="DK46" s="27"/>
      <c r="DL46" s="27"/>
      <c r="DM46" s="27"/>
      <c r="DN46" s="27"/>
      <c r="DO46" s="27"/>
      <c r="DP46" s="27"/>
      <c r="DQ46" s="27"/>
      <c r="DR46" s="27"/>
      <c r="DS46" s="27"/>
      <c r="DT46" s="27"/>
      <c r="DU46" s="27"/>
      <c r="DV46" s="27"/>
      <c r="DW46" s="27"/>
      <c r="DX46" s="585"/>
      <c r="DY46" s="735"/>
      <c r="DZ46" s="749"/>
      <c r="EB46" s="588" t="s">
        <v>522</v>
      </c>
      <c r="EC46" s="591"/>
      <c r="ED46" s="591"/>
      <c r="EE46" s="591"/>
      <c r="EF46" s="590"/>
      <c r="EG46" s="590"/>
      <c r="EH46" s="590"/>
      <c r="EI46" s="590"/>
      <c r="EJ46" s="590"/>
      <c r="EK46" s="590"/>
      <c r="EL46" s="590"/>
      <c r="EM46" s="653"/>
      <c r="EP46" s="653"/>
      <c r="EQ46" s="581"/>
      <c r="ER46" s="736" t="s">
        <v>538</v>
      </c>
      <c r="ES46" s="750">
        <f>$CF$43</f>
        <v>103.3225806451613</v>
      </c>
      <c r="ET46" s="625" t="s">
        <v>966</v>
      </c>
      <c r="EU46" s="638"/>
      <c r="EV46" s="730"/>
      <c r="EW46" s="730"/>
      <c r="EX46" s="730"/>
      <c r="EY46" s="625" t="s">
        <v>940</v>
      </c>
      <c r="EZ46" s="625" t="s">
        <v>966</v>
      </c>
      <c r="FA46" s="747"/>
      <c r="FB46" s="740"/>
      <c r="FC46" s="740"/>
      <c r="FD46" s="742"/>
      <c r="FE46" s="742"/>
      <c r="FF46" s="740"/>
      <c r="FG46" s="740"/>
      <c r="FH46" s="740"/>
      <c r="FI46" s="740"/>
      <c r="FJ46" s="751"/>
      <c r="FK46" s="752"/>
      <c r="FL46" s="729"/>
      <c r="FV46" s="730"/>
      <c r="FW46" s="730"/>
      <c r="FX46" s="731"/>
      <c r="FY46" s="732"/>
      <c r="FZ46" s="732"/>
      <c r="GA46" s="733"/>
      <c r="HA46" s="653"/>
      <c r="HH46" s="582"/>
      <c r="HI46" s="582"/>
      <c r="HJ46" s="582"/>
      <c r="IU46" s="27"/>
    </row>
    <row r="47" spans="1:255" ht="17.100000000000001" customHeight="1" thickBot="1">
      <c r="B47" s="653"/>
      <c r="C47" s="586" t="s">
        <v>351</v>
      </c>
      <c r="D47" s="586"/>
      <c r="E47" s="580"/>
      <c r="I47" s="719"/>
      <c r="M47" s="756" t="str">
        <f>IF(CLA_!O48="","",CLA_!O48)</f>
        <v>01/04/16</v>
      </c>
      <c r="N47" s="757">
        <f>IF(CLA_!P48="","",CLA_!P48)</f>
        <v>57.6</v>
      </c>
      <c r="O47" s="758">
        <f>IF(CLA_!Q48="","",CLA_!Q48)</f>
        <v>22.5</v>
      </c>
      <c r="P47" s="757">
        <f>IF(CLA_!R48="","",CLA_!R48)</f>
        <v>58.7</v>
      </c>
      <c r="Q47" s="758">
        <f>IF(CLA_!S48="","",CLA_!S48)</f>
        <v>25</v>
      </c>
      <c r="R47" s="757">
        <f>IF(CLA_!T48="","",CLA_!T48)</f>
        <v>58.2</v>
      </c>
      <c r="S47" s="758">
        <f>IF(CLA_!U48="","",CLA_!U48)</f>
        <v>22.5</v>
      </c>
      <c r="T47" s="757">
        <f>IF(CLA_!V48="","",CLA_!V48)</f>
        <v>58.4</v>
      </c>
      <c r="U47" s="758">
        <f>IF(CLA_!W48="","",CLA_!W48)</f>
        <v>22.5</v>
      </c>
      <c r="V47" s="635"/>
      <c r="Y47" s="582"/>
      <c r="Z47" s="635"/>
      <c r="AA47" s="1301"/>
      <c r="AB47" s="27"/>
      <c r="AC47" s="27"/>
      <c r="AD47" s="27"/>
      <c r="AE47" s="27"/>
      <c r="AF47" s="585"/>
      <c r="AG47" s="31"/>
      <c r="AH47" s="27"/>
      <c r="AI47" s="27"/>
      <c r="AJ47" s="27"/>
      <c r="AK47" s="27"/>
      <c r="AL47" s="27"/>
      <c r="AM47" s="27"/>
      <c r="AN47" s="27"/>
      <c r="AO47" s="27"/>
      <c r="AP47" s="27"/>
      <c r="AQ47" s="719"/>
      <c r="AR47" s="719"/>
      <c r="AS47" s="719"/>
      <c r="AT47" s="582"/>
      <c r="AU47" s="2529">
        <v>7</v>
      </c>
      <c r="AV47" s="2843">
        <f>AY42/BD42</f>
        <v>5.5172413793103448E-2</v>
      </c>
      <c r="AW47" s="2843"/>
      <c r="AX47" s="2844"/>
      <c r="AY47" s="1683"/>
      <c r="AZ47" s="1631"/>
      <c r="BA47" s="1633" t="str">
        <f>IF(CLA_!H47="","",CLA_!H47)</f>
        <v>1/4/16</v>
      </c>
      <c r="BB47" s="1634">
        <f>IF(CLA_!I47="","",CLA_!I47)</f>
        <v>164</v>
      </c>
      <c r="BC47" s="1634" t="str">
        <f>IF(CLA_!H50="","",CLA_!H50)</f>
        <v>1/25/16</v>
      </c>
      <c r="BD47" s="1634">
        <f>IF(CLA_!I50="","",CLA_!I50)</f>
        <v>140</v>
      </c>
      <c r="BE47" s="1633" t="str">
        <f>IF(CLA_!$K$48="","",CLA_!$K$48)</f>
        <v/>
      </c>
      <c r="BF47" s="1634" t="str">
        <f>IF(CLA_!$L$48="","",CLA_!$L$48)</f>
        <v/>
      </c>
      <c r="BG47" s="1634" t="str">
        <f>IF(CLA_!$M$48="","",CLA_!$M$48)</f>
        <v/>
      </c>
      <c r="BH47" s="1634" t="str">
        <f>IF(CLA_!$K$51="","",CLA_!$K$51)</f>
        <v/>
      </c>
      <c r="BI47" s="1634" t="str">
        <f>IF(CLA_!$L$51="","",CLA_!$L$51)</f>
        <v/>
      </c>
      <c r="BJ47" s="1635" t="str">
        <f>IF(CLA_!$M$51="","",CLA_!$M$51)</f>
        <v/>
      </c>
      <c r="BK47" s="730"/>
      <c r="BO47" s="746" t="s">
        <v>423</v>
      </c>
      <c r="BP47" s="747">
        <f>K42</f>
        <v>16</v>
      </c>
      <c r="BQ47" s="686">
        <f ca="1">+DMR!C23</f>
        <v>0.89</v>
      </c>
      <c r="BR47" s="748"/>
      <c r="BT47" s="2024" t="s">
        <v>1335</v>
      </c>
      <c r="BU47" s="2167">
        <f>(((+AT_!$CJ$43*(AT_!$AD$42*0.6+AT_!$AE$42*0.4)*8.34+PT_!$BP$48*DW_!$AJ$43*8.34-AT_!$CJ$43*AT_!$AF$42*8.34)*1+(+AT_!$CJ$43*AT_!$FN$42*8.34-AT_!$CJ$43*AT_!$FU$42*8.34)*4.6)-2.9*(AT_!$FN$42-AT_!$FU$42-AT_!$FS$42-AT_!$FT$42)*8.34*AT_!$CJ$43)/(+AT_!$CM$43*10^6*0.075*0.21)</f>
        <v>6.6139190260101649E-2</v>
      </c>
      <c r="CD47" s="635"/>
      <c r="CE47" s="653"/>
      <c r="CF47" s="706" t="s">
        <v>443</v>
      </c>
      <c r="CG47" s="708"/>
      <c r="CH47" s="708"/>
      <c r="CI47" s="670"/>
      <c r="CJ47" s="721">
        <f>DE42</f>
        <v>5022</v>
      </c>
      <c r="CK47" s="671">
        <v>50</v>
      </c>
      <c r="CL47" s="671">
        <f>ROUND(+$CJ$47*$CK$47*$HQ$10/100,-2)</f>
        <v>125600</v>
      </c>
      <c r="CM47" s="671">
        <f>ROUND(+$CL$47/COUNTA(CF11:CF41),-1)</f>
        <v>4050</v>
      </c>
      <c r="CN47" s="671">
        <f>IF(ROUND(+CL47/$CF$42/5,0)*5&lt;5,5,ROUND(CL47/$CF$42/5,0)*5)</f>
        <v>40</v>
      </c>
      <c r="CO47" s="653"/>
      <c r="CP47" s="2108"/>
      <c r="CQ47" s="724" t="s">
        <v>1194</v>
      </c>
      <c r="CR47" s="724" t="s">
        <v>1195</v>
      </c>
      <c r="CS47" s="2373" t="s">
        <v>1305</v>
      </c>
      <c r="DC47" s="582"/>
      <c r="DD47" s="635"/>
      <c r="DE47" s="32"/>
      <c r="DF47" s="2751" t="s">
        <v>1368</v>
      </c>
      <c r="DG47" s="2752"/>
      <c r="DH47" s="2753"/>
      <c r="DI47" s="33"/>
      <c r="DJ47" s="2751" t="s">
        <v>50</v>
      </c>
      <c r="DK47" s="2752"/>
      <c r="DL47" s="2768"/>
      <c r="DM47" s="27"/>
      <c r="DN47" s="27"/>
      <c r="DO47" s="27"/>
      <c r="DP47" s="27"/>
      <c r="DQ47" s="27"/>
      <c r="DR47" s="27"/>
      <c r="DS47" s="27"/>
      <c r="DT47" s="27"/>
      <c r="DU47" s="27"/>
      <c r="DV47" s="27"/>
      <c r="DW47" s="27"/>
      <c r="DX47" s="585"/>
      <c r="DY47" s="735"/>
      <c r="DZ47" s="719"/>
      <c r="EB47" s="610"/>
      <c r="EC47" s="611"/>
      <c r="ED47" s="611"/>
      <c r="EE47" s="611"/>
      <c r="EF47" s="611"/>
      <c r="EG47" s="611"/>
      <c r="EH47" s="611"/>
      <c r="EI47" s="611"/>
      <c r="EJ47" s="611"/>
      <c r="EK47" s="611"/>
      <c r="EL47" s="611"/>
      <c r="EM47" s="653"/>
      <c r="EP47" s="653"/>
      <c r="EQ47" s="581"/>
      <c r="ER47" s="753" t="s">
        <v>956</v>
      </c>
      <c r="ES47" s="754"/>
      <c r="ET47" s="689">
        <f ca="1">+DMR!F31</f>
        <v>30500</v>
      </c>
      <c r="EU47" s="755" t="s">
        <v>542</v>
      </c>
      <c r="EV47" s="740"/>
      <c r="EW47" s="740"/>
      <c r="EX47" s="740"/>
      <c r="EY47" s="687">
        <f>DW_!$AG$43</f>
        <v>0.41</v>
      </c>
      <c r="EZ47" s="677"/>
      <c r="FA47" s="747"/>
      <c r="FB47" s="740"/>
      <c r="FC47" s="740"/>
      <c r="FD47" s="742"/>
      <c r="FE47" s="742"/>
      <c r="FF47" s="740"/>
      <c r="FG47" s="740"/>
      <c r="FH47" s="740"/>
      <c r="FI47" s="740"/>
      <c r="FJ47" s="730"/>
      <c r="FK47" s="752"/>
      <c r="FL47" s="729"/>
      <c r="FV47" s="730"/>
      <c r="FW47" s="730"/>
      <c r="FX47" s="731"/>
      <c r="FY47" s="732"/>
      <c r="FZ47" s="732"/>
      <c r="GA47" s="733"/>
      <c r="HA47" s="653"/>
      <c r="HH47" s="582"/>
      <c r="HI47" s="582"/>
      <c r="HJ47" s="582"/>
      <c r="IU47" s="27"/>
    </row>
    <row r="48" spans="1:255" ht="17.100000000000001" customHeight="1" thickBot="1">
      <c r="B48" s="653"/>
      <c r="C48" s="586" t="s">
        <v>352</v>
      </c>
      <c r="D48" s="586"/>
      <c r="E48" s="580"/>
      <c r="I48" s="719"/>
      <c r="M48" s="756" t="str">
        <f>IF(CLA_!O49="","",CLA_!O49)</f>
        <v>01/11/16</v>
      </c>
      <c r="N48" s="757">
        <f>IF(CLA_!P49="","",CLA_!P49)</f>
        <v>44.5</v>
      </c>
      <c r="O48" s="758">
        <f>IF(CLA_!Q49="","",CLA_!Q49)</f>
        <v>29.9</v>
      </c>
      <c r="P48" s="757">
        <f>IF(CLA_!R49="","",CLA_!R49)</f>
        <v>49.8</v>
      </c>
      <c r="Q48" s="758">
        <f>IF(CLA_!S49="","",CLA_!S49)</f>
        <v>27.6</v>
      </c>
      <c r="R48" s="757">
        <f>IF(CLA_!T49="","",CLA_!T49)</f>
        <v>43</v>
      </c>
      <c r="S48" s="758">
        <f>IF(CLA_!U49="","",CLA_!U49)</f>
        <v>29.8</v>
      </c>
      <c r="T48" s="757">
        <f>IF(CLA_!V49="","",CLA_!V49)</f>
        <v>33.200000000000003</v>
      </c>
      <c r="U48" s="758">
        <f>IF(CLA_!W49="","",CLA_!W49)</f>
        <v>56.1</v>
      </c>
      <c r="V48" s="635"/>
      <c r="Y48" s="582"/>
      <c r="Z48" s="635"/>
      <c r="AA48" s="1301"/>
      <c r="AB48" s="27"/>
      <c r="AC48" s="27"/>
      <c r="AD48" s="27"/>
      <c r="AE48" s="27"/>
      <c r="AF48" s="585"/>
      <c r="AG48" s="31"/>
      <c r="AH48" s="27"/>
      <c r="AI48" s="27"/>
      <c r="AJ48" s="27"/>
      <c r="AK48" s="27"/>
      <c r="AL48" s="27"/>
      <c r="AM48" s="27"/>
      <c r="AN48" s="27"/>
      <c r="AO48" s="27"/>
      <c r="AP48" s="27"/>
      <c r="AT48" s="582"/>
      <c r="AU48" s="2530">
        <v>8</v>
      </c>
      <c r="AV48" s="2845">
        <f>AZ42/BE42</f>
        <v>4.4827586206896551E-2</v>
      </c>
      <c r="AW48" s="2845"/>
      <c r="AX48" s="2846"/>
      <c r="AY48" s="1682"/>
      <c r="AZ48" s="1631"/>
      <c r="BA48" s="1315" t="str">
        <f>IF(CLA_!H48="","",CLA_!H48)</f>
        <v>1/11/16</v>
      </c>
      <c r="BB48" s="1316">
        <f>IF(CLA_!I48="","",CLA_!I48)</f>
        <v>150</v>
      </c>
      <c r="BC48" s="1316" t="str">
        <f>IF(CLA_!H51="","",CLA_!H51)</f>
        <v/>
      </c>
      <c r="BD48" s="1316" t="str">
        <f>IF(CLA_!I51="","",CLA_!I51)</f>
        <v/>
      </c>
      <c r="BE48" s="1315" t="str">
        <f>IF(CLA_!$K$49="","",CLA_!$K$49)</f>
        <v/>
      </c>
      <c r="BF48" s="1316" t="str">
        <f>IF(CLA_!$L$49="","",CLA_!$L$49)</f>
        <v/>
      </c>
      <c r="BG48" s="1316" t="str">
        <f>IF(CLA_!$M$49="","",CLA_!$M$49)</f>
        <v/>
      </c>
      <c r="BH48" s="1316" t="str">
        <f>IF(CLA_!$K$52="","",CLA_!$K$52)</f>
        <v/>
      </c>
      <c r="BI48" s="1316" t="str">
        <f>IF(CLA_!$L$52="","",CLA_!$L$52)</f>
        <v/>
      </c>
      <c r="BJ48" s="1317" t="str">
        <f>IF(CLA_!$M$52="","",CLA_!$M$52)</f>
        <v/>
      </c>
      <c r="BK48" s="730"/>
      <c r="BO48" s="588" t="s">
        <v>424</v>
      </c>
      <c r="BP48" s="590"/>
      <c r="BQ48" s="590"/>
      <c r="BR48" s="650"/>
      <c r="BU48" s="2167">
        <f>(((+AT_!$CJ$43*(AT_!$AD$42*0.6+AT_!$AE$42*0.4)*8.34+PT_!$BP$48*DW_!$AJ$43*8.34-AT_!$CJ$43*AT_!$AF$42*8.34)*1+(+AT_!$CJ$43*AT_!$FN$42*8.34-AT_!$CJ$43*AT_!$FU$42*8.34)*4.6)-2.9*(AT_!$FN$42-AT_!$FU$42-AT_!$FS$42-AT_!$FT$42)*8.34*AT_!$CJ$43)/(+AT_!$CM$43*10^6*0.075*0.21)</f>
        <v>6.6139190260101649E-2</v>
      </c>
      <c r="BV48" s="578" t="s">
        <v>1382</v>
      </c>
      <c r="BX48" s="579"/>
      <c r="CD48" s="635"/>
      <c r="CE48" s="653"/>
      <c r="CF48" s="746" t="s">
        <v>1109</v>
      </c>
      <c r="CG48" s="740"/>
      <c r="CH48" s="740"/>
      <c r="CI48" s="688"/>
      <c r="CJ48" s="759">
        <f>DF42</f>
        <v>7938</v>
      </c>
      <c r="CK48" s="689">
        <v>85</v>
      </c>
      <c r="CL48" s="689">
        <f>$DG$42</f>
        <v>507900</v>
      </c>
      <c r="CM48" s="689">
        <f>ROUND(+$CL$48/COUNTA(CF11:CF41),-1)</f>
        <v>16380</v>
      </c>
      <c r="CN48" s="689">
        <f>IF(ROUND(+CL48/$CF$42/5,0)*5&lt;5,5,ROUND(CL48/$CF$42/5,0)*5)</f>
        <v>160</v>
      </c>
      <c r="CO48" s="653"/>
      <c r="CP48" s="2106" t="s">
        <v>937</v>
      </c>
      <c r="CQ48" s="614" t="s">
        <v>1196</v>
      </c>
      <c r="CR48" s="614" t="s">
        <v>1196</v>
      </c>
      <c r="CS48" s="1314" t="s">
        <v>1197</v>
      </c>
      <c r="DC48" s="582"/>
      <c r="DD48" s="635"/>
      <c r="DE48" s="32"/>
      <c r="DF48" s="2766" t="s">
        <v>494</v>
      </c>
      <c r="DG48" s="2767"/>
      <c r="DH48" s="1741">
        <f>SUM(PT_!AY11:AY41)</f>
        <v>1485297</v>
      </c>
      <c r="DI48" s="33"/>
      <c r="DJ48" s="2766" t="s">
        <v>494</v>
      </c>
      <c r="DK48" s="2769"/>
      <c r="DL48" s="2531">
        <f>SUM(PT_!AT11:AT41)</f>
        <v>0</v>
      </c>
      <c r="DM48" s="27"/>
      <c r="DN48" s="27"/>
      <c r="DO48" s="27"/>
      <c r="DP48" s="27"/>
      <c r="DQ48" s="27"/>
      <c r="DR48" s="27"/>
      <c r="DS48" s="27"/>
      <c r="DT48" s="27"/>
      <c r="DU48" s="27"/>
      <c r="DV48" s="27"/>
      <c r="DW48" s="27"/>
      <c r="DX48" s="585"/>
      <c r="DY48" s="735"/>
      <c r="DZ48" s="749"/>
      <c r="EB48" s="610"/>
      <c r="EC48" s="611"/>
      <c r="ED48" s="611"/>
      <c r="EE48" s="611"/>
      <c r="EF48" s="611"/>
      <c r="EG48" s="613"/>
      <c r="EH48" s="611"/>
      <c r="EI48" s="760"/>
      <c r="EJ48" s="611"/>
      <c r="EK48" s="611"/>
      <c r="EL48" s="611"/>
      <c r="EM48" s="653"/>
      <c r="EP48" s="653"/>
      <c r="EQ48" s="581"/>
      <c r="ER48" s="753" t="s">
        <v>394</v>
      </c>
      <c r="ES48" s="754"/>
      <c r="ET48" s="689">
        <f>ROUND(+$ES$46*8.34*(FL42+FM42+FO42),0)</f>
        <v>28738</v>
      </c>
      <c r="EU48" s="755" t="s">
        <v>1033</v>
      </c>
      <c r="EV48" s="740"/>
      <c r="EW48" s="740"/>
      <c r="EX48" s="740"/>
      <c r="EY48" s="678">
        <f>+AT_!HQ14+AT_!HQ15</f>
        <v>2.2486499648136098</v>
      </c>
      <c r="EZ48" s="677"/>
      <c r="FA48" s="747"/>
      <c r="FB48" s="740"/>
      <c r="FC48" s="740"/>
      <c r="FD48" s="742"/>
      <c r="FE48" s="742"/>
      <c r="FF48" s="740"/>
      <c r="FG48" s="740"/>
      <c r="FH48" s="740"/>
      <c r="FI48" s="761"/>
      <c r="FJ48" s="761"/>
      <c r="FK48" s="762"/>
      <c r="FL48" s="729"/>
      <c r="FV48" s="730"/>
      <c r="FW48" s="763"/>
      <c r="FX48" s="731"/>
      <c r="FY48" s="732"/>
      <c r="FZ48" s="732"/>
      <c r="GA48" s="733"/>
      <c r="HA48" s="653"/>
      <c r="HH48" s="582"/>
      <c r="HI48" s="582"/>
      <c r="HJ48" s="582"/>
      <c r="IU48" s="27"/>
    </row>
    <row r="49" spans="1:255" ht="17.100000000000001" customHeight="1" thickBot="1">
      <c r="B49" s="653"/>
      <c r="C49" s="586" t="s">
        <v>353</v>
      </c>
      <c r="D49" s="586"/>
      <c r="E49" s="580"/>
      <c r="I49" s="719"/>
      <c r="M49" s="756" t="str">
        <f>IF(CLA_!O50="","",CLA_!O50)</f>
        <v>01/18/16</v>
      </c>
      <c r="N49" s="757">
        <f>IF(CLA_!P50="","",CLA_!P50)</f>
        <v>40.200000000000003</v>
      </c>
      <c r="O49" s="758">
        <f>IF(CLA_!Q50="","",CLA_!Q50)</f>
        <v>34.4</v>
      </c>
      <c r="P49" s="757">
        <f>IF(CLA_!R50="","",CLA_!R50)</f>
        <v>49.3</v>
      </c>
      <c r="Q49" s="758">
        <f>IF(CLA_!S50="","",CLA_!S50)</f>
        <v>35.299999999999997</v>
      </c>
      <c r="R49" s="757">
        <f>IF(CLA_!T50="","",CLA_!T50)</f>
        <v>42.6</v>
      </c>
      <c r="S49" s="758">
        <f>IF(CLA_!U50="","",CLA_!U50)</f>
        <v>32.700000000000003</v>
      </c>
      <c r="T49" s="757">
        <f>IF(CLA_!V50="","",CLA_!V50)</f>
        <v>33.700000000000003</v>
      </c>
      <c r="U49" s="758">
        <f>IF(CLA_!W50="","",CLA_!W50)</f>
        <v>45.6</v>
      </c>
      <c r="V49" s="635"/>
      <c r="Y49" s="582"/>
      <c r="Z49" s="635"/>
      <c r="AA49" s="1301"/>
      <c r="AB49" s="27"/>
      <c r="AC49" s="27"/>
      <c r="AD49" s="27"/>
      <c r="AE49" s="27"/>
      <c r="AF49" s="585"/>
      <c r="AG49" s="31"/>
      <c r="AH49" s="27"/>
      <c r="AI49" s="27"/>
      <c r="AJ49" s="27"/>
      <c r="AK49" s="27"/>
      <c r="AL49" s="27"/>
      <c r="AM49" s="27"/>
      <c r="AN49" s="27"/>
      <c r="AO49" s="27"/>
      <c r="AP49" s="27"/>
      <c r="AT49" s="582"/>
      <c r="AU49" s="635"/>
      <c r="AV49" s="1632"/>
      <c r="AW49" s="1682"/>
      <c r="AX49" s="1682"/>
      <c r="AY49" s="1683"/>
      <c r="AZ49" s="1632"/>
      <c r="BA49" s="1315" t="str">
        <f>IF(CLA_!H49="","",CLA_!H49)</f>
        <v>1/18/16</v>
      </c>
      <c r="BB49" s="1316">
        <f>IF(CLA_!I49="","",CLA_!I49)</f>
        <v>112</v>
      </c>
      <c r="BC49" s="1316" t="str">
        <f>IF(CLA_!H52="","",CLA_!H52)</f>
        <v/>
      </c>
      <c r="BD49" s="1316" t="str">
        <f>IF(CLA_!I52="","",CLA_!I52)</f>
        <v/>
      </c>
      <c r="BE49" s="1315" t="str">
        <f>IF(CLA_!$K$49="","",CLA_!$K$49)</f>
        <v/>
      </c>
      <c r="BF49" s="1316" t="str">
        <f>IF(CLA_!$L$49="","",CLA_!$L$49)</f>
        <v/>
      </c>
      <c r="BG49" s="1316" t="str">
        <f>IF(CLA_!$M$49="","",CLA_!$M$49)</f>
        <v/>
      </c>
      <c r="BH49" s="1316" t="str">
        <f>IF(CLA_!$K$53="","",CLA_!$K$53)</f>
        <v/>
      </c>
      <c r="BI49" s="1316" t="str">
        <f>IF(CLA_!$L$53="","",CLA_!$L$53)</f>
        <v/>
      </c>
      <c r="BJ49" s="1317" t="str">
        <f>IF(CLA_!$M$53="","",CLA_!$M$53)</f>
        <v/>
      </c>
      <c r="BK49" s="730"/>
      <c r="BO49" s="706" t="s">
        <v>383</v>
      </c>
      <c r="BP49" s="734">
        <f>AC42</f>
        <v>140</v>
      </c>
      <c r="BQ49" s="764" t="s">
        <v>429</v>
      </c>
      <c r="BR49" s="765"/>
      <c r="BX49" s="579"/>
      <c r="BZ49" s="579"/>
      <c r="CA49" s="579"/>
      <c r="CD49" s="635"/>
      <c r="CE49" s="653"/>
      <c r="CF49" s="746" t="s">
        <v>1110</v>
      </c>
      <c r="CG49" s="740"/>
      <c r="CH49" s="740"/>
      <c r="CI49" s="688"/>
      <c r="CJ49" s="759">
        <f>DH42</f>
        <v>0</v>
      </c>
      <c r="CK49" s="689">
        <v>60</v>
      </c>
      <c r="CL49" s="689">
        <f>ROUND(+$DI$42,-2)</f>
        <v>0</v>
      </c>
      <c r="CM49" s="689">
        <f>ROUND(+$CL$49/COUNTA(CF11:CF41),-1)</f>
        <v>0</v>
      </c>
      <c r="CN49" s="689">
        <f>IF(ROUND(+CL49/$CF$42/5,0)*5&lt;5,5,ROUND(CL49/$CF$42/5,0)*5)</f>
        <v>5</v>
      </c>
      <c r="CO49" s="653"/>
      <c r="CP49" s="2107">
        <f>+'Energy Report'!B63</f>
        <v>42370</v>
      </c>
      <c r="CQ49" s="2372" t="s">
        <v>484</v>
      </c>
      <c r="CR49" s="2372">
        <f>'Energy Report'!T63/1000</f>
        <v>65296.7</v>
      </c>
      <c r="CS49" s="2372">
        <f>'Energy Report'!V63/1000</f>
        <v>82980.899999999994</v>
      </c>
      <c r="DC49" s="582"/>
      <c r="DD49" s="635"/>
      <c r="DE49" s="32"/>
      <c r="DF49" s="2749" t="s">
        <v>495</v>
      </c>
      <c r="DG49" s="2750"/>
      <c r="DH49" s="1742">
        <f>SUM(PT_!AX11:AX41)</f>
        <v>0</v>
      </c>
      <c r="DI49" s="33"/>
      <c r="DJ49" s="2749" t="s">
        <v>495</v>
      </c>
      <c r="DK49" s="2770"/>
      <c r="DL49" s="2532"/>
      <c r="DM49" s="27"/>
      <c r="DN49" s="27"/>
      <c r="DO49" s="27"/>
      <c r="DP49" s="27"/>
      <c r="DQ49" s="27"/>
      <c r="DR49" s="27"/>
      <c r="DS49" s="27"/>
      <c r="DT49" s="27"/>
      <c r="DU49" s="27"/>
      <c r="DV49" s="27"/>
      <c r="DW49" s="27"/>
      <c r="DX49" s="585"/>
      <c r="DY49" s="735"/>
      <c r="DZ49" s="719"/>
      <c r="EB49" s="610" t="s">
        <v>1187</v>
      </c>
      <c r="EC49" s="611"/>
      <c r="ED49" s="611"/>
      <c r="EE49" s="611"/>
      <c r="EF49" s="611"/>
      <c r="EG49" s="611"/>
      <c r="EH49" s="611"/>
      <c r="EI49" s="611"/>
      <c r="EJ49" s="613"/>
      <c r="EK49" s="611"/>
      <c r="EL49" s="611"/>
      <c r="EM49" s="653"/>
      <c r="EP49" s="653"/>
      <c r="EQ49" s="581"/>
      <c r="ER49" s="766" t="s">
        <v>952</v>
      </c>
      <c r="ES49" s="767"/>
      <c r="ET49" s="768">
        <f ca="1">+DMR!F32</f>
        <v>15000</v>
      </c>
      <c r="EU49" s="769" t="s">
        <v>543</v>
      </c>
      <c r="EV49" s="770"/>
      <c r="EW49" s="770"/>
      <c r="EX49" s="770"/>
      <c r="EY49" s="771">
        <f ca="1">$DM$43*1000*7.48/1000000</f>
        <v>0.43548077419354836</v>
      </c>
      <c r="EZ49" s="772"/>
      <c r="FA49" s="773"/>
      <c r="FB49" s="770"/>
      <c r="FC49" s="770"/>
      <c r="FD49" s="774"/>
      <c r="FE49" s="774"/>
      <c r="FF49" s="770"/>
      <c r="FG49" s="770"/>
      <c r="FH49" s="770"/>
      <c r="FI49" s="775"/>
      <c r="FJ49" s="775"/>
      <c r="FK49" s="776"/>
      <c r="FL49" s="729"/>
      <c r="FV49" s="730"/>
      <c r="FW49" s="763"/>
      <c r="FX49" s="731"/>
      <c r="FY49" s="732"/>
      <c r="FZ49" s="732"/>
      <c r="GA49" s="733"/>
      <c r="GK49" s="581"/>
      <c r="GL49" s="581"/>
      <c r="GM49" s="581"/>
      <c r="GN49" s="581"/>
      <c r="GO49" s="581"/>
      <c r="GP49" s="581"/>
      <c r="GT49" s="580"/>
      <c r="HA49" s="653"/>
      <c r="IU49" s="27"/>
    </row>
    <row r="50" spans="1:255" ht="17.100000000000001" customHeight="1" thickBot="1">
      <c r="B50" s="653"/>
      <c r="C50" s="586" t="s">
        <v>354</v>
      </c>
      <c r="D50" s="586"/>
      <c r="E50" s="580"/>
      <c r="I50" s="719"/>
      <c r="M50" s="756" t="str">
        <f>IF(CLA_!O51="","",CLA_!O51)</f>
        <v>01/25/16</v>
      </c>
      <c r="N50" s="757">
        <f>IF(CLA_!P51="","",CLA_!P51)</f>
        <v>55.7</v>
      </c>
      <c r="O50" s="758">
        <f>IF(CLA_!Q51="","",CLA_!Q51)</f>
        <v>15.9</v>
      </c>
      <c r="P50" s="757">
        <f>IF(CLA_!R51="","",CLA_!R51)</f>
        <v>45</v>
      </c>
      <c r="Q50" s="758">
        <f>IF(CLA_!S51="","",CLA_!S51)</f>
        <v>32.9</v>
      </c>
      <c r="R50" s="757">
        <f>IF(CLA_!T51="","",CLA_!T51)</f>
        <v>47.3</v>
      </c>
      <c r="S50" s="758">
        <f>IF(CLA_!U51="","",CLA_!U51)</f>
        <v>25.9</v>
      </c>
      <c r="T50" s="757">
        <f>IF(CLA_!V51="","",CLA_!V51)</f>
        <v>46.4</v>
      </c>
      <c r="U50" s="758">
        <f>IF(CLA_!W51="","",CLA_!W51)</f>
        <v>31.1</v>
      </c>
      <c r="V50" s="635"/>
      <c r="Y50" s="582"/>
      <c r="Z50" s="635"/>
      <c r="AA50" s="1301"/>
      <c r="AB50" s="27"/>
      <c r="AC50" s="27"/>
      <c r="AD50" s="27"/>
      <c r="AE50" s="27"/>
      <c r="AF50" s="585"/>
      <c r="AG50" s="31"/>
      <c r="AH50" s="27"/>
      <c r="AI50" s="27"/>
      <c r="AJ50" s="27"/>
      <c r="AK50" s="27"/>
      <c r="AL50" s="27"/>
      <c r="AM50" s="27"/>
      <c r="AN50" s="27"/>
      <c r="AO50" s="27"/>
      <c r="AP50" s="27"/>
      <c r="AQ50" s="579"/>
      <c r="AR50" s="579"/>
      <c r="AS50" s="579"/>
      <c r="AT50" s="582"/>
      <c r="AU50" s="635"/>
      <c r="AV50" s="1632"/>
      <c r="AW50" s="1682"/>
      <c r="AX50" s="1682"/>
      <c r="AY50" s="1682"/>
      <c r="AZ50" s="1632"/>
      <c r="BA50" s="1315" t="str">
        <f>IF(CLA_!H50="","",CLA_!H50)</f>
        <v>1/25/16</v>
      </c>
      <c r="BB50" s="1316">
        <f>IF(CLA_!I50="","",CLA_!I50)</f>
        <v>140</v>
      </c>
      <c r="BC50" s="1316" t="str">
        <f>IF(CLA_!H53="","",CLA_!H53)</f>
        <v/>
      </c>
      <c r="BD50" s="1316" t="str">
        <f>IF(CLA_!I53="","",CLA_!I53)</f>
        <v/>
      </c>
      <c r="BE50" s="1315" t="str">
        <f>IF(CLA_!$K$49="","",CLA_!$K$49)</f>
        <v/>
      </c>
      <c r="BF50" s="1316" t="str">
        <f>IF(CLA_!$L$49="","",CLA_!$L$49)</f>
        <v/>
      </c>
      <c r="BG50" s="1316" t="str">
        <f>IF(CLA_!$M$49="","",CLA_!$M$49)</f>
        <v/>
      </c>
      <c r="BH50" s="1316" t="str">
        <f>IF(CLA_!$K$54="","",CLA_!$K$54)</f>
        <v/>
      </c>
      <c r="BI50" s="1316" t="str">
        <f>IF(CLA_!$L$54="","",CLA_!$L$54)</f>
        <v/>
      </c>
      <c r="BJ50" s="1317" t="str">
        <f>IF(CLA_!$M$54="","",CLA_!$M$54)</f>
        <v/>
      </c>
      <c r="BK50" s="730"/>
      <c r="BO50" s="746" t="s">
        <v>394</v>
      </c>
      <c r="BP50" s="677">
        <f>(0.5*AD42)+(0.5*AE42)</f>
        <v>86.5</v>
      </c>
      <c r="BQ50" s="686">
        <f>1-(BP50/$BP$49)</f>
        <v>0.38214285714285712</v>
      </c>
      <c r="BR50" s="748"/>
      <c r="BX50" s="579"/>
      <c r="BZ50" s="579"/>
      <c r="CA50" s="579"/>
      <c r="CD50" s="635"/>
      <c r="CE50" s="653"/>
      <c r="CF50" s="777" t="s">
        <v>444</v>
      </c>
      <c r="CG50" s="740"/>
      <c r="CH50" s="740"/>
      <c r="CI50" s="688"/>
      <c r="CJ50" s="1283">
        <f ca="1">$DJ$42*1000</f>
        <v>1804800</v>
      </c>
      <c r="CK50" s="689">
        <f ca="1">(DK42)/(DJ42*63)*100</f>
        <v>3.2768877349994381</v>
      </c>
      <c r="CL50" s="1284">
        <f ca="1">$DK$42*1000</f>
        <v>3725900.0000000009</v>
      </c>
      <c r="CM50" s="689">
        <f ca="1">DK42*1000/COUNTA(CF11:CF41)</f>
        <v>120190.3225806452</v>
      </c>
      <c r="CN50" s="689">
        <f ca="1">ROUND(+DK42*1000/$CF$42,0)</f>
        <v>1163</v>
      </c>
      <c r="CO50" s="653"/>
      <c r="CP50" s="2374">
        <f>+'Energy Report'!B64</f>
        <v>42401</v>
      </c>
      <c r="CQ50" s="2375" t="s">
        <v>484</v>
      </c>
      <c r="CR50" s="2375">
        <f>'Energy Report'!T64/1000</f>
        <v>66997.5</v>
      </c>
      <c r="CS50" s="2376">
        <f>'Energy Report'!V64/1000</f>
        <v>83328.600000000006</v>
      </c>
      <c r="DC50" s="582"/>
      <c r="DD50" s="635"/>
      <c r="DE50" s="32"/>
      <c r="DF50" s="34"/>
      <c r="DG50" s="34"/>
      <c r="DH50" s="34"/>
      <c r="DI50" s="32"/>
      <c r="DJ50" s="27"/>
      <c r="DK50" s="27"/>
      <c r="DL50" s="27"/>
      <c r="DM50" s="27"/>
      <c r="DN50" s="27"/>
      <c r="DO50" s="27"/>
      <c r="DP50" s="27"/>
      <c r="DQ50" s="27"/>
      <c r="DR50" s="27"/>
      <c r="DS50" s="27"/>
      <c r="DT50" s="27"/>
      <c r="DU50" s="27"/>
      <c r="DV50" s="27"/>
      <c r="DW50" s="27"/>
      <c r="DX50" s="585"/>
      <c r="DY50" s="735"/>
      <c r="DZ50" s="749"/>
      <c r="EB50" s="610" t="s">
        <v>1296</v>
      </c>
      <c r="EC50" s="611"/>
      <c r="ED50" s="611"/>
      <c r="EE50" s="611"/>
      <c r="EF50" s="611"/>
      <c r="EG50" s="611"/>
      <c r="EH50" s="611"/>
      <c r="EI50" s="611"/>
      <c r="EJ50" s="611"/>
      <c r="EK50" s="611"/>
      <c r="EL50" s="611"/>
      <c r="EM50" s="653"/>
      <c r="EP50" s="653"/>
      <c r="EQ50" s="581"/>
      <c r="ER50" s="737"/>
      <c r="ES50" s="737"/>
      <c r="ET50" s="730"/>
      <c r="EU50" s="730"/>
      <c r="EV50" s="730"/>
      <c r="EW50" s="730"/>
      <c r="EX50" s="730"/>
      <c r="EY50" s="730"/>
      <c r="EZ50" s="730"/>
      <c r="FA50" s="730"/>
      <c r="FB50" s="730"/>
      <c r="FC50" s="730"/>
      <c r="FD50" s="731"/>
      <c r="FE50" s="731"/>
      <c r="FF50" s="730"/>
      <c r="FG50" s="730"/>
      <c r="FH50" s="730"/>
      <c r="FI50" s="730"/>
      <c r="FJ50" s="730"/>
      <c r="FK50" s="730"/>
      <c r="FX50" s="732"/>
      <c r="FY50" s="732"/>
      <c r="FZ50" s="732"/>
      <c r="GA50" s="733"/>
      <c r="HA50" s="653"/>
      <c r="IU50" s="27"/>
    </row>
    <row r="51" spans="1:255" ht="17.100000000000001" customHeight="1" thickBot="1">
      <c r="B51" s="653"/>
      <c r="C51" s="586" t="s">
        <v>355</v>
      </c>
      <c r="D51" s="586"/>
      <c r="E51" s="580"/>
      <c r="I51" s="719"/>
      <c r="M51" s="756" t="str">
        <f>IF(CLA_!O52="","",CLA_!O52)</f>
        <v/>
      </c>
      <c r="N51" s="757" t="str">
        <f>IF(CLA_!P52="","",CLA_!P52)</f>
        <v/>
      </c>
      <c r="O51" s="758" t="str">
        <f>IF(CLA_!Q52="","",CLA_!Q52)</f>
        <v/>
      </c>
      <c r="P51" s="757" t="str">
        <f>IF(CLA_!R52="","",CLA_!R52)</f>
        <v/>
      </c>
      <c r="Q51" s="758" t="str">
        <f>IF(CLA_!S52="","",CLA_!S52)</f>
        <v/>
      </c>
      <c r="R51" s="757" t="str">
        <f>IF(CLA_!T52="","",CLA_!T52)</f>
        <v/>
      </c>
      <c r="S51" s="758" t="str">
        <f>IF(CLA_!U52="","",CLA_!U52)</f>
        <v/>
      </c>
      <c r="T51" s="757" t="str">
        <f>IF(CLA_!V52="","",CLA_!V52)</f>
        <v/>
      </c>
      <c r="U51" s="758" t="str">
        <f>IF(CLA_!W52="","",CLA_!W52)</f>
        <v/>
      </c>
      <c r="V51" s="635"/>
      <c r="Y51" s="582"/>
      <c r="Z51" s="635"/>
      <c r="AA51" s="1301"/>
      <c r="AB51" s="27"/>
      <c r="AC51" s="27"/>
      <c r="AD51" s="27"/>
      <c r="AE51" s="27"/>
      <c r="AF51" s="585"/>
      <c r="AG51" s="720"/>
      <c r="AH51" s="585"/>
      <c r="AI51" s="585"/>
      <c r="AJ51" s="585"/>
      <c r="AK51" s="585"/>
      <c r="AL51" s="585"/>
      <c r="AM51" s="585"/>
      <c r="AN51" s="585"/>
      <c r="AO51" s="585"/>
      <c r="AP51" s="585"/>
      <c r="AQ51" s="579"/>
      <c r="AR51" s="579"/>
      <c r="AS51" s="579"/>
      <c r="AT51" s="582"/>
      <c r="AU51" s="635"/>
      <c r="AV51" s="1632"/>
      <c r="AW51" s="1682"/>
      <c r="AX51" s="1682"/>
      <c r="AY51" s="1682"/>
      <c r="AZ51" s="1632"/>
      <c r="BA51" s="1318" t="str">
        <f>IF(CLA_!H51="","",CLA_!H51)</f>
        <v/>
      </c>
      <c r="BB51" s="1319" t="str">
        <f>IF(CLA_!I51="","",CLA_!I51)</f>
        <v/>
      </c>
      <c r="BC51" s="1319" t="str">
        <f>IF(CLA_!H54="","",CLA_!H54)</f>
        <v/>
      </c>
      <c r="BD51" s="1319" t="str">
        <f>IF(CLA_!I54="","",CLA_!I54)</f>
        <v/>
      </c>
      <c r="BE51" s="1318" t="str">
        <f>IF(CLA_!$K$50="","",CLA_!$K$50)</f>
        <v/>
      </c>
      <c r="BF51" s="1319" t="str">
        <f>IF(CLA_!$L$50="","",CLA_!$L$50)</f>
        <v/>
      </c>
      <c r="BG51" s="1319" t="str">
        <f>IF(CLA_!$M$50="","",CLA_!$M$50)</f>
        <v/>
      </c>
      <c r="BH51" s="1319" t="str">
        <f>IF(CLA_!$K$55="","",CLA_!$K$55)</f>
        <v/>
      </c>
      <c r="BI51" s="1319" t="str">
        <f>IF(CLA_!$L$55="","",CLA_!$L$55)</f>
        <v/>
      </c>
      <c r="BJ51" s="1320" t="str">
        <f>IF(CLA_!$M$55="","",CLA_!$M$55)</f>
        <v/>
      </c>
      <c r="BK51" s="730"/>
      <c r="BL51" s="730"/>
      <c r="BO51" s="746" t="s">
        <v>423</v>
      </c>
      <c r="BP51" s="747">
        <f>AF42</f>
        <v>7</v>
      </c>
      <c r="BQ51" s="686">
        <f ca="1">+DMR!C22</f>
        <v>0.95</v>
      </c>
      <c r="BR51" s="748"/>
      <c r="CD51" s="635"/>
      <c r="CE51" s="653"/>
      <c r="CF51" s="746" t="s">
        <v>445</v>
      </c>
      <c r="CG51" s="740"/>
      <c r="CH51" s="740"/>
      <c r="CI51" s="688"/>
      <c r="CJ51" s="759"/>
      <c r="CK51" s="759"/>
      <c r="CL51" s="680"/>
      <c r="CM51" s="680"/>
      <c r="CN51" s="680"/>
      <c r="CO51" s="653"/>
      <c r="CP51" s="2108" t="s">
        <v>467</v>
      </c>
      <c r="CQ51" s="2109">
        <v>0</v>
      </c>
      <c r="CR51" s="2109">
        <f>+CR50-CR49</f>
        <v>1700.8000000000029</v>
      </c>
      <c r="CS51" s="2110">
        <f>+CS50-CS49</f>
        <v>347.70000000001164</v>
      </c>
      <c r="DC51" s="582"/>
      <c r="DD51" s="635"/>
      <c r="DE51" s="778" t="s">
        <v>489</v>
      </c>
      <c r="DF51" s="779"/>
      <c r="DG51" s="779"/>
      <c r="DH51" s="779"/>
      <c r="DI51" s="35"/>
      <c r="DJ51" s="27"/>
      <c r="DK51" s="27"/>
      <c r="DL51" s="27"/>
      <c r="DM51" s="27"/>
      <c r="DN51" s="27"/>
      <c r="DO51" s="27"/>
      <c r="DP51" s="27"/>
      <c r="DQ51" s="27"/>
      <c r="DR51" s="27"/>
      <c r="DS51" s="27"/>
      <c r="DT51" s="27"/>
      <c r="DU51" s="27"/>
      <c r="DV51" s="27"/>
      <c r="DW51" s="27"/>
      <c r="DX51" s="585"/>
      <c r="DY51" s="735"/>
      <c r="DZ51" s="719"/>
      <c r="EB51" s="780"/>
      <c r="EC51" s="781"/>
      <c r="ED51" s="781"/>
      <c r="EE51" s="781"/>
      <c r="EF51" s="781"/>
      <c r="EG51" s="781"/>
      <c r="EH51" s="781"/>
      <c r="EI51" s="781"/>
      <c r="EJ51" s="781"/>
      <c r="EK51" s="781"/>
      <c r="EL51" s="781"/>
      <c r="EM51" s="782"/>
      <c r="EN51" s="579"/>
      <c r="EO51" s="579"/>
      <c r="EP51" s="635"/>
      <c r="EQ51" s="582"/>
      <c r="FE51" s="578" t="str">
        <f>BT53</f>
        <v>Chemist in Charge:  Nurum Islam</v>
      </c>
      <c r="FG51" s="582"/>
      <c r="GA51" s="653"/>
      <c r="HA51" s="653"/>
      <c r="IU51" s="27"/>
    </row>
    <row r="52" spans="1:255" ht="17.100000000000001" customHeight="1" thickTop="1" thickBot="1">
      <c r="B52" s="653"/>
      <c r="C52" s="586" t="s">
        <v>1191</v>
      </c>
      <c r="D52" s="586"/>
      <c r="M52" s="783" t="s">
        <v>942</v>
      </c>
      <c r="N52" s="784">
        <f>AVERAGE(N47:N51)</f>
        <v>49.5</v>
      </c>
      <c r="O52" s="785">
        <f t="shared" ref="O52:U52" si="61">AVERAGE(O47:O51)</f>
        <v>25.675000000000001</v>
      </c>
      <c r="P52" s="784">
        <f t="shared" si="61"/>
        <v>50.7</v>
      </c>
      <c r="Q52" s="785">
        <f t="shared" si="61"/>
        <v>30.200000000000003</v>
      </c>
      <c r="R52" s="784">
        <f t="shared" si="61"/>
        <v>47.775000000000006</v>
      </c>
      <c r="S52" s="785">
        <f t="shared" si="61"/>
        <v>27.725000000000001</v>
      </c>
      <c r="T52" s="784">
        <f t="shared" si="61"/>
        <v>42.924999999999997</v>
      </c>
      <c r="U52" s="785">
        <f t="shared" si="61"/>
        <v>38.824999999999996</v>
      </c>
      <c r="V52" s="635"/>
      <c r="Y52" s="582"/>
      <c r="Z52" s="635"/>
      <c r="AA52" s="1301"/>
      <c r="AB52" s="27"/>
      <c r="AC52" s="27"/>
      <c r="AD52" s="27"/>
      <c r="AE52" s="27"/>
      <c r="AF52" s="585"/>
      <c r="AG52" s="720"/>
      <c r="AH52" s="585"/>
      <c r="AI52" s="585"/>
      <c r="AJ52" s="585"/>
      <c r="AK52" s="585"/>
      <c r="AL52" s="585"/>
      <c r="AM52" s="585"/>
      <c r="AN52" s="585"/>
      <c r="AO52" s="585"/>
      <c r="AP52" s="585"/>
      <c r="AQ52" s="579"/>
      <c r="AR52" s="579"/>
      <c r="AS52" s="579"/>
      <c r="AT52" s="582"/>
      <c r="AU52" s="635"/>
      <c r="AV52" s="730"/>
      <c r="AW52" s="1307" t="s">
        <v>406</v>
      </c>
      <c r="AX52" s="1307"/>
      <c r="AY52" s="730"/>
      <c r="AZ52" s="730"/>
      <c r="BA52" s="730"/>
      <c r="BB52" s="730"/>
      <c r="BC52" s="730"/>
      <c r="BD52" s="730"/>
      <c r="BE52" s="730"/>
      <c r="BF52" s="730"/>
      <c r="BG52" s="730"/>
      <c r="BH52" s="730"/>
      <c r="BI52" s="730"/>
      <c r="BJ52" s="730"/>
      <c r="BK52" s="1306"/>
      <c r="BL52" s="1307"/>
      <c r="BM52" s="579"/>
      <c r="BN52" s="579"/>
      <c r="BO52" s="786"/>
      <c r="BP52" s="786"/>
      <c r="BQ52" s="708"/>
      <c r="CD52" s="635"/>
      <c r="CE52" s="653"/>
      <c r="CF52" s="746" t="s">
        <v>446</v>
      </c>
      <c r="CG52" s="740"/>
      <c r="CH52" s="740"/>
      <c r="CI52" s="688"/>
      <c r="CJ52" s="759"/>
      <c r="CK52" s="759"/>
      <c r="CL52" s="1285">
        <f ca="1">(SUM(CL47:CL50)-CL51)</f>
        <v>4359400.0000000009</v>
      </c>
      <c r="CM52" s="689">
        <f ca="1">SUM(CM47:CM50)-CM51</f>
        <v>140620.32258064521</v>
      </c>
      <c r="CN52" s="689">
        <f ca="1">SUM(CN47:CN50)-CN51</f>
        <v>1368</v>
      </c>
      <c r="CO52" s="653"/>
      <c r="CP52" s="2111" t="s">
        <v>758</v>
      </c>
      <c r="CQ52" s="2747">
        <f>SUM(CQ51:CS51)</f>
        <v>2048.5000000000146</v>
      </c>
      <c r="CR52" s="2747"/>
      <c r="CS52" s="2748"/>
      <c r="CU52" s="719"/>
      <c r="DC52" s="582"/>
      <c r="DD52" s="635"/>
      <c r="DE52" s="778" t="s">
        <v>490</v>
      </c>
      <c r="DF52" s="779"/>
      <c r="DG52" s="778" t="s">
        <v>497</v>
      </c>
      <c r="DH52" s="779"/>
      <c r="DI52" s="35"/>
      <c r="DJ52" s="27"/>
      <c r="DK52" s="27"/>
      <c r="DL52" s="27"/>
      <c r="DM52" s="27"/>
      <c r="DN52" s="27"/>
      <c r="DO52" s="27"/>
      <c r="DP52" s="27"/>
      <c r="DQ52" s="27"/>
      <c r="DR52" s="27"/>
      <c r="DS52" s="27"/>
      <c r="DT52" s="27"/>
      <c r="DU52" s="27"/>
      <c r="DV52" s="27"/>
      <c r="DW52" s="27"/>
      <c r="DX52" s="585"/>
      <c r="DY52" s="735"/>
      <c r="DZ52" s="749"/>
      <c r="EB52" s="2754" t="str">
        <f>+'Energy Report'!B54</f>
        <v>Digester gas produced is a calculated value.  One flare was in service since 1/30/2013 burning gas produced from Digester 6 &amp; 7 (total of 4 primary digesters are in service during the month).  Thre rest of digester gas produced was vented out.  Started venting digester gas 100% on 11/14/13.</v>
      </c>
      <c r="EC52" s="2755"/>
      <c r="ED52" s="2755"/>
      <c r="EE52" s="2755"/>
      <c r="EF52" s="2755"/>
      <c r="EG52" s="2755"/>
      <c r="EH52" s="2755"/>
      <c r="EI52" s="2755"/>
      <c r="EJ52" s="2755"/>
      <c r="EK52" s="2755"/>
      <c r="EL52" s="2756"/>
      <c r="EM52" s="653"/>
      <c r="EP52" s="635"/>
      <c r="EQ52" s="582"/>
      <c r="FE52" s="586" t="s">
        <v>551</v>
      </c>
      <c r="FF52" s="787">
        <f ca="1">NOW()</f>
        <v>42454.589864814814</v>
      </c>
      <c r="FG52" s="617"/>
      <c r="GA52" s="653"/>
      <c r="HA52" s="653"/>
      <c r="IU52" s="27"/>
    </row>
    <row r="53" spans="1:255" ht="17.100000000000001" customHeight="1" thickBot="1">
      <c r="B53" s="653"/>
      <c r="M53" s="708"/>
      <c r="N53" s="708"/>
      <c r="O53" s="708"/>
      <c r="P53" s="708"/>
      <c r="Q53" s="708"/>
      <c r="R53" s="708"/>
      <c r="S53" s="708"/>
      <c r="T53" s="708"/>
      <c r="U53" s="708"/>
      <c r="X53" s="582"/>
      <c r="Y53" s="582"/>
      <c r="Z53" s="635"/>
      <c r="AA53" s="1301"/>
      <c r="AB53" s="27"/>
      <c r="AC53" s="27"/>
      <c r="AD53" s="27"/>
      <c r="AE53" s="27"/>
      <c r="AF53" s="585"/>
      <c r="AT53" s="582"/>
      <c r="AU53" s="635"/>
      <c r="AW53" s="788" t="s">
        <v>407</v>
      </c>
      <c r="AX53" s="788"/>
      <c r="BT53" s="586" t="s">
        <v>35</v>
      </c>
      <c r="BU53" s="582"/>
      <c r="CD53" s="635"/>
      <c r="CE53" s="653"/>
      <c r="CF53" s="708"/>
      <c r="CG53" s="708"/>
      <c r="CH53" s="708"/>
      <c r="CI53" s="721"/>
      <c r="CJ53" s="721"/>
      <c r="CK53" s="721"/>
      <c r="CL53" s="721"/>
      <c r="CM53" s="721"/>
      <c r="CN53" s="721"/>
      <c r="CP53" s="708"/>
      <c r="CQ53" s="708"/>
      <c r="CR53" s="708"/>
      <c r="CS53" s="749"/>
      <c r="CT53" s="749"/>
      <c r="CU53" s="749"/>
      <c r="DC53" s="582"/>
      <c r="DD53" s="635"/>
      <c r="DE53" s="789" t="s">
        <v>491</v>
      </c>
      <c r="DF53" s="790">
        <v>107700</v>
      </c>
      <c r="DG53" s="791" t="s">
        <v>498</v>
      </c>
      <c r="DH53" s="792">
        <f ca="1">DJ42*1000</f>
        <v>1804800</v>
      </c>
      <c r="DI53" s="35"/>
      <c r="DJ53" s="27"/>
      <c r="DK53" s="27"/>
      <c r="DL53" s="27"/>
      <c r="DM53" s="27"/>
      <c r="DN53" s="27"/>
      <c r="DO53" s="27"/>
      <c r="DP53" s="27"/>
      <c r="DQ53" s="27"/>
      <c r="DR53" s="27"/>
      <c r="DS53" s="27"/>
      <c r="DT53" s="27"/>
      <c r="DU53" s="27"/>
      <c r="DV53" s="27"/>
      <c r="DW53" s="27"/>
      <c r="DX53" s="585"/>
      <c r="DY53" s="735"/>
      <c r="DZ53" s="719"/>
      <c r="EB53" s="2757"/>
      <c r="EC53" s="2758"/>
      <c r="ED53" s="2758"/>
      <c r="EE53" s="2758"/>
      <c r="EF53" s="2758"/>
      <c r="EG53" s="2758"/>
      <c r="EH53" s="2758"/>
      <c r="EI53" s="2758"/>
      <c r="EJ53" s="2758"/>
      <c r="EK53" s="2758"/>
      <c r="EL53" s="2759"/>
      <c r="EM53" s="782"/>
      <c r="EN53" s="579"/>
      <c r="EO53" s="579"/>
      <c r="EP53" s="635"/>
      <c r="EQ53" s="582"/>
      <c r="FF53" s="582"/>
      <c r="GA53" s="653"/>
      <c r="HA53" s="653"/>
      <c r="IU53" s="27"/>
    </row>
    <row r="54" spans="1:255" ht="17.100000000000001" customHeight="1" thickBot="1">
      <c r="B54" s="653"/>
      <c r="C54" s="607" t="s">
        <v>356</v>
      </c>
      <c r="D54" s="607"/>
      <c r="F54" s="793">
        <f ca="1">NOW()</f>
        <v>42454.589864814814</v>
      </c>
      <c r="G54" s="793"/>
      <c r="H54" s="793"/>
      <c r="I54" s="794">
        <f ca="1">NOW()</f>
        <v>42454.589864814814</v>
      </c>
      <c r="V54" s="578" t="s">
        <v>381</v>
      </c>
      <c r="X54" s="582"/>
      <c r="Y54" s="582"/>
      <c r="Z54" s="1302"/>
      <c r="AA54" s="1303"/>
      <c r="AB54" s="27"/>
      <c r="AC54" s="27"/>
      <c r="AD54" s="27"/>
      <c r="AE54" s="27"/>
      <c r="AF54" s="585"/>
      <c r="AK54" s="579"/>
      <c r="AL54" s="579"/>
      <c r="AM54" s="579"/>
      <c r="AN54" s="579"/>
      <c r="AO54" s="579" t="s">
        <v>401</v>
      </c>
      <c r="AP54" s="579"/>
      <c r="AQ54" s="579"/>
      <c r="AR54" s="579"/>
      <c r="AS54" s="579"/>
      <c r="AT54" s="582"/>
      <c r="AU54" s="635"/>
      <c r="AW54" s="586" t="s">
        <v>408</v>
      </c>
      <c r="AX54" s="586"/>
      <c r="BY54" s="578" t="s">
        <v>433</v>
      </c>
      <c r="CD54" s="1304"/>
      <c r="CE54" s="1288"/>
      <c r="CG54" s="706" t="s">
        <v>447</v>
      </c>
      <c r="CH54" s="708"/>
      <c r="CI54" s="708"/>
      <c r="CJ54" s="721"/>
      <c r="CK54" s="795" t="s">
        <v>1051</v>
      </c>
      <c r="CL54" s="604"/>
      <c r="CM54" s="1286"/>
      <c r="CN54" s="798"/>
      <c r="CR54" s="617"/>
      <c r="CS54" s="617"/>
      <c r="CT54" s="617"/>
      <c r="CU54" s="617"/>
      <c r="CW54" s="617"/>
      <c r="CX54" s="617"/>
      <c r="CY54" s="617"/>
      <c r="CZ54" s="617"/>
      <c r="DC54" s="582"/>
      <c r="DD54" s="635"/>
      <c r="DE54" s="789" t="s">
        <v>492</v>
      </c>
      <c r="DF54" s="790">
        <f>15450*2+3.14*40.5*40.5*(21.2+1.57)+45673+102811.82</f>
        <v>296659.08645</v>
      </c>
      <c r="DG54" s="791" t="s">
        <v>499</v>
      </c>
      <c r="DH54" s="792">
        <f>+DH48-DH49</f>
        <v>1485297</v>
      </c>
      <c r="DI54" s="35"/>
      <c r="DJ54" s="27"/>
      <c r="DK54" s="27"/>
      <c r="DL54" s="27"/>
      <c r="DM54" s="27"/>
      <c r="DN54" s="27"/>
      <c r="DO54" s="27"/>
      <c r="DP54" s="27"/>
      <c r="DQ54" s="27"/>
      <c r="DR54" s="27"/>
      <c r="DS54" s="27"/>
      <c r="DT54" s="27"/>
      <c r="DU54" s="27"/>
      <c r="DV54" s="27"/>
      <c r="DW54" s="27"/>
      <c r="DX54" s="585"/>
      <c r="DY54" s="735"/>
      <c r="DZ54" s="749"/>
      <c r="EB54" s="2760"/>
      <c r="EC54" s="2761"/>
      <c r="ED54" s="2761"/>
      <c r="EE54" s="2761"/>
      <c r="EF54" s="2761"/>
      <c r="EG54" s="2761"/>
      <c r="EH54" s="2761"/>
      <c r="EI54" s="2761"/>
      <c r="EJ54" s="2761"/>
      <c r="EK54" s="2761"/>
      <c r="EL54" s="2762"/>
      <c r="EM54" s="653"/>
      <c r="EP54" s="635"/>
      <c r="EQ54" s="582"/>
      <c r="GA54" s="653"/>
      <c r="HA54" s="653"/>
      <c r="IU54" s="27"/>
    </row>
    <row r="55" spans="1:255" ht="17.100000000000001" customHeight="1" thickBot="1">
      <c r="B55" s="708"/>
      <c r="C55" s="708"/>
      <c r="D55" s="708"/>
      <c r="E55" s="708"/>
      <c r="F55" s="708"/>
      <c r="G55" s="708"/>
      <c r="H55" s="708"/>
      <c r="I55" s="708"/>
      <c r="J55" s="708"/>
      <c r="K55" s="708"/>
      <c r="L55" s="708"/>
      <c r="M55" s="708"/>
      <c r="N55" s="708"/>
      <c r="O55" s="708"/>
      <c r="P55" s="708"/>
      <c r="Q55" s="708"/>
      <c r="R55" s="708"/>
      <c r="S55" s="708"/>
      <c r="T55" s="708"/>
      <c r="U55" s="708"/>
      <c r="V55" s="708"/>
      <c r="W55" s="708"/>
      <c r="X55" s="708"/>
      <c r="Y55" s="708"/>
      <c r="Z55" s="708"/>
      <c r="AA55" s="708"/>
      <c r="AB55" s="708"/>
      <c r="AC55" s="708"/>
      <c r="AD55" s="708"/>
      <c r="AE55" s="708"/>
      <c r="AF55" s="708"/>
      <c r="AG55" s="713"/>
      <c r="AH55" s="708"/>
      <c r="AI55" s="708"/>
      <c r="AJ55" s="708"/>
      <c r="AK55" s="708"/>
      <c r="AL55" s="708"/>
      <c r="AM55" s="708"/>
      <c r="AN55" s="708"/>
      <c r="AO55" s="708"/>
      <c r="AP55" s="708"/>
      <c r="AQ55" s="708"/>
      <c r="AR55" s="708"/>
      <c r="AS55" s="708"/>
      <c r="AT55" s="708"/>
      <c r="AU55" s="708"/>
      <c r="AV55" s="708"/>
      <c r="AW55" s="708"/>
      <c r="AX55" s="708"/>
      <c r="AY55" s="708"/>
      <c r="AZ55" s="708"/>
      <c r="BA55" s="708"/>
      <c r="BB55" s="708"/>
      <c r="BC55" s="708"/>
      <c r="BD55" s="708"/>
      <c r="BE55" s="708"/>
      <c r="BF55" s="708"/>
      <c r="BG55" s="708"/>
      <c r="BH55" s="708"/>
      <c r="BI55" s="708"/>
      <c r="BJ55" s="708"/>
      <c r="BK55" s="708"/>
      <c r="BL55" s="708"/>
      <c r="BM55" s="708"/>
      <c r="BN55" s="708"/>
      <c r="BO55" s="708"/>
      <c r="BP55" s="708"/>
      <c r="BQ55" s="708"/>
      <c r="BR55" s="708"/>
      <c r="BS55" s="708"/>
      <c r="BT55" s="708"/>
      <c r="BU55" s="708"/>
      <c r="BV55" s="708"/>
      <c r="BW55" s="708"/>
      <c r="BX55" s="708"/>
      <c r="BY55" s="708"/>
      <c r="BZ55" s="708"/>
      <c r="CA55" s="708"/>
      <c r="CB55" s="708"/>
      <c r="CC55" s="708"/>
      <c r="CD55" s="1305"/>
      <c r="CE55" s="1289"/>
      <c r="CG55" s="706" t="s">
        <v>448</v>
      </c>
      <c r="CH55" s="708"/>
      <c r="CI55" s="708"/>
      <c r="CJ55" s="721"/>
      <c r="CK55" s="2820">
        <f ca="1">DJ42*1000</f>
        <v>1804800</v>
      </c>
      <c r="CL55" s="2821"/>
      <c r="CM55" s="1287"/>
      <c r="CN55" s="797"/>
      <c r="CO55" s="798"/>
      <c r="CS55" s="617"/>
      <c r="CT55" s="617"/>
      <c r="CU55" s="617"/>
      <c r="CV55" s="617"/>
      <c r="CX55" s="617"/>
      <c r="CY55" s="617"/>
      <c r="CZ55" s="617"/>
      <c r="DA55" s="617"/>
      <c r="DD55" s="653"/>
      <c r="DE55" s="799"/>
      <c r="DF55" s="800"/>
      <c r="DG55" s="779" t="s">
        <v>500</v>
      </c>
      <c r="DH55" s="792">
        <f>DW_!R42</f>
        <v>172297</v>
      </c>
      <c r="DI55" s="35"/>
      <c r="DJ55" s="27"/>
      <c r="DK55" s="27"/>
      <c r="DL55" s="27"/>
      <c r="DM55" s="27"/>
      <c r="DN55" s="27"/>
      <c r="DO55" s="27"/>
      <c r="DP55" s="27"/>
      <c r="DQ55" s="27"/>
      <c r="DR55" s="27"/>
      <c r="DS55" s="27"/>
      <c r="DT55" s="27"/>
      <c r="DU55" s="27"/>
      <c r="DV55" s="27"/>
      <c r="DW55" s="27"/>
      <c r="DX55" s="585"/>
      <c r="DY55" s="735"/>
      <c r="DZ55" s="719"/>
      <c r="EB55" s="780"/>
      <c r="EC55" s="781"/>
      <c r="ED55" s="781"/>
      <c r="EE55" s="781"/>
      <c r="EF55" s="781"/>
      <c r="EG55" s="781"/>
      <c r="EH55" s="781"/>
      <c r="EI55" s="781"/>
      <c r="EJ55" s="781"/>
      <c r="EK55" s="781"/>
      <c r="EL55" s="781"/>
      <c r="EM55" s="782"/>
      <c r="EN55" s="579"/>
      <c r="EO55" s="579"/>
      <c r="EP55" s="635"/>
      <c r="EQ55" s="582"/>
      <c r="FW55" s="578" t="s">
        <v>553</v>
      </c>
      <c r="GA55" s="653"/>
      <c r="GW55" s="578" t="s">
        <v>557</v>
      </c>
      <c r="HA55" s="653"/>
      <c r="IU55" s="27"/>
    </row>
    <row r="56" spans="1:255" ht="17.100000000000001" customHeight="1">
      <c r="J56" s="582"/>
      <c r="CD56" s="582"/>
      <c r="CE56" s="1289"/>
      <c r="CG56" s="746" t="s">
        <v>449</v>
      </c>
      <c r="CH56" s="740"/>
      <c r="CI56" s="740"/>
      <c r="CJ56" s="759"/>
      <c r="CK56" s="2824">
        <f ca="1">$DK$42*1000</f>
        <v>3725900.0000000009</v>
      </c>
      <c r="CL56" s="2825"/>
      <c r="CM56" s="689"/>
      <c r="CN56" s="797"/>
      <c r="CO56" s="798"/>
      <c r="CS56" s="617"/>
      <c r="CT56" s="579"/>
      <c r="CU56" s="617"/>
      <c r="CX56" s="617"/>
      <c r="CY56" s="579"/>
      <c r="CZ56" s="617"/>
      <c r="DD56" s="653"/>
      <c r="DE56" s="789" t="s">
        <v>493</v>
      </c>
      <c r="DF56" s="801">
        <f>DF54-DF53</f>
        <v>188959.08645</v>
      </c>
      <c r="DG56" s="802" t="s">
        <v>501</v>
      </c>
      <c r="DH56" s="803">
        <f ca="1">DH53-DH54-DH55</f>
        <v>147206</v>
      </c>
      <c r="DI56" s="35"/>
      <c r="DJ56" s="27"/>
      <c r="DK56" s="27"/>
      <c r="DL56" s="27"/>
      <c r="DM56" s="27"/>
      <c r="DN56" s="27"/>
      <c r="DO56" s="27"/>
      <c r="DP56" s="27"/>
      <c r="DQ56" s="27"/>
      <c r="DR56" s="27"/>
      <c r="DS56" s="27"/>
      <c r="DT56" s="27"/>
      <c r="DU56" s="27"/>
      <c r="DV56" s="27"/>
      <c r="DW56" s="27"/>
      <c r="DX56" s="585"/>
      <c r="DY56" s="735"/>
      <c r="DZ56" s="749"/>
      <c r="EB56" s="636"/>
      <c r="EC56" s="613"/>
      <c r="ED56" s="613"/>
      <c r="EE56" s="613"/>
      <c r="EF56" s="613"/>
      <c r="EG56" s="613"/>
      <c r="EH56" s="613"/>
      <c r="EI56" s="613"/>
      <c r="EJ56" s="613"/>
      <c r="EK56" s="613"/>
      <c r="EL56" s="613"/>
      <c r="EM56" s="653"/>
      <c r="EP56" s="608"/>
      <c r="EQ56" s="710"/>
      <c r="ER56" s="708"/>
      <c r="ES56" s="708"/>
      <c r="ET56" s="708"/>
      <c r="EU56" s="708"/>
      <c r="EV56" s="708"/>
      <c r="EW56" s="708"/>
      <c r="EX56" s="708"/>
      <c r="EY56" s="708"/>
      <c r="EZ56" s="708"/>
      <c r="FA56" s="708"/>
      <c r="FB56" s="708"/>
      <c r="FC56" s="708"/>
      <c r="FD56" s="708"/>
      <c r="FE56" s="708"/>
      <c r="FF56" s="708"/>
      <c r="FG56" s="708"/>
      <c r="FH56" s="708"/>
      <c r="FI56" s="708"/>
      <c r="FJ56" s="708"/>
      <c r="FK56" s="708"/>
      <c r="FL56" s="708"/>
      <c r="FM56" s="708"/>
      <c r="FN56" s="708"/>
      <c r="FO56" s="708"/>
      <c r="FP56" s="708"/>
      <c r="FQ56" s="708"/>
      <c r="FR56" s="708"/>
      <c r="FS56" s="708"/>
      <c r="FT56" s="708"/>
      <c r="FU56" s="708"/>
      <c r="FV56" s="708"/>
      <c r="FW56" s="708"/>
      <c r="FX56" s="708"/>
      <c r="FY56" s="708"/>
      <c r="FZ56" s="708"/>
      <c r="GA56" s="708"/>
      <c r="GB56" s="708"/>
      <c r="GC56" s="708"/>
      <c r="GD56" s="708"/>
      <c r="GE56" s="708"/>
      <c r="GF56" s="708"/>
      <c r="GG56" s="708"/>
      <c r="GH56" s="708"/>
      <c r="GI56" s="708"/>
      <c r="GJ56" s="708"/>
      <c r="GK56" s="708"/>
      <c r="GL56" s="708"/>
      <c r="GM56" s="708"/>
      <c r="GN56" s="708"/>
      <c r="GO56" s="708"/>
      <c r="GP56" s="708"/>
      <c r="GQ56" s="708"/>
      <c r="GR56" s="708"/>
      <c r="GS56" s="708"/>
      <c r="GT56" s="708"/>
      <c r="GU56" s="708"/>
      <c r="GV56" s="708"/>
      <c r="GW56" s="708"/>
      <c r="GX56" s="708"/>
      <c r="GY56" s="708"/>
      <c r="GZ56" s="708"/>
      <c r="IU56" s="27"/>
    </row>
    <row r="57" spans="1:255" ht="17.100000000000001" customHeight="1" thickBot="1">
      <c r="CD57" s="582"/>
      <c r="CE57" s="1289"/>
      <c r="CG57" s="746" t="s">
        <v>1182</v>
      </c>
      <c r="CH57" s="740"/>
      <c r="CI57" s="740"/>
      <c r="CJ57" s="759"/>
      <c r="CK57" s="2824">
        <f ca="1">(DL42-DO42)*1000</f>
        <v>1700600.0000000005</v>
      </c>
      <c r="CL57" s="2825"/>
      <c r="CM57" s="689"/>
      <c r="CN57" s="797"/>
      <c r="CO57" s="798"/>
      <c r="CS57" s="617"/>
      <c r="CT57" s="579"/>
      <c r="CU57" s="617"/>
      <c r="CX57" s="617"/>
      <c r="CY57" s="579"/>
      <c r="CZ57" s="617"/>
      <c r="DD57" s="653"/>
      <c r="DE57" s="36"/>
      <c r="DF57" s="36"/>
      <c r="DG57" s="36"/>
      <c r="DH57" s="36"/>
      <c r="DI57" s="32"/>
      <c r="DJ57" s="27"/>
      <c r="DK57" s="27"/>
      <c r="DL57" s="27"/>
      <c r="DM57" s="27"/>
      <c r="DN57" s="27"/>
      <c r="DO57" s="27"/>
      <c r="DP57" s="27"/>
      <c r="DQ57" s="27"/>
      <c r="DR57" s="27"/>
      <c r="DS57" s="27"/>
      <c r="DT57" s="27"/>
      <c r="DU57" s="27"/>
      <c r="DV57" s="27"/>
      <c r="DW57" s="27"/>
      <c r="DX57" s="585"/>
      <c r="DY57" s="735"/>
      <c r="DZ57" s="719"/>
      <c r="EB57" s="780"/>
      <c r="EC57" s="781"/>
      <c r="ED57" s="781"/>
      <c r="EE57" s="781"/>
      <c r="EF57" s="781"/>
      <c r="EG57" s="781"/>
      <c r="EH57" s="781"/>
      <c r="EI57" s="781"/>
      <c r="EJ57" s="781"/>
      <c r="EK57" s="781"/>
      <c r="EL57" s="781"/>
      <c r="EM57" s="782"/>
      <c r="EN57" s="579"/>
      <c r="EO57" s="579"/>
      <c r="EP57" s="635"/>
      <c r="EQ57" s="582"/>
      <c r="IU57" s="27"/>
    </row>
    <row r="58" spans="1:255" ht="17.100000000000001" customHeight="1">
      <c r="A58" s="585"/>
      <c r="B58" s="585"/>
      <c r="C58" s="585"/>
      <c r="D58" s="1259"/>
      <c r="E58" s="585"/>
      <c r="F58" s="585"/>
      <c r="G58" s="585"/>
      <c r="H58" s="585"/>
      <c r="I58" s="585"/>
      <c r="J58" s="585"/>
      <c r="K58" s="585"/>
      <c r="L58" s="585"/>
      <c r="M58" s="585"/>
      <c r="N58" s="585"/>
      <c r="O58" s="585"/>
      <c r="P58" s="585"/>
      <c r="Q58" s="585"/>
      <c r="R58" s="585"/>
      <c r="S58" s="585"/>
      <c r="T58" s="585"/>
      <c r="U58" s="585"/>
      <c r="V58" s="585"/>
      <c r="W58" s="585"/>
      <c r="X58" s="585"/>
      <c r="Y58" s="585"/>
      <c r="Z58" s="585"/>
      <c r="AA58" s="585"/>
      <c r="AB58" s="585"/>
      <c r="AC58" s="585"/>
      <c r="AD58" s="585"/>
      <c r="AE58" s="585"/>
      <c r="AF58" s="585"/>
      <c r="AG58" s="720"/>
      <c r="AH58" s="585"/>
      <c r="AI58" s="585"/>
      <c r="AJ58" s="585"/>
      <c r="AK58" s="585"/>
      <c r="AL58" s="585"/>
      <c r="AM58" s="585"/>
      <c r="AN58" s="585"/>
      <c r="AO58" s="585"/>
      <c r="AP58" s="585"/>
      <c r="AQ58" s="585"/>
      <c r="AR58" s="585"/>
      <c r="AS58" s="585"/>
      <c r="AT58" s="585"/>
      <c r="AU58" s="585"/>
      <c r="AV58" s="585"/>
      <c r="AW58" s="585"/>
      <c r="AX58" s="585"/>
      <c r="AY58" s="585"/>
      <c r="AZ58" s="585"/>
      <c r="BA58" s="585"/>
      <c r="BB58" s="585"/>
      <c r="BC58" s="585"/>
      <c r="BD58" s="585"/>
      <c r="BE58" s="585"/>
      <c r="BF58" s="585"/>
      <c r="BG58" s="585"/>
      <c r="BH58" s="585"/>
      <c r="BI58" s="585"/>
      <c r="BJ58" s="585"/>
      <c r="BK58" s="585"/>
      <c r="BL58" s="585"/>
      <c r="BM58" s="585"/>
      <c r="BN58" s="585"/>
      <c r="BO58" s="585"/>
      <c r="BP58" s="585"/>
      <c r="BQ58" s="585"/>
      <c r="BR58" s="585"/>
      <c r="BS58" s="585"/>
      <c r="BT58" s="585"/>
      <c r="BU58" s="585"/>
      <c r="BV58" s="585"/>
      <c r="BW58" s="585"/>
      <c r="BX58" s="585"/>
      <c r="BY58" s="585"/>
      <c r="BZ58" s="585"/>
      <c r="CA58" s="585"/>
      <c r="CB58" s="585"/>
      <c r="CC58" s="585"/>
      <c r="CD58" s="585"/>
      <c r="CE58" s="1290"/>
      <c r="CG58" s="1411" t="s">
        <v>1174</v>
      </c>
      <c r="CH58" s="1412"/>
      <c r="CI58" s="1412"/>
      <c r="CJ58" s="1413"/>
      <c r="CK58" s="2822">
        <f ca="1">CK57*CM59</f>
        <v>25509000.000000007</v>
      </c>
      <c r="CL58" s="2823"/>
      <c r="CM58" s="1414"/>
      <c r="CN58" s="797"/>
      <c r="CO58" s="2605" t="s">
        <v>1419</v>
      </c>
      <c r="CP58" s="726"/>
      <c r="CQ58" s="726"/>
      <c r="CR58" s="2607">
        <v>24639313</v>
      </c>
      <c r="CS58" s="1735" t="s">
        <v>1420</v>
      </c>
      <c r="CU58" s="617"/>
      <c r="CX58" s="617"/>
      <c r="CZ58" s="617"/>
      <c r="DD58" s="653"/>
      <c r="DE58" s="27"/>
      <c r="DF58" s="27"/>
      <c r="DG58" s="27"/>
      <c r="DH58" s="27"/>
      <c r="DI58" s="804"/>
      <c r="DJ58" s="749"/>
      <c r="DK58" s="749"/>
      <c r="DL58" s="749"/>
      <c r="DM58" s="749"/>
      <c r="DN58" s="749"/>
      <c r="DO58" s="749"/>
      <c r="DP58" s="749"/>
      <c r="DQ58" s="749"/>
      <c r="DR58" s="749"/>
      <c r="DS58" s="749"/>
      <c r="DT58" s="749"/>
      <c r="DU58" s="749"/>
      <c r="DV58" s="749"/>
      <c r="DW58" s="749"/>
      <c r="DX58" s="582"/>
      <c r="DY58" s="635"/>
      <c r="DZ58" s="749"/>
      <c r="EA58" s="749"/>
      <c r="EB58" s="709"/>
      <c r="EC58" s="709"/>
      <c r="ED58" s="709"/>
      <c r="EE58" s="709"/>
      <c r="EF58" s="709"/>
      <c r="EG58" s="709"/>
      <c r="EH58" s="709"/>
      <c r="EI58" s="709"/>
      <c r="EJ58" s="709"/>
      <c r="EK58" s="709"/>
      <c r="EL58" s="709"/>
      <c r="EP58" s="635"/>
      <c r="EQ58" s="582"/>
      <c r="IU58" s="27"/>
    </row>
    <row r="59" spans="1:255" ht="17.100000000000001" customHeight="1" thickBot="1">
      <c r="A59" s="585"/>
      <c r="B59" s="585"/>
      <c r="C59" s="585"/>
      <c r="D59" s="585"/>
      <c r="E59" s="585"/>
      <c r="F59" s="585"/>
      <c r="G59" s="585"/>
      <c r="H59" s="585"/>
      <c r="I59" s="585"/>
      <c r="J59" s="585"/>
      <c r="K59" s="585"/>
      <c r="L59" s="585"/>
      <c r="M59" s="585"/>
      <c r="N59" s="585"/>
      <c r="O59" s="585"/>
      <c r="P59" s="585"/>
      <c r="Q59" s="585"/>
      <c r="R59" s="585"/>
      <c r="S59" s="585"/>
      <c r="T59" s="585"/>
      <c r="U59" s="585"/>
      <c r="V59" s="585"/>
      <c r="W59" s="585"/>
      <c r="X59" s="585"/>
      <c r="Y59" s="585"/>
      <c r="Z59" s="585"/>
      <c r="AA59" s="585"/>
      <c r="AB59" s="585"/>
      <c r="AC59" s="585"/>
      <c r="AD59" s="585"/>
      <c r="AE59" s="585"/>
      <c r="AF59" s="585"/>
      <c r="AG59" s="720"/>
      <c r="AH59" s="585"/>
      <c r="AI59" s="585"/>
      <c r="AJ59" s="585"/>
      <c r="AK59" s="585"/>
      <c r="AL59" s="585"/>
      <c r="AM59" s="585"/>
      <c r="AN59" s="585"/>
      <c r="AO59" s="585"/>
      <c r="AP59" s="585"/>
      <c r="AQ59" s="585"/>
      <c r="AR59" s="585"/>
      <c r="AS59" s="585"/>
      <c r="AT59" s="585"/>
      <c r="AU59" s="585"/>
      <c r="AV59" s="585"/>
      <c r="AW59" s="585"/>
      <c r="AX59" s="585"/>
      <c r="AY59" s="585"/>
      <c r="AZ59" s="585"/>
      <c r="BA59" s="585"/>
      <c r="BB59" s="585"/>
      <c r="BC59" s="585"/>
      <c r="BD59" s="585"/>
      <c r="BE59" s="585"/>
      <c r="BF59" s="585"/>
      <c r="BG59" s="585"/>
      <c r="BH59" s="585"/>
      <c r="BI59" s="585"/>
      <c r="BJ59" s="585"/>
      <c r="BK59" s="585"/>
      <c r="BL59" s="585"/>
      <c r="BM59" s="585"/>
      <c r="BN59" s="585"/>
      <c r="BO59" s="585"/>
      <c r="BP59" s="585"/>
      <c r="BQ59" s="585"/>
      <c r="BR59" s="585"/>
      <c r="BS59" s="585"/>
      <c r="BT59" s="585"/>
      <c r="BU59" s="585"/>
      <c r="BV59" s="585"/>
      <c r="BW59" s="585"/>
      <c r="BX59" s="585"/>
      <c r="BY59" s="585"/>
      <c r="BZ59" s="585"/>
      <c r="CA59" s="585"/>
      <c r="CB59" s="585"/>
      <c r="CC59" s="585"/>
      <c r="CD59" s="585"/>
      <c r="CE59" s="1290"/>
      <c r="CG59" s="1411" t="s">
        <v>1181</v>
      </c>
      <c r="CH59" s="1412"/>
      <c r="CI59" s="1412"/>
      <c r="CJ59" s="1413"/>
      <c r="CK59" s="1415"/>
      <c r="CL59" s="1413"/>
      <c r="CM59" s="1414">
        <v>15</v>
      </c>
      <c r="CN59" s="797"/>
      <c r="CO59" s="2606" t="s">
        <v>1421</v>
      </c>
      <c r="CP59" s="775"/>
      <c r="CQ59" s="775"/>
      <c r="CR59" s="775"/>
      <c r="CS59" s="776"/>
      <c r="DD59" s="653"/>
      <c r="DE59" s="27"/>
      <c r="DJ59" s="578"/>
      <c r="DY59" s="653"/>
      <c r="EB59" s="805" t="s">
        <v>1350</v>
      </c>
      <c r="EC59" s="749"/>
      <c r="ED59" s="749"/>
      <c r="EE59" s="749"/>
      <c r="EF59" s="749"/>
      <c r="EG59" s="749"/>
      <c r="EH59" s="749"/>
      <c r="EI59" s="749"/>
      <c r="EJ59" s="749"/>
      <c r="EK59" s="749"/>
      <c r="EL59" s="749"/>
      <c r="EP59" s="635"/>
      <c r="EQ59" s="582"/>
      <c r="IU59" s="27"/>
    </row>
    <row r="60" spans="1:255" ht="17.100000000000001" customHeight="1" thickBot="1">
      <c r="A60" s="585"/>
      <c r="B60" s="585"/>
      <c r="C60" s="585"/>
      <c r="D60" s="585"/>
      <c r="E60" s="585"/>
      <c r="F60" s="585"/>
      <c r="G60" s="585"/>
      <c r="H60" s="585"/>
      <c r="I60" s="585"/>
      <c r="J60" s="585"/>
      <c r="K60" s="585"/>
      <c r="L60" s="585"/>
      <c r="M60" s="585"/>
      <c r="N60" s="585"/>
      <c r="O60" s="585"/>
      <c r="P60" s="585"/>
      <c r="Q60" s="585"/>
      <c r="R60" s="585"/>
      <c r="S60" s="585"/>
      <c r="T60" s="585"/>
      <c r="U60" s="585"/>
      <c r="V60" s="585"/>
      <c r="W60" s="585"/>
      <c r="X60" s="585"/>
      <c r="Y60" s="585"/>
      <c r="Z60" s="585"/>
      <c r="AA60" s="585"/>
      <c r="AB60" s="585"/>
      <c r="AC60" s="585"/>
      <c r="AD60" s="585"/>
      <c r="AE60" s="585"/>
      <c r="AF60" s="585"/>
      <c r="AG60" s="720"/>
      <c r="AH60" s="585"/>
      <c r="AI60" s="585"/>
      <c r="AJ60" s="585"/>
      <c r="AK60" s="585"/>
      <c r="AL60" s="585"/>
      <c r="AM60" s="585"/>
      <c r="AN60" s="585"/>
      <c r="AO60" s="585"/>
      <c r="AP60" s="585"/>
      <c r="AQ60" s="585"/>
      <c r="AR60" s="585"/>
      <c r="AS60" s="585"/>
      <c r="AT60" s="585"/>
      <c r="AU60" s="585"/>
      <c r="AV60" s="585"/>
      <c r="AW60" s="585"/>
      <c r="AX60" s="585"/>
      <c r="AY60" s="585"/>
      <c r="AZ60" s="585"/>
      <c r="BA60" s="585"/>
      <c r="BB60" s="585"/>
      <c r="BC60" s="585"/>
      <c r="BD60" s="585"/>
      <c r="BE60" s="585"/>
      <c r="BF60" s="585"/>
      <c r="BG60" s="585"/>
      <c r="BH60" s="585"/>
      <c r="BI60" s="585"/>
      <c r="BJ60" s="585"/>
      <c r="BK60" s="585"/>
      <c r="BL60" s="585"/>
      <c r="BM60" s="585"/>
      <c r="BN60" s="585"/>
      <c r="BO60" s="585"/>
      <c r="BP60" s="585"/>
      <c r="BQ60" s="585"/>
      <c r="BR60" s="585"/>
      <c r="BS60" s="585"/>
      <c r="BT60" s="585"/>
      <c r="BU60" s="585"/>
      <c r="BV60" s="585"/>
      <c r="BW60" s="585"/>
      <c r="BX60" s="585"/>
      <c r="BY60" s="585"/>
      <c r="BZ60" s="585"/>
      <c r="CA60" s="585"/>
      <c r="CB60" s="585"/>
      <c r="CC60" s="585"/>
      <c r="CD60" s="585"/>
      <c r="CE60" s="1291"/>
      <c r="CG60" s="708"/>
      <c r="CH60" s="708"/>
      <c r="CI60" s="708"/>
      <c r="CJ60" s="708"/>
      <c r="CK60" s="708"/>
      <c r="CL60" s="708"/>
      <c r="CM60" s="708"/>
      <c r="CR60" s="580"/>
      <c r="CS60" s="580"/>
      <c r="CT60" s="580"/>
      <c r="CU60" s="580"/>
      <c r="CV60" s="580"/>
      <c r="CY60" s="719"/>
      <c r="CZ60" s="580" t="s">
        <v>487</v>
      </c>
      <c r="DA60" s="580"/>
      <c r="DB60" s="580"/>
      <c r="DC60" s="580"/>
      <c r="DD60" s="806"/>
      <c r="DE60" s="798"/>
      <c r="DJ60" s="578"/>
      <c r="DU60" s="578" t="s">
        <v>514</v>
      </c>
      <c r="DY60" s="653"/>
      <c r="EB60" s="807" t="s">
        <v>1351</v>
      </c>
      <c r="EC60" s="719"/>
      <c r="ED60" s="719"/>
      <c r="EE60" s="719"/>
      <c r="EF60" s="719"/>
      <c r="EG60" s="719"/>
      <c r="EH60" s="719"/>
      <c r="EI60" s="719"/>
      <c r="EJ60" s="719"/>
      <c r="EK60" s="719"/>
      <c r="EL60" s="719"/>
      <c r="EM60" s="719" t="s">
        <v>533</v>
      </c>
      <c r="EN60" s="719"/>
      <c r="EP60" s="635"/>
      <c r="EQ60" s="582"/>
      <c r="IU60" s="27"/>
    </row>
    <row r="61" spans="1:255" ht="16.5" customHeight="1">
      <c r="A61" s="585"/>
      <c r="B61" s="585"/>
      <c r="C61" s="585"/>
      <c r="D61" s="585"/>
      <c r="E61" s="585"/>
      <c r="F61" s="585"/>
      <c r="G61" s="585"/>
      <c r="H61" s="585"/>
      <c r="I61" s="585"/>
      <c r="J61" s="585"/>
      <c r="K61" s="585"/>
      <c r="L61" s="585"/>
      <c r="M61" s="585"/>
      <c r="N61" s="585"/>
      <c r="O61" s="585"/>
      <c r="P61" s="585"/>
      <c r="Q61" s="585"/>
      <c r="R61" s="585"/>
      <c r="S61" s="585"/>
      <c r="T61" s="585"/>
      <c r="U61" s="585"/>
      <c r="V61" s="585"/>
      <c r="W61" s="585"/>
      <c r="X61" s="585"/>
      <c r="Y61" s="585"/>
      <c r="Z61" s="585"/>
      <c r="AA61" s="585"/>
      <c r="AB61" s="1175"/>
      <c r="AC61" s="1175"/>
      <c r="AD61" s="1175"/>
      <c r="AE61" s="1175"/>
      <c r="AF61" s="1175"/>
      <c r="AG61" s="1512"/>
      <c r="AH61" s="1175"/>
      <c r="AI61" s="1175"/>
      <c r="AJ61" s="1175"/>
      <c r="AK61" s="1175"/>
      <c r="AL61" s="1175"/>
      <c r="AM61" s="1175"/>
      <c r="AN61" s="1175"/>
      <c r="AO61" s="1175"/>
      <c r="AP61" s="1175"/>
      <c r="AQ61" s="1175"/>
      <c r="AR61" s="585"/>
      <c r="AS61" s="585"/>
      <c r="AT61" s="585"/>
      <c r="AU61" s="585"/>
      <c r="AV61" s="585"/>
      <c r="AW61" s="585"/>
      <c r="AX61" s="585"/>
      <c r="AY61" s="585"/>
      <c r="AZ61" s="585"/>
      <c r="BA61" s="585"/>
      <c r="BB61" s="585"/>
      <c r="BC61" s="585"/>
      <c r="BD61" s="585"/>
      <c r="BE61" s="585"/>
      <c r="BF61" s="585"/>
      <c r="BG61" s="585"/>
      <c r="BH61" s="585"/>
      <c r="BI61" s="585"/>
      <c r="BJ61" s="585"/>
      <c r="BK61" s="585"/>
      <c r="BL61" s="585"/>
      <c r="BM61" s="585"/>
      <c r="BN61" s="585"/>
      <c r="BO61" s="585"/>
      <c r="BP61" s="585"/>
      <c r="BQ61" s="585"/>
      <c r="BR61" s="585"/>
      <c r="BS61" s="585"/>
      <c r="BT61" s="585"/>
      <c r="BU61" s="585"/>
      <c r="BV61" s="585"/>
      <c r="BW61" s="585"/>
      <c r="BX61" s="585"/>
      <c r="BY61" s="585"/>
      <c r="BZ61" s="585"/>
      <c r="CA61" s="585"/>
      <c r="CB61" s="585"/>
      <c r="CC61" s="585"/>
      <c r="CD61" s="585"/>
      <c r="CE61" s="585"/>
      <c r="CF61" s="711"/>
      <c r="CG61" s="711"/>
      <c r="CH61" s="711"/>
      <c r="CI61" s="711"/>
      <c r="CJ61" s="711"/>
      <c r="CK61" s="711"/>
      <c r="CL61" s="711"/>
      <c r="CM61" s="711"/>
      <c r="CN61" s="711"/>
      <c r="CO61" s="711"/>
      <c r="CP61" s="711"/>
      <c r="CQ61" s="711"/>
      <c r="CR61" s="711"/>
      <c r="CS61" s="711"/>
      <c r="CT61" s="711"/>
      <c r="CU61" s="711"/>
      <c r="CV61" s="711"/>
      <c r="CW61" s="711"/>
      <c r="CX61" s="708"/>
      <c r="CY61" s="710"/>
      <c r="CZ61" s="710"/>
      <c r="DA61" s="710"/>
      <c r="DB61" s="710"/>
      <c r="DC61" s="710"/>
      <c r="DD61" s="710"/>
      <c r="DE61" s="808"/>
      <c r="DF61" s="808"/>
      <c r="DG61" s="808"/>
      <c r="DH61" s="808"/>
      <c r="DI61" s="808"/>
      <c r="DJ61" s="710"/>
      <c r="DK61" s="710"/>
      <c r="DL61" s="710"/>
      <c r="DM61" s="710"/>
      <c r="DN61" s="710"/>
      <c r="DO61" s="710"/>
      <c r="DP61" s="710"/>
      <c r="DQ61" s="710"/>
      <c r="DR61" s="710"/>
      <c r="DS61" s="710"/>
      <c r="DT61" s="710"/>
      <c r="DU61" s="710"/>
      <c r="DV61" s="710"/>
      <c r="DW61" s="710"/>
      <c r="DX61" s="710"/>
      <c r="DY61" s="710"/>
      <c r="DZ61" s="710"/>
      <c r="EA61" s="710"/>
      <c r="EB61" s="710"/>
      <c r="EC61" s="710"/>
      <c r="ED61" s="710"/>
      <c r="EE61" s="710"/>
      <c r="EF61" s="710"/>
      <c r="EG61" s="710"/>
      <c r="EH61" s="710"/>
      <c r="EI61" s="710"/>
      <c r="EJ61" s="710"/>
      <c r="EK61" s="710"/>
      <c r="EL61" s="710"/>
      <c r="EM61" s="710"/>
      <c r="EN61" s="710"/>
      <c r="EO61" s="710"/>
      <c r="EP61" s="582"/>
      <c r="EQ61" s="582"/>
      <c r="IU61" s="27"/>
    </row>
    <row r="62" spans="1:255" ht="17.100000000000001" customHeight="1">
      <c r="A62" s="585"/>
      <c r="B62" s="585"/>
      <c r="C62" s="585"/>
      <c r="D62" s="585"/>
      <c r="E62" s="585"/>
      <c r="F62" s="585"/>
      <c r="G62" s="585"/>
      <c r="H62" s="585"/>
      <c r="I62" s="585"/>
      <c r="J62" s="585"/>
      <c r="K62" s="585"/>
      <c r="L62" s="585"/>
      <c r="M62" s="585"/>
      <c r="N62" s="585"/>
      <c r="O62" s="585"/>
      <c r="P62" s="585"/>
      <c r="Q62" s="585"/>
      <c r="R62" s="585"/>
      <c r="S62" s="585"/>
      <c r="T62" s="585"/>
      <c r="U62" s="585"/>
      <c r="V62" s="585"/>
      <c r="W62" s="585"/>
      <c r="X62" s="585"/>
      <c r="Y62" s="585"/>
      <c r="Z62" s="585"/>
      <c r="AA62" s="585"/>
      <c r="AB62" s="1175"/>
      <c r="AC62" s="1175"/>
      <c r="AD62" s="1175"/>
      <c r="AE62" s="1175"/>
      <c r="AF62" s="1175"/>
      <c r="AG62" s="1512"/>
      <c r="AH62" s="1175"/>
      <c r="AI62" s="1175"/>
      <c r="AJ62" s="1175"/>
      <c r="AK62" s="1175"/>
      <c r="AL62" s="1175"/>
      <c r="AM62" s="1175"/>
      <c r="AN62" s="1175"/>
      <c r="AO62" s="1175"/>
      <c r="AP62" s="1175"/>
      <c r="AQ62" s="1175"/>
      <c r="AR62" s="585"/>
      <c r="AS62" s="585"/>
      <c r="AT62" s="585"/>
      <c r="AU62" s="585"/>
      <c r="AV62" s="585"/>
      <c r="AW62" s="585"/>
      <c r="AX62" s="585"/>
      <c r="AY62" s="585"/>
      <c r="AZ62" s="585"/>
      <c r="BA62" s="585"/>
      <c r="BB62" s="585"/>
      <c r="BC62" s="585"/>
      <c r="BD62" s="585"/>
      <c r="BE62" s="585"/>
      <c r="BF62" s="585"/>
      <c r="BG62" s="585"/>
      <c r="BH62" s="585"/>
      <c r="BI62" s="585"/>
      <c r="BJ62" s="585"/>
      <c r="BK62" s="585"/>
      <c r="BL62" s="585"/>
      <c r="BM62" s="585"/>
      <c r="BN62" s="585"/>
      <c r="BO62" s="585"/>
      <c r="BP62" s="585"/>
      <c r="BQ62" s="585"/>
      <c r="BR62" s="585"/>
      <c r="BS62" s="585"/>
      <c r="BT62" s="585"/>
      <c r="BU62" s="585"/>
      <c r="BV62" s="585"/>
      <c r="BW62" s="585"/>
      <c r="BX62" s="585"/>
      <c r="BY62" s="585"/>
      <c r="BZ62" s="585"/>
      <c r="CA62" s="585"/>
      <c r="CB62" s="585"/>
      <c r="CC62" s="585"/>
      <c r="CD62" s="585"/>
      <c r="CE62" s="585"/>
      <c r="CF62" s="585"/>
      <c r="CG62" s="585"/>
      <c r="CH62" s="585"/>
      <c r="CI62" s="585"/>
      <c r="CJ62" s="585"/>
      <c r="CK62" s="585"/>
      <c r="CL62" s="585"/>
      <c r="CM62" s="585"/>
      <c r="CN62" s="585"/>
      <c r="CO62" s="585"/>
      <c r="CP62" s="585"/>
      <c r="CQ62" s="585"/>
      <c r="CR62" s="585"/>
      <c r="CS62" s="585"/>
      <c r="CT62" s="585"/>
      <c r="CU62" s="585"/>
      <c r="CV62" s="585"/>
      <c r="CW62" s="585"/>
      <c r="CY62" s="582"/>
      <c r="CZ62" s="582"/>
      <c r="DA62" s="582"/>
      <c r="DB62" s="582"/>
      <c r="DC62" s="582"/>
      <c r="DD62" s="582"/>
      <c r="DE62" s="583"/>
      <c r="DF62" s="583"/>
      <c r="DG62" s="583"/>
      <c r="DH62" s="583"/>
      <c r="DI62" s="583"/>
      <c r="DJ62" s="582"/>
      <c r="DK62" s="582"/>
      <c r="DL62" s="582"/>
      <c r="DM62" s="582"/>
      <c r="DN62" s="582"/>
      <c r="DO62" s="582"/>
      <c r="DP62" s="582"/>
      <c r="DQ62" s="582"/>
      <c r="DR62" s="582"/>
      <c r="DS62" s="582"/>
      <c r="DT62" s="582"/>
      <c r="DU62" s="582"/>
      <c r="DV62" s="582"/>
      <c r="DW62" s="582"/>
      <c r="DX62" s="582"/>
      <c r="DY62" s="582"/>
      <c r="DZ62" s="582"/>
      <c r="EA62" s="582"/>
      <c r="EB62" s="582"/>
      <c r="EC62" s="582"/>
      <c r="ED62" s="2585" t="s">
        <v>1400</v>
      </c>
      <c r="EE62" s="2585"/>
      <c r="EF62" s="2585"/>
      <c r="EG62" s="2585"/>
      <c r="EH62" s="2585"/>
      <c r="EI62" s="2587">
        <v>24639313</v>
      </c>
      <c r="EJ62" s="2586" t="s">
        <v>451</v>
      </c>
      <c r="EK62" s="582"/>
      <c r="EL62" s="582"/>
      <c r="EM62" s="582"/>
      <c r="EN62" s="582"/>
      <c r="EO62" s="582"/>
      <c r="EP62" s="582"/>
      <c r="EQ62" s="582"/>
      <c r="IU62" s="27"/>
    </row>
    <row r="63" spans="1:255" ht="17.100000000000001" customHeight="1">
      <c r="A63" s="2811" t="s">
        <v>1172</v>
      </c>
      <c r="B63" s="2812"/>
      <c r="C63" s="1139" t="s">
        <v>456</v>
      </c>
      <c r="D63" s="2807" t="s">
        <v>67</v>
      </c>
      <c r="E63" s="2808"/>
      <c r="F63" s="2807" t="s">
        <v>1131</v>
      </c>
      <c r="G63" s="2808"/>
      <c r="H63" s="1139" t="s">
        <v>1151</v>
      </c>
      <c r="I63" s="2807" t="s">
        <v>1153</v>
      </c>
      <c r="J63" s="2808"/>
      <c r="K63" s="2807" t="s">
        <v>1154</v>
      </c>
      <c r="L63" s="2808"/>
      <c r="M63" s="2807" t="s">
        <v>1155</v>
      </c>
      <c r="N63" s="2808"/>
      <c r="O63" s="2807" t="s">
        <v>1166</v>
      </c>
      <c r="P63" s="2808"/>
      <c r="Q63" s="2809" t="s">
        <v>1167</v>
      </c>
      <c r="R63" s="2810"/>
      <c r="S63" s="2807" t="s">
        <v>1156</v>
      </c>
      <c r="T63" s="2808"/>
      <c r="U63" s="2807" t="s">
        <v>1157</v>
      </c>
      <c r="V63" s="2808"/>
      <c r="W63" s="1139" t="s">
        <v>1160</v>
      </c>
      <c r="X63" s="1140" t="s">
        <v>1162</v>
      </c>
      <c r="Y63" s="1140" t="s">
        <v>1179</v>
      </c>
      <c r="Z63" s="2807" t="s">
        <v>82</v>
      </c>
      <c r="AA63" s="2808"/>
      <c r="AB63" s="2020" t="s">
        <v>1276</v>
      </c>
      <c r="AC63" s="2147" t="s">
        <v>1319</v>
      </c>
      <c r="AD63" s="2150" t="s">
        <v>1328</v>
      </c>
      <c r="AE63" s="2150" t="s">
        <v>1329</v>
      </c>
      <c r="AF63" s="2150" t="s">
        <v>1330</v>
      </c>
      <c r="AG63" s="2150" t="s">
        <v>1331</v>
      </c>
      <c r="AH63" s="2150" t="s">
        <v>1332</v>
      </c>
      <c r="AI63" s="2150" t="s">
        <v>660</v>
      </c>
      <c r="AJ63" s="2150"/>
      <c r="AK63" s="2150"/>
      <c r="AL63" s="2150"/>
      <c r="AM63" s="2150"/>
      <c r="AN63" s="2150"/>
      <c r="AO63" s="2146"/>
      <c r="AP63" s="2146"/>
      <c r="AQ63" s="2146"/>
      <c r="AR63" s="2146"/>
      <c r="AS63" s="809"/>
      <c r="AT63" s="809"/>
      <c r="AU63" s="809"/>
      <c r="AV63" s="809"/>
      <c r="AW63" s="809"/>
      <c r="AX63" s="585"/>
      <c r="AY63" s="585"/>
      <c r="AZ63" s="585"/>
      <c r="BA63" s="809"/>
      <c r="BB63" s="585"/>
      <c r="BC63" s="585"/>
      <c r="BD63" s="585"/>
      <c r="BE63" s="585"/>
      <c r="BF63" s="809"/>
      <c r="BG63" s="809"/>
      <c r="BH63" s="585"/>
      <c r="BI63" s="585"/>
      <c r="BJ63" s="809"/>
      <c r="BK63" s="809"/>
      <c r="BL63" s="809"/>
      <c r="BM63" s="585"/>
      <c r="BN63" s="585"/>
      <c r="BO63" s="585"/>
      <c r="BP63" s="585"/>
      <c r="BQ63" s="585"/>
      <c r="BR63" s="585"/>
      <c r="BS63" s="585"/>
      <c r="BT63" s="585"/>
      <c r="BU63" s="585"/>
      <c r="BV63" s="585"/>
      <c r="BW63" s="585"/>
      <c r="BX63" s="585"/>
      <c r="BY63" s="585"/>
      <c r="BZ63" s="585"/>
      <c r="CA63" s="585"/>
      <c r="CB63" s="585"/>
      <c r="CC63" s="585"/>
      <c r="CD63" s="585"/>
      <c r="CE63" s="585"/>
      <c r="CF63" s="585"/>
      <c r="CG63" s="585"/>
      <c r="CH63" s="585"/>
      <c r="CI63" s="585"/>
      <c r="CJ63" s="585"/>
      <c r="CK63" s="585"/>
      <c r="CL63" s="585"/>
      <c r="CM63" s="585"/>
      <c r="CN63" s="585"/>
      <c r="CO63" s="585"/>
      <c r="CP63" s="585"/>
      <c r="CQ63" s="585"/>
      <c r="CR63" s="585"/>
      <c r="CS63" s="585"/>
      <c r="CT63" s="585"/>
      <c r="CU63" s="585"/>
      <c r="CV63" s="585"/>
      <c r="CW63" s="585"/>
      <c r="CX63" s="585"/>
      <c r="CZ63" s="582"/>
      <c r="DA63" s="582"/>
      <c r="DB63" s="582"/>
      <c r="DC63" s="582"/>
      <c r="DD63" s="582"/>
      <c r="DE63" s="582"/>
      <c r="DF63" s="583"/>
      <c r="DG63" s="583"/>
      <c r="DH63" s="583"/>
      <c r="DI63" s="583"/>
      <c r="DJ63" s="583"/>
      <c r="DK63" s="582"/>
      <c r="DL63" s="582"/>
      <c r="DM63" s="582"/>
      <c r="DN63" s="582"/>
      <c r="DO63" s="582"/>
      <c r="DP63" s="582"/>
      <c r="DQ63" s="582"/>
      <c r="DR63" s="582"/>
      <c r="DS63" s="582"/>
      <c r="DT63" s="582"/>
      <c r="DU63" s="582"/>
      <c r="DV63" s="582"/>
      <c r="DW63" s="582"/>
      <c r="DX63" s="582"/>
      <c r="DY63" s="582"/>
      <c r="DZ63" s="582"/>
      <c r="EA63" s="582"/>
      <c r="EB63" s="582"/>
      <c r="EC63" s="582"/>
      <c r="ED63" s="582"/>
      <c r="EE63" s="582"/>
      <c r="EF63" s="582"/>
      <c r="EG63" s="582"/>
      <c r="EH63" s="582"/>
      <c r="EI63" s="582"/>
      <c r="EJ63" s="582"/>
      <c r="EK63" s="582"/>
      <c r="EL63" s="582"/>
      <c r="EM63" s="582"/>
      <c r="EN63" s="582"/>
      <c r="EO63" s="582"/>
      <c r="EP63" s="582"/>
      <c r="EQ63" s="582"/>
      <c r="ER63" s="582"/>
    </row>
    <row r="64" spans="1:255" ht="17.100000000000001" customHeight="1" thickBot="1">
      <c r="A64" s="2813"/>
      <c r="B64" s="2814"/>
      <c r="C64" s="1263" t="s">
        <v>1150</v>
      </c>
      <c r="D64" s="1263" t="s">
        <v>361</v>
      </c>
      <c r="E64" s="1264" t="s">
        <v>363</v>
      </c>
      <c r="F64" s="1263" t="s">
        <v>361</v>
      </c>
      <c r="G64" s="1264" t="s">
        <v>363</v>
      </c>
      <c r="H64" s="1263" t="s">
        <v>1152</v>
      </c>
      <c r="I64" s="1263" t="s">
        <v>346</v>
      </c>
      <c r="J64" s="1263" t="s">
        <v>618</v>
      </c>
      <c r="K64" s="1263" t="s">
        <v>1138</v>
      </c>
      <c r="L64" s="1263" t="s">
        <v>1139</v>
      </c>
      <c r="M64" s="1263" t="s">
        <v>1138</v>
      </c>
      <c r="N64" s="1263" t="s">
        <v>1139</v>
      </c>
      <c r="O64" s="1263" t="s">
        <v>361</v>
      </c>
      <c r="P64" s="1264" t="s">
        <v>363</v>
      </c>
      <c r="Q64" s="1263" t="s">
        <v>361</v>
      </c>
      <c r="R64" s="1264" t="s">
        <v>363</v>
      </c>
      <c r="S64" s="1263" t="s">
        <v>1158</v>
      </c>
      <c r="T64" s="1263" t="s">
        <v>1159</v>
      </c>
      <c r="U64" s="1263" t="s">
        <v>1158</v>
      </c>
      <c r="V64" s="1263" t="s">
        <v>1159</v>
      </c>
      <c r="W64" s="1263" t="s">
        <v>1161</v>
      </c>
      <c r="X64" s="1265" t="s">
        <v>1017</v>
      </c>
      <c r="Y64" s="1265" t="s">
        <v>1178</v>
      </c>
      <c r="Z64" s="1263" t="s">
        <v>361</v>
      </c>
      <c r="AA64" s="1264" t="s">
        <v>363</v>
      </c>
      <c r="AB64" s="2021" t="s">
        <v>1016</v>
      </c>
      <c r="AC64" s="2148" t="s">
        <v>1320</v>
      </c>
      <c r="AD64" s="2151" t="s">
        <v>1161</v>
      </c>
      <c r="AE64" s="2151" t="s">
        <v>1161</v>
      </c>
      <c r="AF64" s="2151" t="s">
        <v>1161</v>
      </c>
      <c r="AG64" s="2151" t="s">
        <v>1161</v>
      </c>
      <c r="AH64" s="2151" t="s">
        <v>1138</v>
      </c>
      <c r="AI64" s="2151" t="s">
        <v>1324</v>
      </c>
      <c r="AJ64" s="2151"/>
      <c r="AK64" s="2151"/>
      <c r="AL64" s="2151"/>
      <c r="AM64" s="2151"/>
      <c r="AN64" s="2151"/>
      <c r="AO64" s="2146"/>
      <c r="AP64" s="2146"/>
      <c r="AQ64" s="2146"/>
      <c r="AR64" s="2146"/>
      <c r="AS64" s="809"/>
      <c r="AT64" s="809"/>
      <c r="AU64" s="809"/>
      <c r="AV64" s="809"/>
      <c r="AW64" s="809"/>
      <c r="AX64" s="585"/>
      <c r="AY64" s="585"/>
      <c r="AZ64" s="585"/>
      <c r="BA64" s="809"/>
      <c r="BB64" s="585"/>
      <c r="BC64" s="585"/>
      <c r="BD64" s="585"/>
      <c r="BE64" s="585"/>
      <c r="BF64" s="809"/>
      <c r="BG64" s="809"/>
      <c r="BH64" s="585"/>
      <c r="BI64" s="585"/>
      <c r="BJ64" s="809"/>
      <c r="BK64" s="809"/>
      <c r="BL64" s="809"/>
      <c r="BM64" s="585"/>
      <c r="BN64" s="585"/>
      <c r="BO64" s="585"/>
      <c r="BP64" s="585"/>
      <c r="BQ64" s="585"/>
      <c r="BR64" s="585"/>
      <c r="BS64" s="585"/>
      <c r="BT64" s="585"/>
      <c r="BU64" s="585"/>
      <c r="BV64" s="585"/>
      <c r="BW64" s="585"/>
      <c r="BX64" s="585"/>
      <c r="BY64" s="585"/>
      <c r="BZ64" s="585"/>
      <c r="CA64" s="585"/>
      <c r="CB64" s="585"/>
      <c r="CC64" s="585"/>
      <c r="CD64" s="585"/>
      <c r="CE64" s="585"/>
      <c r="CF64" s="585"/>
      <c r="CG64" s="585"/>
      <c r="CH64" s="585"/>
      <c r="CI64" s="585"/>
      <c r="CJ64" s="585"/>
      <c r="CK64" s="585"/>
      <c r="CL64" s="585"/>
      <c r="CM64" s="585"/>
      <c r="CN64" s="585"/>
      <c r="CO64" s="585"/>
      <c r="CP64" s="585"/>
      <c r="CQ64" s="585"/>
      <c r="CR64" s="585"/>
      <c r="CS64" s="585"/>
      <c r="CT64" s="585"/>
      <c r="CU64" s="585"/>
      <c r="CV64" s="585"/>
      <c r="CW64" s="585"/>
      <c r="CX64" s="585"/>
      <c r="CZ64" s="582"/>
      <c r="DA64" s="582"/>
      <c r="DB64" s="582"/>
      <c r="DC64" s="582"/>
      <c r="DD64" s="582"/>
      <c r="DE64" s="582"/>
      <c r="DF64" s="583"/>
      <c r="DG64" s="583"/>
      <c r="DH64" s="583"/>
      <c r="DI64" s="583"/>
      <c r="DJ64" s="583"/>
      <c r="DK64" s="582"/>
      <c r="DL64" s="582"/>
      <c r="DM64" s="582"/>
      <c r="DN64" s="582"/>
      <c r="DO64" s="582"/>
      <c r="DP64" s="582"/>
      <c r="DQ64" s="582"/>
      <c r="DR64" s="582"/>
      <c r="DS64" s="582"/>
      <c r="DT64" s="582"/>
      <c r="DU64" s="582"/>
      <c r="DV64" s="582"/>
      <c r="DW64" s="582"/>
      <c r="DX64" s="582"/>
      <c r="DY64" s="582"/>
      <c r="DZ64" s="582"/>
      <c r="EA64" s="582"/>
      <c r="EB64" s="582"/>
      <c r="EC64" s="582"/>
      <c r="ED64" s="582"/>
      <c r="EE64" s="582"/>
      <c r="EF64" s="582"/>
      <c r="EG64" s="582"/>
      <c r="EH64" s="582"/>
      <c r="EI64" s="582"/>
      <c r="EJ64" s="582"/>
      <c r="EK64" s="582"/>
      <c r="EL64" s="582"/>
      <c r="EM64" s="582"/>
      <c r="EN64" s="582"/>
      <c r="EO64" s="582"/>
      <c r="EP64" s="582"/>
      <c r="EQ64" s="582"/>
      <c r="ER64" s="582"/>
    </row>
    <row r="65" spans="1:256" ht="17.100000000000001" customHeight="1">
      <c r="A65" s="2798">
        <v>24</v>
      </c>
      <c r="B65" s="2799"/>
      <c r="C65" s="1268">
        <v>88</v>
      </c>
      <c r="D65" s="1268">
        <v>4.4106268015162673</v>
      </c>
      <c r="E65" s="1267">
        <v>5.1535882409947167</v>
      </c>
      <c r="F65" s="1268" t="s">
        <v>972</v>
      </c>
      <c r="G65" s="1267" t="s">
        <v>972</v>
      </c>
      <c r="H65" s="1268">
        <v>79.5</v>
      </c>
      <c r="I65" s="1268" t="s">
        <v>972</v>
      </c>
      <c r="J65" s="1342" t="s">
        <v>972</v>
      </c>
      <c r="K65" s="1268">
        <v>3.02</v>
      </c>
      <c r="L65" s="1268">
        <v>78.8</v>
      </c>
      <c r="M65" s="1268">
        <v>1.7</v>
      </c>
      <c r="N65" s="1268">
        <v>72.099999999999994</v>
      </c>
      <c r="O65" s="1342" t="s">
        <v>972</v>
      </c>
      <c r="P65" s="1269" t="s">
        <v>972</v>
      </c>
      <c r="Q65" s="1342" t="s">
        <v>972</v>
      </c>
      <c r="R65" s="1269" t="s">
        <v>972</v>
      </c>
      <c r="S65" s="1266">
        <v>32.200000000000003</v>
      </c>
      <c r="T65" s="1266">
        <v>11.9</v>
      </c>
      <c r="U65" s="1342">
        <v>27928.991999999998</v>
      </c>
      <c r="V65" s="1342">
        <v>10321.583999999999</v>
      </c>
      <c r="W65" s="1343">
        <v>970</v>
      </c>
      <c r="X65" s="2156">
        <v>0.49</v>
      </c>
      <c r="Y65" s="1298">
        <v>104</v>
      </c>
      <c r="Z65" s="1268">
        <v>14.2</v>
      </c>
      <c r="AA65" s="1267">
        <v>9.4</v>
      </c>
      <c r="AB65" s="1267">
        <v>5.3550000000000004</v>
      </c>
      <c r="AC65" s="1267">
        <v>55.544160000000005</v>
      </c>
      <c r="AD65" s="2159">
        <v>470</v>
      </c>
      <c r="AE65" s="2160">
        <v>0</v>
      </c>
      <c r="AF65" s="2160">
        <v>85</v>
      </c>
      <c r="AG65" s="2160">
        <v>565</v>
      </c>
      <c r="AH65" s="1267">
        <v>23.2</v>
      </c>
      <c r="AI65" s="1267">
        <v>81.2</v>
      </c>
      <c r="AJ65" s="1267"/>
      <c r="AK65" s="1267"/>
      <c r="AL65" s="1267"/>
      <c r="AM65" s="1267"/>
      <c r="AN65" s="1267"/>
      <c r="AO65" s="585"/>
      <c r="AP65" s="585"/>
      <c r="AQ65" s="585"/>
      <c r="AR65" s="585"/>
      <c r="AS65" s="809"/>
      <c r="AT65" s="809"/>
      <c r="AU65" s="809"/>
      <c r="AV65" s="809"/>
      <c r="AW65" s="809"/>
      <c r="AX65" s="585"/>
      <c r="AY65" s="585"/>
      <c r="AZ65" s="585"/>
      <c r="BA65" s="809"/>
      <c r="BB65" s="585"/>
      <c r="BC65" s="585"/>
      <c r="BD65" s="585"/>
      <c r="BE65" s="585"/>
      <c r="BF65" s="809"/>
      <c r="BG65" s="809"/>
      <c r="BH65" s="585"/>
      <c r="BI65" s="585"/>
      <c r="BJ65" s="809"/>
      <c r="BK65" s="809"/>
      <c r="BL65" s="809"/>
      <c r="BM65" s="585"/>
      <c r="BN65" s="585"/>
      <c r="BO65" s="585"/>
      <c r="BP65" s="585"/>
      <c r="BQ65" s="585"/>
      <c r="BR65" s="585"/>
      <c r="BS65" s="585"/>
      <c r="BT65" s="585"/>
      <c r="BU65" s="585"/>
      <c r="BV65" s="585"/>
      <c r="BW65" s="585"/>
      <c r="BX65" s="585"/>
      <c r="BY65" s="585"/>
      <c r="BZ65" s="585"/>
      <c r="CA65" s="585"/>
      <c r="CB65" s="585"/>
      <c r="CC65" s="585"/>
      <c r="CD65" s="585"/>
      <c r="CE65" s="585"/>
      <c r="CF65" s="585"/>
      <c r="CG65" s="585"/>
      <c r="CH65" s="585"/>
      <c r="CI65" s="585"/>
      <c r="CJ65" s="585"/>
      <c r="CK65" s="585"/>
      <c r="CL65" s="585"/>
      <c r="CM65" s="585"/>
      <c r="CN65" s="585"/>
      <c r="CO65" s="585"/>
      <c r="CP65" s="585"/>
      <c r="CQ65" s="585"/>
      <c r="CR65" s="585"/>
      <c r="CS65" s="585"/>
      <c r="CT65" s="585"/>
      <c r="CU65" s="585"/>
      <c r="CV65" s="585"/>
      <c r="CW65" s="585"/>
      <c r="CX65" s="585"/>
      <c r="CZ65" s="582"/>
      <c r="DA65" s="582"/>
      <c r="DB65" s="582"/>
      <c r="DC65" s="582"/>
      <c r="DD65" s="582"/>
      <c r="DE65" s="582"/>
      <c r="DF65" s="583"/>
      <c r="DG65" s="583"/>
      <c r="DH65" s="583"/>
      <c r="DI65" s="583"/>
      <c r="DJ65" s="583"/>
      <c r="DK65" s="582"/>
      <c r="DL65" s="582"/>
      <c r="DM65" s="582"/>
      <c r="DN65" s="582"/>
      <c r="DO65" s="582"/>
      <c r="DP65" s="582"/>
      <c r="DQ65" s="582"/>
      <c r="DR65" s="582"/>
      <c r="DS65" s="582"/>
      <c r="DT65" s="582"/>
      <c r="DU65" s="582"/>
      <c r="DV65" s="582"/>
      <c r="DW65" s="582"/>
      <c r="DX65" s="582"/>
      <c r="DY65" s="582"/>
      <c r="DZ65" s="582"/>
      <c r="EA65" s="582"/>
      <c r="EB65" s="582"/>
      <c r="EC65" s="582"/>
      <c r="ED65" s="582"/>
      <c r="EE65" s="582"/>
      <c r="EF65" s="582"/>
      <c r="EG65" s="582"/>
      <c r="EH65" s="582"/>
      <c r="EI65" s="582"/>
      <c r="EJ65" s="582"/>
      <c r="EK65" s="582"/>
      <c r="EL65" s="582"/>
      <c r="EM65" s="582"/>
      <c r="EN65" s="582"/>
      <c r="EO65" s="582"/>
      <c r="EP65" s="582"/>
      <c r="EQ65" s="582"/>
      <c r="ER65" s="582"/>
    </row>
    <row r="66" spans="1:256" ht="17.100000000000001" customHeight="1">
      <c r="A66" s="2796">
        <f t="shared" ref="A66:A72" si="62">+A65+1</f>
        <v>25</v>
      </c>
      <c r="B66" s="2797"/>
      <c r="C66" s="1272">
        <v>91.7</v>
      </c>
      <c r="D66" s="1268">
        <v>4.4592300986401838</v>
      </c>
      <c r="E66" s="1267">
        <v>5.2831159543894328</v>
      </c>
      <c r="F66" s="1272" t="s">
        <v>972</v>
      </c>
      <c r="G66" s="1271" t="s">
        <v>972</v>
      </c>
      <c r="H66" s="1272">
        <v>58.6</v>
      </c>
      <c r="I66" s="1268" t="s">
        <v>972</v>
      </c>
      <c r="J66" s="1342" t="s">
        <v>972</v>
      </c>
      <c r="K66" s="1272" t="s">
        <v>972</v>
      </c>
      <c r="L66" s="1272" t="s">
        <v>972</v>
      </c>
      <c r="M66" s="1272" t="s">
        <v>972</v>
      </c>
      <c r="N66" s="1272" t="s">
        <v>972</v>
      </c>
      <c r="O66" s="1274" t="s">
        <v>972</v>
      </c>
      <c r="P66" s="1273" t="s">
        <v>972</v>
      </c>
      <c r="Q66" s="1274" t="s">
        <v>972</v>
      </c>
      <c r="R66" s="1273" t="s">
        <v>972</v>
      </c>
      <c r="S66" s="1270">
        <v>37.6</v>
      </c>
      <c r="T66" s="1270">
        <v>14.8</v>
      </c>
      <c r="U66" s="1274">
        <v>29163.312000000002</v>
      </c>
      <c r="V66" s="1274">
        <v>11479.175999999999</v>
      </c>
      <c r="W66" s="1343">
        <v>680</v>
      </c>
      <c r="X66" s="2157">
        <v>0.45</v>
      </c>
      <c r="Y66" s="1276">
        <v>105</v>
      </c>
      <c r="Z66" s="1268">
        <v>15.9</v>
      </c>
      <c r="AA66" s="1267">
        <v>10.5</v>
      </c>
      <c r="AB66" s="1267">
        <v>4.4349999999999996</v>
      </c>
      <c r="AC66" s="1267">
        <v>56.371919999999996</v>
      </c>
      <c r="AD66" s="1267">
        <v>450</v>
      </c>
      <c r="AE66" s="1269">
        <v>0</v>
      </c>
      <c r="AF66" s="1269">
        <v>351</v>
      </c>
      <c r="AG66" s="1269">
        <v>1127.5</v>
      </c>
      <c r="AH66" s="1267">
        <v>23.6</v>
      </c>
      <c r="AI66" s="1267">
        <v>67.2</v>
      </c>
      <c r="AJ66" s="1267"/>
      <c r="AK66" s="1267"/>
      <c r="AL66" s="1267"/>
      <c r="AM66" s="1267"/>
      <c r="AN66" s="1267"/>
      <c r="AO66" s="585"/>
      <c r="AP66" s="585"/>
      <c r="AQ66" s="585"/>
      <c r="AR66" s="585"/>
      <c r="AS66" s="809"/>
      <c r="AT66" s="809"/>
      <c r="AU66" s="809"/>
      <c r="AV66" s="809"/>
      <c r="AW66" s="809"/>
      <c r="AX66" s="585"/>
      <c r="AY66" s="585"/>
      <c r="AZ66" s="585"/>
      <c r="BA66" s="809"/>
      <c r="BB66" s="585"/>
      <c r="BC66" s="585"/>
      <c r="BD66" s="585"/>
      <c r="BE66" s="585"/>
      <c r="BF66" s="809"/>
      <c r="BG66" s="809"/>
      <c r="BH66" s="585"/>
      <c r="BI66" s="585"/>
      <c r="BJ66" s="809"/>
      <c r="BK66" s="809"/>
      <c r="BL66" s="809"/>
      <c r="BM66" s="585"/>
      <c r="BN66" s="585"/>
      <c r="BO66" s="585"/>
      <c r="BP66" s="585"/>
      <c r="BQ66" s="585"/>
      <c r="BR66" s="585"/>
      <c r="BS66" s="585"/>
      <c r="BT66" s="585"/>
      <c r="BU66" s="585"/>
      <c r="BV66" s="585"/>
      <c r="BW66" s="585"/>
      <c r="BX66" s="585"/>
      <c r="BY66" s="585"/>
      <c r="BZ66" s="585"/>
      <c r="CA66" s="585"/>
      <c r="CB66" s="585"/>
      <c r="CC66" s="585"/>
      <c r="CD66" s="585"/>
      <c r="CE66" s="585"/>
      <c r="CF66" s="585"/>
      <c r="CG66" s="585"/>
      <c r="CH66" s="585"/>
      <c r="CI66" s="585"/>
      <c r="CJ66" s="585"/>
      <c r="CK66" s="585"/>
      <c r="CL66" s="585"/>
      <c r="CM66" s="585"/>
      <c r="CN66" s="585"/>
      <c r="CO66" s="585"/>
      <c r="CP66" s="585"/>
      <c r="CQ66" s="585"/>
      <c r="CR66" s="585"/>
      <c r="CS66" s="585"/>
      <c r="CT66" s="585"/>
      <c r="CU66" s="585"/>
      <c r="CV66" s="585"/>
      <c r="CW66" s="585"/>
      <c r="CX66" s="585"/>
      <c r="CZ66" s="582"/>
      <c r="DA66" s="582"/>
      <c r="DB66" s="582"/>
      <c r="DC66" s="582"/>
      <c r="DD66" s="582"/>
      <c r="DE66" s="582"/>
      <c r="DF66" s="583"/>
      <c r="DG66" s="583"/>
      <c r="DH66" s="583"/>
      <c r="DI66" s="583"/>
      <c r="DJ66" s="583"/>
      <c r="DK66" s="582"/>
      <c r="DL66" s="582"/>
      <c r="DM66" s="582"/>
      <c r="DN66" s="582"/>
      <c r="DO66" s="582"/>
      <c r="DP66" s="582"/>
      <c r="DQ66" s="582"/>
      <c r="DR66" s="582"/>
      <c r="DS66" s="582"/>
      <c r="DT66" s="582"/>
      <c r="DU66" s="582"/>
      <c r="DV66" s="582"/>
      <c r="DW66" s="582"/>
      <c r="DX66" s="582"/>
      <c r="DY66" s="582"/>
      <c r="DZ66" s="582"/>
      <c r="EA66" s="582"/>
      <c r="EB66" s="582"/>
      <c r="EC66" s="582"/>
      <c r="ED66" s="582"/>
      <c r="EE66" s="582"/>
      <c r="EF66" s="582"/>
      <c r="EG66" s="582"/>
      <c r="EH66" s="582"/>
      <c r="EI66" s="582"/>
      <c r="EJ66" s="582"/>
      <c r="EK66" s="582"/>
      <c r="EL66" s="582"/>
      <c r="EM66" s="582"/>
      <c r="EN66" s="582"/>
      <c r="EO66" s="582"/>
      <c r="EP66" s="582"/>
      <c r="EQ66" s="582"/>
      <c r="ER66" s="582"/>
    </row>
    <row r="67" spans="1:256" ht="17.100000000000001" customHeight="1">
      <c r="A67" s="2796">
        <f t="shared" si="62"/>
        <v>26</v>
      </c>
      <c r="B67" s="2797"/>
      <c r="C67" s="1272">
        <v>93.9</v>
      </c>
      <c r="D67" s="1268">
        <v>4.4330817763033776</v>
      </c>
      <c r="E67" s="1267">
        <v>5.2832237918774885</v>
      </c>
      <c r="F67" s="1272" t="s">
        <v>972</v>
      </c>
      <c r="G67" s="1272" t="s">
        <v>972</v>
      </c>
      <c r="H67" s="1272">
        <v>69.099999999999994</v>
      </c>
      <c r="I67" s="1268" t="s">
        <v>972</v>
      </c>
      <c r="J67" s="1342" t="s">
        <v>972</v>
      </c>
      <c r="K67" s="1272" t="s">
        <v>972</v>
      </c>
      <c r="L67" s="1272" t="s">
        <v>972</v>
      </c>
      <c r="M67" s="1272" t="s">
        <v>972</v>
      </c>
      <c r="N67" s="1272" t="s">
        <v>972</v>
      </c>
      <c r="O67" s="1274" t="s">
        <v>972</v>
      </c>
      <c r="P67" s="1274" t="s">
        <v>972</v>
      </c>
      <c r="Q67" s="1274" t="s">
        <v>972</v>
      </c>
      <c r="R67" s="1274" t="s">
        <v>972</v>
      </c>
      <c r="S67" s="1272">
        <v>36.6</v>
      </c>
      <c r="T67" s="1272">
        <v>16.899999999999999</v>
      </c>
      <c r="U67" s="1274">
        <v>31134.888000000003</v>
      </c>
      <c r="V67" s="1274">
        <v>14376.492</v>
      </c>
      <c r="W67" s="1343">
        <v>730</v>
      </c>
      <c r="X67" s="2157">
        <v>0.5</v>
      </c>
      <c r="Y67" s="1276">
        <v>105</v>
      </c>
      <c r="Z67" s="1268">
        <v>14.5</v>
      </c>
      <c r="AA67" s="1267">
        <v>9.6</v>
      </c>
      <c r="AB67" s="1267">
        <v>4.5250000000000004</v>
      </c>
      <c r="AC67" s="1267">
        <v>58.027200000000008</v>
      </c>
      <c r="AD67" s="1267">
        <v>330</v>
      </c>
      <c r="AE67" s="1269">
        <v>0</v>
      </c>
      <c r="AF67" s="1269">
        <v>376</v>
      </c>
      <c r="AG67" s="1269">
        <v>1266.5</v>
      </c>
      <c r="AH67" s="1267">
        <v>22.96</v>
      </c>
      <c r="AI67" s="1267">
        <v>74.099999999999994</v>
      </c>
      <c r="AJ67" s="1267"/>
      <c r="AK67" s="1267"/>
      <c r="AL67" s="1267"/>
      <c r="AM67" s="1267"/>
      <c r="AN67" s="1267"/>
      <c r="AO67" s="585"/>
      <c r="AP67" s="585"/>
      <c r="AQ67" s="585"/>
      <c r="AR67" s="585"/>
      <c r="AS67" s="809"/>
      <c r="AT67" s="809"/>
      <c r="AU67" s="809"/>
      <c r="AV67" s="809"/>
      <c r="AW67" s="809"/>
      <c r="AX67" s="585"/>
      <c r="AY67" s="585"/>
      <c r="AZ67" s="585"/>
      <c r="BA67" s="809"/>
      <c r="BB67" s="585"/>
      <c r="BC67" s="585"/>
      <c r="BD67" s="585"/>
      <c r="BE67" s="585"/>
      <c r="BF67" s="809"/>
      <c r="BG67" s="809"/>
      <c r="BH67" s="585"/>
      <c r="BI67" s="585"/>
      <c r="BJ67" s="809"/>
      <c r="BK67" s="809"/>
      <c r="BL67" s="809"/>
      <c r="BM67" s="585"/>
      <c r="BN67" s="585"/>
      <c r="BO67" s="585"/>
      <c r="BP67" s="585"/>
      <c r="BQ67" s="585"/>
      <c r="BR67" s="585"/>
      <c r="BS67" s="585"/>
      <c r="BT67" s="585"/>
      <c r="BU67" s="585"/>
      <c r="BV67" s="585"/>
      <c r="BW67" s="585"/>
      <c r="BX67" s="585"/>
      <c r="BY67" s="585"/>
      <c r="BZ67" s="585"/>
      <c r="CA67" s="585"/>
      <c r="CB67" s="585"/>
      <c r="CC67" s="585"/>
      <c r="CD67" s="585"/>
      <c r="CE67" s="585"/>
      <c r="CF67" s="585"/>
      <c r="CG67" s="585"/>
      <c r="CH67" s="585"/>
      <c r="CI67" s="585"/>
      <c r="CJ67" s="585"/>
      <c r="CK67" s="585"/>
      <c r="CL67" s="585"/>
      <c r="CM67" s="585"/>
      <c r="CN67" s="585"/>
      <c r="CO67" s="585"/>
      <c r="CP67" s="585"/>
      <c r="CQ67" s="585"/>
      <c r="CR67" s="585"/>
      <c r="CS67" s="585"/>
      <c r="CT67" s="585"/>
      <c r="CU67" s="585"/>
      <c r="CV67" s="585"/>
      <c r="CW67" s="585"/>
      <c r="CX67" s="585"/>
      <c r="CZ67" s="582"/>
      <c r="DA67" s="582"/>
      <c r="DB67" s="582"/>
      <c r="DC67" s="582"/>
      <c r="DD67" s="582"/>
      <c r="DE67" s="582"/>
      <c r="DF67" s="582"/>
      <c r="DG67" s="583"/>
      <c r="DH67" s="583"/>
      <c r="DI67" s="583"/>
      <c r="DJ67" s="583"/>
      <c r="DK67" s="583"/>
      <c r="DL67" s="582"/>
      <c r="DM67" s="582"/>
      <c r="DN67" s="582"/>
      <c r="DO67" s="582"/>
      <c r="DP67" s="582"/>
      <c r="DQ67" s="582"/>
      <c r="DR67" s="582"/>
      <c r="DS67" s="582"/>
      <c r="DT67" s="582"/>
      <c r="DU67" s="582"/>
      <c r="DV67" s="582"/>
      <c r="DW67" s="582"/>
      <c r="DX67" s="582"/>
      <c r="DY67" s="582"/>
      <c r="DZ67" s="582"/>
      <c r="EA67" s="582"/>
      <c r="EB67" s="582"/>
      <c r="EC67" s="582"/>
      <c r="ED67" s="582"/>
      <c r="EE67" s="582"/>
      <c r="EF67" s="582"/>
      <c r="EG67" s="2763" t="str">
        <f>IF(ABS(EG42-SUM(EH42:EJ42))=0,"","CHECK Fuel!!!!!")</f>
        <v>CHECK Fuel!!!!!</v>
      </c>
      <c r="EH67" s="2763"/>
      <c r="EI67" s="2763"/>
      <c r="EJ67" s="2763"/>
      <c r="EK67" s="582"/>
      <c r="EL67" s="582"/>
      <c r="EM67" s="582"/>
      <c r="EN67" s="582"/>
      <c r="EO67" s="582"/>
      <c r="EP67" s="582"/>
      <c r="EQ67" s="582"/>
      <c r="ER67" s="582"/>
      <c r="ES67" s="582"/>
      <c r="IV67" s="578"/>
    </row>
    <row r="68" spans="1:256" ht="17.100000000000001" customHeight="1">
      <c r="A68" s="2796">
        <f t="shared" si="62"/>
        <v>27</v>
      </c>
      <c r="B68" s="2797"/>
      <c r="C68" s="1272">
        <v>93.9</v>
      </c>
      <c r="D68" s="1268">
        <v>3.8946544184854655</v>
      </c>
      <c r="E68" s="1267">
        <v>3.6839812896820527</v>
      </c>
      <c r="F68" s="1272">
        <v>0.88</v>
      </c>
      <c r="G68" s="1272">
        <v>0.56097560975609762</v>
      </c>
      <c r="H68" s="1272">
        <v>59.3</v>
      </c>
      <c r="I68" s="1268" t="s">
        <v>972</v>
      </c>
      <c r="J68" s="1342" t="s">
        <v>972</v>
      </c>
      <c r="K68" s="1272" t="s">
        <v>972</v>
      </c>
      <c r="L68" s="1272" t="s">
        <v>972</v>
      </c>
      <c r="M68" s="1272" t="s">
        <v>972</v>
      </c>
      <c r="N68" s="1272" t="s">
        <v>972</v>
      </c>
      <c r="O68" s="1274">
        <v>2200</v>
      </c>
      <c r="P68" s="1274">
        <v>2300</v>
      </c>
      <c r="Q68" s="1276">
        <v>4000</v>
      </c>
      <c r="R68" s="1275">
        <v>2700</v>
      </c>
      <c r="S68" s="1272">
        <v>37.799999999999997</v>
      </c>
      <c r="T68" s="1272">
        <v>14.3</v>
      </c>
      <c r="U68" s="1274">
        <v>31525.199999999997</v>
      </c>
      <c r="V68" s="1274">
        <v>11926.2</v>
      </c>
      <c r="W68" s="1343">
        <v>880</v>
      </c>
      <c r="X68" s="2157">
        <v>0.48</v>
      </c>
      <c r="Y68" s="1276">
        <v>105</v>
      </c>
      <c r="Z68" s="1268">
        <v>15.1</v>
      </c>
      <c r="AA68" s="1267">
        <v>10.9</v>
      </c>
      <c r="AB68" s="1267">
        <v>5.18</v>
      </c>
      <c r="AC68" s="1267">
        <v>56.695200000000007</v>
      </c>
      <c r="AD68" s="1267">
        <v>460</v>
      </c>
      <c r="AE68" s="1269">
        <v>0</v>
      </c>
      <c r="AF68" s="1269">
        <v>140</v>
      </c>
      <c r="AG68" s="1269">
        <v>1342</v>
      </c>
      <c r="AH68" s="1267">
        <v>22.5</v>
      </c>
      <c r="AI68" s="1267">
        <v>82.1</v>
      </c>
      <c r="AJ68" s="1267"/>
      <c r="AK68" s="1267"/>
      <c r="AL68" s="1267"/>
      <c r="AM68" s="1267"/>
      <c r="AN68" s="1267"/>
      <c r="AO68" s="585"/>
      <c r="AP68" s="585"/>
      <c r="AQ68" s="585"/>
      <c r="AR68" s="585"/>
      <c r="AS68" s="809"/>
      <c r="AT68" s="809"/>
      <c r="AU68" s="809"/>
      <c r="AV68" s="809"/>
      <c r="AW68" s="809"/>
      <c r="AX68" s="585"/>
      <c r="AY68" s="585"/>
      <c r="AZ68" s="585"/>
      <c r="BA68" s="809"/>
      <c r="BB68" s="585"/>
      <c r="BC68" s="585"/>
      <c r="BD68" s="585"/>
      <c r="BE68" s="585"/>
      <c r="BF68" s="809"/>
      <c r="BG68" s="809"/>
      <c r="BH68" s="585"/>
      <c r="BI68" s="585"/>
      <c r="BJ68" s="809"/>
      <c r="BK68" s="809"/>
      <c r="BL68" s="809"/>
      <c r="BM68" s="585"/>
      <c r="BN68" s="585"/>
      <c r="BO68" s="585"/>
      <c r="BP68" s="585"/>
      <c r="BQ68" s="585"/>
      <c r="BR68" s="585"/>
      <c r="BS68" s="585"/>
      <c r="BT68" s="585"/>
      <c r="BU68" s="585"/>
      <c r="BV68" s="585"/>
      <c r="BW68" s="585"/>
      <c r="BX68" s="585"/>
      <c r="BY68" s="585"/>
      <c r="BZ68" s="585"/>
      <c r="CA68" s="585"/>
      <c r="CB68" s="585"/>
      <c r="CC68" s="585"/>
      <c r="CD68" s="585"/>
      <c r="CE68" s="585"/>
      <c r="CF68" s="585"/>
      <c r="CG68" s="585"/>
      <c r="CH68" s="585"/>
      <c r="CI68" s="585"/>
      <c r="CJ68" s="585"/>
      <c r="CK68" s="585"/>
      <c r="CL68" s="585"/>
      <c r="CM68" s="585"/>
      <c r="CN68" s="585"/>
      <c r="CO68" s="585"/>
      <c r="CP68" s="585"/>
      <c r="CQ68" s="585"/>
      <c r="CR68" s="585"/>
      <c r="CS68" s="585"/>
      <c r="CT68" s="585"/>
      <c r="CU68" s="585"/>
      <c r="CV68" s="585"/>
      <c r="CW68" s="585"/>
      <c r="CX68" s="585"/>
      <c r="CZ68" s="582"/>
      <c r="DA68" s="582"/>
      <c r="DB68" s="582"/>
      <c r="DC68" s="582"/>
      <c r="DD68" s="582"/>
      <c r="DE68" s="582"/>
      <c r="DF68" s="582"/>
      <c r="DG68" s="583"/>
      <c r="DH68" s="583"/>
      <c r="DI68" s="583"/>
      <c r="DJ68" s="583"/>
      <c r="DK68" s="583"/>
      <c r="DL68" s="582"/>
      <c r="DM68" s="582"/>
      <c r="DN68" s="582"/>
      <c r="DO68" s="582"/>
      <c r="DP68" s="582"/>
      <c r="DQ68" s="582"/>
      <c r="DR68" s="582"/>
      <c r="DS68" s="582"/>
      <c r="DT68" s="582"/>
      <c r="DU68" s="582"/>
      <c r="DV68" s="582"/>
      <c r="DW68" s="582"/>
      <c r="DX68" s="582"/>
      <c r="DY68" s="582"/>
      <c r="DZ68" s="582"/>
      <c r="EA68" s="582"/>
      <c r="EB68" s="582"/>
      <c r="EC68" s="582"/>
      <c r="ED68" s="582"/>
      <c r="EE68" s="582"/>
      <c r="EF68" s="582"/>
      <c r="EG68" s="2763"/>
      <c r="EH68" s="2763"/>
      <c r="EI68" s="2763"/>
      <c r="EJ68" s="2763"/>
      <c r="EK68" s="582"/>
      <c r="EL68" s="582"/>
      <c r="EM68" s="582"/>
      <c r="EN68" s="582"/>
      <c r="EO68" s="582"/>
      <c r="EP68" s="582"/>
      <c r="EQ68" s="582"/>
      <c r="ER68" s="582"/>
      <c r="ES68" s="582"/>
      <c r="IV68" s="578"/>
    </row>
    <row r="69" spans="1:256" ht="17.100000000000001" customHeight="1">
      <c r="A69" s="2796">
        <f t="shared" si="62"/>
        <v>28</v>
      </c>
      <c r="B69" s="2797"/>
      <c r="C69" s="1272">
        <v>95.9</v>
      </c>
      <c r="D69" s="1268">
        <v>3.9923891028984575</v>
      </c>
      <c r="E69" s="1267">
        <v>5.6492248380720502</v>
      </c>
      <c r="F69" s="1272">
        <v>0.61855670103092786</v>
      </c>
      <c r="G69" s="1272">
        <v>0.59090909090909094</v>
      </c>
      <c r="H69" s="1272">
        <v>78.7</v>
      </c>
      <c r="I69" s="1274" t="s">
        <v>972</v>
      </c>
      <c r="J69" s="1274" t="s">
        <v>972</v>
      </c>
      <c r="K69" s="1272">
        <v>2.96</v>
      </c>
      <c r="L69" s="1272">
        <v>84</v>
      </c>
      <c r="M69" s="1272">
        <v>1.79</v>
      </c>
      <c r="N69" s="1272">
        <v>71.2</v>
      </c>
      <c r="O69" s="1274">
        <v>3000</v>
      </c>
      <c r="P69" s="1274">
        <v>2600</v>
      </c>
      <c r="Q69" s="1276">
        <v>3700</v>
      </c>
      <c r="R69" s="1275">
        <v>3800</v>
      </c>
      <c r="S69" s="1272">
        <v>38.4</v>
      </c>
      <c r="T69" s="1272">
        <v>14.9</v>
      </c>
      <c r="U69" s="1274">
        <v>36509.183999999994</v>
      </c>
      <c r="V69" s="1274">
        <v>14166.324000000001</v>
      </c>
      <c r="W69" s="1343">
        <v>970</v>
      </c>
      <c r="X69" s="2157">
        <v>0.49</v>
      </c>
      <c r="Y69" s="1276">
        <v>106</v>
      </c>
      <c r="Z69" s="1268">
        <v>10.8</v>
      </c>
      <c r="AA69" s="1267">
        <v>8.6</v>
      </c>
      <c r="AB69" s="1267">
        <v>4.9375</v>
      </c>
      <c r="AC69" s="1267">
        <v>59.252879999999998</v>
      </c>
      <c r="AD69" s="1267">
        <v>470</v>
      </c>
      <c r="AE69" s="1269">
        <v>0</v>
      </c>
      <c r="AF69" s="1269">
        <v>99</v>
      </c>
      <c r="AG69" s="1269">
        <v>70.5</v>
      </c>
      <c r="AH69" s="1267">
        <v>24.2</v>
      </c>
      <c r="AI69" s="1267">
        <v>82.9</v>
      </c>
      <c r="AJ69" s="1267"/>
      <c r="AK69" s="1267"/>
      <c r="AL69" s="1267"/>
      <c r="AM69" s="1267"/>
      <c r="AN69" s="1267"/>
      <c r="AO69" s="585"/>
      <c r="AP69" s="585"/>
      <c r="AQ69" s="585"/>
      <c r="AR69" s="585"/>
      <c r="AS69" s="809"/>
      <c r="AT69" s="809"/>
      <c r="AU69" s="809"/>
      <c r="AV69" s="809"/>
      <c r="AW69" s="809"/>
      <c r="AX69" s="585"/>
      <c r="AY69" s="585"/>
      <c r="AZ69" s="585"/>
      <c r="BA69" s="809"/>
      <c r="BB69" s="585"/>
      <c r="BC69" s="585"/>
      <c r="BD69" s="585"/>
      <c r="BE69" s="585"/>
      <c r="BF69" s="809"/>
      <c r="BG69" s="809"/>
      <c r="BH69" s="585"/>
      <c r="BI69" s="585"/>
      <c r="BJ69" s="809"/>
      <c r="BK69" s="809"/>
      <c r="BL69" s="809"/>
      <c r="BM69" s="585"/>
      <c r="BN69" s="585"/>
      <c r="BO69" s="585"/>
      <c r="BP69" s="585"/>
      <c r="BQ69" s="585"/>
      <c r="BR69" s="585"/>
      <c r="BS69" s="585"/>
      <c r="BT69" s="585"/>
      <c r="BU69" s="585"/>
      <c r="BV69" s="585"/>
      <c r="BW69" s="585"/>
      <c r="BX69" s="585"/>
      <c r="BY69" s="585"/>
      <c r="BZ69" s="585"/>
      <c r="CA69" s="585"/>
      <c r="CB69" s="585"/>
      <c r="CC69" s="585"/>
      <c r="CD69" s="585"/>
      <c r="CE69" s="585"/>
      <c r="CF69" s="585"/>
      <c r="CG69" s="585"/>
      <c r="CH69" s="585"/>
      <c r="CI69" s="585"/>
      <c r="CJ69" s="585"/>
      <c r="CK69" s="585"/>
      <c r="CL69" s="585"/>
      <c r="CM69" s="585"/>
      <c r="CN69" s="585"/>
      <c r="CO69" s="585"/>
      <c r="CP69" s="585"/>
      <c r="CQ69" s="585"/>
      <c r="CR69" s="585"/>
      <c r="CS69" s="585"/>
      <c r="CT69" s="585"/>
      <c r="CU69" s="585"/>
      <c r="CV69" s="585"/>
      <c r="CW69" s="585"/>
      <c r="CX69" s="585"/>
      <c r="CZ69" s="582"/>
      <c r="DA69" s="582"/>
      <c r="DB69" s="582"/>
      <c r="DC69" s="582"/>
      <c r="DD69" s="582"/>
      <c r="DE69" s="582"/>
      <c r="DF69" s="582"/>
      <c r="DG69" s="583"/>
      <c r="DH69" s="583"/>
      <c r="DI69" s="583"/>
      <c r="DJ69" s="583"/>
      <c r="DK69" s="583"/>
      <c r="DL69" s="582"/>
      <c r="DM69" s="582"/>
      <c r="DN69" s="582"/>
      <c r="DO69" s="582"/>
      <c r="DP69" s="582"/>
      <c r="DQ69" s="582"/>
      <c r="DR69" s="582"/>
      <c r="DS69" s="582"/>
      <c r="DT69" s="582"/>
      <c r="DU69" s="582"/>
      <c r="DV69" s="582"/>
      <c r="DW69" s="582"/>
      <c r="DX69" s="582"/>
      <c r="DY69" s="582"/>
      <c r="DZ69" s="582"/>
      <c r="EA69" s="582"/>
      <c r="EB69" s="582"/>
      <c r="EC69" s="582"/>
      <c r="ED69" s="582"/>
      <c r="EE69" s="582"/>
      <c r="EF69" s="582"/>
      <c r="EG69" s="2763"/>
      <c r="EH69" s="2763"/>
      <c r="EI69" s="2763"/>
      <c r="EJ69" s="2763"/>
      <c r="EK69" s="582"/>
      <c r="EL69" s="582"/>
      <c r="EM69" s="582"/>
      <c r="EN69" s="582"/>
      <c r="EO69" s="582"/>
      <c r="EP69" s="582"/>
      <c r="EQ69" s="582"/>
      <c r="ER69" s="582"/>
      <c r="ES69" s="582"/>
      <c r="IV69" s="578"/>
    </row>
    <row r="70" spans="1:256" ht="17.100000000000001" customHeight="1">
      <c r="A70" s="2796">
        <f t="shared" si="62"/>
        <v>29</v>
      </c>
      <c r="B70" s="2797"/>
      <c r="C70" s="1272">
        <v>94</v>
      </c>
      <c r="D70" s="1268">
        <v>4.0345436513904724</v>
      </c>
      <c r="E70" s="1267">
        <v>6.5413594409777724</v>
      </c>
      <c r="F70" s="1272">
        <v>0.7567567567567568</v>
      </c>
      <c r="G70" s="1272">
        <v>0.79245283018867929</v>
      </c>
      <c r="H70" s="1272">
        <v>63.8</v>
      </c>
      <c r="I70" s="1274">
        <v>726</v>
      </c>
      <c r="J70" s="1274">
        <v>662</v>
      </c>
      <c r="K70" s="1272">
        <v>2.87</v>
      </c>
      <c r="L70" s="1272">
        <v>84.1</v>
      </c>
      <c r="M70" s="1272">
        <v>1.6</v>
      </c>
      <c r="N70" s="1272">
        <v>72.5</v>
      </c>
      <c r="O70" s="1274">
        <v>1400</v>
      </c>
      <c r="P70" s="1274">
        <v>2100</v>
      </c>
      <c r="Q70" s="1276">
        <v>3500</v>
      </c>
      <c r="R70" s="1275">
        <v>3800</v>
      </c>
      <c r="S70" s="1272">
        <v>21.4</v>
      </c>
      <c r="T70" s="1272">
        <v>11.3</v>
      </c>
      <c r="U70" s="1274">
        <v>27128.351999999999</v>
      </c>
      <c r="V70" s="1274">
        <v>14324.784000000001</v>
      </c>
      <c r="W70" s="1343">
        <v>1460</v>
      </c>
      <c r="X70" s="2157">
        <v>0.5</v>
      </c>
      <c r="Y70" s="1276">
        <v>103</v>
      </c>
      <c r="Z70" s="1268">
        <v>7.9</v>
      </c>
      <c r="AA70" s="1267">
        <v>7.7</v>
      </c>
      <c r="AB70" s="1267">
        <v>7.1725000000000003</v>
      </c>
      <c r="AC70" s="1267">
        <v>58.260719999999992</v>
      </c>
      <c r="AD70" s="1267">
        <v>410</v>
      </c>
      <c r="AE70" s="1269">
        <v>0</v>
      </c>
      <c r="AF70" s="1269">
        <v>47</v>
      </c>
      <c r="AG70" s="1269">
        <v>0</v>
      </c>
      <c r="AH70" s="1267">
        <v>24</v>
      </c>
      <c r="AI70" s="1267">
        <v>77.2</v>
      </c>
      <c r="AJ70" s="1267"/>
      <c r="AK70" s="1267"/>
      <c r="AL70" s="1267"/>
      <c r="AM70" s="1267"/>
      <c r="AN70" s="1267"/>
      <c r="AO70" s="585"/>
      <c r="AP70" s="585"/>
      <c r="AQ70" s="585"/>
      <c r="AR70" s="2155" t="str">
        <f ca="1">IF(D7&gt;TODAY(),"",+VLOOKUP($C17,AT_!$AE$83:$BY$113,22))</f>
        <v/>
      </c>
      <c r="AS70" s="809"/>
      <c r="AT70" s="809"/>
      <c r="AU70" s="809"/>
      <c r="AV70" s="809"/>
      <c r="AW70" s="809"/>
      <c r="AX70" s="585"/>
      <c r="AY70" s="585"/>
      <c r="AZ70" s="585"/>
      <c r="BA70" s="809"/>
      <c r="BB70" s="585"/>
      <c r="BC70" s="585"/>
      <c r="BD70" s="585"/>
      <c r="BE70" s="585"/>
      <c r="BF70" s="809"/>
      <c r="BG70" s="809"/>
      <c r="BH70" s="585"/>
      <c r="BI70" s="585"/>
      <c r="BJ70" s="809"/>
      <c r="BK70" s="809"/>
      <c r="BL70" s="809"/>
      <c r="BM70" s="585"/>
      <c r="BN70" s="585"/>
      <c r="BO70" s="585"/>
      <c r="BP70" s="585"/>
      <c r="BQ70" s="585"/>
      <c r="BR70" s="585"/>
      <c r="BS70" s="585"/>
      <c r="BT70" s="585"/>
      <c r="BU70" s="585"/>
      <c r="BV70" s="585"/>
      <c r="BW70" s="585"/>
      <c r="BX70" s="585"/>
      <c r="BY70" s="585"/>
      <c r="BZ70" s="585"/>
      <c r="CA70" s="585"/>
      <c r="CB70" s="585"/>
      <c r="CC70" s="585"/>
      <c r="CD70" s="585"/>
      <c r="CE70" s="585"/>
      <c r="CF70" s="585"/>
      <c r="CG70" s="585"/>
      <c r="CH70" s="585"/>
      <c r="CI70" s="585"/>
      <c r="CJ70" s="585"/>
      <c r="CK70" s="585"/>
      <c r="CL70" s="585"/>
      <c r="CM70" s="585"/>
      <c r="CN70" s="585"/>
      <c r="CO70" s="585"/>
      <c r="CP70" s="585"/>
      <c r="CQ70" s="585"/>
      <c r="CR70" s="585"/>
      <c r="CS70" s="585"/>
      <c r="CT70" s="585"/>
      <c r="CU70" s="585"/>
      <c r="CV70" s="585"/>
      <c r="CW70" s="585"/>
      <c r="CX70" s="585"/>
      <c r="CZ70" s="582"/>
      <c r="DA70" s="582"/>
      <c r="DB70" s="582"/>
      <c r="DC70" s="582"/>
      <c r="DD70" s="582"/>
      <c r="DE70" s="582"/>
      <c r="DF70" s="582"/>
      <c r="DG70" s="583"/>
      <c r="DH70" s="583"/>
      <c r="DI70" s="583"/>
      <c r="DJ70" s="583"/>
      <c r="DK70" s="583"/>
      <c r="DL70" s="582"/>
      <c r="DM70" s="582"/>
      <c r="DN70" s="582"/>
      <c r="DO70" s="582"/>
      <c r="DP70" s="582"/>
      <c r="DQ70" s="582"/>
      <c r="DR70" s="582"/>
      <c r="DS70" s="582"/>
      <c r="DT70" s="582"/>
      <c r="DU70" s="582"/>
      <c r="DV70" s="582"/>
      <c r="DW70" s="582"/>
      <c r="DX70" s="582"/>
      <c r="DY70" s="582"/>
      <c r="DZ70" s="582"/>
      <c r="EA70" s="582"/>
      <c r="EB70" s="582"/>
      <c r="EC70" s="582"/>
      <c r="ED70" s="582"/>
      <c r="EE70" s="582"/>
      <c r="EF70" s="582"/>
      <c r="EG70" s="582"/>
      <c r="EH70" s="582"/>
      <c r="EI70" s="582"/>
      <c r="EJ70" s="582"/>
      <c r="EK70" s="582"/>
      <c r="EL70" s="582"/>
      <c r="EM70" s="582"/>
      <c r="EN70" s="582"/>
      <c r="EO70" s="582"/>
      <c r="EP70" s="582"/>
      <c r="EQ70" s="582"/>
      <c r="ER70" s="582"/>
      <c r="ES70" s="582"/>
      <c r="IV70" s="578"/>
    </row>
    <row r="71" spans="1:256" ht="17.100000000000001" customHeight="1">
      <c r="A71" s="2796">
        <f t="shared" si="62"/>
        <v>30</v>
      </c>
      <c r="B71" s="2797"/>
      <c r="C71" s="1272">
        <v>95.3</v>
      </c>
      <c r="D71" s="1268">
        <v>4.405053855460106</v>
      </c>
      <c r="E71" s="1267">
        <v>5.4540124375509578</v>
      </c>
      <c r="F71" s="1272">
        <v>0.91228070175438591</v>
      </c>
      <c r="G71" s="1272">
        <v>0.57943925233644855</v>
      </c>
      <c r="H71" s="1272">
        <v>46.9</v>
      </c>
      <c r="I71" s="1274" t="s">
        <v>972</v>
      </c>
      <c r="J71" s="1274" t="s">
        <v>972</v>
      </c>
      <c r="K71" s="1272">
        <v>2.9</v>
      </c>
      <c r="L71" s="1272">
        <v>81.8</v>
      </c>
      <c r="M71" s="1272">
        <v>1.8</v>
      </c>
      <c r="N71" s="1272">
        <v>70.2</v>
      </c>
      <c r="O71" s="1274">
        <v>2600</v>
      </c>
      <c r="P71" s="1274">
        <v>3100</v>
      </c>
      <c r="Q71" s="1276">
        <v>4200</v>
      </c>
      <c r="R71" s="1275">
        <v>4200</v>
      </c>
      <c r="S71" s="1272">
        <v>30.9</v>
      </c>
      <c r="T71" s="1272">
        <v>12.2</v>
      </c>
      <c r="U71" s="1274">
        <v>33501.779999999992</v>
      </c>
      <c r="V71" s="1274">
        <v>13227.239999999998</v>
      </c>
      <c r="W71" s="1343">
        <v>780</v>
      </c>
      <c r="X71" s="2157">
        <v>0.43</v>
      </c>
      <c r="Y71" s="1276">
        <v>104</v>
      </c>
      <c r="Z71" s="1268">
        <v>10.5</v>
      </c>
      <c r="AA71" s="1267">
        <v>7.2</v>
      </c>
      <c r="AB71" s="1267">
        <v>4.9424999999999999</v>
      </c>
      <c r="AC71" s="1267">
        <v>58.332000000000001</v>
      </c>
      <c r="AD71" s="1267">
        <v>440</v>
      </c>
      <c r="AE71" s="1269">
        <v>0</v>
      </c>
      <c r="AF71" s="1269">
        <v>43</v>
      </c>
      <c r="AG71" s="1269">
        <v>0</v>
      </c>
      <c r="AH71" s="1267">
        <v>22.8</v>
      </c>
      <c r="AI71" s="1267">
        <v>85.3</v>
      </c>
      <c r="AJ71" s="1267"/>
      <c r="AK71" s="1267"/>
      <c r="AL71" s="1267"/>
      <c r="AM71" s="1267"/>
      <c r="AN71" s="1267"/>
      <c r="AO71" s="585"/>
      <c r="AP71" s="585"/>
      <c r="AQ71" s="585"/>
      <c r="AR71" s="585"/>
      <c r="AS71" s="809"/>
      <c r="AT71" s="809"/>
      <c r="AU71" s="809"/>
      <c r="AV71" s="809"/>
      <c r="AW71" s="809"/>
      <c r="AX71" s="585"/>
      <c r="AY71" s="585"/>
      <c r="AZ71" s="585"/>
      <c r="BA71" s="809"/>
      <c r="BB71" s="585"/>
      <c r="BC71" s="585"/>
      <c r="BD71" s="585"/>
      <c r="BE71" s="585"/>
      <c r="BF71" s="809"/>
      <c r="BG71" s="809"/>
      <c r="BH71" s="585"/>
      <c r="BI71" s="585"/>
      <c r="BJ71" s="809"/>
      <c r="BK71" s="809"/>
      <c r="BL71" s="809"/>
      <c r="BM71" s="585"/>
      <c r="BN71" s="585"/>
      <c r="BO71" s="585"/>
      <c r="BP71" s="585"/>
      <c r="BQ71" s="585"/>
      <c r="BR71" s="585"/>
      <c r="BS71" s="585"/>
      <c r="BT71" s="585"/>
      <c r="BU71" s="585"/>
      <c r="BV71" s="585"/>
      <c r="BW71" s="585"/>
      <c r="BX71" s="585"/>
      <c r="BY71" s="585"/>
      <c r="BZ71" s="585"/>
      <c r="CA71" s="585"/>
      <c r="CB71" s="585"/>
      <c r="CC71" s="585"/>
      <c r="CD71" s="585"/>
      <c r="CE71" s="585"/>
      <c r="CF71" s="585"/>
      <c r="CG71" s="585"/>
      <c r="CH71" s="585"/>
      <c r="CI71" s="585"/>
      <c r="CJ71" s="585"/>
      <c r="CK71" s="585"/>
      <c r="CL71" s="585"/>
      <c r="CM71" s="585"/>
      <c r="CN71" s="585"/>
      <c r="CO71" s="585"/>
      <c r="CP71" s="585"/>
      <c r="CQ71" s="585"/>
      <c r="CR71" s="585"/>
      <c r="CS71" s="585"/>
      <c r="CT71" s="585"/>
      <c r="CU71" s="585"/>
      <c r="CV71" s="585"/>
      <c r="CW71" s="585"/>
      <c r="CX71" s="585"/>
      <c r="CZ71" s="582"/>
      <c r="DA71" s="582"/>
      <c r="DB71" s="582"/>
      <c r="DC71" s="582"/>
      <c r="DD71" s="582"/>
      <c r="DE71" s="582"/>
      <c r="DF71" s="582"/>
      <c r="DG71" s="583"/>
      <c r="DH71" s="583"/>
      <c r="DI71" s="583"/>
      <c r="DJ71" s="583"/>
      <c r="DK71" s="583"/>
      <c r="DL71" s="582"/>
      <c r="DM71" s="582"/>
      <c r="DN71" s="582"/>
      <c r="DO71" s="582"/>
      <c r="DP71" s="582"/>
      <c r="DQ71" s="582"/>
      <c r="DR71" s="582"/>
      <c r="DS71" s="582"/>
      <c r="DT71" s="582"/>
      <c r="DU71" s="582"/>
      <c r="DV71" s="582"/>
      <c r="DW71" s="582"/>
      <c r="DX71" s="582"/>
      <c r="DY71" s="582"/>
      <c r="DZ71" s="582"/>
      <c r="EA71" s="582"/>
      <c r="EB71" s="582"/>
      <c r="EC71" s="582"/>
      <c r="ED71" s="582"/>
      <c r="EE71" s="582"/>
      <c r="EF71" s="582"/>
      <c r="EG71" s="582"/>
      <c r="EH71" s="582"/>
      <c r="EI71" s="582"/>
      <c r="EJ71" s="582"/>
      <c r="EK71" s="582"/>
      <c r="EL71" s="582"/>
      <c r="EM71" s="582"/>
      <c r="EN71" s="582"/>
      <c r="EO71" s="582"/>
      <c r="EP71" s="582"/>
      <c r="EQ71" s="582"/>
      <c r="ER71" s="582"/>
      <c r="ES71" s="582"/>
      <c r="IV71" s="578"/>
    </row>
    <row r="72" spans="1:256" ht="17.100000000000001" customHeight="1" thickBot="1">
      <c r="A72" s="2794">
        <f t="shared" si="62"/>
        <v>31</v>
      </c>
      <c r="B72" s="2795"/>
      <c r="C72" s="1277">
        <v>92.5</v>
      </c>
      <c r="D72" s="1277">
        <v>4.4146199192994935</v>
      </c>
      <c r="E72" s="1791">
        <v>5.8304786567004907</v>
      </c>
      <c r="F72" s="1277" t="s">
        <v>972</v>
      </c>
      <c r="G72" s="1277" t="s">
        <v>972</v>
      </c>
      <c r="H72" s="1277">
        <v>62.3</v>
      </c>
      <c r="I72" s="1277" t="s">
        <v>972</v>
      </c>
      <c r="J72" s="1278" t="s">
        <v>972</v>
      </c>
      <c r="K72" s="1277">
        <v>2.97</v>
      </c>
      <c r="L72" s="1277">
        <v>84</v>
      </c>
      <c r="M72" s="1277">
        <v>1.7</v>
      </c>
      <c r="N72" s="1277">
        <v>72.7</v>
      </c>
      <c r="O72" s="1278" t="s">
        <v>972</v>
      </c>
      <c r="P72" s="1279" t="s">
        <v>972</v>
      </c>
      <c r="Q72" s="1280" t="s">
        <v>972</v>
      </c>
      <c r="R72" s="1279" t="s">
        <v>972</v>
      </c>
      <c r="S72" s="1277">
        <v>35.299999999999997</v>
      </c>
      <c r="T72" s="1277">
        <v>11.1</v>
      </c>
      <c r="U72" s="1278">
        <v>29440.199999999997</v>
      </c>
      <c r="V72" s="1278">
        <v>9257.4</v>
      </c>
      <c r="W72" s="1281">
        <v>680</v>
      </c>
      <c r="X72" s="2158">
        <v>0.45</v>
      </c>
      <c r="Y72" s="1280">
        <v>105.75</v>
      </c>
      <c r="Z72" s="1277">
        <v>14.8</v>
      </c>
      <c r="AA72" s="1791">
        <v>9.8000000000000007</v>
      </c>
      <c r="AB72" s="1267">
        <v>6.3275000000000006</v>
      </c>
      <c r="AC72" s="1791">
        <v>58.208160000000007</v>
      </c>
      <c r="AD72" s="1267">
        <v>470</v>
      </c>
      <c r="AE72" s="1269">
        <v>0</v>
      </c>
      <c r="AF72" s="2161">
        <v>37</v>
      </c>
      <c r="AG72" s="1269">
        <v>776.5</v>
      </c>
      <c r="AH72" s="1791">
        <v>23.4</v>
      </c>
      <c r="AI72" s="1791">
        <v>76.7</v>
      </c>
      <c r="AJ72" s="1791"/>
      <c r="AK72" s="1791"/>
      <c r="AL72" s="1791"/>
      <c r="AM72" s="1791"/>
      <c r="AN72" s="1791"/>
      <c r="AO72" s="585"/>
      <c r="AP72" s="585"/>
      <c r="AQ72" s="585"/>
      <c r="AR72" s="585"/>
      <c r="AS72" s="809"/>
      <c r="AT72" s="809"/>
      <c r="AU72" s="809"/>
      <c r="AV72" s="809"/>
      <c r="AW72" s="809"/>
      <c r="AX72" s="585"/>
      <c r="AY72" s="585"/>
      <c r="AZ72" s="585"/>
      <c r="BA72" s="809"/>
      <c r="BB72" s="585"/>
      <c r="BC72" s="585"/>
      <c r="BD72" s="585"/>
      <c r="BE72" s="585"/>
      <c r="BF72" s="809"/>
      <c r="BG72" s="809"/>
      <c r="BH72" s="585"/>
      <c r="BI72" s="585"/>
      <c r="BJ72" s="809"/>
      <c r="BK72" s="809"/>
      <c r="BL72" s="809"/>
      <c r="BM72" s="585"/>
      <c r="BN72" s="585"/>
      <c r="BO72" s="585"/>
      <c r="BP72" s="585"/>
      <c r="BQ72" s="585"/>
      <c r="BR72" s="585"/>
      <c r="BS72" s="585"/>
      <c r="BT72" s="585"/>
      <c r="BU72" s="585"/>
      <c r="BV72" s="585"/>
      <c r="BW72" s="585"/>
      <c r="BX72" s="585"/>
      <c r="BY72" s="585"/>
      <c r="BZ72" s="585"/>
      <c r="CA72" s="585"/>
      <c r="CB72" s="585"/>
      <c r="CC72" s="585"/>
      <c r="CD72" s="585"/>
      <c r="CE72" s="585"/>
      <c r="CF72" s="585"/>
      <c r="CG72" s="585"/>
      <c r="CH72" s="585"/>
      <c r="CI72" s="585"/>
      <c r="CJ72" s="585"/>
      <c r="CK72" s="585"/>
      <c r="CL72" s="585"/>
      <c r="CM72" s="585"/>
      <c r="CN72" s="585"/>
      <c r="CO72" s="585"/>
      <c r="CP72" s="585"/>
      <c r="CQ72" s="585"/>
      <c r="CR72" s="585"/>
      <c r="CS72" s="585"/>
      <c r="CT72" s="585"/>
      <c r="CU72" s="585"/>
      <c r="CV72" s="585"/>
      <c r="CW72" s="585"/>
      <c r="CX72" s="585"/>
      <c r="CZ72" s="582"/>
      <c r="DA72" s="582"/>
      <c r="DB72" s="582"/>
      <c r="DC72" s="582"/>
      <c r="DD72" s="582"/>
      <c r="DE72" s="582"/>
      <c r="DF72" s="582"/>
      <c r="DG72" s="583"/>
      <c r="DH72" s="583"/>
      <c r="DI72" s="583"/>
      <c r="DJ72" s="583"/>
      <c r="DK72" s="583"/>
      <c r="DL72" s="582"/>
      <c r="DM72" s="582"/>
      <c r="DN72" s="582"/>
      <c r="DO72" s="582"/>
      <c r="DP72" s="582"/>
      <c r="DQ72" s="582"/>
      <c r="DR72" s="582"/>
      <c r="DS72" s="582"/>
      <c r="DT72" s="582"/>
      <c r="DU72" s="582"/>
      <c r="DV72" s="582"/>
      <c r="DW72" s="582"/>
      <c r="DX72" s="582"/>
      <c r="DY72" s="582"/>
      <c r="DZ72" s="582"/>
      <c r="EA72" s="582"/>
      <c r="EB72" s="582"/>
      <c r="EC72" s="582"/>
      <c r="ED72" s="582"/>
      <c r="EE72" s="582"/>
      <c r="EF72" s="582"/>
      <c r="EG72" s="582"/>
      <c r="EH72" s="582"/>
      <c r="EI72" s="582"/>
      <c r="EJ72" s="582"/>
      <c r="EK72" s="582"/>
      <c r="EL72" s="582"/>
      <c r="EM72" s="582"/>
      <c r="EN72" s="582"/>
      <c r="EO72" s="582"/>
      <c r="EP72" s="582"/>
      <c r="EQ72" s="582"/>
      <c r="ER72" s="582"/>
      <c r="ES72" s="582"/>
      <c r="IV72" s="578"/>
    </row>
    <row r="73" spans="1:256" ht="17.100000000000001" customHeight="1" thickTop="1">
      <c r="A73" s="585"/>
      <c r="B73" s="585"/>
      <c r="C73" s="585"/>
      <c r="D73" s="585"/>
      <c r="E73" s="585"/>
      <c r="F73" s="585"/>
      <c r="G73" s="585"/>
      <c r="H73" s="585"/>
      <c r="I73" s="585"/>
      <c r="J73" s="585"/>
      <c r="K73" s="585"/>
      <c r="L73" s="585"/>
      <c r="M73" s="585"/>
      <c r="N73" s="809"/>
      <c r="O73" s="585"/>
      <c r="P73" s="585"/>
      <c r="Q73" s="585"/>
      <c r="R73" s="585"/>
      <c r="S73" s="585"/>
      <c r="T73" s="809"/>
      <c r="U73" s="585"/>
      <c r="V73" s="585"/>
      <c r="W73" s="585"/>
      <c r="X73" s="585"/>
      <c r="Y73" s="1296"/>
      <c r="Z73" s="1620"/>
      <c r="AD73" s="585"/>
      <c r="AE73" s="585"/>
      <c r="AF73" s="585"/>
      <c r="AG73" s="585"/>
      <c r="AH73" s="585"/>
      <c r="AI73" s="585"/>
      <c r="AJ73" s="585"/>
      <c r="AK73" s="585"/>
      <c r="AL73" s="585"/>
      <c r="AM73" s="585"/>
      <c r="AN73" s="585"/>
      <c r="AO73" s="810"/>
      <c r="AP73" s="585"/>
      <c r="AQ73" s="585"/>
      <c r="AR73" s="585"/>
      <c r="AS73" s="585"/>
      <c r="AT73" s="585"/>
      <c r="AU73" s="585"/>
      <c r="AV73" s="585"/>
      <c r="AW73" s="585"/>
      <c r="AX73" s="585"/>
      <c r="AY73" s="585"/>
      <c r="AZ73" s="809"/>
      <c r="BA73" s="809"/>
      <c r="BB73" s="809"/>
      <c r="BC73" s="809"/>
      <c r="BD73" s="809"/>
      <c r="BE73" s="585"/>
      <c r="BF73" s="585"/>
      <c r="BG73" s="585"/>
      <c r="BH73" s="585"/>
      <c r="BI73" s="585"/>
      <c r="BJ73" s="809"/>
      <c r="BK73" s="809"/>
      <c r="BL73" s="585"/>
      <c r="BM73" s="585"/>
      <c r="BN73" s="809"/>
      <c r="BO73" s="809"/>
      <c r="BP73" s="809"/>
      <c r="BQ73" s="585"/>
      <c r="BR73" s="585"/>
      <c r="BS73" s="585"/>
      <c r="BT73" s="585"/>
      <c r="BU73" s="585"/>
      <c r="BV73" s="585"/>
      <c r="BW73" s="585"/>
      <c r="BX73" s="585"/>
      <c r="BY73" s="585"/>
      <c r="BZ73" s="585"/>
      <c r="CA73" s="585"/>
      <c r="CB73" s="585"/>
      <c r="CC73" s="585"/>
      <c r="CD73" s="585"/>
      <c r="CE73" s="585"/>
      <c r="CF73" s="585"/>
      <c r="CG73" s="585"/>
      <c r="CH73" s="585"/>
      <c r="CI73" s="585"/>
      <c r="CJ73" s="585"/>
      <c r="CK73" s="585"/>
      <c r="CL73" s="585"/>
      <c r="CM73" s="585"/>
      <c r="CN73" s="585"/>
      <c r="CO73" s="585"/>
      <c r="CP73" s="585"/>
      <c r="CQ73" s="585"/>
      <c r="CR73" s="585"/>
      <c r="CS73" s="585"/>
      <c r="CT73" s="585"/>
      <c r="CU73" s="585"/>
      <c r="CV73" s="585"/>
      <c r="CW73" s="585"/>
      <c r="CX73" s="585"/>
      <c r="CY73" s="585"/>
      <c r="CZ73" s="585"/>
      <c r="DA73" s="585"/>
      <c r="DB73" s="585"/>
      <c r="DD73" s="582"/>
      <c r="DE73" s="582"/>
      <c r="DF73" s="582"/>
      <c r="DG73" s="582"/>
      <c r="DH73" s="582"/>
      <c r="DI73" s="582"/>
      <c r="DJ73" s="582"/>
      <c r="DK73" s="583"/>
      <c r="DL73" s="583"/>
      <c r="DM73" s="583"/>
      <c r="DN73" s="583"/>
      <c r="DO73" s="583"/>
      <c r="DP73" s="582"/>
      <c r="DQ73" s="582"/>
      <c r="DR73" s="582"/>
      <c r="DS73" s="582"/>
      <c r="DT73" s="582"/>
      <c r="DU73" s="582"/>
      <c r="DV73" s="582"/>
      <c r="DW73" s="582"/>
      <c r="DX73" s="582"/>
      <c r="DY73" s="582"/>
      <c r="DZ73" s="582"/>
      <c r="EA73" s="582"/>
      <c r="EB73" s="582"/>
      <c r="EC73" s="582"/>
      <c r="ED73" s="582"/>
      <c r="EE73" s="582"/>
      <c r="EF73" s="582"/>
      <c r="EG73" s="582"/>
      <c r="EH73" s="582"/>
      <c r="EI73" s="582"/>
      <c r="EJ73" s="582"/>
      <c r="EK73" s="582"/>
      <c r="EL73" s="582"/>
      <c r="EM73" s="582"/>
      <c r="EN73" s="582"/>
      <c r="EO73" s="582"/>
      <c r="EP73" s="582"/>
      <c r="EQ73" s="582"/>
      <c r="ER73" s="582"/>
      <c r="ES73" s="582"/>
      <c r="ET73" s="582"/>
      <c r="EU73" s="582"/>
      <c r="EV73" s="582"/>
      <c r="EW73" s="582"/>
      <c r="IV73" s="578"/>
    </row>
    <row r="74" spans="1:256" ht="17.100000000000001" customHeight="1" thickBot="1">
      <c r="A74" s="585"/>
      <c r="B74" s="585"/>
      <c r="C74" s="2236">
        <v>1</v>
      </c>
      <c r="D74" s="2236">
        <f>+C74+1</f>
        <v>2</v>
      </c>
      <c r="E74" s="2236">
        <f t="shared" ref="E74:AN74" si="63">+D74+1</f>
        <v>3</v>
      </c>
      <c r="F74" s="2236">
        <f t="shared" si="63"/>
        <v>4</v>
      </c>
      <c r="G74" s="2236">
        <f t="shared" si="63"/>
        <v>5</v>
      </c>
      <c r="H74" s="2236">
        <f t="shared" si="63"/>
        <v>6</v>
      </c>
      <c r="I74" s="2236">
        <f t="shared" si="63"/>
        <v>7</v>
      </c>
      <c r="J74" s="2236">
        <f t="shared" si="63"/>
        <v>8</v>
      </c>
      <c r="K74" s="2236">
        <f t="shared" si="63"/>
        <v>9</v>
      </c>
      <c r="L74" s="2236">
        <f t="shared" si="63"/>
        <v>10</v>
      </c>
      <c r="M74" s="2236">
        <f t="shared" si="63"/>
        <v>11</v>
      </c>
      <c r="N74" s="2236">
        <f t="shared" si="63"/>
        <v>12</v>
      </c>
      <c r="O74" s="2236">
        <f t="shared" si="63"/>
        <v>13</v>
      </c>
      <c r="P74" s="2236">
        <f t="shared" si="63"/>
        <v>14</v>
      </c>
      <c r="Q74" s="2236">
        <f t="shared" si="63"/>
        <v>15</v>
      </c>
      <c r="R74" s="2236">
        <f t="shared" si="63"/>
        <v>16</v>
      </c>
      <c r="S74" s="2236">
        <f t="shared" si="63"/>
        <v>17</v>
      </c>
      <c r="T74" s="2236">
        <f t="shared" si="63"/>
        <v>18</v>
      </c>
      <c r="U74" s="2236">
        <f t="shared" si="63"/>
        <v>19</v>
      </c>
      <c r="V74" s="2236">
        <f t="shared" si="63"/>
        <v>20</v>
      </c>
      <c r="W74" s="2236">
        <f t="shared" si="63"/>
        <v>21</v>
      </c>
      <c r="X74" s="2236">
        <f t="shared" si="63"/>
        <v>22</v>
      </c>
      <c r="Y74" s="2236">
        <f t="shared" si="63"/>
        <v>23</v>
      </c>
      <c r="Z74" s="2236">
        <f t="shared" si="63"/>
        <v>24</v>
      </c>
      <c r="AA74" s="2236">
        <f t="shared" si="63"/>
        <v>25</v>
      </c>
      <c r="AB74" s="2236">
        <f t="shared" si="63"/>
        <v>26</v>
      </c>
      <c r="AC74" s="2236">
        <f t="shared" si="63"/>
        <v>27</v>
      </c>
      <c r="AD74" s="2236">
        <f t="shared" si="63"/>
        <v>28</v>
      </c>
      <c r="AE74" s="2236">
        <f t="shared" si="63"/>
        <v>29</v>
      </c>
      <c r="AF74" s="2236">
        <f t="shared" si="63"/>
        <v>30</v>
      </c>
      <c r="AG74" s="2236">
        <f t="shared" si="63"/>
        <v>31</v>
      </c>
      <c r="AH74" s="2236">
        <f t="shared" si="63"/>
        <v>32</v>
      </c>
      <c r="AI74" s="2236">
        <f t="shared" si="63"/>
        <v>33</v>
      </c>
      <c r="AJ74" s="2236">
        <f t="shared" si="63"/>
        <v>34</v>
      </c>
      <c r="AK74" s="2236">
        <f t="shared" si="63"/>
        <v>35</v>
      </c>
      <c r="AL74" s="2236">
        <f t="shared" si="63"/>
        <v>36</v>
      </c>
      <c r="AM74" s="2236">
        <f t="shared" si="63"/>
        <v>37</v>
      </c>
      <c r="AN74" s="2236">
        <f t="shared" si="63"/>
        <v>38</v>
      </c>
      <c r="AQ74" s="1153">
        <v>1</v>
      </c>
      <c r="AR74" s="1153">
        <f t="shared" ref="AR74:BQ74" si="64">+AQ74+1</f>
        <v>2</v>
      </c>
      <c r="AS74" s="1153">
        <f t="shared" si="64"/>
        <v>3</v>
      </c>
      <c r="AT74" s="1153">
        <f t="shared" si="64"/>
        <v>4</v>
      </c>
      <c r="AU74" s="1153">
        <f t="shared" si="64"/>
        <v>5</v>
      </c>
      <c r="AV74" s="1153">
        <f t="shared" si="64"/>
        <v>6</v>
      </c>
      <c r="AW74" s="1153">
        <f t="shared" si="64"/>
        <v>7</v>
      </c>
      <c r="AX74" s="1153">
        <f t="shared" si="64"/>
        <v>8</v>
      </c>
      <c r="AY74" s="1153">
        <f t="shared" si="64"/>
        <v>9</v>
      </c>
      <c r="AZ74" s="1153">
        <f t="shared" si="64"/>
        <v>10</v>
      </c>
      <c r="BA74" s="1153">
        <f t="shared" si="64"/>
        <v>11</v>
      </c>
      <c r="BB74" s="1153">
        <f t="shared" si="64"/>
        <v>12</v>
      </c>
      <c r="BC74" s="1153">
        <f t="shared" si="64"/>
        <v>13</v>
      </c>
      <c r="BD74" s="1153">
        <f t="shared" si="64"/>
        <v>14</v>
      </c>
      <c r="BE74" s="1153">
        <f t="shared" si="64"/>
        <v>15</v>
      </c>
      <c r="BF74" s="1153">
        <f t="shared" si="64"/>
        <v>16</v>
      </c>
      <c r="BG74" s="1153">
        <f t="shared" si="64"/>
        <v>17</v>
      </c>
      <c r="BH74" s="1153">
        <f t="shared" si="64"/>
        <v>18</v>
      </c>
      <c r="BI74" s="1153">
        <f t="shared" si="64"/>
        <v>19</v>
      </c>
      <c r="BJ74" s="1153">
        <f t="shared" si="64"/>
        <v>20</v>
      </c>
      <c r="BK74" s="1153">
        <f t="shared" si="64"/>
        <v>21</v>
      </c>
      <c r="BL74" s="1153">
        <f t="shared" si="64"/>
        <v>22</v>
      </c>
      <c r="BM74" s="1153">
        <f t="shared" si="64"/>
        <v>23</v>
      </c>
      <c r="BN74" s="1153">
        <f t="shared" si="64"/>
        <v>24</v>
      </c>
      <c r="BO74" s="1153">
        <f t="shared" si="64"/>
        <v>25</v>
      </c>
      <c r="BP74" s="1153">
        <f t="shared" si="64"/>
        <v>26</v>
      </c>
      <c r="BQ74" s="2023">
        <f t="shared" si="64"/>
        <v>27</v>
      </c>
      <c r="BR74" s="2023">
        <f t="shared" ref="BR74:CC74" si="65">+BQ74+1</f>
        <v>28</v>
      </c>
      <c r="BS74" s="2023">
        <f t="shared" si="65"/>
        <v>29</v>
      </c>
      <c r="BT74" s="2023">
        <f t="shared" si="65"/>
        <v>30</v>
      </c>
      <c r="BU74" s="2023">
        <f t="shared" si="65"/>
        <v>31</v>
      </c>
      <c r="BV74" s="2023">
        <f t="shared" si="65"/>
        <v>32</v>
      </c>
      <c r="BW74" s="2023">
        <f t="shared" si="65"/>
        <v>33</v>
      </c>
      <c r="BX74" s="2023">
        <f t="shared" si="65"/>
        <v>34</v>
      </c>
      <c r="BY74" s="2023">
        <f t="shared" si="65"/>
        <v>35</v>
      </c>
      <c r="BZ74" s="2023">
        <f t="shared" si="65"/>
        <v>36</v>
      </c>
      <c r="CA74" s="2023">
        <f t="shared" si="65"/>
        <v>37</v>
      </c>
      <c r="CB74" s="2023">
        <f t="shared" si="65"/>
        <v>38</v>
      </c>
      <c r="CC74" s="2023">
        <f t="shared" si="65"/>
        <v>39</v>
      </c>
      <c r="CD74" s="585"/>
      <c r="CE74" s="585"/>
      <c r="CF74" s="585"/>
      <c r="CG74" s="585"/>
      <c r="CH74" s="585"/>
      <c r="CI74" s="585"/>
      <c r="CJ74" s="585"/>
      <c r="CK74" s="585"/>
      <c r="CL74" s="585"/>
      <c r="CM74" s="585"/>
      <c r="CN74" s="585"/>
      <c r="CO74" s="585"/>
      <c r="CP74" s="585"/>
      <c r="CQ74" s="585"/>
      <c r="CR74" s="585"/>
      <c r="CS74" s="585"/>
      <c r="CT74" s="585"/>
      <c r="CU74" s="585"/>
      <c r="CV74" s="585"/>
      <c r="CW74" s="585"/>
      <c r="CX74" s="585"/>
      <c r="CY74" s="585"/>
      <c r="CZ74" s="585"/>
      <c r="DA74" s="585"/>
      <c r="DB74" s="585"/>
      <c r="DC74" s="585"/>
      <c r="DD74" s="585"/>
      <c r="DE74" s="585"/>
      <c r="DF74" s="585"/>
      <c r="DG74" s="585"/>
      <c r="DH74" s="585"/>
      <c r="DI74" s="585"/>
      <c r="DJ74" s="585"/>
      <c r="DL74" s="582"/>
      <c r="DM74" s="582"/>
      <c r="DN74" s="582"/>
      <c r="DO74" s="582"/>
      <c r="DP74" s="582"/>
      <c r="DQ74" s="582"/>
      <c r="DR74" s="582"/>
      <c r="DS74" s="583"/>
      <c r="DT74" s="583"/>
      <c r="DU74" s="583"/>
      <c r="DV74" s="583"/>
      <c r="DW74" s="583"/>
      <c r="DX74" s="582"/>
      <c r="DY74" s="582"/>
      <c r="DZ74" s="582"/>
      <c r="EA74" s="582"/>
      <c r="EB74" s="582"/>
      <c r="EC74" s="582"/>
      <c r="ED74" s="582"/>
      <c r="EE74" s="582"/>
      <c r="EF74" s="582"/>
      <c r="EG74" s="582"/>
      <c r="EH74" s="582"/>
      <c r="EI74" s="582"/>
      <c r="EJ74" s="582"/>
      <c r="EK74" s="582"/>
      <c r="EL74" s="582"/>
      <c r="EM74" s="582"/>
      <c r="EN74" s="582"/>
      <c r="EO74" s="582"/>
      <c r="EP74" s="582"/>
      <c r="EQ74" s="582"/>
      <c r="ER74" s="582"/>
      <c r="ES74" s="582"/>
      <c r="ET74" s="582"/>
      <c r="EU74" s="582"/>
      <c r="EV74" s="582"/>
      <c r="EW74" s="582"/>
      <c r="EX74" s="582"/>
      <c r="EY74" s="582"/>
      <c r="EZ74" s="582"/>
      <c r="FA74" s="582"/>
      <c r="FB74" s="582"/>
      <c r="FC74" s="582"/>
      <c r="FD74" s="582"/>
      <c r="FE74" s="582"/>
      <c r="IV74" s="578"/>
    </row>
    <row r="75" spans="1:256" s="1156" customFormat="1" ht="17.100000000000001" customHeight="1">
      <c r="A75" s="2800" t="s">
        <v>1163</v>
      </c>
      <c r="B75" s="2801"/>
      <c r="C75" s="1139" t="s">
        <v>456</v>
      </c>
      <c r="D75" s="2807" t="s">
        <v>67</v>
      </c>
      <c r="E75" s="2808"/>
      <c r="F75" s="2807" t="s">
        <v>1131</v>
      </c>
      <c r="G75" s="2808"/>
      <c r="H75" s="1139" t="s">
        <v>1151</v>
      </c>
      <c r="I75" s="2807" t="s">
        <v>1153</v>
      </c>
      <c r="J75" s="2808"/>
      <c r="K75" s="2807" t="s">
        <v>1154</v>
      </c>
      <c r="L75" s="2808"/>
      <c r="M75" s="2807" t="s">
        <v>1155</v>
      </c>
      <c r="N75" s="2808"/>
      <c r="O75" s="2807" t="s">
        <v>1166</v>
      </c>
      <c r="P75" s="2808"/>
      <c r="Q75" s="2809" t="s">
        <v>1167</v>
      </c>
      <c r="R75" s="2810"/>
      <c r="S75" s="2807" t="s">
        <v>1156</v>
      </c>
      <c r="T75" s="2808"/>
      <c r="U75" s="2807" t="s">
        <v>1157</v>
      </c>
      <c r="V75" s="2808"/>
      <c r="W75" s="1139" t="s">
        <v>1160</v>
      </c>
      <c r="X75" s="1140" t="s">
        <v>1162</v>
      </c>
      <c r="Y75" s="1498" t="s">
        <v>1179</v>
      </c>
      <c r="Z75" s="2807" t="s">
        <v>82</v>
      </c>
      <c r="AA75" s="2808"/>
      <c r="AB75" s="2150" t="s">
        <v>1276</v>
      </c>
      <c r="AC75" s="2150" t="s">
        <v>1319</v>
      </c>
      <c r="AD75" s="2150" t="s">
        <v>1328</v>
      </c>
      <c r="AE75" s="2150" t="s">
        <v>1329</v>
      </c>
      <c r="AF75" s="2150" t="s">
        <v>1330</v>
      </c>
      <c r="AG75" s="2150" t="s">
        <v>1331</v>
      </c>
      <c r="AH75" s="2150" t="s">
        <v>1332</v>
      </c>
      <c r="AI75" s="2150" t="s">
        <v>660</v>
      </c>
      <c r="AJ75" s="2150"/>
      <c r="AK75" s="2150"/>
      <c r="AL75" s="2150"/>
      <c r="AM75" s="2150"/>
      <c r="AN75" s="2150"/>
      <c r="AP75" s="2804" t="s">
        <v>1163</v>
      </c>
      <c r="AQ75" s="2805"/>
      <c r="AR75" s="1503" t="s">
        <v>456</v>
      </c>
      <c r="AS75" s="2764" t="s">
        <v>66</v>
      </c>
      <c r="AT75" s="2765"/>
      <c r="AU75" s="2764" t="s">
        <v>1131</v>
      </c>
      <c r="AV75" s="2765"/>
      <c r="AW75" s="1503" t="s">
        <v>1151</v>
      </c>
      <c r="AX75" s="1503" t="s">
        <v>1153</v>
      </c>
      <c r="AY75" s="2764" t="s">
        <v>1154</v>
      </c>
      <c r="AZ75" s="2765"/>
      <c r="BA75" s="2764" t="s">
        <v>1155</v>
      </c>
      <c r="BB75" s="2765"/>
      <c r="BC75" s="2764" t="s">
        <v>1166</v>
      </c>
      <c r="BD75" s="2765"/>
      <c r="BE75" s="2745" t="s">
        <v>1167</v>
      </c>
      <c r="BF75" s="2746"/>
      <c r="BG75" s="2764" t="s">
        <v>1156</v>
      </c>
      <c r="BH75" s="2765"/>
      <c r="BI75" s="2764" t="s">
        <v>1157</v>
      </c>
      <c r="BJ75" s="2765"/>
      <c r="BK75" s="1503" t="s">
        <v>1160</v>
      </c>
      <c r="BL75" s="1504" t="s">
        <v>1162</v>
      </c>
      <c r="BM75" s="1504" t="s">
        <v>1180</v>
      </c>
      <c r="BN75" s="1504" t="s">
        <v>711</v>
      </c>
      <c r="BO75" s="2764" t="s">
        <v>83</v>
      </c>
      <c r="BP75" s="2765"/>
      <c r="BQ75" s="2149" t="s">
        <v>1276</v>
      </c>
      <c r="BR75" s="2150" t="s">
        <v>1319</v>
      </c>
      <c r="BS75" s="2150" t="s">
        <v>1328</v>
      </c>
      <c r="BT75" s="2150" t="s">
        <v>1329</v>
      </c>
      <c r="BU75" s="2150" t="s">
        <v>1330</v>
      </c>
      <c r="BV75" s="2150" t="s">
        <v>1331</v>
      </c>
      <c r="BW75" s="2149" t="s">
        <v>1332</v>
      </c>
      <c r="BX75" s="2149" t="s">
        <v>660</v>
      </c>
      <c r="BY75" s="2149"/>
      <c r="BZ75" s="2149"/>
      <c r="CA75" s="2149"/>
      <c r="CB75" s="2149"/>
      <c r="CC75" s="2149"/>
      <c r="CD75" s="1163"/>
      <c r="CE75" s="1163"/>
      <c r="CF75" s="1163"/>
      <c r="CG75" s="1163"/>
      <c r="CH75" s="1163"/>
      <c r="CI75" s="1163"/>
      <c r="CJ75" s="1163"/>
      <c r="CK75" s="1163"/>
      <c r="CL75" s="1163"/>
      <c r="CM75" s="1163"/>
      <c r="CN75" s="1163"/>
      <c r="CO75" s="1163"/>
      <c r="CP75" s="1163"/>
      <c r="CQ75" s="1163"/>
      <c r="CR75" s="1163"/>
      <c r="CS75" s="1163"/>
      <c r="CT75" s="1163"/>
      <c r="CU75" s="1163"/>
      <c r="CV75" s="1163"/>
      <c r="CW75" s="1163"/>
      <c r="CX75" s="1163"/>
      <c r="CY75" s="1163"/>
      <c r="CZ75" s="1163"/>
      <c r="DA75" s="1163"/>
      <c r="DB75" s="1163"/>
      <c r="DC75" s="1163"/>
      <c r="DD75" s="1163"/>
      <c r="DE75" s="1163"/>
      <c r="DF75" s="1163"/>
      <c r="DG75" s="1163"/>
      <c r="DH75" s="1163"/>
      <c r="DI75" s="1163"/>
      <c r="DJ75" s="1163"/>
      <c r="DK75" s="1164"/>
      <c r="DL75" s="1163"/>
      <c r="DM75" s="1163"/>
      <c r="DN75" s="1163"/>
      <c r="DO75" s="1163"/>
      <c r="DP75" s="1163"/>
      <c r="DQ75" s="1163"/>
      <c r="DR75" s="1163"/>
      <c r="DS75" s="1165"/>
      <c r="DT75" s="1165"/>
      <c r="DU75" s="1165"/>
      <c r="DV75" s="1165"/>
      <c r="DW75" s="1165"/>
      <c r="DX75" s="1163"/>
      <c r="DY75" s="1163"/>
      <c r="DZ75" s="1163"/>
      <c r="EA75" s="1163"/>
      <c r="EB75" s="1163"/>
      <c r="EC75" s="1163"/>
      <c r="ED75" s="1163"/>
      <c r="EE75" s="1163"/>
      <c r="EF75" s="1163"/>
      <c r="EG75" s="1163"/>
      <c r="EH75" s="1163"/>
      <c r="EI75" s="1163"/>
      <c r="EJ75" s="1163"/>
      <c r="EK75" s="1163"/>
      <c r="EL75" s="1163"/>
      <c r="EM75" s="1163"/>
      <c r="EN75" s="1163"/>
      <c r="EO75" s="1163"/>
      <c r="EP75" s="1163"/>
      <c r="EQ75" s="1163"/>
      <c r="ER75" s="1163"/>
      <c r="ES75" s="1163"/>
      <c r="ET75" s="1163"/>
      <c r="EU75" s="1163"/>
      <c r="EV75" s="1163"/>
      <c r="EW75" s="1163"/>
      <c r="EX75" s="1163"/>
      <c r="EY75" s="1163"/>
      <c r="EZ75" s="1163"/>
      <c r="FA75" s="1163"/>
      <c r="FB75" s="1163"/>
      <c r="FC75" s="1163"/>
      <c r="FD75" s="1163"/>
      <c r="FE75" s="1163"/>
      <c r="FF75" s="1164"/>
      <c r="FG75" s="1164"/>
      <c r="FH75" s="1164"/>
      <c r="FI75" s="1164"/>
      <c r="FJ75" s="1164"/>
      <c r="FK75" s="1164"/>
      <c r="FL75" s="1164"/>
      <c r="FM75" s="1164"/>
      <c r="FN75" s="1164"/>
      <c r="FO75" s="1164"/>
      <c r="FP75" s="1164"/>
      <c r="FQ75" s="1164"/>
      <c r="FR75" s="1164"/>
      <c r="FS75" s="1164"/>
      <c r="FT75" s="1164"/>
      <c r="FU75" s="1164"/>
      <c r="FV75" s="1164"/>
      <c r="FW75" s="1164"/>
      <c r="FX75" s="1164"/>
      <c r="FY75" s="1164"/>
      <c r="FZ75" s="1164"/>
      <c r="GA75" s="1164"/>
      <c r="GB75" s="1164"/>
      <c r="GC75" s="1164"/>
      <c r="GD75" s="1164"/>
      <c r="GE75" s="1164"/>
      <c r="GF75" s="1164"/>
      <c r="GG75" s="1164"/>
      <c r="GH75" s="1164"/>
      <c r="GI75" s="1164"/>
      <c r="GJ75" s="1164"/>
      <c r="GK75" s="1164"/>
      <c r="GL75" s="1164"/>
      <c r="GM75" s="1164"/>
      <c r="GN75" s="1164"/>
      <c r="GO75" s="1164"/>
      <c r="GP75" s="1164"/>
      <c r="GQ75" s="1164"/>
      <c r="GR75" s="1164"/>
      <c r="GS75" s="1164"/>
      <c r="GT75" s="1164"/>
      <c r="GU75" s="1164"/>
      <c r="GV75" s="1164"/>
      <c r="GW75" s="1164"/>
      <c r="GX75" s="1164"/>
      <c r="GY75" s="1164"/>
      <c r="GZ75" s="1164"/>
      <c r="HA75" s="1164"/>
      <c r="HB75" s="1164"/>
      <c r="HC75" s="1164"/>
      <c r="HD75" s="1164"/>
      <c r="HE75" s="1164"/>
      <c r="HF75" s="1164"/>
      <c r="HG75" s="1164"/>
      <c r="HH75" s="1164"/>
      <c r="HI75" s="1164"/>
      <c r="HJ75" s="1164"/>
      <c r="HK75" s="1164"/>
      <c r="HL75" s="1164"/>
      <c r="HM75" s="1164"/>
      <c r="HN75" s="1164"/>
      <c r="HO75" s="1164"/>
      <c r="HP75" s="1164"/>
      <c r="HQ75" s="1164"/>
      <c r="HR75" s="1164"/>
      <c r="HS75" s="1164"/>
      <c r="HT75" s="1164"/>
      <c r="HU75" s="1164"/>
      <c r="HV75" s="1164"/>
      <c r="HW75" s="1164"/>
      <c r="HX75" s="1164"/>
      <c r="HY75" s="1164"/>
      <c r="HZ75" s="1164"/>
      <c r="IA75" s="1164"/>
      <c r="IB75" s="1164"/>
      <c r="IC75" s="1164"/>
      <c r="ID75" s="1164"/>
      <c r="IE75" s="1164"/>
      <c r="IF75" s="1164"/>
      <c r="IG75" s="1164"/>
      <c r="IH75" s="1164"/>
      <c r="II75" s="1164"/>
      <c r="IJ75" s="1164"/>
      <c r="IK75" s="1164"/>
      <c r="IL75" s="1164"/>
      <c r="IM75" s="1164"/>
      <c r="IN75" s="1164"/>
      <c r="IO75" s="1164"/>
      <c r="IP75" s="1164"/>
      <c r="IQ75" s="1164"/>
      <c r="IR75" s="1164"/>
      <c r="IS75" s="1164"/>
      <c r="IT75" s="1164"/>
      <c r="IU75" s="1164"/>
      <c r="IV75" s="1164"/>
    </row>
    <row r="76" spans="1:256" s="1156" customFormat="1" ht="17.100000000000001" customHeight="1" thickBot="1">
      <c r="A76" s="2802"/>
      <c r="B76" s="2803"/>
      <c r="C76" s="1263" t="s">
        <v>1150</v>
      </c>
      <c r="D76" s="1263" t="s">
        <v>361</v>
      </c>
      <c r="E76" s="1264" t="s">
        <v>363</v>
      </c>
      <c r="F76" s="1263" t="s">
        <v>361</v>
      </c>
      <c r="G76" s="1264" t="s">
        <v>363</v>
      </c>
      <c r="H76" s="1263" t="s">
        <v>1152</v>
      </c>
      <c r="I76" s="1263" t="s">
        <v>346</v>
      </c>
      <c r="J76" s="1263" t="s">
        <v>618</v>
      </c>
      <c r="K76" s="1263" t="s">
        <v>1138</v>
      </c>
      <c r="L76" s="1263" t="s">
        <v>1139</v>
      </c>
      <c r="M76" s="1263" t="s">
        <v>1138</v>
      </c>
      <c r="N76" s="1263" t="s">
        <v>1139</v>
      </c>
      <c r="O76" s="1263" t="s">
        <v>361</v>
      </c>
      <c r="P76" s="1264" t="s">
        <v>363</v>
      </c>
      <c r="Q76" s="1263" t="s">
        <v>361</v>
      </c>
      <c r="R76" s="1264" t="s">
        <v>363</v>
      </c>
      <c r="S76" s="1263" t="s">
        <v>1158</v>
      </c>
      <c r="T76" s="1263" t="s">
        <v>1159</v>
      </c>
      <c r="U76" s="1263" t="s">
        <v>1158</v>
      </c>
      <c r="V76" s="1263" t="s">
        <v>1159</v>
      </c>
      <c r="W76" s="1263" t="s">
        <v>1161</v>
      </c>
      <c r="X76" s="1265" t="s">
        <v>1017</v>
      </c>
      <c r="Y76" s="1499" t="s">
        <v>1178</v>
      </c>
      <c r="Z76" s="1263" t="s">
        <v>361</v>
      </c>
      <c r="AA76" s="1264" t="s">
        <v>363</v>
      </c>
      <c r="AB76" s="2151" t="s">
        <v>1016</v>
      </c>
      <c r="AC76" s="2151" t="s">
        <v>1320</v>
      </c>
      <c r="AD76" s="2151" t="s">
        <v>1161</v>
      </c>
      <c r="AE76" s="2151" t="s">
        <v>1161</v>
      </c>
      <c r="AF76" s="2151" t="s">
        <v>1161</v>
      </c>
      <c r="AG76" s="2151" t="s">
        <v>1161</v>
      </c>
      <c r="AH76" s="2151" t="s">
        <v>1138</v>
      </c>
      <c r="AI76" s="2151" t="s">
        <v>1324</v>
      </c>
      <c r="AJ76" s="2151"/>
      <c r="AK76" s="2151"/>
      <c r="AL76" s="2151"/>
      <c r="AM76" s="2151"/>
      <c r="AN76" s="2151"/>
      <c r="AP76" s="2806"/>
      <c r="AQ76" s="2803"/>
      <c r="AR76" s="1263" t="s">
        <v>1150</v>
      </c>
      <c r="AS76" s="1263" t="s">
        <v>361</v>
      </c>
      <c r="AT76" s="1264" t="s">
        <v>363</v>
      </c>
      <c r="AU76" s="1263" t="s">
        <v>361</v>
      </c>
      <c r="AV76" s="1264" t="s">
        <v>363</v>
      </c>
      <c r="AW76" s="1263" t="s">
        <v>1152</v>
      </c>
      <c r="AX76" s="1263" t="s">
        <v>618</v>
      </c>
      <c r="AY76" s="1263" t="s">
        <v>1138</v>
      </c>
      <c r="AZ76" s="1263" t="s">
        <v>1139</v>
      </c>
      <c r="BA76" s="1263" t="s">
        <v>1138</v>
      </c>
      <c r="BB76" s="1263" t="s">
        <v>1139</v>
      </c>
      <c r="BC76" s="1263" t="s">
        <v>361</v>
      </c>
      <c r="BD76" s="1264" t="s">
        <v>363</v>
      </c>
      <c r="BE76" s="1263" t="s">
        <v>361</v>
      </c>
      <c r="BF76" s="1264" t="s">
        <v>363</v>
      </c>
      <c r="BG76" s="1263" t="s">
        <v>1158</v>
      </c>
      <c r="BH76" s="1263" t="s">
        <v>1159</v>
      </c>
      <c r="BI76" s="1263" t="s">
        <v>1158</v>
      </c>
      <c r="BJ76" s="1263" t="s">
        <v>1159</v>
      </c>
      <c r="BK76" s="1263" t="s">
        <v>1161</v>
      </c>
      <c r="BL76" s="1265" t="s">
        <v>1017</v>
      </c>
      <c r="BM76" s="1265" t="s">
        <v>1178</v>
      </c>
      <c r="BN76" s="1265" t="s">
        <v>1211</v>
      </c>
      <c r="BO76" s="1263" t="s">
        <v>361</v>
      </c>
      <c r="BP76" s="1264" t="s">
        <v>363</v>
      </c>
      <c r="BQ76" s="2151" t="s">
        <v>1016</v>
      </c>
      <c r="BR76" s="2151" t="s">
        <v>1320</v>
      </c>
      <c r="BS76" s="2151" t="s">
        <v>1161</v>
      </c>
      <c r="BT76" s="2151" t="s">
        <v>1161</v>
      </c>
      <c r="BU76" s="2151" t="s">
        <v>1161</v>
      </c>
      <c r="BV76" s="2151" t="s">
        <v>1161</v>
      </c>
      <c r="BW76" s="2151" t="s">
        <v>1138</v>
      </c>
      <c r="BX76" s="2151" t="s">
        <v>1324</v>
      </c>
      <c r="BY76" s="2151"/>
      <c r="BZ76" s="2151"/>
      <c r="CA76" s="2151"/>
      <c r="CB76" s="2151"/>
      <c r="CC76" s="2151"/>
      <c r="CD76" s="1163"/>
      <c r="CE76" s="1163"/>
      <c r="CF76" s="1163"/>
      <c r="CG76" s="1163"/>
      <c r="CH76" s="1163"/>
      <c r="CI76" s="1163"/>
      <c r="CJ76" s="1163"/>
      <c r="CK76" s="1163"/>
      <c r="CL76" s="1163"/>
      <c r="CM76" s="1163"/>
      <c r="CN76" s="1163"/>
      <c r="CO76" s="1163"/>
      <c r="CP76" s="1163"/>
      <c r="CQ76" s="1163"/>
      <c r="CR76" s="1163"/>
      <c r="CS76" s="1163"/>
      <c r="CT76" s="1163"/>
      <c r="CU76" s="1163"/>
      <c r="CV76" s="1163"/>
      <c r="CW76" s="1163"/>
      <c r="CX76" s="1163"/>
      <c r="CY76" s="1163"/>
      <c r="CZ76" s="1163"/>
      <c r="DA76" s="1163"/>
      <c r="DB76" s="1163"/>
      <c r="DC76" s="1163"/>
      <c r="DD76" s="1163"/>
      <c r="DE76" s="1163"/>
      <c r="DF76" s="1163"/>
      <c r="DG76" s="1163"/>
      <c r="DH76" s="1163"/>
      <c r="DI76" s="1163"/>
      <c r="DJ76" s="1163"/>
      <c r="DK76" s="1164"/>
      <c r="DL76" s="1163"/>
      <c r="DM76" s="1163"/>
      <c r="DN76" s="1163"/>
      <c r="DO76" s="1163"/>
      <c r="DP76" s="1163"/>
      <c r="DQ76" s="1163"/>
      <c r="DR76" s="1163"/>
      <c r="DS76" s="1165"/>
      <c r="DT76" s="1165"/>
      <c r="DU76" s="1165"/>
      <c r="DV76" s="1165"/>
      <c r="DW76" s="1165"/>
      <c r="DX76" s="1163"/>
      <c r="DY76" s="1163"/>
      <c r="DZ76" s="1163"/>
      <c r="EA76" s="1163"/>
      <c r="EB76" s="1163"/>
      <c r="EC76" s="1163"/>
      <c r="ED76" s="1163"/>
      <c r="EE76" s="1163"/>
      <c r="EF76" s="1163"/>
      <c r="EG76" s="1163"/>
      <c r="EH76" s="1163"/>
      <c r="EI76" s="1163"/>
      <c r="EJ76" s="1163"/>
      <c r="EK76" s="1163"/>
      <c r="EL76" s="1163"/>
      <c r="EM76" s="1163"/>
      <c r="EN76" s="1163"/>
      <c r="EO76" s="1163"/>
      <c r="EP76" s="1163"/>
      <c r="EQ76" s="1163"/>
      <c r="ER76" s="1163"/>
      <c r="ES76" s="1163"/>
      <c r="ET76" s="1163"/>
      <c r="EU76" s="1163"/>
      <c r="EV76" s="1163"/>
      <c r="EW76" s="1163"/>
      <c r="EX76" s="1163"/>
      <c r="EY76" s="1163"/>
      <c r="EZ76" s="1163"/>
      <c r="FA76" s="1163"/>
      <c r="FB76" s="1163"/>
      <c r="FC76" s="1163"/>
      <c r="FD76" s="1163"/>
      <c r="FE76" s="1163"/>
      <c r="FF76" s="1164"/>
      <c r="FG76" s="1164"/>
      <c r="FH76" s="1164"/>
      <c r="FI76" s="1164"/>
      <c r="FJ76" s="1164"/>
      <c r="FK76" s="1164"/>
      <c r="FL76" s="1164"/>
      <c r="FM76" s="1164"/>
      <c r="FN76" s="1164"/>
      <c r="FO76" s="1164"/>
      <c r="FP76" s="1164"/>
      <c r="FQ76" s="1164"/>
      <c r="FR76" s="1164"/>
      <c r="FS76" s="1164"/>
      <c r="FT76" s="1164"/>
      <c r="FU76" s="1164"/>
      <c r="FV76" s="1164"/>
      <c r="FW76" s="1164"/>
      <c r="FX76" s="1164"/>
      <c r="FY76" s="1164"/>
      <c r="FZ76" s="1164"/>
      <c r="GA76" s="1164"/>
      <c r="GB76" s="1164"/>
      <c r="GC76" s="1164"/>
      <c r="GD76" s="1164"/>
      <c r="GE76" s="1164"/>
      <c r="GF76" s="1164"/>
      <c r="GG76" s="1164"/>
      <c r="GH76" s="1164"/>
      <c r="GI76" s="1164"/>
      <c r="GJ76" s="1164"/>
      <c r="GK76" s="1164"/>
      <c r="GL76" s="1164"/>
      <c r="GM76" s="1164"/>
      <c r="GN76" s="1164"/>
      <c r="GO76" s="1164"/>
      <c r="GP76" s="1164"/>
      <c r="GQ76" s="1164"/>
      <c r="GR76" s="1164"/>
      <c r="GS76" s="1164"/>
      <c r="GT76" s="1164"/>
      <c r="GU76" s="1164"/>
      <c r="GV76" s="1164"/>
      <c r="GW76" s="1164"/>
      <c r="GX76" s="1164"/>
      <c r="GY76" s="1164"/>
      <c r="GZ76" s="1164"/>
      <c r="HA76" s="1164"/>
      <c r="HB76" s="1164"/>
      <c r="HC76" s="1164"/>
      <c r="HD76" s="1164"/>
      <c r="HE76" s="1164"/>
      <c r="HF76" s="1164"/>
      <c r="HG76" s="1164"/>
      <c r="HH76" s="1164"/>
      <c r="HI76" s="1164"/>
      <c r="HJ76" s="1164"/>
      <c r="HK76" s="1164"/>
      <c r="HL76" s="1164"/>
      <c r="HM76" s="1164"/>
      <c r="HN76" s="1164"/>
      <c r="HO76" s="1164"/>
      <c r="HP76" s="1164"/>
      <c r="HQ76" s="1164"/>
      <c r="HR76" s="1164"/>
      <c r="HS76" s="1164"/>
      <c r="HT76" s="1164"/>
      <c r="HU76" s="1164"/>
      <c r="HV76" s="1164"/>
      <c r="HW76" s="1164"/>
      <c r="HX76" s="1164"/>
      <c r="HY76" s="1164"/>
      <c r="HZ76" s="1164"/>
      <c r="IA76" s="1164"/>
      <c r="IB76" s="1164"/>
      <c r="IC76" s="1164"/>
      <c r="ID76" s="1164"/>
      <c r="IE76" s="1164"/>
      <c r="IF76" s="1164"/>
      <c r="IG76" s="1164"/>
      <c r="IH76" s="1164"/>
      <c r="II76" s="1164"/>
      <c r="IJ76" s="1164"/>
      <c r="IK76" s="1164"/>
      <c r="IL76" s="1164"/>
      <c r="IM76" s="1164"/>
      <c r="IN76" s="1164"/>
      <c r="IO76" s="1164"/>
      <c r="IP76" s="1164"/>
      <c r="IQ76" s="1164"/>
      <c r="IR76" s="1164"/>
      <c r="IS76" s="1164"/>
      <c r="IT76" s="1164"/>
      <c r="IU76" s="1164"/>
      <c r="IV76" s="1164"/>
    </row>
    <row r="77" spans="1:256" s="1156" customFormat="1" ht="17.100000000000001" customHeight="1">
      <c r="A77" s="1138">
        <f>+B77</f>
        <v>42364</v>
      </c>
      <c r="B77" s="1157">
        <f t="shared" ref="B77:B82" si="66">+B78-1</f>
        <v>42364</v>
      </c>
      <c r="C77" s="1161">
        <f>IF(DAY($B$82)=28,C64,IF(DAY($B$82)=29,C65,IF(DAY($B$82)=30,C66,C67)))</f>
        <v>93.9</v>
      </c>
      <c r="D77" s="1160">
        <f t="shared" ref="D77:Y78" si="67">IF(DAY($B$82)=28,D64,IF(DAY($B$82)=29,D65,IF(DAY($B$82)=30,D66,D67)))</f>
        <v>4.4330817763033776</v>
      </c>
      <c r="E77" s="1160">
        <f t="shared" si="67"/>
        <v>5.2832237918774885</v>
      </c>
      <c r="F77" s="1160" t="str">
        <f t="shared" si="67"/>
        <v/>
      </c>
      <c r="G77" s="1160" t="str">
        <f t="shared" si="67"/>
        <v/>
      </c>
      <c r="H77" s="1160">
        <f t="shared" si="67"/>
        <v>69.099999999999994</v>
      </c>
      <c r="I77" s="1161" t="str">
        <f t="shared" si="67"/>
        <v/>
      </c>
      <c r="J77" s="1161" t="str">
        <f t="shared" si="67"/>
        <v/>
      </c>
      <c r="K77" s="1160" t="str">
        <f t="shared" si="67"/>
        <v/>
      </c>
      <c r="L77" s="1160" t="str">
        <f t="shared" si="67"/>
        <v/>
      </c>
      <c r="M77" s="1160" t="str">
        <f t="shared" si="67"/>
        <v/>
      </c>
      <c r="N77" s="1160" t="str">
        <f t="shared" si="67"/>
        <v/>
      </c>
      <c r="O77" s="1161" t="str">
        <f t="shared" si="67"/>
        <v/>
      </c>
      <c r="P77" s="1261" t="str">
        <f t="shared" si="67"/>
        <v/>
      </c>
      <c r="Q77" s="1262" t="str">
        <f t="shared" si="67"/>
        <v/>
      </c>
      <c r="R77" s="1261" t="str">
        <f t="shared" si="67"/>
        <v/>
      </c>
      <c r="S77" s="1160">
        <f t="shared" si="67"/>
        <v>36.6</v>
      </c>
      <c r="T77" s="1160">
        <f t="shared" si="67"/>
        <v>16.899999999999999</v>
      </c>
      <c r="U77" s="1161">
        <f t="shared" si="67"/>
        <v>31134.888000000003</v>
      </c>
      <c r="V77" s="1161">
        <f t="shared" si="67"/>
        <v>14376.492</v>
      </c>
      <c r="W77" s="1161">
        <f t="shared" si="67"/>
        <v>730</v>
      </c>
      <c r="X77" s="1798">
        <f t="shared" si="67"/>
        <v>0.5</v>
      </c>
      <c r="Y77" s="1500">
        <f t="shared" si="67"/>
        <v>105</v>
      </c>
      <c r="Z77" s="1160">
        <f t="shared" ref="Z77:AA82" si="68">IF(DAY($B$82)=28,Z64,IF(DAY($B$82)=29,Z65,IF(DAY($B$82)=30,Z66,Z67)))</f>
        <v>14.5</v>
      </c>
      <c r="AA77" s="1160">
        <f t="shared" si="68"/>
        <v>9.6</v>
      </c>
      <c r="AB77" s="1160">
        <f t="shared" ref="AB77:AC82" si="69">IF(DAY($B$82)=28,AB64,IF(DAY($B$82)=29,AB65,IF(DAY($B$82)=30,AB66,AB67)))</f>
        <v>4.5250000000000004</v>
      </c>
      <c r="AC77" s="1160">
        <f t="shared" si="69"/>
        <v>58.027200000000008</v>
      </c>
      <c r="AD77" s="1160">
        <f t="shared" ref="AD77:AI82" si="70">IF(DAY($B$82)=28,AD64,IF(DAY($B$82)=29,AD65,IF(DAY($B$82)=30,AD66,AD67)))</f>
        <v>330</v>
      </c>
      <c r="AE77" s="1161">
        <f t="shared" si="70"/>
        <v>0</v>
      </c>
      <c r="AF77" s="1161">
        <f t="shared" si="70"/>
        <v>376</v>
      </c>
      <c r="AG77" s="1161">
        <f t="shared" si="70"/>
        <v>1266.5</v>
      </c>
      <c r="AH77" s="1160">
        <f t="shared" si="70"/>
        <v>22.96</v>
      </c>
      <c r="AI77" s="1160">
        <f t="shared" si="70"/>
        <v>74.099999999999994</v>
      </c>
      <c r="AJ77" s="1160"/>
      <c r="AK77" s="1160"/>
      <c r="AL77" s="1160"/>
      <c r="AM77" s="1160"/>
      <c r="AN77" s="1160"/>
      <c r="AO77" s="578"/>
      <c r="AP77" s="1505">
        <f>WEEKDAY(AQ77)</f>
        <v>7</v>
      </c>
      <c r="AQ77" s="1136">
        <f t="shared" ref="AQ77:AQ82" si="71">+AQ78-1</f>
        <v>42364</v>
      </c>
      <c r="AR77" s="1161"/>
      <c r="AS77" s="1260"/>
      <c r="AT77" s="1160"/>
      <c r="AU77" s="1260"/>
      <c r="AV77" s="1161"/>
      <c r="AW77" s="1260"/>
      <c r="AX77" s="1260"/>
      <c r="AY77" s="1260"/>
      <c r="AZ77" s="1260"/>
      <c r="BA77" s="1161"/>
      <c r="BB77" s="1262"/>
      <c r="BC77" s="1160"/>
      <c r="BD77" s="1160"/>
      <c r="BE77" s="1160"/>
      <c r="BF77" s="1160"/>
      <c r="BG77" s="1162"/>
      <c r="BH77" s="1258"/>
      <c r="BI77" s="1258"/>
      <c r="BJ77" s="1258"/>
      <c r="BK77" s="1258"/>
      <c r="BL77" s="1258"/>
      <c r="BM77" s="1262"/>
      <c r="BN77" s="1262"/>
      <c r="BO77" s="1260"/>
      <c r="BP77" s="1160"/>
      <c r="BQ77" s="1160"/>
      <c r="BR77" s="1160"/>
      <c r="BS77" s="1160"/>
      <c r="BT77" s="1160"/>
      <c r="BU77" s="1160"/>
      <c r="BV77" s="1160"/>
      <c r="BW77" s="1160"/>
      <c r="BX77" s="1160"/>
      <c r="BY77" s="1160"/>
      <c r="BZ77" s="1160"/>
      <c r="CA77" s="1160"/>
      <c r="CB77" s="1160"/>
      <c r="CC77" s="1160"/>
      <c r="CD77" s="1163"/>
      <c r="CE77" s="1163"/>
      <c r="CF77" s="1163"/>
      <c r="CG77" s="1163"/>
      <c r="CH77" s="1163"/>
      <c r="CI77" s="1163"/>
      <c r="CJ77" s="1163"/>
      <c r="CK77" s="1163"/>
      <c r="CL77" s="1163"/>
      <c r="CM77" s="1163"/>
      <c r="CN77" s="1163"/>
      <c r="CO77" s="1163"/>
      <c r="CP77" s="1163"/>
      <c r="CQ77" s="1163"/>
      <c r="CR77" s="1163"/>
      <c r="CS77" s="1163"/>
      <c r="CT77" s="1163"/>
      <c r="CU77" s="1163"/>
      <c r="CV77" s="1163"/>
      <c r="CW77" s="1163"/>
      <c r="CX77" s="1163"/>
      <c r="CY77" s="1163"/>
      <c r="CZ77" s="1163"/>
      <c r="DA77" s="1163"/>
      <c r="DB77" s="1163"/>
      <c r="DC77" s="1163"/>
      <c r="DD77" s="1163"/>
      <c r="DE77" s="1163"/>
      <c r="DF77" s="1163"/>
      <c r="DG77" s="1163"/>
      <c r="DH77" s="1163"/>
      <c r="DI77" s="1163"/>
      <c r="DJ77" s="1163"/>
      <c r="DK77" s="1164"/>
      <c r="DL77" s="1163"/>
      <c r="DM77" s="1163"/>
      <c r="DN77" s="1163"/>
      <c r="DO77" s="1163"/>
      <c r="DP77" s="1163"/>
      <c r="DQ77" s="1163"/>
      <c r="DR77" s="1163"/>
      <c r="DS77" s="1165"/>
      <c r="DT77" s="1165"/>
      <c r="DU77" s="1165"/>
      <c r="DV77" s="1165"/>
      <c r="DW77" s="1165"/>
      <c r="DX77" s="1163"/>
      <c r="DY77" s="1163"/>
      <c r="DZ77" s="1163"/>
      <c r="EA77" s="1163"/>
      <c r="EB77" s="1163"/>
      <c r="EC77" s="1163"/>
      <c r="ED77" s="1163"/>
      <c r="EE77" s="1163"/>
      <c r="EF77" s="1163"/>
      <c r="EG77" s="1163"/>
      <c r="EH77" s="1163"/>
      <c r="EI77" s="1163"/>
      <c r="EJ77" s="1163"/>
      <c r="EK77" s="1163"/>
      <c r="EL77" s="1163"/>
      <c r="EM77" s="1163"/>
      <c r="EN77" s="1163"/>
      <c r="EO77" s="1163"/>
      <c r="EP77" s="1163"/>
      <c r="EQ77" s="1163"/>
      <c r="ER77" s="1163"/>
      <c r="ES77" s="1163"/>
      <c r="ET77" s="1163"/>
      <c r="EU77" s="1163"/>
      <c r="EV77" s="1163"/>
      <c r="EW77" s="1163"/>
      <c r="EX77" s="1163"/>
      <c r="EY77" s="1163"/>
      <c r="EZ77" s="1163"/>
      <c r="FA77" s="1163"/>
      <c r="FB77" s="1163"/>
      <c r="FC77" s="1163"/>
      <c r="FD77" s="1163"/>
      <c r="FE77" s="1163"/>
      <c r="FF77" s="1164"/>
      <c r="FG77" s="1164"/>
      <c r="FH77" s="1164"/>
      <c r="FI77" s="1164"/>
      <c r="FJ77" s="1164"/>
      <c r="FK77" s="1164"/>
      <c r="FL77" s="1164"/>
      <c r="FM77" s="1164"/>
      <c r="FN77" s="1164"/>
      <c r="FO77" s="1164"/>
      <c r="FP77" s="1164"/>
      <c r="FQ77" s="1164"/>
      <c r="FR77" s="1164"/>
      <c r="FS77" s="1164"/>
      <c r="FT77" s="1164"/>
      <c r="FU77" s="1164"/>
      <c r="FV77" s="1164"/>
      <c r="FW77" s="1164"/>
      <c r="FX77" s="1164"/>
      <c r="FY77" s="1164"/>
      <c r="FZ77" s="1164"/>
      <c r="GA77" s="1164"/>
      <c r="GB77" s="1164"/>
      <c r="GC77" s="1164"/>
      <c r="GD77" s="1164"/>
      <c r="GE77" s="1164"/>
      <c r="GF77" s="1164"/>
      <c r="GG77" s="1164"/>
      <c r="GH77" s="1164"/>
      <c r="GI77" s="1164"/>
      <c r="GJ77" s="1164"/>
      <c r="GK77" s="1164"/>
      <c r="GL77" s="1164"/>
      <c r="GM77" s="1164"/>
      <c r="GN77" s="1164"/>
      <c r="GO77" s="1164"/>
      <c r="GP77" s="1164"/>
      <c r="GQ77" s="1164"/>
      <c r="GR77" s="1164"/>
      <c r="GS77" s="1164"/>
      <c r="GT77" s="1164"/>
      <c r="GU77" s="1164"/>
      <c r="GV77" s="1164"/>
      <c r="GW77" s="1164"/>
      <c r="GX77" s="1164"/>
      <c r="GY77" s="1164"/>
      <c r="GZ77" s="1164"/>
      <c r="HA77" s="1164"/>
      <c r="HB77" s="1164"/>
      <c r="HC77" s="1164"/>
      <c r="HD77" s="1164"/>
      <c r="HE77" s="1164"/>
      <c r="HF77" s="1164"/>
      <c r="HG77" s="1164"/>
      <c r="HH77" s="1164"/>
      <c r="HI77" s="1164"/>
      <c r="HJ77" s="1164"/>
      <c r="HK77" s="1164"/>
      <c r="HL77" s="1164"/>
      <c r="HM77" s="1164"/>
      <c r="HN77" s="1164"/>
      <c r="HO77" s="1164"/>
      <c r="HP77" s="1164"/>
      <c r="HQ77" s="1164"/>
      <c r="HR77" s="1164"/>
      <c r="HS77" s="1164"/>
      <c r="HT77" s="1164"/>
      <c r="HU77" s="1164"/>
      <c r="HV77" s="1164"/>
      <c r="HW77" s="1164"/>
      <c r="HX77" s="1164"/>
      <c r="HY77" s="1164"/>
      <c r="HZ77" s="1164"/>
      <c r="IA77" s="1164"/>
      <c r="IB77" s="1164"/>
      <c r="IC77" s="1164"/>
      <c r="ID77" s="1164"/>
      <c r="IE77" s="1164"/>
      <c r="IF77" s="1164"/>
      <c r="IG77" s="1164"/>
      <c r="IH77" s="1164"/>
      <c r="II77" s="1164"/>
      <c r="IJ77" s="1164"/>
      <c r="IK77" s="1164"/>
      <c r="IL77" s="1164"/>
      <c r="IM77" s="1164"/>
      <c r="IN77" s="1164"/>
      <c r="IO77" s="1164"/>
      <c r="IP77" s="1164"/>
      <c r="IQ77" s="1164"/>
      <c r="IR77" s="1164"/>
      <c r="IS77" s="1164"/>
      <c r="IT77" s="1164"/>
      <c r="IU77" s="1164"/>
      <c r="IV77" s="1164"/>
    </row>
    <row r="78" spans="1:256" ht="17.100000000000001" customHeight="1">
      <c r="A78" s="1138">
        <f>+B78</f>
        <v>42365</v>
      </c>
      <c r="B78" s="1157">
        <f t="shared" si="66"/>
        <v>42365</v>
      </c>
      <c r="C78" s="1161">
        <f>IF(DAY($B$82)=28,C65,IF(DAY($B$82)=29,C66,IF(DAY($B$82)=30,C67,C68)))</f>
        <v>93.9</v>
      </c>
      <c r="D78" s="1160">
        <f t="shared" si="67"/>
        <v>3.8946544184854655</v>
      </c>
      <c r="E78" s="1160">
        <f t="shared" si="67"/>
        <v>3.6839812896820527</v>
      </c>
      <c r="F78" s="1160">
        <f t="shared" si="67"/>
        <v>0.88</v>
      </c>
      <c r="G78" s="1160">
        <f t="shared" si="67"/>
        <v>0.56097560975609762</v>
      </c>
      <c r="H78" s="1160">
        <f t="shared" si="67"/>
        <v>59.3</v>
      </c>
      <c r="I78" s="1161" t="str">
        <f t="shared" si="67"/>
        <v/>
      </c>
      <c r="J78" s="1161" t="str">
        <f t="shared" si="67"/>
        <v/>
      </c>
      <c r="K78" s="1160" t="str">
        <f t="shared" si="67"/>
        <v/>
      </c>
      <c r="L78" s="1160" t="str">
        <f t="shared" si="67"/>
        <v/>
      </c>
      <c r="M78" s="1160" t="str">
        <f t="shared" si="67"/>
        <v/>
      </c>
      <c r="N78" s="1160" t="str">
        <f t="shared" si="67"/>
        <v/>
      </c>
      <c r="O78" s="1161">
        <f t="shared" si="67"/>
        <v>2200</v>
      </c>
      <c r="P78" s="1261">
        <f t="shared" si="67"/>
        <v>2300</v>
      </c>
      <c r="Q78" s="1262">
        <f t="shared" si="67"/>
        <v>4000</v>
      </c>
      <c r="R78" s="1261">
        <f t="shared" si="67"/>
        <v>2700</v>
      </c>
      <c r="S78" s="1160">
        <f t="shared" si="67"/>
        <v>37.799999999999997</v>
      </c>
      <c r="T78" s="1160">
        <f t="shared" si="67"/>
        <v>14.3</v>
      </c>
      <c r="U78" s="1161">
        <f t="shared" si="67"/>
        <v>31525.199999999997</v>
      </c>
      <c r="V78" s="1161">
        <f t="shared" si="67"/>
        <v>11926.2</v>
      </c>
      <c r="W78" s="1161">
        <f t="shared" si="67"/>
        <v>880</v>
      </c>
      <c r="X78" s="1798">
        <f t="shared" si="67"/>
        <v>0.48</v>
      </c>
      <c r="Y78" s="1500">
        <f t="shared" si="67"/>
        <v>105</v>
      </c>
      <c r="Z78" s="1160">
        <f t="shared" si="68"/>
        <v>15.1</v>
      </c>
      <c r="AA78" s="1160">
        <f t="shared" si="68"/>
        <v>10.9</v>
      </c>
      <c r="AB78" s="1160">
        <f t="shared" si="69"/>
        <v>5.18</v>
      </c>
      <c r="AC78" s="1160">
        <f t="shared" si="69"/>
        <v>56.695200000000007</v>
      </c>
      <c r="AD78" s="1160">
        <f t="shared" si="70"/>
        <v>460</v>
      </c>
      <c r="AE78" s="1161">
        <f t="shared" si="70"/>
        <v>0</v>
      </c>
      <c r="AF78" s="1161">
        <f t="shared" si="70"/>
        <v>140</v>
      </c>
      <c r="AG78" s="1161">
        <f t="shared" si="70"/>
        <v>1342</v>
      </c>
      <c r="AH78" s="1160">
        <f t="shared" si="70"/>
        <v>22.5</v>
      </c>
      <c r="AI78" s="1160">
        <f t="shared" si="70"/>
        <v>82.1</v>
      </c>
      <c r="AJ78" s="1160"/>
      <c r="AK78" s="1160"/>
      <c r="AL78" s="1160"/>
      <c r="AM78" s="1160"/>
      <c r="AN78" s="1160"/>
      <c r="AP78" s="1505">
        <f>WEEKDAY(AQ78)</f>
        <v>1</v>
      </c>
      <c r="AQ78" s="1136">
        <f t="shared" si="71"/>
        <v>42365</v>
      </c>
      <c r="AR78" s="1161"/>
      <c r="AS78" s="1260"/>
      <c r="AT78" s="1160"/>
      <c r="AU78" s="1260"/>
      <c r="AV78" s="1161"/>
      <c r="AW78" s="1260"/>
      <c r="AX78" s="1260"/>
      <c r="AY78" s="1260"/>
      <c r="AZ78" s="1260"/>
      <c r="BA78" s="1161"/>
      <c r="BB78" s="1262"/>
      <c r="BC78" s="1160"/>
      <c r="BD78" s="1160"/>
      <c r="BE78" s="1160"/>
      <c r="BF78" s="1160"/>
      <c r="BG78" s="1162"/>
      <c r="BH78" s="1258"/>
      <c r="BI78" s="1258"/>
      <c r="BJ78" s="1258"/>
      <c r="BK78" s="1258"/>
      <c r="BL78" s="1258"/>
      <c r="BM78" s="1262"/>
      <c r="BN78" s="1262"/>
      <c r="BO78" s="1260"/>
      <c r="BP78" s="1160"/>
      <c r="BQ78" s="1160"/>
      <c r="BR78" s="1160"/>
      <c r="BS78" s="1160"/>
      <c r="BT78" s="1160"/>
      <c r="BU78" s="1160"/>
      <c r="BV78" s="1160"/>
      <c r="BW78" s="1160"/>
      <c r="BX78" s="1160"/>
      <c r="BY78" s="1160"/>
      <c r="BZ78" s="1160"/>
      <c r="CA78" s="1160"/>
      <c r="CB78" s="1160"/>
      <c r="CC78" s="1160"/>
      <c r="CD78" s="585"/>
      <c r="CE78" s="585"/>
      <c r="CF78" s="585"/>
      <c r="CG78" s="585"/>
      <c r="CH78" s="585"/>
      <c r="CI78" s="585"/>
      <c r="CJ78" s="585"/>
      <c r="CK78" s="585"/>
      <c r="CL78" s="585"/>
      <c r="CM78" s="585"/>
      <c r="CN78" s="585"/>
      <c r="CO78" s="585"/>
      <c r="CP78" s="585"/>
      <c r="CQ78" s="585"/>
      <c r="CR78" s="585"/>
      <c r="CS78" s="585"/>
      <c r="CT78" s="585"/>
      <c r="CU78" s="585"/>
      <c r="CV78" s="585"/>
      <c r="CW78" s="585"/>
      <c r="CX78" s="585"/>
      <c r="CY78" s="585"/>
      <c r="CZ78" s="585"/>
      <c r="DA78" s="585"/>
      <c r="DB78" s="585"/>
      <c r="DC78" s="585"/>
      <c r="DD78" s="585"/>
      <c r="DE78" s="585"/>
      <c r="DF78" s="585"/>
      <c r="DG78" s="585"/>
      <c r="DH78" s="585"/>
      <c r="DI78" s="585"/>
      <c r="DJ78" s="585"/>
      <c r="DL78" s="582"/>
      <c r="DM78" s="582"/>
      <c r="DN78" s="582"/>
      <c r="DO78" s="582"/>
      <c r="DP78" s="582"/>
      <c r="DQ78" s="582"/>
      <c r="DR78" s="582"/>
      <c r="DS78" s="583"/>
      <c r="DT78" s="583"/>
      <c r="DU78" s="583"/>
      <c r="DV78" s="583"/>
      <c r="DW78" s="583"/>
      <c r="DX78" s="582"/>
      <c r="DY78" s="582"/>
      <c r="DZ78" s="582"/>
      <c r="EA78" s="582"/>
      <c r="EB78" s="582"/>
      <c r="EC78" s="582"/>
      <c r="ED78" s="582"/>
      <c r="EE78" s="582"/>
      <c r="EF78" s="582"/>
      <c r="EG78" s="582"/>
      <c r="EH78" s="582"/>
      <c r="EI78" s="582"/>
      <c r="EJ78" s="582"/>
      <c r="EK78" s="582"/>
      <c r="EL78" s="582"/>
      <c r="EM78" s="582"/>
      <c r="EN78" s="582"/>
      <c r="EO78" s="582"/>
      <c r="EP78" s="582"/>
      <c r="EQ78" s="582"/>
      <c r="ER78" s="582"/>
      <c r="ES78" s="582"/>
      <c r="ET78" s="582"/>
      <c r="EU78" s="582"/>
      <c r="EV78" s="582"/>
      <c r="EW78" s="582"/>
      <c r="EX78" s="582"/>
      <c r="EY78" s="582"/>
      <c r="EZ78" s="582"/>
      <c r="FA78" s="582"/>
      <c r="FB78" s="582"/>
      <c r="FC78" s="582"/>
      <c r="FD78" s="582"/>
      <c r="FE78" s="582"/>
      <c r="IV78" s="578"/>
    </row>
    <row r="79" spans="1:256" ht="17.100000000000001" customHeight="1">
      <c r="A79" s="1138">
        <f t="shared" ref="A79:A113" si="72">+B79</f>
        <v>42366</v>
      </c>
      <c r="B79" s="1158">
        <f t="shared" si="66"/>
        <v>42366</v>
      </c>
      <c r="C79" s="1145">
        <f t="shared" ref="C79:Y79" si="73">IF(DAY($B$82)=28,C66,IF(DAY($B$82)=29,C67,IF(DAY($B$82)=30,C68,C69)))</f>
        <v>95.9</v>
      </c>
      <c r="D79" s="1144">
        <f t="shared" si="73"/>
        <v>3.9923891028984575</v>
      </c>
      <c r="E79" s="1144">
        <f t="shared" si="73"/>
        <v>5.6492248380720502</v>
      </c>
      <c r="F79" s="1144">
        <f t="shared" si="73"/>
        <v>0.61855670103092786</v>
      </c>
      <c r="G79" s="1144">
        <f t="shared" si="73"/>
        <v>0.59090909090909094</v>
      </c>
      <c r="H79" s="1144">
        <f t="shared" si="73"/>
        <v>78.7</v>
      </c>
      <c r="I79" s="1161" t="str">
        <f t="shared" si="73"/>
        <v/>
      </c>
      <c r="J79" s="1161" t="str">
        <f t="shared" si="73"/>
        <v/>
      </c>
      <c r="K79" s="1144">
        <f t="shared" si="73"/>
        <v>2.96</v>
      </c>
      <c r="L79" s="1144">
        <f t="shared" si="73"/>
        <v>84</v>
      </c>
      <c r="M79" s="1144">
        <f t="shared" si="73"/>
        <v>1.79</v>
      </c>
      <c r="N79" s="1144">
        <f t="shared" si="73"/>
        <v>71.2</v>
      </c>
      <c r="O79" s="1145">
        <f t="shared" si="73"/>
        <v>3000</v>
      </c>
      <c r="P79" s="1254">
        <f t="shared" si="73"/>
        <v>2600</v>
      </c>
      <c r="Q79" s="1146">
        <f t="shared" si="73"/>
        <v>3700</v>
      </c>
      <c r="R79" s="1254">
        <f t="shared" si="73"/>
        <v>3800</v>
      </c>
      <c r="S79" s="1144">
        <f t="shared" si="73"/>
        <v>38.4</v>
      </c>
      <c r="T79" s="1144">
        <f t="shared" si="73"/>
        <v>14.9</v>
      </c>
      <c r="U79" s="1145">
        <f t="shared" si="73"/>
        <v>36509.183999999994</v>
      </c>
      <c r="V79" s="1145">
        <f t="shared" si="73"/>
        <v>14166.324000000001</v>
      </c>
      <c r="W79" s="1145">
        <f t="shared" si="73"/>
        <v>970</v>
      </c>
      <c r="X79" s="1799">
        <f t="shared" si="73"/>
        <v>0.49</v>
      </c>
      <c r="Y79" s="1501">
        <f t="shared" si="73"/>
        <v>106</v>
      </c>
      <c r="Z79" s="1144">
        <f t="shared" si="68"/>
        <v>10.8</v>
      </c>
      <c r="AA79" s="1144">
        <f t="shared" si="68"/>
        <v>8.6</v>
      </c>
      <c r="AB79" s="1144">
        <f t="shared" si="69"/>
        <v>4.9375</v>
      </c>
      <c r="AC79" s="1144">
        <f t="shared" si="69"/>
        <v>59.252879999999998</v>
      </c>
      <c r="AD79" s="1144">
        <f t="shared" si="70"/>
        <v>470</v>
      </c>
      <c r="AE79" s="1145">
        <f t="shared" si="70"/>
        <v>0</v>
      </c>
      <c r="AF79" s="1145">
        <f t="shared" si="70"/>
        <v>99</v>
      </c>
      <c r="AG79" s="1145">
        <f t="shared" si="70"/>
        <v>70.5</v>
      </c>
      <c r="AH79" s="1144">
        <f t="shared" si="70"/>
        <v>24.2</v>
      </c>
      <c r="AI79" s="1144">
        <f t="shared" si="70"/>
        <v>82.9</v>
      </c>
      <c r="AJ79" s="1144"/>
      <c r="AK79" s="1144"/>
      <c r="AL79" s="1144"/>
      <c r="AM79" s="1144"/>
      <c r="AN79" s="1144"/>
      <c r="AP79" s="1505">
        <f t="shared" ref="AP79:AP111" si="74">WEEKDAY(AQ79)</f>
        <v>2</v>
      </c>
      <c r="AQ79" s="1127">
        <f t="shared" si="71"/>
        <v>42366</v>
      </c>
      <c r="AR79" s="1145"/>
      <c r="AS79" s="1141"/>
      <c r="AT79" s="1144"/>
      <c r="AU79" s="1141"/>
      <c r="AV79" s="1145"/>
      <c r="AW79" s="1141"/>
      <c r="AX79" s="1144"/>
      <c r="AY79" s="1141"/>
      <c r="AZ79" s="1141"/>
      <c r="BA79" s="1145"/>
      <c r="BB79" s="1146"/>
      <c r="BC79" s="1144"/>
      <c r="BD79" s="1144"/>
      <c r="BE79" s="1144"/>
      <c r="BF79" s="1144"/>
      <c r="BG79" s="1147"/>
      <c r="BH79" s="1148"/>
      <c r="BI79" s="1148"/>
      <c r="BJ79" s="1148"/>
      <c r="BK79" s="1148"/>
      <c r="BL79" s="1148"/>
      <c r="BM79" s="1146"/>
      <c r="BN79" s="1146"/>
      <c r="BO79" s="1141"/>
      <c r="BP79" s="1144"/>
      <c r="BQ79" s="1144"/>
      <c r="BR79" s="1144"/>
      <c r="BS79" s="1144"/>
      <c r="BT79" s="1144"/>
      <c r="BU79" s="1144"/>
      <c r="BV79" s="1144"/>
      <c r="BW79" s="1144"/>
      <c r="BX79" s="1144"/>
      <c r="BY79" s="1144"/>
      <c r="BZ79" s="1144"/>
      <c r="CA79" s="1144"/>
      <c r="CB79" s="1144"/>
      <c r="CC79" s="1144"/>
      <c r="CD79" s="585"/>
      <c r="CE79" s="585"/>
      <c r="CF79" s="585"/>
      <c r="CG79" s="585"/>
      <c r="CH79" s="585"/>
      <c r="CI79" s="585"/>
      <c r="CJ79" s="585"/>
      <c r="CK79" s="585"/>
      <c r="CL79" s="585"/>
      <c r="CM79" s="585"/>
      <c r="CN79" s="585"/>
      <c r="CO79" s="585"/>
      <c r="CP79" s="585"/>
      <c r="CQ79" s="585"/>
      <c r="CR79" s="585"/>
      <c r="CS79" s="585"/>
      <c r="CT79" s="585"/>
      <c r="CU79" s="585"/>
      <c r="CV79" s="585"/>
      <c r="CW79" s="585"/>
      <c r="CX79" s="585"/>
      <c r="CY79" s="585"/>
      <c r="CZ79" s="585"/>
      <c r="DA79" s="585"/>
      <c r="DB79" s="585"/>
      <c r="DC79" s="585"/>
      <c r="DD79" s="585"/>
      <c r="DE79" s="585"/>
      <c r="DF79" s="585"/>
      <c r="DG79" s="585"/>
      <c r="DH79" s="585"/>
      <c r="DI79" s="585"/>
      <c r="DJ79" s="585"/>
      <c r="DL79" s="582"/>
      <c r="DM79" s="582"/>
      <c r="DN79" s="582"/>
      <c r="DO79" s="582"/>
      <c r="DP79" s="582"/>
      <c r="DQ79" s="582"/>
      <c r="DR79" s="582"/>
      <c r="DS79" s="583"/>
      <c r="DT79" s="583"/>
      <c r="DU79" s="583"/>
      <c r="DV79" s="583"/>
      <c r="DW79" s="583"/>
      <c r="DX79" s="582"/>
      <c r="DY79" s="582"/>
      <c r="DZ79" s="582"/>
      <c r="EA79" s="582"/>
      <c r="EB79" s="582"/>
      <c r="EC79" s="582"/>
      <c r="ED79" s="582"/>
      <c r="EE79" s="582"/>
      <c r="EF79" s="582"/>
      <c r="EG79" s="582"/>
      <c r="EH79" s="582"/>
      <c r="EI79" s="582"/>
      <c r="EJ79" s="582"/>
      <c r="EK79" s="582"/>
      <c r="EL79" s="582"/>
      <c r="EM79" s="582"/>
      <c r="EN79" s="582"/>
      <c r="EO79" s="582"/>
      <c r="EP79" s="582"/>
      <c r="EQ79" s="582"/>
      <c r="ER79" s="582"/>
      <c r="ES79" s="582"/>
      <c r="ET79" s="582"/>
      <c r="EU79" s="582"/>
      <c r="EV79" s="582"/>
      <c r="EW79" s="582"/>
      <c r="EX79" s="582"/>
      <c r="EY79" s="582"/>
      <c r="EZ79" s="582"/>
      <c r="FA79" s="582"/>
      <c r="FB79" s="582"/>
      <c r="FC79" s="582"/>
      <c r="FD79" s="582"/>
      <c r="FE79" s="582"/>
      <c r="IV79" s="578"/>
    </row>
    <row r="80" spans="1:256" ht="17.100000000000001" customHeight="1">
      <c r="A80" s="1138">
        <f t="shared" si="72"/>
        <v>42367</v>
      </c>
      <c r="B80" s="1158">
        <f t="shared" si="66"/>
        <v>42367</v>
      </c>
      <c r="C80" s="1145">
        <f t="shared" ref="C80:Y80" si="75">IF(DAY($B$82)=28,C67,IF(DAY($B$82)=29,C68,IF(DAY($B$82)=30,C69,C70)))</f>
        <v>94</v>
      </c>
      <c r="D80" s="1144">
        <f t="shared" si="75"/>
        <v>4.0345436513904724</v>
      </c>
      <c r="E80" s="1144">
        <f t="shared" si="75"/>
        <v>6.5413594409777724</v>
      </c>
      <c r="F80" s="1144">
        <f t="shared" si="75"/>
        <v>0.7567567567567568</v>
      </c>
      <c r="G80" s="1144">
        <f t="shared" si="75"/>
        <v>0.79245283018867929</v>
      </c>
      <c r="H80" s="1144">
        <f t="shared" si="75"/>
        <v>63.8</v>
      </c>
      <c r="I80" s="1161">
        <f t="shared" si="75"/>
        <v>726</v>
      </c>
      <c r="J80" s="1161">
        <f t="shared" si="75"/>
        <v>662</v>
      </c>
      <c r="K80" s="1144">
        <f t="shared" si="75"/>
        <v>2.87</v>
      </c>
      <c r="L80" s="1144">
        <f t="shared" si="75"/>
        <v>84.1</v>
      </c>
      <c r="M80" s="1144">
        <f t="shared" si="75"/>
        <v>1.6</v>
      </c>
      <c r="N80" s="1144">
        <f t="shared" si="75"/>
        <v>72.5</v>
      </c>
      <c r="O80" s="1145">
        <f t="shared" si="75"/>
        <v>1400</v>
      </c>
      <c r="P80" s="1254">
        <f t="shared" si="75"/>
        <v>2100</v>
      </c>
      <c r="Q80" s="1146">
        <f t="shared" si="75"/>
        <v>3500</v>
      </c>
      <c r="R80" s="1254">
        <f t="shared" si="75"/>
        <v>3800</v>
      </c>
      <c r="S80" s="1144">
        <f t="shared" si="75"/>
        <v>21.4</v>
      </c>
      <c r="T80" s="1144">
        <f t="shared" si="75"/>
        <v>11.3</v>
      </c>
      <c r="U80" s="1145">
        <f t="shared" si="75"/>
        <v>27128.351999999999</v>
      </c>
      <c r="V80" s="1145">
        <f t="shared" si="75"/>
        <v>14324.784000000001</v>
      </c>
      <c r="W80" s="1145">
        <f t="shared" si="75"/>
        <v>1460</v>
      </c>
      <c r="X80" s="1799">
        <f t="shared" si="75"/>
        <v>0.5</v>
      </c>
      <c r="Y80" s="1501">
        <f t="shared" si="75"/>
        <v>103</v>
      </c>
      <c r="Z80" s="1144">
        <f t="shared" si="68"/>
        <v>7.9</v>
      </c>
      <c r="AA80" s="1144">
        <f t="shared" si="68"/>
        <v>7.7</v>
      </c>
      <c r="AB80" s="1144">
        <f t="shared" si="69"/>
        <v>7.1725000000000003</v>
      </c>
      <c r="AC80" s="1144">
        <f t="shared" si="69"/>
        <v>58.260719999999992</v>
      </c>
      <c r="AD80" s="1144">
        <f t="shared" si="70"/>
        <v>410</v>
      </c>
      <c r="AE80" s="1145">
        <f t="shared" si="70"/>
        <v>0</v>
      </c>
      <c r="AF80" s="1145">
        <f t="shared" si="70"/>
        <v>47</v>
      </c>
      <c r="AG80" s="1145">
        <f t="shared" si="70"/>
        <v>0</v>
      </c>
      <c r="AH80" s="1144">
        <f t="shared" si="70"/>
        <v>24</v>
      </c>
      <c r="AI80" s="1144">
        <f t="shared" si="70"/>
        <v>77.2</v>
      </c>
      <c r="AJ80" s="1144"/>
      <c r="AK80" s="1144"/>
      <c r="AL80" s="1144"/>
      <c r="AM80" s="1144"/>
      <c r="AN80" s="1144"/>
      <c r="AP80" s="1505">
        <f t="shared" si="74"/>
        <v>3</v>
      </c>
      <c r="AQ80" s="1127">
        <f t="shared" si="71"/>
        <v>42367</v>
      </c>
      <c r="AR80" s="1145"/>
      <c r="AS80" s="1141"/>
      <c r="AT80" s="1144"/>
      <c r="AU80" s="1141"/>
      <c r="AV80" s="1145"/>
      <c r="AW80" s="1141"/>
      <c r="AX80" s="1144"/>
      <c r="AY80" s="1141"/>
      <c r="AZ80" s="1141"/>
      <c r="BA80" s="1145"/>
      <c r="BB80" s="1146"/>
      <c r="BC80" s="1144"/>
      <c r="BD80" s="1144"/>
      <c r="BE80" s="1144"/>
      <c r="BF80" s="1144"/>
      <c r="BG80" s="1147"/>
      <c r="BH80" s="1148"/>
      <c r="BI80" s="1148"/>
      <c r="BJ80" s="1148"/>
      <c r="BK80" s="1148"/>
      <c r="BL80" s="1148"/>
      <c r="BM80" s="1146"/>
      <c r="BN80" s="1146"/>
      <c r="BO80" s="1141"/>
      <c r="BP80" s="1144"/>
      <c r="BQ80" s="1144"/>
      <c r="BR80" s="1144"/>
      <c r="BS80" s="1144"/>
      <c r="BT80" s="1144"/>
      <c r="BU80" s="1144"/>
      <c r="BV80" s="1144"/>
      <c r="BW80" s="1144"/>
      <c r="BX80" s="1144"/>
      <c r="BY80" s="1144"/>
      <c r="BZ80" s="1144"/>
      <c r="CA80" s="1144"/>
      <c r="CB80" s="1144"/>
      <c r="CC80" s="1144"/>
      <c r="CD80" s="585"/>
      <c r="CE80" s="585"/>
      <c r="CF80" s="585"/>
      <c r="CG80" s="585"/>
      <c r="CH80" s="585"/>
      <c r="CI80" s="585"/>
      <c r="CJ80" s="585"/>
      <c r="CK80" s="585"/>
      <c r="CL80" s="585"/>
      <c r="CM80" s="585"/>
      <c r="CN80" s="585"/>
      <c r="CO80" s="585"/>
      <c r="CP80" s="585"/>
      <c r="CQ80" s="585"/>
      <c r="CR80" s="585"/>
      <c r="CS80" s="585"/>
      <c r="CT80" s="585"/>
      <c r="CU80" s="585"/>
      <c r="CV80" s="585"/>
      <c r="CW80" s="585"/>
      <c r="CX80" s="585"/>
      <c r="CY80" s="585"/>
      <c r="CZ80" s="585"/>
      <c r="DA80" s="585"/>
      <c r="DB80" s="585"/>
      <c r="DC80" s="585"/>
      <c r="DD80" s="585"/>
      <c r="DE80" s="585"/>
      <c r="DF80" s="585"/>
      <c r="DG80" s="585"/>
      <c r="DH80" s="585"/>
      <c r="DI80" s="585"/>
      <c r="DJ80" s="585"/>
      <c r="DL80" s="582"/>
      <c r="DM80" s="582"/>
      <c r="DN80" s="582"/>
      <c r="DO80" s="582"/>
      <c r="DP80" s="582"/>
      <c r="DQ80" s="582"/>
      <c r="DR80" s="582"/>
      <c r="DS80" s="583"/>
      <c r="DT80" s="583"/>
      <c r="DU80" s="583"/>
      <c r="DV80" s="583"/>
      <c r="DW80" s="583"/>
      <c r="DX80" s="582"/>
      <c r="DY80" s="582"/>
      <c r="DZ80" s="582"/>
      <c r="EA80" s="582"/>
      <c r="EB80" s="582"/>
      <c r="EC80" s="582"/>
      <c r="ED80" s="582"/>
      <c r="EE80" s="582"/>
      <c r="EF80" s="582"/>
      <c r="EG80" s="582"/>
      <c r="EH80" s="582"/>
      <c r="EI80" s="582"/>
      <c r="EJ80" s="582"/>
      <c r="EK80" s="582"/>
      <c r="EL80" s="582"/>
      <c r="EM80" s="582"/>
      <c r="EN80" s="582"/>
      <c r="EO80" s="582"/>
      <c r="EP80" s="582"/>
      <c r="EQ80" s="582"/>
      <c r="ER80" s="582"/>
      <c r="ES80" s="582"/>
      <c r="ET80" s="582"/>
      <c r="EU80" s="582"/>
      <c r="EV80" s="582"/>
      <c r="EW80" s="582"/>
      <c r="EX80" s="582"/>
      <c r="EY80" s="582"/>
      <c r="EZ80" s="582"/>
      <c r="FA80" s="582"/>
      <c r="FB80" s="582"/>
      <c r="FC80" s="582"/>
      <c r="FD80" s="582"/>
      <c r="FE80" s="582"/>
      <c r="IV80" s="578"/>
    </row>
    <row r="81" spans="1:256" ht="17.100000000000001" customHeight="1">
      <c r="A81" s="1138">
        <f t="shared" si="72"/>
        <v>42368</v>
      </c>
      <c r="B81" s="1158">
        <f t="shared" si="66"/>
        <v>42368</v>
      </c>
      <c r="C81" s="1145">
        <f t="shared" ref="C81:Y82" si="76">IF(DAY($B$82)=28,C68,IF(DAY($B$82)=29,C69,IF(DAY($B$82)=30,C70,C71)))</f>
        <v>95.3</v>
      </c>
      <c r="D81" s="1144">
        <f t="shared" si="76"/>
        <v>4.405053855460106</v>
      </c>
      <c r="E81" s="1144">
        <f t="shared" si="76"/>
        <v>5.4540124375509578</v>
      </c>
      <c r="F81" s="1144">
        <f t="shared" si="76"/>
        <v>0.91228070175438591</v>
      </c>
      <c r="G81" s="1144">
        <f t="shared" si="76"/>
        <v>0.57943925233644855</v>
      </c>
      <c r="H81" s="1144">
        <f t="shared" si="76"/>
        <v>46.9</v>
      </c>
      <c r="I81" s="1145" t="str">
        <f t="shared" si="76"/>
        <v/>
      </c>
      <c r="J81" s="1145" t="str">
        <f t="shared" si="76"/>
        <v/>
      </c>
      <c r="K81" s="1144">
        <f t="shared" si="76"/>
        <v>2.9</v>
      </c>
      <c r="L81" s="1144">
        <f t="shared" si="76"/>
        <v>81.8</v>
      </c>
      <c r="M81" s="1144">
        <f t="shared" si="76"/>
        <v>1.8</v>
      </c>
      <c r="N81" s="1144">
        <f t="shared" si="76"/>
        <v>70.2</v>
      </c>
      <c r="O81" s="1145">
        <f t="shared" si="76"/>
        <v>2600</v>
      </c>
      <c r="P81" s="1254">
        <f t="shared" si="76"/>
        <v>3100</v>
      </c>
      <c r="Q81" s="1146">
        <f t="shared" si="76"/>
        <v>4200</v>
      </c>
      <c r="R81" s="1254">
        <f t="shared" si="76"/>
        <v>4200</v>
      </c>
      <c r="S81" s="1144">
        <f t="shared" si="76"/>
        <v>30.9</v>
      </c>
      <c r="T81" s="1144">
        <f t="shared" si="76"/>
        <v>12.2</v>
      </c>
      <c r="U81" s="1145">
        <f t="shared" si="76"/>
        <v>33501.779999999992</v>
      </c>
      <c r="V81" s="1145">
        <f t="shared" si="76"/>
        <v>13227.239999999998</v>
      </c>
      <c r="W81" s="1145">
        <f t="shared" si="76"/>
        <v>780</v>
      </c>
      <c r="X81" s="1799">
        <f t="shared" si="76"/>
        <v>0.43</v>
      </c>
      <c r="Y81" s="1501">
        <f t="shared" si="76"/>
        <v>104</v>
      </c>
      <c r="Z81" s="1144">
        <f t="shared" si="68"/>
        <v>10.5</v>
      </c>
      <c r="AA81" s="1144">
        <f t="shared" si="68"/>
        <v>7.2</v>
      </c>
      <c r="AB81" s="1144">
        <f t="shared" si="69"/>
        <v>4.9424999999999999</v>
      </c>
      <c r="AC81" s="1144">
        <f t="shared" si="69"/>
        <v>58.332000000000001</v>
      </c>
      <c r="AD81" s="1144">
        <f t="shared" si="70"/>
        <v>440</v>
      </c>
      <c r="AE81" s="1145">
        <f t="shared" si="70"/>
        <v>0</v>
      </c>
      <c r="AF81" s="1145">
        <f t="shared" si="70"/>
        <v>43</v>
      </c>
      <c r="AG81" s="1145">
        <f t="shared" si="70"/>
        <v>0</v>
      </c>
      <c r="AH81" s="1144">
        <f t="shared" si="70"/>
        <v>22.8</v>
      </c>
      <c r="AI81" s="1144">
        <f t="shared" si="70"/>
        <v>85.3</v>
      </c>
      <c r="AJ81" s="1144"/>
      <c r="AK81" s="1144"/>
      <c r="AL81" s="1144"/>
      <c r="AM81" s="1144"/>
      <c r="AN81" s="1144"/>
      <c r="AP81" s="1505">
        <f t="shared" si="74"/>
        <v>4</v>
      </c>
      <c r="AQ81" s="1127">
        <f t="shared" si="71"/>
        <v>42368</v>
      </c>
      <c r="AR81" s="1145"/>
      <c r="AS81" s="1141"/>
      <c r="AT81" s="1144"/>
      <c r="AU81" s="1144"/>
      <c r="AV81" s="1145"/>
      <c r="AW81" s="1144"/>
      <c r="AX81" s="1141"/>
      <c r="AY81" s="1141"/>
      <c r="AZ81" s="1141"/>
      <c r="BA81" s="1145"/>
      <c r="BB81" s="1146"/>
      <c r="BC81" s="1144"/>
      <c r="BD81" s="1144"/>
      <c r="BE81" s="1144"/>
      <c r="BF81" s="1144"/>
      <c r="BG81" s="1147"/>
      <c r="BH81" s="1148"/>
      <c r="BI81" s="1148"/>
      <c r="BJ81" s="1148"/>
      <c r="BK81" s="1148"/>
      <c r="BL81" s="1148"/>
      <c r="BM81" s="1146"/>
      <c r="BN81" s="1146"/>
      <c r="BO81" s="1141"/>
      <c r="BP81" s="1144"/>
      <c r="BQ81" s="1144"/>
      <c r="BR81" s="1144"/>
      <c r="BS81" s="1144"/>
      <c r="BT81" s="1144"/>
      <c r="BU81" s="1144"/>
      <c r="BV81" s="1144"/>
      <c r="BW81" s="1144"/>
      <c r="BX81" s="1144"/>
      <c r="BY81" s="1144"/>
      <c r="BZ81" s="1144"/>
      <c r="CA81" s="1144"/>
      <c r="CB81" s="1144"/>
      <c r="CC81" s="1144"/>
      <c r="CD81" s="585"/>
      <c r="CE81" s="585"/>
      <c r="CF81" s="585"/>
      <c r="CG81" s="585"/>
      <c r="CH81" s="585"/>
      <c r="CI81" s="585"/>
      <c r="CJ81" s="585"/>
      <c r="CK81" s="585"/>
      <c r="CL81" s="585"/>
      <c r="CM81" s="585"/>
      <c r="CN81" s="585"/>
      <c r="CO81" s="585"/>
      <c r="CP81" s="585"/>
      <c r="CQ81" s="585"/>
      <c r="CR81" s="585"/>
      <c r="CS81" s="585"/>
      <c r="CT81" s="585"/>
      <c r="CU81" s="585"/>
      <c r="CV81" s="585"/>
      <c r="CW81" s="585"/>
      <c r="CX81" s="585"/>
      <c r="CY81" s="585"/>
      <c r="CZ81" s="585"/>
      <c r="DA81" s="585"/>
      <c r="DB81" s="585"/>
      <c r="DC81" s="585"/>
      <c r="DD81" s="585"/>
      <c r="DE81" s="585"/>
      <c r="DF81" s="585"/>
      <c r="DG81" s="585"/>
      <c r="DH81" s="585"/>
      <c r="DI81" s="585"/>
      <c r="DJ81" s="585"/>
      <c r="DL81" s="582"/>
      <c r="DM81" s="582"/>
      <c r="DN81" s="582"/>
      <c r="DO81" s="582"/>
      <c r="DP81" s="582"/>
      <c r="DQ81" s="582"/>
      <c r="DR81" s="582"/>
      <c r="DS81" s="583"/>
      <c r="DT81" s="583"/>
      <c r="DU81" s="583"/>
      <c r="DV81" s="583"/>
      <c r="DW81" s="583"/>
      <c r="DX81" s="582"/>
      <c r="DY81" s="582"/>
      <c r="DZ81" s="582"/>
      <c r="EA81" s="582"/>
      <c r="EB81" s="582"/>
      <c r="EC81" s="582"/>
      <c r="ED81" s="582"/>
      <c r="EE81" s="582"/>
      <c r="EF81" s="582"/>
      <c r="EG81" s="582"/>
      <c r="EH81" s="582"/>
      <c r="EI81" s="582"/>
      <c r="EJ81" s="582"/>
      <c r="EK81" s="582"/>
      <c r="EL81" s="582"/>
      <c r="EM81" s="582"/>
      <c r="EN81" s="582"/>
      <c r="EO81" s="582"/>
      <c r="EP81" s="582"/>
      <c r="EQ81" s="582"/>
      <c r="ER81" s="582"/>
      <c r="ES81" s="582"/>
      <c r="ET81" s="582"/>
      <c r="EU81" s="582"/>
      <c r="EV81" s="582"/>
      <c r="EW81" s="582"/>
      <c r="EX81" s="582"/>
      <c r="EY81" s="582"/>
      <c r="EZ81" s="582"/>
      <c r="FA81" s="582"/>
      <c r="FB81" s="582"/>
      <c r="FC81" s="582"/>
      <c r="FD81" s="582"/>
      <c r="FE81" s="582"/>
      <c r="IV81" s="578"/>
    </row>
    <row r="82" spans="1:256" ht="17.100000000000001" customHeight="1" thickBot="1">
      <c r="A82" s="1138">
        <f t="shared" si="72"/>
        <v>42369</v>
      </c>
      <c r="B82" s="1159">
        <f t="shared" si="66"/>
        <v>42369</v>
      </c>
      <c r="C82" s="1255">
        <f t="shared" ref="C82:Y82" si="77">IF(DAY($B$82)=28,C69,IF(DAY($B$82)=29,C70,IF(DAY($B$82)=30,C71,C72)))</f>
        <v>92.5</v>
      </c>
      <c r="D82" s="1149">
        <f t="shared" si="77"/>
        <v>4.4146199192994935</v>
      </c>
      <c r="E82" s="1149">
        <f t="shared" si="77"/>
        <v>5.8304786567004907</v>
      </c>
      <c r="F82" s="1149" t="str">
        <f t="shared" si="77"/>
        <v/>
      </c>
      <c r="G82" s="1149" t="str">
        <f t="shared" si="77"/>
        <v/>
      </c>
      <c r="H82" s="1149">
        <f t="shared" si="77"/>
        <v>62.3</v>
      </c>
      <c r="I82" s="1642" t="str">
        <f t="shared" si="77"/>
        <v/>
      </c>
      <c r="J82" s="1642" t="str">
        <f t="shared" si="77"/>
        <v/>
      </c>
      <c r="K82" s="1144">
        <f t="shared" si="77"/>
        <v>2.97</v>
      </c>
      <c r="L82" s="1144">
        <f t="shared" si="77"/>
        <v>84</v>
      </c>
      <c r="M82" s="1144">
        <f t="shared" si="77"/>
        <v>1.7</v>
      </c>
      <c r="N82" s="1144">
        <f t="shared" si="77"/>
        <v>72.7</v>
      </c>
      <c r="O82" s="1145" t="str">
        <f t="shared" si="77"/>
        <v/>
      </c>
      <c r="P82" s="1254" t="str">
        <f t="shared" si="77"/>
        <v/>
      </c>
      <c r="Q82" s="1146" t="str">
        <f t="shared" si="77"/>
        <v/>
      </c>
      <c r="R82" s="1254" t="str">
        <f t="shared" si="77"/>
        <v/>
      </c>
      <c r="S82" s="1144">
        <f t="shared" si="76"/>
        <v>35.299999999999997</v>
      </c>
      <c r="T82" s="1149">
        <f t="shared" si="77"/>
        <v>11.1</v>
      </c>
      <c r="U82" s="1255">
        <f t="shared" si="77"/>
        <v>29440.199999999997</v>
      </c>
      <c r="V82" s="1255">
        <f t="shared" si="77"/>
        <v>9257.4</v>
      </c>
      <c r="W82" s="1255">
        <f t="shared" si="77"/>
        <v>680</v>
      </c>
      <c r="X82" s="1800">
        <f t="shared" si="77"/>
        <v>0.45</v>
      </c>
      <c r="Y82" s="1502">
        <f t="shared" si="77"/>
        <v>105.75</v>
      </c>
      <c r="Z82" s="1149">
        <f t="shared" si="68"/>
        <v>14.8</v>
      </c>
      <c r="AA82" s="1149">
        <f t="shared" si="68"/>
        <v>9.8000000000000007</v>
      </c>
      <c r="AB82" s="1149">
        <f t="shared" si="69"/>
        <v>6.3275000000000006</v>
      </c>
      <c r="AC82" s="1149">
        <f t="shared" si="69"/>
        <v>58.208160000000007</v>
      </c>
      <c r="AD82" s="1149">
        <f t="shared" si="70"/>
        <v>470</v>
      </c>
      <c r="AE82" s="1255">
        <f t="shared" si="70"/>
        <v>0</v>
      </c>
      <c r="AF82" s="1255">
        <f t="shared" si="70"/>
        <v>37</v>
      </c>
      <c r="AG82" s="1255">
        <f t="shared" si="70"/>
        <v>776.5</v>
      </c>
      <c r="AH82" s="1149">
        <f t="shared" si="70"/>
        <v>23.4</v>
      </c>
      <c r="AI82" s="1149">
        <f t="shared" si="70"/>
        <v>76.7</v>
      </c>
      <c r="AJ82" s="1149"/>
      <c r="AK82" s="1149"/>
      <c r="AL82" s="1149"/>
      <c r="AM82" s="1149"/>
      <c r="AN82" s="1149"/>
      <c r="AP82" s="1506">
        <f t="shared" si="74"/>
        <v>5</v>
      </c>
      <c r="AQ82" s="1137">
        <f t="shared" si="71"/>
        <v>42369</v>
      </c>
      <c r="AR82" s="1255" t="str">
        <f t="shared" ref="AR82:AR88" si="78">IF($AP82=7,ROUND(AVERAGE(C76:C82),1),"")</f>
        <v/>
      </c>
      <c r="AS82" s="1142" t="str">
        <f t="shared" ref="AS82:AS88" si="79">IF($AP82=7,ROUND(AVERAGE(D76:D82),1),"")</f>
        <v/>
      </c>
      <c r="AT82" s="1149" t="str">
        <f t="shared" ref="AT82:AT88" si="80">IF($AP82=7,ROUND(AVERAGE(E76:E82),1),"")</f>
        <v/>
      </c>
      <c r="AU82" s="1149" t="str">
        <f t="shared" ref="AU82:AU88" si="81">IF($AP82=7,ROUND(AVERAGE(F76:F82),1),"")</f>
        <v/>
      </c>
      <c r="AV82" s="1142" t="str">
        <f t="shared" ref="AV82:AV88" si="82">IF($AP82=7,ROUND(AVERAGE(G76:G82),1),"")</f>
        <v/>
      </c>
      <c r="AW82" s="1142" t="str">
        <f t="shared" ref="AW82:AW88" si="83">IF($AP82=7,ROUND(AVERAGE(H76:H82),1),"")</f>
        <v/>
      </c>
      <c r="AX82" s="1142" t="str">
        <f t="shared" ref="AX82:AX88" si="84">IF($AP82=7,ROUND(AVERAGE(J76:J82),-1),"")</f>
        <v/>
      </c>
      <c r="AY82" s="1142" t="str">
        <f t="shared" ref="AY82:AY88" si="85">IF($AP82=7,ROUND(AVERAGE(K76:K82),1),"")</f>
        <v/>
      </c>
      <c r="AZ82" s="1142" t="str">
        <f t="shared" ref="AZ82:AZ88" si="86">IF($AP82=7,ROUND(AVERAGE(L76:L82),1),"")</f>
        <v/>
      </c>
      <c r="BA82" s="1142" t="str">
        <f t="shared" ref="BA82:BA88" si="87">IF($AP82=7,ROUND(AVERAGE(M76:M82),1),"")</f>
        <v/>
      </c>
      <c r="BB82" s="1143" t="str">
        <f t="shared" ref="BB82:BB88" si="88">IF($AP82=7,ROUND(AVERAGE(N76:N82),1),"")</f>
        <v/>
      </c>
      <c r="BC82" s="1142" t="str">
        <f t="shared" ref="BC82:BC88" si="89">IF($AP82=7,ROUND(AVERAGE(O76:O82),-1),"")</f>
        <v/>
      </c>
      <c r="BD82" s="1142" t="str">
        <f t="shared" ref="BD82:BD88" si="90">IF($AP82=7,ROUND(AVERAGE(P76:P82),-1),"")</f>
        <v/>
      </c>
      <c r="BE82" s="1149" t="str">
        <f t="shared" ref="BE82:BE88" si="91">IF($AP82=7,ROUND(AVERAGE(Q76:Q82),-1),"")</f>
        <v/>
      </c>
      <c r="BF82" s="1149" t="str">
        <f t="shared" ref="BF82:BF88" si="92">IF($AP82=7,ROUND(AVERAGE(R76:R82),-1),"")</f>
        <v/>
      </c>
      <c r="BG82" s="1150" t="str">
        <f t="shared" ref="BG82:BG88" si="93">IF($AP82=7,ROUND(AVERAGE(S76:S82),1),"")</f>
        <v/>
      </c>
      <c r="BH82" s="1143" t="str">
        <f t="shared" ref="BH82:BH88" si="94">IF($AP82=7,ROUND(AVERAGE(T76:T82),1),"")</f>
        <v/>
      </c>
      <c r="BI82" s="1143" t="str">
        <f t="shared" ref="BI82:BI88" si="95">IF($AP82=7,ROUND(AVERAGE(U76:U82),1),"")</f>
        <v/>
      </c>
      <c r="BJ82" s="1143" t="str">
        <f t="shared" ref="BJ82:BJ88" si="96">IF($AP82=7,ROUND(AVERAGE(V76:V82),1),"")</f>
        <v/>
      </c>
      <c r="BK82" s="1143" t="str">
        <f t="shared" ref="BK82:BK88" si="97">IF($AP82=7,ROUND(AVERAGE(W76:W82),0),"")</f>
        <v/>
      </c>
      <c r="BL82" s="1257" t="str">
        <f t="shared" ref="BL82:BL88" si="98">IF($AP82=7,ROUND(AVERAGE(X76:X82),2),"")</f>
        <v/>
      </c>
      <c r="BM82" s="1256" t="str">
        <f t="shared" ref="BM82:BM88" si="99">IF($AP82=7,ROUND(AVERAGE(Y76:Y82),1),"")</f>
        <v/>
      </c>
      <c r="BN82" s="1256" t="str">
        <f>IF($AP82=7,ROUND(AVERAGE(I76:I82),1),"")</f>
        <v/>
      </c>
      <c r="BO82" s="1142" t="str">
        <f>IF($AP82=7,ROUND(AVERAGE(J76:J82),1),"")</f>
        <v/>
      </c>
      <c r="BP82" s="1149" t="str">
        <f>IF($AP82=7,ROUND(AVERAGE(K76:K82),1),"")</f>
        <v/>
      </c>
      <c r="BQ82" s="1149" t="str">
        <f t="shared" ref="BQ82:BQ88" si="100">IF($AP82=7,ROUND(AVERAGE(AB76:AB82),1),"")</f>
        <v/>
      </c>
      <c r="BR82" s="1149" t="str">
        <f t="shared" ref="BR82:BR88" si="101">IF($AP82=7,ROUND(AVERAGE(AC76:AC82),1),"")</f>
        <v/>
      </c>
      <c r="BS82" s="1149" t="str">
        <f>IF($AP82=7,ROUND(AVERAGE(AD76:AD82),1),"")</f>
        <v/>
      </c>
      <c r="BT82" s="1149" t="str">
        <f t="shared" ref="BT82:BT88" si="102">IF($AP82=7,ROUND(AVERAGE(AE76:AE82),1),"")</f>
        <v/>
      </c>
      <c r="BU82" s="1149" t="str">
        <f t="shared" ref="BU82:BU88" si="103">IF($AP82=7,ROUND(AVERAGE(AF76:AF82),1),"")</f>
        <v/>
      </c>
      <c r="BV82" s="1149" t="str">
        <f>IF($AP82=7,ROUND(AVERAGE(AK76:AK82),1),"")</f>
        <v/>
      </c>
      <c r="BW82" s="1149" t="str">
        <f>IF($AP82=7,ROUND(AVERAGE(AL76:AL82),1),"")</f>
        <v/>
      </c>
      <c r="BX82" s="1149" t="str">
        <f>IF($AP82=7,ROUND(AVERAGE(AM76:AM82),1),"")</f>
        <v/>
      </c>
      <c r="BY82" s="1149"/>
      <c r="BZ82" s="1149"/>
      <c r="CA82" s="1149"/>
      <c r="CB82" s="1149"/>
      <c r="CC82" s="1149"/>
      <c r="CD82" s="585"/>
      <c r="CE82" s="585"/>
      <c r="CF82" s="585"/>
      <c r="CG82" s="585"/>
      <c r="CH82" s="585"/>
      <c r="CI82" s="585"/>
      <c r="CJ82" s="585"/>
      <c r="CK82" s="585"/>
      <c r="CL82" s="585"/>
      <c r="CM82" s="585"/>
      <c r="CN82" s="585"/>
      <c r="CO82" s="585"/>
      <c r="CP82" s="585"/>
      <c r="CQ82" s="585"/>
      <c r="CR82" s="585"/>
      <c r="CS82" s="585"/>
      <c r="CT82" s="585"/>
      <c r="CU82" s="585"/>
      <c r="CV82" s="585"/>
      <c r="CW82" s="585"/>
      <c r="CX82" s="585"/>
      <c r="CY82" s="585"/>
      <c r="CZ82" s="585"/>
      <c r="DA82" s="585"/>
      <c r="DB82" s="585"/>
      <c r="DC82" s="585"/>
      <c r="DD82" s="585"/>
      <c r="DE82" s="585"/>
      <c r="DF82" s="585"/>
      <c r="DG82" s="585"/>
      <c r="DH82" s="585"/>
      <c r="DI82" s="585"/>
      <c r="DJ82" s="585"/>
      <c r="DL82" s="582"/>
      <c r="DM82" s="582"/>
      <c r="DN82" s="582"/>
      <c r="DO82" s="582"/>
      <c r="DP82" s="582"/>
      <c r="DQ82" s="582"/>
      <c r="DR82" s="582"/>
      <c r="DS82" s="583"/>
      <c r="DT82" s="583"/>
      <c r="DU82" s="583"/>
      <c r="DV82" s="583"/>
      <c r="DW82" s="583"/>
      <c r="DX82" s="582"/>
      <c r="DY82" s="582"/>
      <c r="DZ82" s="582"/>
      <c r="EA82" s="582"/>
      <c r="EB82" s="582"/>
      <c r="EC82" s="582"/>
      <c r="ED82" s="582"/>
      <c r="EE82" s="582"/>
      <c r="EF82" s="582"/>
      <c r="EG82" s="582"/>
      <c r="EH82" s="582"/>
      <c r="EI82" s="582"/>
      <c r="EJ82" s="582"/>
      <c r="EK82" s="582"/>
      <c r="EL82" s="582"/>
      <c r="EM82" s="582"/>
      <c r="EN82" s="582"/>
      <c r="EO82" s="582"/>
      <c r="EP82" s="582"/>
      <c r="EQ82" s="582"/>
      <c r="ER82" s="582"/>
      <c r="ES82" s="582"/>
      <c r="ET82" s="582"/>
      <c r="EU82" s="582"/>
      <c r="EV82" s="582"/>
      <c r="EW82" s="582"/>
      <c r="EX82" s="582"/>
      <c r="EY82" s="582"/>
      <c r="EZ82" s="582"/>
      <c r="FA82" s="582"/>
      <c r="FB82" s="582"/>
      <c r="FC82" s="582"/>
      <c r="FD82" s="582"/>
      <c r="FE82" s="582"/>
      <c r="IV82" s="578"/>
    </row>
    <row r="83" spans="1:256" ht="17.100000000000001" customHeight="1" thickTop="1">
      <c r="A83" s="1138">
        <f t="shared" si="72"/>
        <v>42370</v>
      </c>
      <c r="B83" s="1157">
        <f>DMREZ!D11</f>
        <v>42370</v>
      </c>
      <c r="C83" s="1161">
        <f>+AT_!CM11</f>
        <v>93</v>
      </c>
      <c r="D83" s="1160">
        <f ca="1">+AT_!AR11</f>
        <v>6.163117061121457</v>
      </c>
      <c r="E83" s="1160">
        <f ca="1">+AT_!AS11</f>
        <v>3.3439158448120203</v>
      </c>
      <c r="F83" s="1160" t="str">
        <f>+AT_!U11</f>
        <v/>
      </c>
      <c r="G83" s="1160" t="str">
        <f>+AT_!V11</f>
        <v/>
      </c>
      <c r="H83" s="1160">
        <f ca="1">IF(B83&gt;TODAY()-2,"",+AT_!DJ11)</f>
        <v>74.5</v>
      </c>
      <c r="I83" s="1161" t="str">
        <f>+BP11</f>
        <v/>
      </c>
      <c r="J83" s="1161" t="str">
        <f t="shared" ref="J83:J113" si="104">+BQ11</f>
        <v/>
      </c>
      <c r="K83" s="1160" t="str">
        <f>+AT_!AH11</f>
        <v/>
      </c>
      <c r="L83" s="1160" t="str">
        <f>+AT_!AI11</f>
        <v/>
      </c>
      <c r="M83" s="1160" t="str">
        <f>+AT_!AJ11</f>
        <v/>
      </c>
      <c r="N83" s="1160" t="str">
        <f>+AT_!AK11</f>
        <v/>
      </c>
      <c r="O83" s="1161" t="str">
        <f t="shared" ref="O83:R113" si="105">+M11</f>
        <v/>
      </c>
      <c r="P83" s="1161" t="str">
        <f t="shared" si="105"/>
        <v/>
      </c>
      <c r="Q83" s="1161" t="str">
        <f t="shared" si="105"/>
        <v/>
      </c>
      <c r="R83" s="1161" t="str">
        <f t="shared" si="105"/>
        <v/>
      </c>
      <c r="S83" s="1160">
        <f ca="1">+DMREZ!CY11</f>
        <v>42.3</v>
      </c>
      <c r="T83" s="1160">
        <f ca="1">+DMREZ!CZ11</f>
        <v>13.7</v>
      </c>
      <c r="U83" s="1161">
        <f ca="1">+DMREZ!DA11</f>
        <v>30692.034</v>
      </c>
      <c r="V83" s="1161">
        <f ca="1">+DMREZ!DB11</f>
        <v>9940.4459999999999</v>
      </c>
      <c r="W83" s="1161">
        <f>+CHEM_!G10</f>
        <v>780</v>
      </c>
      <c r="X83" s="1798">
        <f>+DMREZ!AC11</f>
        <v>0.45</v>
      </c>
      <c r="Y83" s="1500">
        <f>+DT11</f>
        <v>104</v>
      </c>
      <c r="Z83" s="1160">
        <f>+AT_!CZ11</f>
        <v>11.9</v>
      </c>
      <c r="AA83" s="1160">
        <f>+AT_!DA11</f>
        <v>12.3</v>
      </c>
      <c r="AB83" s="1160">
        <f>IF(SUM(BK11:BN11)=0,"",AVERAGE(BK11:BN11))</f>
        <v>5.9924999999999997</v>
      </c>
      <c r="AC83" s="1160">
        <f>+EC11</f>
        <v>58.56</v>
      </c>
      <c r="AD83" s="1160">
        <f>+CHEM_!AN10</f>
        <v>360</v>
      </c>
      <c r="AE83" s="1161">
        <v>0</v>
      </c>
      <c r="AF83" s="1161">
        <f>+CHEM_!AD10</f>
        <v>43</v>
      </c>
      <c r="AG83" s="1161">
        <f>+CHEM_!AJ10</f>
        <v>916</v>
      </c>
      <c r="AH83" s="1160">
        <f>+DW_!E11</f>
        <v>23.5</v>
      </c>
      <c r="AI83" s="1160">
        <f>+DW_!AA11</f>
        <v>69.3</v>
      </c>
      <c r="AJ83" s="1160"/>
      <c r="AK83" s="1160"/>
      <c r="AL83" s="1160"/>
      <c r="AM83" s="1160"/>
      <c r="AN83" s="1160"/>
      <c r="AP83" s="1505">
        <f t="shared" si="74"/>
        <v>6</v>
      </c>
      <c r="AQ83" s="1136">
        <f>DMREZ!X11</f>
        <v>42370</v>
      </c>
      <c r="AR83" s="1152" t="str">
        <f t="shared" si="78"/>
        <v/>
      </c>
      <c r="AS83" s="1151" t="str">
        <f t="shared" si="79"/>
        <v/>
      </c>
      <c r="AT83" s="1151" t="str">
        <f t="shared" si="80"/>
        <v/>
      </c>
      <c r="AU83" s="1151" t="str">
        <f t="shared" si="81"/>
        <v/>
      </c>
      <c r="AV83" s="1151" t="str">
        <f t="shared" si="82"/>
        <v/>
      </c>
      <c r="AW83" s="1151" t="str">
        <f t="shared" si="83"/>
        <v/>
      </c>
      <c r="AX83" s="1152" t="str">
        <f t="shared" si="84"/>
        <v/>
      </c>
      <c r="AY83" s="1151" t="str">
        <f t="shared" si="85"/>
        <v/>
      </c>
      <c r="AZ83" s="1151" t="str">
        <f t="shared" si="86"/>
        <v/>
      </c>
      <c r="BA83" s="1151" t="str">
        <f t="shared" si="87"/>
        <v/>
      </c>
      <c r="BB83" s="1151" t="str">
        <f t="shared" si="88"/>
        <v/>
      </c>
      <c r="BC83" s="1152" t="str">
        <f t="shared" si="89"/>
        <v/>
      </c>
      <c r="BD83" s="1152" t="str">
        <f t="shared" si="90"/>
        <v/>
      </c>
      <c r="BE83" s="1152" t="str">
        <f t="shared" si="91"/>
        <v/>
      </c>
      <c r="BF83" s="1152" t="str">
        <f t="shared" si="92"/>
        <v/>
      </c>
      <c r="BG83" s="1151" t="str">
        <f t="shared" si="93"/>
        <v/>
      </c>
      <c r="BH83" s="1151" t="str">
        <f t="shared" si="94"/>
        <v/>
      </c>
      <c r="BI83" s="1152" t="str">
        <f t="shared" si="95"/>
        <v/>
      </c>
      <c r="BJ83" s="1152" t="str">
        <f t="shared" si="96"/>
        <v/>
      </c>
      <c r="BK83" s="1152" t="str">
        <f t="shared" si="97"/>
        <v/>
      </c>
      <c r="BL83" s="1300" t="str">
        <f t="shared" si="98"/>
        <v/>
      </c>
      <c r="BM83" s="1152" t="str">
        <f t="shared" si="99"/>
        <v/>
      </c>
      <c r="BN83" s="1152" t="str">
        <f t="shared" ref="BN83:BN88" si="106">IF($AP83=7,ROUND(AVERAGE(I77:I83),1),"")</f>
        <v/>
      </c>
      <c r="BO83" s="1151" t="str">
        <f t="shared" ref="BO83:BO88" si="107">IF($AP83=7,ROUND(AVERAGE(Z77:Z83),1),"")</f>
        <v/>
      </c>
      <c r="BP83" s="1151" t="str">
        <f t="shared" ref="BP83:BP88" si="108">IF($AP83=7,ROUND(AVERAGE(AA77:AA83),1),"")</f>
        <v/>
      </c>
      <c r="BQ83" s="1151" t="str">
        <f t="shared" si="100"/>
        <v/>
      </c>
      <c r="BR83" s="1151" t="str">
        <f t="shared" si="101"/>
        <v/>
      </c>
      <c r="BS83" s="1152" t="str">
        <f>IF($AP83=7,ROUND(AVERAGE(AD77:AD83),-1),"")</f>
        <v/>
      </c>
      <c r="BT83" s="1152" t="str">
        <f t="shared" si="102"/>
        <v/>
      </c>
      <c r="BU83" s="1152" t="str">
        <f t="shared" si="103"/>
        <v/>
      </c>
      <c r="BV83" s="1152" t="str">
        <f>IF($AP83=7,ROUND(AVERAGE(AG77:AG83),-1),"")</f>
        <v/>
      </c>
      <c r="BW83" s="1151" t="str">
        <f t="shared" ref="BW83:BW88" si="109">IF($AP83=7,ROUND(AVERAGE(AH77:AH83),1),"")</f>
        <v/>
      </c>
      <c r="BX83" s="1151" t="str">
        <f t="shared" ref="BX83:BX88" si="110">IF($AP83=7,ROUND(AVERAGE(AI77:AI83),1),"")</f>
        <v/>
      </c>
      <c r="BY83" s="1152"/>
      <c r="BZ83" s="1152"/>
      <c r="CA83" s="1151"/>
      <c r="CB83" s="1151"/>
      <c r="CC83" s="1151"/>
      <c r="CD83" s="585"/>
      <c r="CE83" s="585"/>
      <c r="CF83" s="585"/>
      <c r="CG83" s="585"/>
      <c r="CH83" s="585"/>
      <c r="CI83" s="585"/>
      <c r="CJ83" s="585"/>
      <c r="CK83" s="585"/>
      <c r="CL83" s="585"/>
      <c r="CM83" s="585"/>
      <c r="CN83" s="585"/>
      <c r="CO83" s="585"/>
      <c r="CP83" s="585"/>
      <c r="CQ83" s="585"/>
      <c r="CR83" s="585"/>
      <c r="CS83" s="585"/>
      <c r="CT83" s="585"/>
      <c r="CU83" s="585"/>
      <c r="CV83" s="585"/>
      <c r="CW83" s="585"/>
      <c r="CX83" s="585"/>
      <c r="CY83" s="585"/>
      <c r="CZ83" s="585"/>
      <c r="DA83" s="585"/>
      <c r="DB83" s="585"/>
      <c r="DC83" s="585"/>
      <c r="DD83" s="585"/>
      <c r="DE83" s="585"/>
      <c r="DF83" s="585"/>
      <c r="DG83" s="585"/>
      <c r="DH83" s="585"/>
      <c r="DI83" s="585"/>
      <c r="DJ83" s="585"/>
      <c r="DL83" s="582"/>
      <c r="DM83" s="582"/>
      <c r="DN83" s="582"/>
      <c r="DO83" s="582"/>
      <c r="DP83" s="582"/>
      <c r="DQ83" s="582"/>
      <c r="DR83" s="582"/>
      <c r="DS83" s="583"/>
      <c r="DT83" s="583"/>
      <c r="DU83" s="583"/>
      <c r="DV83" s="583"/>
      <c r="DW83" s="583"/>
      <c r="DX83" s="582"/>
      <c r="DY83" s="582"/>
      <c r="DZ83" s="582"/>
      <c r="EA83" s="582"/>
      <c r="EB83" s="582"/>
      <c r="EC83" s="582"/>
      <c r="ED83" s="582"/>
      <c r="EE83" s="582"/>
      <c r="EF83" s="582"/>
      <c r="EG83" s="582"/>
      <c r="EH83" s="582"/>
      <c r="EI83" s="582"/>
      <c r="EJ83" s="582"/>
      <c r="EK83" s="582"/>
      <c r="EL83" s="582"/>
      <c r="EM83" s="582"/>
      <c r="EN83" s="582"/>
      <c r="EO83" s="582"/>
      <c r="EP83" s="582"/>
      <c r="EQ83" s="582"/>
      <c r="ER83" s="582"/>
      <c r="ES83" s="582"/>
      <c r="ET83" s="582"/>
      <c r="EU83" s="582"/>
      <c r="EV83" s="582"/>
      <c r="EW83" s="582"/>
      <c r="EX83" s="582"/>
      <c r="EY83" s="582"/>
      <c r="EZ83" s="582"/>
      <c r="FA83" s="582"/>
      <c r="FB83" s="582"/>
      <c r="FC83" s="582"/>
      <c r="FD83" s="582"/>
      <c r="FE83" s="582"/>
      <c r="IV83" s="578"/>
    </row>
    <row r="84" spans="1:256" ht="17.100000000000001" customHeight="1">
      <c r="A84" s="1138">
        <f t="shared" si="72"/>
        <v>42371</v>
      </c>
      <c r="B84" s="1157">
        <f>DMREZ!D12</f>
        <v>42371</v>
      </c>
      <c r="C84" s="1145">
        <f>+AT_!CM12</f>
        <v>93.7</v>
      </c>
      <c r="D84" s="1144">
        <f ca="1">+AT_!AR12</f>
        <v>6.156640853870103</v>
      </c>
      <c r="E84" s="1144">
        <f ca="1">+AT_!AS12</f>
        <v>3.4330495023996321</v>
      </c>
      <c r="F84" s="1160" t="str">
        <f>+AT_!U12</f>
        <v/>
      </c>
      <c r="G84" s="1160" t="str">
        <f>+AT_!V12</f>
        <v/>
      </c>
      <c r="H84" s="1144">
        <f ca="1">IF(B84&gt;TODAY()-2,"",+AT_!DJ12)</f>
        <v>68.599999999999994</v>
      </c>
      <c r="I84" s="1145" t="str">
        <f t="shared" ref="I84:I113" si="111">+BP12</f>
        <v/>
      </c>
      <c r="J84" s="1145" t="str">
        <f t="shared" si="104"/>
        <v/>
      </c>
      <c r="K84" s="1144" t="str">
        <f>+AT_!AH12</f>
        <v/>
      </c>
      <c r="L84" s="1144" t="str">
        <f>+AT_!AI12</f>
        <v/>
      </c>
      <c r="M84" s="1144" t="str">
        <f>+AT_!AJ12</f>
        <v/>
      </c>
      <c r="N84" s="1144" t="str">
        <f>+AT_!AK12</f>
        <v/>
      </c>
      <c r="O84" s="1161" t="str">
        <f t="shared" si="105"/>
        <v/>
      </c>
      <c r="P84" s="1161" t="str">
        <f t="shared" si="105"/>
        <v/>
      </c>
      <c r="Q84" s="1161" t="str">
        <f t="shared" si="105"/>
        <v/>
      </c>
      <c r="R84" s="1161" t="str">
        <f t="shared" si="105"/>
        <v/>
      </c>
      <c r="S84" s="1144">
        <f ca="1">+DMREZ!CY12</f>
        <v>35.799999999999997</v>
      </c>
      <c r="T84" s="1144">
        <f ca="1">+DMREZ!CZ12</f>
        <v>15.1</v>
      </c>
      <c r="U84" s="1145">
        <f ca="1">+DMREZ!DA12</f>
        <v>27170.051999999996</v>
      </c>
      <c r="V84" s="1145">
        <f ca="1">+DMREZ!DB12</f>
        <v>11459.994000000001</v>
      </c>
      <c r="W84" s="1145">
        <f>+CHEM_!G11</f>
        <v>830</v>
      </c>
      <c r="X84" s="1799">
        <f>+DMREZ!AC12</f>
        <v>0.47</v>
      </c>
      <c r="Y84" s="1500">
        <f t="shared" ref="Y84:Y113" si="112">+DT12</f>
        <v>101</v>
      </c>
      <c r="Z84" s="1160">
        <f>+AT_!CZ12</f>
        <v>11.4</v>
      </c>
      <c r="AA84" s="1160">
        <f>+AT_!DA12</f>
        <v>11.7</v>
      </c>
      <c r="AB84" s="1160">
        <f t="shared" ref="AB84:AB113" si="113">IF(SUM(BK12:BN12)=0,"",AVERAGE(BK12:BN12))</f>
        <v>5.2350000000000003</v>
      </c>
      <c r="AC84" s="1160">
        <f t="shared" ref="AC84:AC113" si="114">+EC12</f>
        <v>58.891919999999999</v>
      </c>
      <c r="AD84" s="1160">
        <f>+CHEM_!AN11</f>
        <v>490</v>
      </c>
      <c r="AE84" s="1161">
        <v>0</v>
      </c>
      <c r="AF84" s="1161">
        <f>+CHEM_!AD11</f>
        <v>87</v>
      </c>
      <c r="AG84" s="1161">
        <f>+CHEM_!AJ11</f>
        <v>1128</v>
      </c>
      <c r="AH84" s="1160">
        <f>+DW_!E12</f>
        <v>22.2</v>
      </c>
      <c r="AI84" s="1160">
        <f>+DW_!AA12</f>
        <v>70</v>
      </c>
      <c r="AJ84" s="1160"/>
      <c r="AK84" s="1160"/>
      <c r="AL84" s="1160"/>
      <c r="AM84" s="1160"/>
      <c r="AN84" s="1160"/>
      <c r="AP84" s="1505">
        <f t="shared" si="74"/>
        <v>7</v>
      </c>
      <c r="AQ84" s="1136">
        <f>DMREZ!X12</f>
        <v>42371</v>
      </c>
      <c r="AR84" s="1152">
        <f t="shared" si="78"/>
        <v>94</v>
      </c>
      <c r="AS84" s="1151">
        <f t="shared" ca="1" si="79"/>
        <v>4.7</v>
      </c>
      <c r="AT84" s="1151">
        <f t="shared" ca="1" si="80"/>
        <v>4.8</v>
      </c>
      <c r="AU84" s="1151">
        <f t="shared" si="81"/>
        <v>0.8</v>
      </c>
      <c r="AV84" s="1151">
        <f t="shared" si="82"/>
        <v>0.6</v>
      </c>
      <c r="AW84" s="1151">
        <f t="shared" ca="1" si="83"/>
        <v>64.900000000000006</v>
      </c>
      <c r="AX84" s="1152">
        <f t="shared" si="84"/>
        <v>660</v>
      </c>
      <c r="AY84" s="1151">
        <f t="shared" si="85"/>
        <v>2.9</v>
      </c>
      <c r="AZ84" s="1151">
        <f t="shared" si="86"/>
        <v>83.5</v>
      </c>
      <c r="BA84" s="1151">
        <f t="shared" si="87"/>
        <v>1.7</v>
      </c>
      <c r="BB84" s="1151">
        <f t="shared" si="88"/>
        <v>71.7</v>
      </c>
      <c r="BC84" s="1152">
        <f t="shared" si="89"/>
        <v>2300</v>
      </c>
      <c r="BD84" s="1152">
        <f t="shared" si="90"/>
        <v>2530</v>
      </c>
      <c r="BE84" s="1152">
        <f t="shared" si="91"/>
        <v>3850</v>
      </c>
      <c r="BF84" s="1152">
        <f t="shared" si="92"/>
        <v>3630</v>
      </c>
      <c r="BG84" s="1151">
        <f t="shared" ca="1" si="93"/>
        <v>34.6</v>
      </c>
      <c r="BH84" s="1151">
        <f t="shared" ca="1" si="94"/>
        <v>13.2</v>
      </c>
      <c r="BI84" s="1152">
        <f t="shared" ca="1" si="95"/>
        <v>30852.400000000001</v>
      </c>
      <c r="BJ84" s="1152">
        <f t="shared" ca="1" si="96"/>
        <v>12043.2</v>
      </c>
      <c r="BK84" s="1152">
        <f t="shared" si="97"/>
        <v>911</v>
      </c>
      <c r="BL84" s="1300">
        <f t="shared" si="98"/>
        <v>0.47</v>
      </c>
      <c r="BM84" s="1152">
        <f t="shared" si="99"/>
        <v>104.1</v>
      </c>
      <c r="BN84" s="1152">
        <f t="shared" si="106"/>
        <v>726</v>
      </c>
      <c r="BO84" s="1151">
        <f t="shared" si="107"/>
        <v>11.8</v>
      </c>
      <c r="BP84" s="1151">
        <f t="shared" si="108"/>
        <v>9.6999999999999993</v>
      </c>
      <c r="BQ84" s="1151">
        <f t="shared" si="100"/>
        <v>5.7</v>
      </c>
      <c r="BR84" s="1151">
        <f t="shared" si="101"/>
        <v>58.3</v>
      </c>
      <c r="BS84" s="1152">
        <f t="shared" ref="BS84:BS113" si="115">IF($AP84=7,ROUND(AVERAGE(AD78:AD84),-1),"")</f>
        <v>440</v>
      </c>
      <c r="BT84" s="1152">
        <f t="shared" si="102"/>
        <v>0</v>
      </c>
      <c r="BU84" s="1152">
        <f t="shared" si="103"/>
        <v>70.900000000000006</v>
      </c>
      <c r="BV84" s="1152">
        <f t="shared" ref="BV84:BV113" si="116">IF($AP84=7,ROUND(AVERAGE(AG78:AG84),-1),"")</f>
        <v>600</v>
      </c>
      <c r="BW84" s="1151">
        <f t="shared" si="109"/>
        <v>23.2</v>
      </c>
      <c r="BX84" s="1151">
        <f t="shared" si="110"/>
        <v>77.599999999999994</v>
      </c>
      <c r="BY84" s="1152"/>
      <c r="BZ84" s="1152"/>
      <c r="CA84" s="1151"/>
      <c r="CB84" s="1151"/>
      <c r="CC84" s="1151"/>
      <c r="CD84" s="585"/>
      <c r="CE84" s="585"/>
      <c r="CF84" s="585"/>
      <c r="CG84" s="585"/>
      <c r="CH84" s="585"/>
      <c r="CI84" s="585"/>
      <c r="CJ84" s="585"/>
      <c r="CK84" s="585"/>
      <c r="CL84" s="585"/>
      <c r="CM84" s="585"/>
      <c r="CN84" s="585"/>
      <c r="CO84" s="585"/>
      <c r="CP84" s="585"/>
      <c r="CQ84" s="585"/>
      <c r="CR84" s="585"/>
      <c r="CS84" s="585"/>
      <c r="CT84" s="585"/>
      <c r="CU84" s="585"/>
      <c r="CV84" s="585"/>
      <c r="CW84" s="585"/>
      <c r="CX84" s="585"/>
      <c r="CY84" s="585"/>
      <c r="CZ84" s="585"/>
      <c r="DA84" s="585"/>
      <c r="DB84" s="585"/>
      <c r="DC84" s="585"/>
      <c r="DD84" s="585"/>
      <c r="DE84" s="585"/>
      <c r="DF84" s="585"/>
      <c r="DG84" s="585"/>
      <c r="DH84" s="585"/>
      <c r="DI84" s="585"/>
      <c r="DJ84" s="585"/>
      <c r="DL84" s="582"/>
      <c r="DM84" s="582"/>
      <c r="DN84" s="582"/>
      <c r="DO84" s="582"/>
      <c r="DP84" s="582"/>
      <c r="DQ84" s="582"/>
      <c r="DR84" s="582"/>
      <c r="DS84" s="583"/>
      <c r="DT84" s="583"/>
      <c r="DU84" s="583"/>
      <c r="DV84" s="583"/>
      <c r="DW84" s="583"/>
      <c r="DX84" s="582"/>
      <c r="DY84" s="582"/>
      <c r="DZ84" s="582"/>
      <c r="EA84" s="582"/>
      <c r="EB84" s="582"/>
      <c r="EC84" s="582"/>
      <c r="ED84" s="582"/>
      <c r="EE84" s="582"/>
      <c r="EF84" s="582"/>
      <c r="EG84" s="582"/>
      <c r="EH84" s="582"/>
      <c r="EI84" s="582"/>
      <c r="EJ84" s="582"/>
      <c r="EK84" s="582"/>
      <c r="EL84" s="582"/>
      <c r="EM84" s="582"/>
      <c r="EN84" s="582"/>
      <c r="EO84" s="582"/>
      <c r="EP84" s="582"/>
      <c r="EQ84" s="582"/>
      <c r="ER84" s="582"/>
      <c r="ES84" s="582"/>
      <c r="ET84" s="582"/>
      <c r="EU84" s="582"/>
      <c r="EV84" s="582"/>
      <c r="EW84" s="582"/>
      <c r="EX84" s="582"/>
      <c r="EY84" s="582"/>
      <c r="EZ84" s="582"/>
      <c r="FA84" s="582"/>
      <c r="FB84" s="582"/>
      <c r="FC84" s="582"/>
      <c r="FD84" s="582"/>
      <c r="FE84" s="582"/>
      <c r="IV84" s="578"/>
    </row>
    <row r="85" spans="1:256" ht="17.100000000000001" customHeight="1">
      <c r="A85" s="1138">
        <f t="shared" si="72"/>
        <v>42372</v>
      </c>
      <c r="B85" s="1157">
        <f>DMREZ!D13</f>
        <v>42372</v>
      </c>
      <c r="C85" s="1145">
        <f>+AT_!CM13</f>
        <v>92.6</v>
      </c>
      <c r="D85" s="1144">
        <f ca="1">+AT_!AR13</f>
        <v>4.5345860167918737</v>
      </c>
      <c r="E85" s="1144">
        <f ca="1">+AT_!AS13</f>
        <v>3.1381150522142729</v>
      </c>
      <c r="F85" s="1160">
        <f>+AT_!U13</f>
        <v>1</v>
      </c>
      <c r="G85" s="1160">
        <f>+AT_!V13</f>
        <v>0.65</v>
      </c>
      <c r="H85" s="1144">
        <f ca="1">IF(B85&gt;TODAY()-2,"",+AT_!DJ13)</f>
        <v>66.400000000000006</v>
      </c>
      <c r="I85" s="1145" t="str">
        <f t="shared" si="111"/>
        <v/>
      </c>
      <c r="J85" s="1145" t="str">
        <f t="shared" si="104"/>
        <v/>
      </c>
      <c r="K85" s="1144" t="str">
        <f>+AT_!AH13</f>
        <v/>
      </c>
      <c r="L85" s="1144" t="str">
        <f>+AT_!AI13</f>
        <v/>
      </c>
      <c r="M85" s="1144" t="str">
        <f>+AT_!AJ13</f>
        <v/>
      </c>
      <c r="N85" s="1144" t="str">
        <f>+AT_!AK13</f>
        <v/>
      </c>
      <c r="O85" s="1161">
        <f t="shared" si="105"/>
        <v>2700</v>
      </c>
      <c r="P85" s="1161">
        <f t="shared" si="105"/>
        <v>2600</v>
      </c>
      <c r="Q85" s="1161">
        <f t="shared" si="105"/>
        <v>2900</v>
      </c>
      <c r="R85" s="1161">
        <f t="shared" si="105"/>
        <v>2400</v>
      </c>
      <c r="S85" s="1144">
        <f ca="1">+DMREZ!CY13</f>
        <v>38.200000000000003</v>
      </c>
      <c r="T85" s="1144">
        <f ca="1">+DMREZ!CZ13</f>
        <v>14.8</v>
      </c>
      <c r="U85" s="1145">
        <f ca="1">+DMREZ!DA13</f>
        <v>29628.684000000001</v>
      </c>
      <c r="V85" s="1145">
        <f ca="1">+DMREZ!DB13</f>
        <v>11479.175999999999</v>
      </c>
      <c r="W85" s="1145">
        <f>+CHEM_!G12</f>
        <v>730</v>
      </c>
      <c r="X85" s="1799">
        <f>+DMREZ!AC13</f>
        <v>0.46</v>
      </c>
      <c r="Y85" s="1500">
        <f t="shared" si="112"/>
        <v>100</v>
      </c>
      <c r="Z85" s="1160">
        <f>+AT_!CZ13</f>
        <v>9.8000000000000007</v>
      </c>
      <c r="AA85" s="1160">
        <f>+AT_!DA13</f>
        <v>8.4</v>
      </c>
      <c r="AB85" s="1160">
        <f t="shared" si="113"/>
        <v>4.6074999999999999</v>
      </c>
      <c r="AC85" s="1160">
        <f t="shared" si="114"/>
        <v>58.459919999999997</v>
      </c>
      <c r="AD85" s="1160">
        <f>+CHEM_!AN12</f>
        <v>550</v>
      </c>
      <c r="AE85" s="1161">
        <v>0</v>
      </c>
      <c r="AF85" s="1161">
        <f>+CHEM_!AD12</f>
        <v>106</v>
      </c>
      <c r="AG85" s="1161">
        <f>+CHEM_!AJ12</f>
        <v>917</v>
      </c>
      <c r="AH85" s="1160">
        <f>+DW_!E13</f>
        <v>23.9</v>
      </c>
      <c r="AI85" s="1160">
        <f>+DW_!AA13</f>
        <v>138.19999999999999</v>
      </c>
      <c r="AJ85" s="1160"/>
      <c r="AK85" s="1160"/>
      <c r="AL85" s="1160"/>
      <c r="AM85" s="1160"/>
      <c r="AN85" s="1160"/>
      <c r="AP85" s="1505">
        <f t="shared" si="74"/>
        <v>1</v>
      </c>
      <c r="AQ85" s="1136">
        <f>DMREZ!X13</f>
        <v>42372</v>
      </c>
      <c r="AR85" s="1152" t="str">
        <f t="shared" si="78"/>
        <v/>
      </c>
      <c r="AS85" s="1151" t="str">
        <f t="shared" si="79"/>
        <v/>
      </c>
      <c r="AT85" s="1151" t="str">
        <f t="shared" si="80"/>
        <v/>
      </c>
      <c r="AU85" s="1151" t="str">
        <f t="shared" si="81"/>
        <v/>
      </c>
      <c r="AV85" s="1151" t="str">
        <f t="shared" si="82"/>
        <v/>
      </c>
      <c r="AW85" s="1151" t="str">
        <f t="shared" si="83"/>
        <v/>
      </c>
      <c r="AX85" s="1152" t="str">
        <f t="shared" si="84"/>
        <v/>
      </c>
      <c r="AY85" s="1151" t="str">
        <f t="shared" si="85"/>
        <v/>
      </c>
      <c r="AZ85" s="1151" t="str">
        <f t="shared" si="86"/>
        <v/>
      </c>
      <c r="BA85" s="1151" t="str">
        <f t="shared" si="87"/>
        <v/>
      </c>
      <c r="BB85" s="1151" t="str">
        <f t="shared" si="88"/>
        <v/>
      </c>
      <c r="BC85" s="1152" t="str">
        <f t="shared" si="89"/>
        <v/>
      </c>
      <c r="BD85" s="1152" t="str">
        <f t="shared" si="90"/>
        <v/>
      </c>
      <c r="BE85" s="1152" t="str">
        <f t="shared" si="91"/>
        <v/>
      </c>
      <c r="BF85" s="1152" t="str">
        <f t="shared" si="92"/>
        <v/>
      </c>
      <c r="BG85" s="1151" t="str">
        <f t="shared" si="93"/>
        <v/>
      </c>
      <c r="BH85" s="1151" t="str">
        <f t="shared" si="94"/>
        <v/>
      </c>
      <c r="BI85" s="1152" t="str">
        <f t="shared" si="95"/>
        <v/>
      </c>
      <c r="BJ85" s="1152" t="str">
        <f t="shared" si="96"/>
        <v/>
      </c>
      <c r="BK85" s="1152" t="str">
        <f t="shared" si="97"/>
        <v/>
      </c>
      <c r="BL85" s="1300" t="str">
        <f t="shared" si="98"/>
        <v/>
      </c>
      <c r="BM85" s="1152" t="str">
        <f t="shared" si="99"/>
        <v/>
      </c>
      <c r="BN85" s="1152" t="str">
        <f t="shared" si="106"/>
        <v/>
      </c>
      <c r="BO85" s="1151" t="str">
        <f t="shared" si="107"/>
        <v/>
      </c>
      <c r="BP85" s="1151" t="str">
        <f t="shared" si="108"/>
        <v/>
      </c>
      <c r="BQ85" s="1151" t="str">
        <f t="shared" si="100"/>
        <v/>
      </c>
      <c r="BR85" s="1151" t="str">
        <f t="shared" si="101"/>
        <v/>
      </c>
      <c r="BS85" s="1152" t="str">
        <f t="shared" si="115"/>
        <v/>
      </c>
      <c r="BT85" s="1152" t="str">
        <f t="shared" si="102"/>
        <v/>
      </c>
      <c r="BU85" s="1152" t="str">
        <f t="shared" si="103"/>
        <v/>
      </c>
      <c r="BV85" s="1152" t="str">
        <f t="shared" si="116"/>
        <v/>
      </c>
      <c r="BW85" s="1151" t="str">
        <f t="shared" si="109"/>
        <v/>
      </c>
      <c r="BX85" s="1151" t="str">
        <f t="shared" si="110"/>
        <v/>
      </c>
      <c r="BY85" s="1152"/>
      <c r="BZ85" s="1152"/>
      <c r="CA85" s="1151"/>
      <c r="CB85" s="1151"/>
      <c r="CC85" s="1151"/>
      <c r="CD85" s="585"/>
      <c r="CE85" s="585"/>
      <c r="CF85" s="585"/>
      <c r="CG85" s="585"/>
      <c r="CH85" s="585"/>
      <c r="CI85" s="585"/>
      <c r="CJ85" s="585"/>
      <c r="CK85" s="585"/>
      <c r="CL85" s="585"/>
      <c r="CM85" s="585"/>
      <c r="CN85" s="585"/>
      <c r="CO85" s="585"/>
      <c r="CP85" s="585"/>
      <c r="CQ85" s="585"/>
      <c r="CR85" s="585"/>
      <c r="CS85" s="585"/>
      <c r="CT85" s="585"/>
      <c r="CU85" s="585"/>
      <c r="CV85" s="585"/>
      <c r="CW85" s="585"/>
      <c r="CX85" s="585"/>
      <c r="CY85" s="585"/>
      <c r="CZ85" s="585"/>
      <c r="DA85" s="585"/>
      <c r="DB85" s="585"/>
      <c r="DC85" s="585"/>
      <c r="DD85" s="585"/>
      <c r="DE85" s="585"/>
      <c r="DF85" s="585"/>
      <c r="DG85" s="585"/>
      <c r="DH85" s="585"/>
      <c r="DI85" s="585"/>
      <c r="DJ85" s="585"/>
      <c r="DL85" s="582"/>
      <c r="DM85" s="582"/>
      <c r="DN85" s="582"/>
      <c r="DO85" s="582"/>
      <c r="DP85" s="582"/>
      <c r="DQ85" s="582"/>
      <c r="DR85" s="582"/>
      <c r="DS85" s="583"/>
      <c r="DT85" s="583"/>
      <c r="DU85" s="583"/>
      <c r="DV85" s="583"/>
      <c r="DW85" s="583"/>
      <c r="DX85" s="582"/>
      <c r="DY85" s="582"/>
      <c r="DZ85" s="582"/>
      <c r="EA85" s="582"/>
      <c r="EB85" s="582"/>
      <c r="EC85" s="582"/>
      <c r="ED85" s="582"/>
      <c r="EE85" s="582"/>
      <c r="EF85" s="582"/>
      <c r="EG85" s="582"/>
      <c r="EH85" s="582"/>
      <c r="EI85" s="582"/>
      <c r="EJ85" s="582"/>
      <c r="EK85" s="582"/>
      <c r="EL85" s="582"/>
      <c r="EM85" s="582"/>
      <c r="EN85" s="582"/>
      <c r="EO85" s="582"/>
      <c r="EP85" s="582"/>
      <c r="EQ85" s="582"/>
      <c r="ER85" s="582"/>
      <c r="ES85" s="582"/>
      <c r="ET85" s="582"/>
      <c r="EU85" s="582"/>
      <c r="EV85" s="582"/>
      <c r="EW85" s="582"/>
      <c r="EX85" s="582"/>
      <c r="EY85" s="582"/>
      <c r="EZ85" s="582"/>
      <c r="FA85" s="582"/>
      <c r="FB85" s="582"/>
      <c r="FC85" s="582"/>
      <c r="FD85" s="582"/>
      <c r="FE85" s="582"/>
      <c r="IV85" s="578"/>
    </row>
    <row r="86" spans="1:256" ht="17.100000000000001" customHeight="1">
      <c r="A86" s="1138">
        <f t="shared" si="72"/>
        <v>42373</v>
      </c>
      <c r="B86" s="1157">
        <f>DMREZ!D14</f>
        <v>42373</v>
      </c>
      <c r="C86" s="1145">
        <f>+AT_!CM14</f>
        <v>94.9</v>
      </c>
      <c r="D86" s="1144">
        <f ca="1">+AT_!AR14</f>
        <v>6.2099625936996521</v>
      </c>
      <c r="E86" s="1144">
        <f ca="1">+AT_!AS14</f>
        <v>4.1758802824666486</v>
      </c>
      <c r="F86" s="1160">
        <f>+AT_!U14</f>
        <v>0.65306122448979587</v>
      </c>
      <c r="G86" s="1160">
        <f>+AT_!V14</f>
        <v>0.82758620689655171</v>
      </c>
      <c r="H86" s="1144">
        <f ca="1">IF(B86&gt;TODAY()-2,"",+AT_!DJ14)</f>
        <v>63.2</v>
      </c>
      <c r="I86" s="1145" t="str">
        <f t="shared" si="111"/>
        <v/>
      </c>
      <c r="J86" s="1145" t="str">
        <f t="shared" si="104"/>
        <v/>
      </c>
      <c r="K86" s="1144">
        <f>+AT_!AH14</f>
        <v>2.84</v>
      </c>
      <c r="L86" s="1144">
        <f>+AT_!AI14</f>
        <v>84.7</v>
      </c>
      <c r="M86" s="1144">
        <f>+AT_!AJ14</f>
        <v>1.88</v>
      </c>
      <c r="N86" s="1144">
        <f>+AT_!AK14</f>
        <v>72.3</v>
      </c>
      <c r="O86" s="1161">
        <f t="shared" si="105"/>
        <v>3200</v>
      </c>
      <c r="P86" s="1161">
        <f t="shared" si="105"/>
        <v>2400</v>
      </c>
      <c r="Q86" s="1161">
        <f t="shared" si="105"/>
        <v>4100</v>
      </c>
      <c r="R86" s="1161">
        <f t="shared" si="105"/>
        <v>3300</v>
      </c>
      <c r="S86" s="1144">
        <f ca="1">+DMREZ!CY14</f>
        <v>44.4</v>
      </c>
      <c r="T86" s="1144">
        <f ca="1">+DMREZ!CZ14</f>
        <v>14.8</v>
      </c>
      <c r="U86" s="1145">
        <f ca="1">+DMREZ!DA14</f>
        <v>31845.455999999998</v>
      </c>
      <c r="V86" s="1145">
        <f ca="1">+DMREZ!DB14</f>
        <v>10615.152</v>
      </c>
      <c r="W86" s="1145">
        <f>+CHEM_!G13</f>
        <v>730</v>
      </c>
      <c r="X86" s="1799">
        <f>+DMREZ!AC14</f>
        <v>0.45</v>
      </c>
      <c r="Y86" s="1500">
        <f t="shared" si="112"/>
        <v>98</v>
      </c>
      <c r="Z86" s="1160">
        <f>+AT_!CZ14</f>
        <v>15.9</v>
      </c>
      <c r="AA86" s="1160">
        <f>+AT_!DA14</f>
        <v>10.1</v>
      </c>
      <c r="AB86" s="1160">
        <f t="shared" si="113"/>
        <v>4.585</v>
      </c>
      <c r="AC86" s="1160">
        <f t="shared" si="114"/>
        <v>59.980080000000001</v>
      </c>
      <c r="AD86" s="1160">
        <f>+CHEM_!AN13</f>
        <v>60</v>
      </c>
      <c r="AE86" s="1161">
        <v>0</v>
      </c>
      <c r="AF86" s="1161">
        <f>+CHEM_!AD13</f>
        <v>0</v>
      </c>
      <c r="AG86" s="1161">
        <f>+CHEM_!AJ13</f>
        <v>493</v>
      </c>
      <c r="AH86" s="1160" t="str">
        <f>+DW_!E14</f>
        <v/>
      </c>
      <c r="AI86" s="1160">
        <f>+DW_!AA14</f>
        <v>0</v>
      </c>
      <c r="AJ86" s="1160"/>
      <c r="AK86" s="1160"/>
      <c r="AL86" s="1160"/>
      <c r="AM86" s="1160"/>
      <c r="AN86" s="1160"/>
      <c r="AP86" s="1505">
        <f t="shared" si="74"/>
        <v>2</v>
      </c>
      <c r="AQ86" s="1136">
        <f>DMREZ!X14</f>
        <v>42373</v>
      </c>
      <c r="AR86" s="1152" t="str">
        <f t="shared" si="78"/>
        <v/>
      </c>
      <c r="AS86" s="1151" t="str">
        <f t="shared" si="79"/>
        <v/>
      </c>
      <c r="AT86" s="1151" t="str">
        <f t="shared" si="80"/>
        <v/>
      </c>
      <c r="AU86" s="1151" t="str">
        <f t="shared" si="81"/>
        <v/>
      </c>
      <c r="AV86" s="1151" t="str">
        <f t="shared" si="82"/>
        <v/>
      </c>
      <c r="AW86" s="1151" t="str">
        <f t="shared" si="83"/>
        <v/>
      </c>
      <c r="AX86" s="1152" t="str">
        <f t="shared" si="84"/>
        <v/>
      </c>
      <c r="AY86" s="1151" t="str">
        <f t="shared" si="85"/>
        <v/>
      </c>
      <c r="AZ86" s="1151" t="str">
        <f t="shared" si="86"/>
        <v/>
      </c>
      <c r="BA86" s="1151" t="str">
        <f t="shared" si="87"/>
        <v/>
      </c>
      <c r="BB86" s="1151" t="str">
        <f t="shared" si="88"/>
        <v/>
      </c>
      <c r="BC86" s="1152" t="str">
        <f t="shared" si="89"/>
        <v/>
      </c>
      <c r="BD86" s="1152" t="str">
        <f t="shared" si="90"/>
        <v/>
      </c>
      <c r="BE86" s="1152" t="str">
        <f t="shared" si="91"/>
        <v/>
      </c>
      <c r="BF86" s="1152" t="str">
        <f t="shared" si="92"/>
        <v/>
      </c>
      <c r="BG86" s="1151" t="str">
        <f t="shared" si="93"/>
        <v/>
      </c>
      <c r="BH86" s="1151" t="str">
        <f t="shared" si="94"/>
        <v/>
      </c>
      <c r="BI86" s="1152" t="str">
        <f t="shared" si="95"/>
        <v/>
      </c>
      <c r="BJ86" s="1152" t="str">
        <f t="shared" si="96"/>
        <v/>
      </c>
      <c r="BK86" s="1152" t="str">
        <f t="shared" si="97"/>
        <v/>
      </c>
      <c r="BL86" s="1300" t="str">
        <f t="shared" si="98"/>
        <v/>
      </c>
      <c r="BM86" s="1152" t="str">
        <f t="shared" si="99"/>
        <v/>
      </c>
      <c r="BN86" s="1152" t="str">
        <f t="shared" si="106"/>
        <v/>
      </c>
      <c r="BO86" s="1151" t="str">
        <f t="shared" si="107"/>
        <v/>
      </c>
      <c r="BP86" s="1151" t="str">
        <f t="shared" si="108"/>
        <v/>
      </c>
      <c r="BQ86" s="1151" t="str">
        <f t="shared" si="100"/>
        <v/>
      </c>
      <c r="BR86" s="1151" t="str">
        <f t="shared" si="101"/>
        <v/>
      </c>
      <c r="BS86" s="1152" t="str">
        <f t="shared" si="115"/>
        <v/>
      </c>
      <c r="BT86" s="1152" t="str">
        <f t="shared" si="102"/>
        <v/>
      </c>
      <c r="BU86" s="1152" t="str">
        <f t="shared" si="103"/>
        <v/>
      </c>
      <c r="BV86" s="1152" t="str">
        <f t="shared" si="116"/>
        <v/>
      </c>
      <c r="BW86" s="1151" t="str">
        <f t="shared" si="109"/>
        <v/>
      </c>
      <c r="BX86" s="1151" t="str">
        <f t="shared" si="110"/>
        <v/>
      </c>
      <c r="BY86" s="1152"/>
      <c r="BZ86" s="1152"/>
      <c r="CA86" s="1151"/>
      <c r="CB86" s="1151"/>
      <c r="CC86" s="1151"/>
      <c r="CD86" s="585"/>
      <c r="CE86" s="585"/>
      <c r="CF86" s="585"/>
      <c r="CG86" s="585"/>
      <c r="CH86" s="585"/>
      <c r="CI86" s="585"/>
      <c r="CJ86" s="585"/>
      <c r="CK86" s="585"/>
      <c r="CL86" s="585"/>
      <c r="CM86" s="585"/>
      <c r="CN86" s="585"/>
      <c r="CO86" s="585"/>
      <c r="CP86" s="585"/>
      <c r="CQ86" s="585"/>
      <c r="CR86" s="585"/>
      <c r="CS86" s="585"/>
      <c r="CT86" s="585"/>
      <c r="CU86" s="585"/>
      <c r="CV86" s="585"/>
      <c r="CW86" s="585"/>
      <c r="CX86" s="585"/>
      <c r="CY86" s="585"/>
      <c r="CZ86" s="585"/>
      <c r="DA86" s="585"/>
      <c r="DB86" s="585"/>
      <c r="DC86" s="585"/>
      <c r="DD86" s="585"/>
      <c r="DE86" s="585"/>
      <c r="DF86" s="585"/>
      <c r="DG86" s="585"/>
      <c r="DH86" s="585"/>
      <c r="DI86" s="585"/>
      <c r="DJ86" s="585"/>
      <c r="DL86" s="582"/>
      <c r="DM86" s="582"/>
      <c r="DN86" s="582"/>
      <c r="DO86" s="582"/>
      <c r="DP86" s="582"/>
      <c r="DQ86" s="582"/>
      <c r="DR86" s="582"/>
      <c r="DS86" s="583"/>
      <c r="DT86" s="583"/>
      <c r="DU86" s="583"/>
      <c r="DV86" s="583"/>
      <c r="DW86" s="583"/>
      <c r="DX86" s="582"/>
      <c r="DY86" s="582"/>
      <c r="DZ86" s="582"/>
      <c r="EA86" s="582"/>
      <c r="EB86" s="582"/>
      <c r="EC86" s="582"/>
      <c r="ED86" s="582"/>
      <c r="EE86" s="582"/>
      <c r="EF86" s="582"/>
      <c r="EG86" s="582"/>
      <c r="EH86" s="582"/>
      <c r="EI86" s="582"/>
      <c r="EJ86" s="582"/>
      <c r="EK86" s="582"/>
      <c r="EL86" s="582"/>
      <c r="EM86" s="582"/>
      <c r="EN86" s="582"/>
      <c r="EO86" s="582"/>
      <c r="EP86" s="582"/>
      <c r="EQ86" s="582"/>
      <c r="ER86" s="582"/>
      <c r="ES86" s="582"/>
      <c r="ET86" s="582"/>
      <c r="EU86" s="582"/>
      <c r="EV86" s="582"/>
      <c r="EW86" s="582"/>
      <c r="EX86" s="582"/>
      <c r="EY86" s="582"/>
      <c r="EZ86" s="582"/>
      <c r="FA86" s="582"/>
      <c r="FB86" s="582"/>
      <c r="FC86" s="582"/>
      <c r="FD86" s="582"/>
      <c r="FE86" s="582"/>
      <c r="IV86" s="578"/>
    </row>
    <row r="87" spans="1:256" ht="17.100000000000001" customHeight="1">
      <c r="A87" s="1138">
        <f t="shared" si="72"/>
        <v>42374</v>
      </c>
      <c r="B87" s="1157">
        <f>DMREZ!D15</f>
        <v>42374</v>
      </c>
      <c r="C87" s="1145">
        <f>+AT_!CM15</f>
        <v>95.7</v>
      </c>
      <c r="D87" s="1144">
        <f ca="1">+AT_!AR15</f>
        <v>5.497179675167283</v>
      </c>
      <c r="E87" s="1144" t="str">
        <f>+AT_!AS15</f>
        <v>30.3*</v>
      </c>
      <c r="F87" s="1160">
        <f>+AT_!U15</f>
        <v>0.75609756097560976</v>
      </c>
      <c r="G87" s="1160">
        <f>+AT_!V15</f>
        <v>0.92592592592592593</v>
      </c>
      <c r="H87" s="1144">
        <f ca="1">IF(B87&gt;TODAY()-2,"",+AT_!DJ15)</f>
        <v>40.5</v>
      </c>
      <c r="I87" s="1145">
        <f t="shared" si="111"/>
        <v>92</v>
      </c>
      <c r="J87" s="1145">
        <f t="shared" si="104"/>
        <v>191</v>
      </c>
      <c r="K87" s="1144">
        <f>+AT_!AH15</f>
        <v>2.89</v>
      </c>
      <c r="L87" s="1144">
        <f>+AT_!AI15</f>
        <v>84.9</v>
      </c>
      <c r="M87" s="1144">
        <f>+AT_!AJ15</f>
        <v>1.72</v>
      </c>
      <c r="N87" s="1144">
        <f>+AT_!AK15</f>
        <v>73.8</v>
      </c>
      <c r="O87" s="1161">
        <f t="shared" si="105"/>
        <v>3100</v>
      </c>
      <c r="P87" s="1161">
        <f t="shared" si="105"/>
        <v>2500</v>
      </c>
      <c r="Q87" s="1161">
        <f t="shared" si="105"/>
        <v>4300</v>
      </c>
      <c r="R87" s="1161">
        <f t="shared" si="105"/>
        <v>3400</v>
      </c>
      <c r="S87" s="1144">
        <f ca="1">+DMREZ!CY15</f>
        <v>40.1</v>
      </c>
      <c r="T87" s="1144">
        <f ca="1">+DMREZ!CZ15</f>
        <v>13.9</v>
      </c>
      <c r="U87" s="1145">
        <f ca="1">+DMREZ!DA15</f>
        <v>29095.758000000002</v>
      </c>
      <c r="V87" s="1145">
        <f ca="1">+DMREZ!DB15</f>
        <v>10085.562</v>
      </c>
      <c r="W87" s="1145">
        <f>+CHEM_!G14</f>
        <v>960</v>
      </c>
      <c r="X87" s="1799">
        <f>+DMREZ!AC15</f>
        <v>0.49</v>
      </c>
      <c r="Y87" s="1500">
        <f t="shared" si="112"/>
        <v>100</v>
      </c>
      <c r="Z87" s="1160">
        <f>+AT_!CZ15</f>
        <v>23.4</v>
      </c>
      <c r="AA87" s="1160">
        <f>+AT_!DA15</f>
        <v>10.8</v>
      </c>
      <c r="AB87" s="1160">
        <f t="shared" si="113"/>
        <v>5.2725</v>
      </c>
      <c r="AC87" s="1160">
        <f t="shared" si="114"/>
        <v>59.323920000000001</v>
      </c>
      <c r="AD87" s="1160">
        <f>+CHEM_!AN14</f>
        <v>90</v>
      </c>
      <c r="AE87" s="1161">
        <v>0</v>
      </c>
      <c r="AF87" s="1161">
        <f>+CHEM_!AD14</f>
        <v>0</v>
      </c>
      <c r="AG87" s="1161">
        <f>+CHEM_!AJ14</f>
        <v>705</v>
      </c>
      <c r="AH87" s="1160" t="str">
        <f>+DW_!E15</f>
        <v/>
      </c>
      <c r="AI87" s="1160" t="str">
        <f>+DW_!AA15</f>
        <v/>
      </c>
      <c r="AJ87" s="1160"/>
      <c r="AK87" s="1160"/>
      <c r="AL87" s="1160"/>
      <c r="AM87" s="1160"/>
      <c r="AN87" s="1160"/>
      <c r="AP87" s="1505">
        <f t="shared" si="74"/>
        <v>3</v>
      </c>
      <c r="AQ87" s="1136">
        <f>DMREZ!X15</f>
        <v>42374</v>
      </c>
      <c r="AR87" s="1152" t="str">
        <f t="shared" si="78"/>
        <v/>
      </c>
      <c r="AS87" s="1151" t="str">
        <f t="shared" si="79"/>
        <v/>
      </c>
      <c r="AT87" s="1151" t="str">
        <f t="shared" si="80"/>
        <v/>
      </c>
      <c r="AU87" s="1151" t="str">
        <f t="shared" si="81"/>
        <v/>
      </c>
      <c r="AV87" s="1151" t="str">
        <f t="shared" si="82"/>
        <v/>
      </c>
      <c r="AW87" s="1151" t="str">
        <f t="shared" si="83"/>
        <v/>
      </c>
      <c r="AX87" s="1152" t="str">
        <f t="shared" si="84"/>
        <v/>
      </c>
      <c r="AY87" s="1151" t="str">
        <f t="shared" si="85"/>
        <v/>
      </c>
      <c r="AZ87" s="1151" t="str">
        <f t="shared" si="86"/>
        <v/>
      </c>
      <c r="BA87" s="1151" t="str">
        <f t="shared" si="87"/>
        <v/>
      </c>
      <c r="BB87" s="1151" t="str">
        <f t="shared" si="88"/>
        <v/>
      </c>
      <c r="BC87" s="1152" t="str">
        <f t="shared" si="89"/>
        <v/>
      </c>
      <c r="BD87" s="1152" t="str">
        <f t="shared" si="90"/>
        <v/>
      </c>
      <c r="BE87" s="1152" t="str">
        <f t="shared" si="91"/>
        <v/>
      </c>
      <c r="BF87" s="1152" t="str">
        <f t="shared" si="92"/>
        <v/>
      </c>
      <c r="BG87" s="1151" t="str">
        <f t="shared" si="93"/>
        <v/>
      </c>
      <c r="BH87" s="1151" t="str">
        <f t="shared" si="94"/>
        <v/>
      </c>
      <c r="BI87" s="1152" t="str">
        <f t="shared" si="95"/>
        <v/>
      </c>
      <c r="BJ87" s="1152" t="str">
        <f t="shared" si="96"/>
        <v/>
      </c>
      <c r="BK87" s="1152" t="str">
        <f t="shared" si="97"/>
        <v/>
      </c>
      <c r="BL87" s="1300" t="str">
        <f t="shared" si="98"/>
        <v/>
      </c>
      <c r="BM87" s="1152" t="str">
        <f t="shared" si="99"/>
        <v/>
      </c>
      <c r="BN87" s="1152" t="str">
        <f t="shared" si="106"/>
        <v/>
      </c>
      <c r="BO87" s="1151" t="str">
        <f t="shared" si="107"/>
        <v/>
      </c>
      <c r="BP87" s="1151" t="str">
        <f t="shared" si="108"/>
        <v/>
      </c>
      <c r="BQ87" s="1151" t="str">
        <f t="shared" si="100"/>
        <v/>
      </c>
      <c r="BR87" s="1151" t="str">
        <f t="shared" si="101"/>
        <v/>
      </c>
      <c r="BS87" s="1152" t="str">
        <f t="shared" si="115"/>
        <v/>
      </c>
      <c r="BT87" s="1152" t="str">
        <f t="shared" si="102"/>
        <v/>
      </c>
      <c r="BU87" s="1152" t="str">
        <f t="shared" si="103"/>
        <v/>
      </c>
      <c r="BV87" s="1152" t="str">
        <f t="shared" si="116"/>
        <v/>
      </c>
      <c r="BW87" s="1151" t="str">
        <f t="shared" si="109"/>
        <v/>
      </c>
      <c r="BX87" s="1151" t="str">
        <f t="shared" si="110"/>
        <v/>
      </c>
      <c r="BY87" s="1152"/>
      <c r="BZ87" s="1152"/>
      <c r="CA87" s="1151"/>
      <c r="CB87" s="1151"/>
      <c r="CC87" s="1151"/>
      <c r="CD87" s="585"/>
      <c r="CE87" s="585"/>
      <c r="CF87" s="585"/>
      <c r="CG87" s="585"/>
      <c r="CH87" s="585"/>
      <c r="CI87" s="585"/>
      <c r="CJ87" s="585"/>
      <c r="CK87" s="585"/>
      <c r="CL87" s="585"/>
      <c r="CM87" s="585"/>
      <c r="CN87" s="585"/>
      <c r="CO87" s="585"/>
      <c r="CP87" s="585"/>
      <c r="CQ87" s="585"/>
      <c r="CR87" s="585"/>
      <c r="CS87" s="585"/>
      <c r="CT87" s="585"/>
      <c r="CU87" s="585"/>
      <c r="CV87" s="585"/>
      <c r="CW87" s="585"/>
      <c r="CX87" s="585"/>
      <c r="CY87" s="585"/>
      <c r="CZ87" s="585"/>
      <c r="DA87" s="585"/>
      <c r="DB87" s="585"/>
      <c r="DC87" s="585"/>
      <c r="DD87" s="585"/>
      <c r="DE87" s="585"/>
      <c r="DF87" s="585"/>
      <c r="DG87" s="585"/>
      <c r="DH87" s="585"/>
      <c r="DI87" s="585"/>
      <c r="DJ87" s="585"/>
      <c r="DL87" s="582"/>
      <c r="DM87" s="582"/>
      <c r="DN87" s="582"/>
      <c r="DO87" s="582"/>
      <c r="DP87" s="582"/>
      <c r="DQ87" s="582"/>
      <c r="DR87" s="582"/>
      <c r="DS87" s="583"/>
      <c r="DT87" s="583"/>
      <c r="DU87" s="583"/>
      <c r="DV87" s="583"/>
      <c r="DW87" s="583"/>
      <c r="DX87" s="582"/>
      <c r="DY87" s="582"/>
      <c r="DZ87" s="582"/>
      <c r="EA87" s="582"/>
      <c r="EB87" s="582"/>
      <c r="EC87" s="582"/>
      <c r="ED87" s="582"/>
      <c r="EE87" s="582"/>
      <c r="EF87" s="582"/>
      <c r="EG87" s="582"/>
      <c r="EH87" s="582"/>
      <c r="EI87" s="582"/>
      <c r="EJ87" s="582"/>
      <c r="EK87" s="582"/>
      <c r="EL87" s="582"/>
      <c r="EM87" s="582"/>
      <c r="EN87" s="582"/>
      <c r="EO87" s="582"/>
      <c r="EP87" s="582"/>
      <c r="EQ87" s="582"/>
      <c r="ER87" s="582"/>
      <c r="ES87" s="582"/>
      <c r="ET87" s="582"/>
      <c r="EU87" s="582"/>
      <c r="EV87" s="582"/>
      <c r="EW87" s="582"/>
      <c r="EX87" s="582"/>
      <c r="EY87" s="582"/>
      <c r="EZ87" s="582"/>
      <c r="FA87" s="582"/>
      <c r="FB87" s="582"/>
      <c r="FC87" s="582"/>
      <c r="FD87" s="582"/>
      <c r="FE87" s="582"/>
      <c r="IV87" s="578"/>
    </row>
    <row r="88" spans="1:256" ht="17.100000000000001" customHeight="1">
      <c r="A88" s="1138">
        <f t="shared" si="72"/>
        <v>42375</v>
      </c>
      <c r="B88" s="1157">
        <f>DMREZ!D16</f>
        <v>42375</v>
      </c>
      <c r="C88" s="1145">
        <f>+AT_!CM16</f>
        <v>94.3</v>
      </c>
      <c r="D88" s="1144">
        <f ca="1">+AT_!AR16</f>
        <v>5.7651694664734245</v>
      </c>
      <c r="E88" s="1144" t="str">
        <f>+AT_!AS16</f>
        <v>19.7*</v>
      </c>
      <c r="F88" s="1160">
        <f>+AT_!U16</f>
        <v>0.83783783783783783</v>
      </c>
      <c r="G88" s="1160">
        <f>+AT_!V16</f>
        <v>0.90322580645161288</v>
      </c>
      <c r="H88" s="1144">
        <f ca="1">IF(B88&gt;TODAY()-2,"",+AT_!DJ16)</f>
        <v>76</v>
      </c>
      <c r="I88" s="1145" t="str">
        <f t="shared" si="111"/>
        <v/>
      </c>
      <c r="J88" s="1145" t="str">
        <f t="shared" si="104"/>
        <v/>
      </c>
      <c r="K88" s="1144">
        <f>+AT_!AH16</f>
        <v>2.83</v>
      </c>
      <c r="L88" s="1144">
        <f>+AT_!AI16</f>
        <v>83.8</v>
      </c>
      <c r="M88" s="1144">
        <f>+AT_!AJ16</f>
        <v>1.8</v>
      </c>
      <c r="N88" s="1144">
        <f>+AT_!AK16</f>
        <v>73.5</v>
      </c>
      <c r="O88" s="1161">
        <f t="shared" si="105"/>
        <v>3100</v>
      </c>
      <c r="P88" s="1161">
        <f t="shared" si="105"/>
        <v>2800</v>
      </c>
      <c r="Q88" s="1161">
        <f t="shared" si="105"/>
        <v>3800</v>
      </c>
      <c r="R88" s="1161">
        <f t="shared" si="105"/>
        <v>3900</v>
      </c>
      <c r="S88" s="1144">
        <f ca="1">+DMREZ!CY16</f>
        <v>38.4</v>
      </c>
      <c r="T88" s="1144">
        <f ca="1">+DMREZ!CZ16</f>
        <v>13.8</v>
      </c>
      <c r="U88" s="1145">
        <f ca="1">+DMREZ!DA16</f>
        <v>28182.527999999998</v>
      </c>
      <c r="V88" s="1145">
        <f ca="1">+DMREZ!DB16</f>
        <v>10128.096</v>
      </c>
      <c r="W88" s="1145">
        <f>+CHEM_!G15</f>
        <v>730</v>
      </c>
      <c r="X88" s="1799">
        <f>+DMREZ!AC16</f>
        <v>0.46</v>
      </c>
      <c r="Y88" s="1500">
        <f t="shared" si="112"/>
        <v>101</v>
      </c>
      <c r="Z88" s="1160">
        <f>+AT_!CZ16</f>
        <v>20.399999999999999</v>
      </c>
      <c r="AA88" s="1160">
        <f>+AT_!DA16</f>
        <v>9.3000000000000007</v>
      </c>
      <c r="AB88" s="1160">
        <f t="shared" si="113"/>
        <v>4.8250000000000002</v>
      </c>
      <c r="AC88" s="1160">
        <f t="shared" si="114"/>
        <v>57.988080000000004</v>
      </c>
      <c r="AD88" s="1160">
        <f>+CHEM_!AN15</f>
        <v>170</v>
      </c>
      <c r="AE88" s="1161">
        <v>0</v>
      </c>
      <c r="AF88" s="1161">
        <f>+CHEM_!AD15</f>
        <v>0</v>
      </c>
      <c r="AG88" s="1161">
        <f>+CHEM_!AJ15</f>
        <v>141</v>
      </c>
      <c r="AH88" s="1160" t="str">
        <f>+DW_!E16</f>
        <v/>
      </c>
      <c r="AI88" s="1160" t="str">
        <f>+DW_!AA16</f>
        <v/>
      </c>
      <c r="AJ88" s="1160"/>
      <c r="AK88" s="1160"/>
      <c r="AL88" s="1160"/>
      <c r="AM88" s="1160"/>
      <c r="AN88" s="1160"/>
      <c r="AP88" s="1505">
        <f t="shared" si="74"/>
        <v>4</v>
      </c>
      <c r="AQ88" s="1136">
        <f>DMREZ!X16</f>
        <v>42375</v>
      </c>
      <c r="AR88" s="1152" t="str">
        <f t="shared" si="78"/>
        <v/>
      </c>
      <c r="AS88" s="1151" t="str">
        <f t="shared" si="79"/>
        <v/>
      </c>
      <c r="AT88" s="1151" t="str">
        <f t="shared" si="80"/>
        <v/>
      </c>
      <c r="AU88" s="1151" t="str">
        <f t="shared" si="81"/>
        <v/>
      </c>
      <c r="AV88" s="1151" t="str">
        <f t="shared" si="82"/>
        <v/>
      </c>
      <c r="AW88" s="1151" t="str">
        <f t="shared" si="83"/>
        <v/>
      </c>
      <c r="AX88" s="1152" t="str">
        <f t="shared" si="84"/>
        <v/>
      </c>
      <c r="AY88" s="1151" t="str">
        <f t="shared" si="85"/>
        <v/>
      </c>
      <c r="AZ88" s="1151" t="str">
        <f t="shared" si="86"/>
        <v/>
      </c>
      <c r="BA88" s="1151" t="str">
        <f t="shared" si="87"/>
        <v/>
      </c>
      <c r="BB88" s="1151" t="str">
        <f t="shared" si="88"/>
        <v/>
      </c>
      <c r="BC88" s="1152" t="str">
        <f t="shared" si="89"/>
        <v/>
      </c>
      <c r="BD88" s="1152" t="str">
        <f t="shared" si="90"/>
        <v/>
      </c>
      <c r="BE88" s="1152" t="str">
        <f t="shared" si="91"/>
        <v/>
      </c>
      <c r="BF88" s="1152" t="str">
        <f t="shared" si="92"/>
        <v/>
      </c>
      <c r="BG88" s="1151" t="str">
        <f t="shared" si="93"/>
        <v/>
      </c>
      <c r="BH88" s="1151" t="str">
        <f t="shared" si="94"/>
        <v/>
      </c>
      <c r="BI88" s="1152" t="str">
        <f t="shared" si="95"/>
        <v/>
      </c>
      <c r="BJ88" s="1152" t="str">
        <f t="shared" si="96"/>
        <v/>
      </c>
      <c r="BK88" s="1152" t="str">
        <f t="shared" si="97"/>
        <v/>
      </c>
      <c r="BL88" s="1300" t="str">
        <f t="shared" si="98"/>
        <v/>
      </c>
      <c r="BM88" s="1152" t="str">
        <f t="shared" si="99"/>
        <v/>
      </c>
      <c r="BN88" s="1152" t="str">
        <f t="shared" si="106"/>
        <v/>
      </c>
      <c r="BO88" s="1151" t="str">
        <f t="shared" si="107"/>
        <v/>
      </c>
      <c r="BP88" s="1151" t="str">
        <f t="shared" si="108"/>
        <v/>
      </c>
      <c r="BQ88" s="1151" t="str">
        <f t="shared" si="100"/>
        <v/>
      </c>
      <c r="BR88" s="1151" t="str">
        <f t="shared" si="101"/>
        <v/>
      </c>
      <c r="BS88" s="1152" t="str">
        <f t="shared" si="115"/>
        <v/>
      </c>
      <c r="BT88" s="1152" t="str">
        <f t="shared" si="102"/>
        <v/>
      </c>
      <c r="BU88" s="1152" t="str">
        <f t="shared" si="103"/>
        <v/>
      </c>
      <c r="BV88" s="1152" t="str">
        <f t="shared" si="116"/>
        <v/>
      </c>
      <c r="BW88" s="1151" t="str">
        <f t="shared" si="109"/>
        <v/>
      </c>
      <c r="BX88" s="1151" t="str">
        <f t="shared" si="110"/>
        <v/>
      </c>
      <c r="BY88" s="1152"/>
      <c r="BZ88" s="1152"/>
      <c r="CA88" s="1151"/>
      <c r="CB88" s="1151"/>
      <c r="CC88" s="1151"/>
      <c r="CD88" s="585"/>
      <c r="CE88" s="585"/>
      <c r="CF88" s="585"/>
      <c r="CG88" s="585"/>
      <c r="CH88" s="585"/>
      <c r="CI88" s="585"/>
      <c r="CJ88" s="585"/>
      <c r="CK88" s="585"/>
      <c r="CL88" s="585"/>
      <c r="CM88" s="585"/>
      <c r="CN88" s="585"/>
      <c r="CO88" s="585"/>
      <c r="CP88" s="585"/>
      <c r="CQ88" s="585"/>
      <c r="CR88" s="585"/>
      <c r="CS88" s="585"/>
      <c r="CT88" s="585"/>
      <c r="CU88" s="585"/>
      <c r="CV88" s="585"/>
      <c r="CW88" s="585"/>
      <c r="CX88" s="585"/>
      <c r="CY88" s="585"/>
      <c r="CZ88" s="585"/>
      <c r="DA88" s="585"/>
      <c r="DB88" s="585"/>
      <c r="DC88" s="585"/>
      <c r="DD88" s="585"/>
      <c r="DE88" s="585"/>
      <c r="DF88" s="585"/>
      <c r="DG88" s="585"/>
      <c r="DH88" s="585"/>
      <c r="DI88" s="585"/>
      <c r="DJ88" s="585"/>
      <c r="DL88" s="582"/>
      <c r="DM88" s="582"/>
      <c r="DN88" s="582"/>
      <c r="DO88" s="582"/>
      <c r="DP88" s="582"/>
      <c r="DQ88" s="582"/>
      <c r="DR88" s="582"/>
      <c r="DS88" s="583"/>
      <c r="DT88" s="583"/>
      <c r="DU88" s="583"/>
      <c r="DV88" s="583"/>
      <c r="DW88" s="583"/>
      <c r="DX88" s="582"/>
      <c r="DY88" s="582"/>
      <c r="DZ88" s="582"/>
      <c r="EA88" s="582"/>
      <c r="EB88" s="582"/>
      <c r="EC88" s="582"/>
      <c r="ED88" s="582"/>
      <c r="EE88" s="582"/>
      <c r="EF88" s="582"/>
      <c r="EG88" s="582"/>
      <c r="EH88" s="582"/>
      <c r="EI88" s="582"/>
      <c r="EJ88" s="582"/>
      <c r="EK88" s="582"/>
      <c r="EL88" s="582"/>
      <c r="EM88" s="582"/>
      <c r="EN88" s="582"/>
      <c r="EO88" s="582"/>
      <c r="EP88" s="582"/>
      <c r="EQ88" s="582"/>
      <c r="ER88" s="582"/>
      <c r="ES88" s="582"/>
      <c r="ET88" s="582"/>
      <c r="EU88" s="582"/>
      <c r="EV88" s="582"/>
      <c r="EW88" s="582"/>
      <c r="EX88" s="582"/>
      <c r="EY88" s="582"/>
      <c r="EZ88" s="582"/>
      <c r="FA88" s="582"/>
      <c r="FB88" s="582"/>
      <c r="FC88" s="582"/>
      <c r="FD88" s="582"/>
      <c r="FE88" s="582"/>
      <c r="IV88" s="578"/>
    </row>
    <row r="89" spans="1:256" ht="17.100000000000001" customHeight="1">
      <c r="A89" s="1138">
        <f t="shared" si="72"/>
        <v>42376</v>
      </c>
      <c r="B89" s="1157">
        <f>DMREZ!D17</f>
        <v>42376</v>
      </c>
      <c r="C89" s="1145">
        <f>+AT_!CM17</f>
        <v>93</v>
      </c>
      <c r="D89" s="1144">
        <f ca="1">+AT_!AR17</f>
        <v>3.7913249881906035</v>
      </c>
      <c r="E89" s="1144">
        <f ca="1">+AT_!AS17</f>
        <v>10.154417547752258</v>
      </c>
      <c r="F89" s="1160">
        <f>+AT_!U17</f>
        <v>1</v>
      </c>
      <c r="G89" s="1160">
        <f>+AT_!V17</f>
        <v>0.625</v>
      </c>
      <c r="H89" s="1144">
        <f ca="1">IF(B89&gt;TODAY()-2,"",+AT_!DJ17)</f>
        <v>59.8</v>
      </c>
      <c r="I89" s="1145" t="str">
        <f t="shared" si="111"/>
        <v/>
      </c>
      <c r="J89" s="1145" t="str">
        <f t="shared" si="104"/>
        <v/>
      </c>
      <c r="K89" s="1144">
        <f>+AT_!AH17</f>
        <v>2.88</v>
      </c>
      <c r="L89" s="1144">
        <f>+AT_!AI17</f>
        <v>85.9</v>
      </c>
      <c r="M89" s="1144">
        <f>+AT_!AJ17</f>
        <v>1.8</v>
      </c>
      <c r="N89" s="1144">
        <f>+AT_!AK17</f>
        <v>73.3</v>
      </c>
      <c r="O89" s="1161">
        <f t="shared" si="105"/>
        <v>3400</v>
      </c>
      <c r="P89" s="1161">
        <f t="shared" si="105"/>
        <v>2000</v>
      </c>
      <c r="Q89" s="1161">
        <f t="shared" si="105"/>
        <v>1800</v>
      </c>
      <c r="R89" s="1161">
        <f t="shared" si="105"/>
        <v>3100</v>
      </c>
      <c r="S89" s="1144">
        <f ca="1">+DMREZ!CY17</f>
        <v>39.5</v>
      </c>
      <c r="T89" s="1144">
        <f ca="1">+DMREZ!CZ17</f>
        <v>14.7</v>
      </c>
      <c r="U89" s="1145">
        <f ca="1">+DMREZ!DA17</f>
        <v>29978.13</v>
      </c>
      <c r="V89" s="1145">
        <f ca="1">+DMREZ!DB17</f>
        <v>11156.418</v>
      </c>
      <c r="W89" s="1145">
        <f>+CHEM_!G16</f>
        <v>730</v>
      </c>
      <c r="X89" s="1799">
        <f>+DMREZ!AC17</f>
        <v>0.49</v>
      </c>
      <c r="Y89" s="1500">
        <f t="shared" si="112"/>
        <v>101</v>
      </c>
      <c r="Z89" s="1160">
        <f>+AT_!CZ17</f>
        <v>7.1</v>
      </c>
      <c r="AA89" s="1160">
        <f>+AT_!DA17</f>
        <v>12.9</v>
      </c>
      <c r="AB89" s="1160">
        <f t="shared" si="113"/>
        <v>4.1649999999999991</v>
      </c>
      <c r="AC89" s="1160">
        <f t="shared" si="114"/>
        <v>57.216000000000001</v>
      </c>
      <c r="AD89" s="1160">
        <f>+CHEM_!AN16</f>
        <v>70</v>
      </c>
      <c r="AE89" s="1161">
        <v>0</v>
      </c>
      <c r="AF89" s="1161">
        <f>+CHEM_!AD16</f>
        <v>0</v>
      </c>
      <c r="AG89" s="1161">
        <f>+CHEM_!AJ16</f>
        <v>0</v>
      </c>
      <c r="AH89" s="1160" t="str">
        <f>+DW_!E17</f>
        <v/>
      </c>
      <c r="AI89" s="1160" t="str">
        <f>+DW_!AA17</f>
        <v/>
      </c>
      <c r="AJ89" s="1160"/>
      <c r="AK89" s="1160"/>
      <c r="AL89" s="1160"/>
      <c r="AM89" s="1160"/>
      <c r="AN89" s="1160"/>
      <c r="AP89" s="1505">
        <f t="shared" si="74"/>
        <v>5</v>
      </c>
      <c r="AQ89" s="1136">
        <f>DMREZ!X17</f>
        <v>42376</v>
      </c>
      <c r="AR89" s="1152" t="str">
        <f t="shared" ref="AR89:AR113" si="117">IF($AP89=7,ROUND(AVERAGE(C83:C89),1),"")</f>
        <v/>
      </c>
      <c r="AS89" s="1151" t="str">
        <f t="shared" ref="AS89:AS113" si="118">IF($AP89=7,ROUND(AVERAGE(D83:D89),1),"")</f>
        <v/>
      </c>
      <c r="AT89" s="1151" t="str">
        <f t="shared" ref="AT89:AT113" si="119">IF($AP89=7,ROUND(AVERAGE(E83:E89),1),"")</f>
        <v/>
      </c>
      <c r="AU89" s="1151" t="str">
        <f t="shared" ref="AU89:AU113" si="120">IF($AP89=7,ROUND(AVERAGE(F83:F89),1),"")</f>
        <v/>
      </c>
      <c r="AV89" s="1151" t="str">
        <f t="shared" ref="AV89:AV113" si="121">IF($AP89=7,ROUND(AVERAGE(G83:G89),1),"")</f>
        <v/>
      </c>
      <c r="AW89" s="1151" t="str">
        <f t="shared" ref="AW89:AW113" si="122">IF($AP89=7,ROUND(AVERAGE(H83:H89),1),"")</f>
        <v/>
      </c>
      <c r="AX89" s="1152" t="str">
        <f t="shared" ref="AX89:AX113" si="123">IF($AP89=7,ROUND(AVERAGE(J83:J89),-1),"")</f>
        <v/>
      </c>
      <c r="AY89" s="1151" t="str">
        <f t="shared" ref="AY89:AY113" si="124">IF($AP89=7,ROUND(AVERAGE(K83:K89),1),"")</f>
        <v/>
      </c>
      <c r="AZ89" s="1151" t="str">
        <f t="shared" ref="AZ89:AZ113" si="125">IF($AP89=7,ROUND(AVERAGE(L83:L89),1),"")</f>
        <v/>
      </c>
      <c r="BA89" s="1151" t="str">
        <f t="shared" ref="BA89:BA113" si="126">IF($AP89=7,ROUND(AVERAGE(M83:M89),1),"")</f>
        <v/>
      </c>
      <c r="BB89" s="1151" t="str">
        <f t="shared" ref="BB89:BB113" si="127">IF($AP89=7,ROUND(AVERAGE(N83:N89),1),"")</f>
        <v/>
      </c>
      <c r="BC89" s="1152" t="str">
        <f t="shared" ref="BC89:BC113" si="128">IF($AP89=7,ROUND(AVERAGE(O83:O89),-1),"")</f>
        <v/>
      </c>
      <c r="BD89" s="1152" t="str">
        <f t="shared" ref="BD89:BD113" si="129">IF($AP89=7,ROUND(AVERAGE(P83:P89),-1),"")</f>
        <v/>
      </c>
      <c r="BE89" s="1152" t="str">
        <f t="shared" ref="BE89:BE113" si="130">IF($AP89=7,ROUND(AVERAGE(Q83:Q89),-1),"")</f>
        <v/>
      </c>
      <c r="BF89" s="1152" t="str">
        <f t="shared" ref="BF89:BF113" si="131">IF($AP89=7,ROUND(AVERAGE(R83:R89),-1),"")</f>
        <v/>
      </c>
      <c r="BG89" s="1151" t="str">
        <f t="shared" ref="BG89:BG113" si="132">IF($AP89=7,ROUND(AVERAGE(S83:S89),1),"")</f>
        <v/>
      </c>
      <c r="BH89" s="1151" t="str">
        <f t="shared" ref="BH89:BH113" si="133">IF($AP89=7,ROUND(AVERAGE(T83:T89),1),"")</f>
        <v/>
      </c>
      <c r="BI89" s="1152" t="str">
        <f t="shared" ref="BI89:BI113" si="134">IF($AP89=7,ROUND(AVERAGE(U83:U89),1),"")</f>
        <v/>
      </c>
      <c r="BJ89" s="1152" t="str">
        <f t="shared" ref="BJ89:BJ113" si="135">IF($AP89=7,ROUND(AVERAGE(V83:V89),1),"")</f>
        <v/>
      </c>
      <c r="BK89" s="1152" t="str">
        <f t="shared" ref="BK89:BK113" si="136">IF($AP89=7,ROUND(AVERAGE(W83:W89),0),"")</f>
        <v/>
      </c>
      <c r="BL89" s="1300" t="str">
        <f t="shared" ref="BL89:BL113" si="137">IF($AP89=7,ROUND(AVERAGE(X83:X89),2),"")</f>
        <v/>
      </c>
      <c r="BM89" s="1152" t="str">
        <f t="shared" ref="BM89:BM113" si="138">IF($AP89=7,ROUND(AVERAGE(Y83:Y89),1),"")</f>
        <v/>
      </c>
      <c r="BN89" s="1152" t="str">
        <f t="shared" ref="BN89:BN113" si="139">IF($AP89=7,ROUND(AVERAGE(I83:I89),1),"")</f>
        <v/>
      </c>
      <c r="BO89" s="1151" t="str">
        <f t="shared" ref="BO89:BO113" si="140">IF($AP89=7,ROUND(AVERAGE(Z83:Z89),1),"")</f>
        <v/>
      </c>
      <c r="BP89" s="1151" t="str">
        <f t="shared" ref="BP89:BP113" si="141">IF($AP89=7,ROUND(AVERAGE(AA83:AA89),1),"")</f>
        <v/>
      </c>
      <c r="BQ89" s="1151" t="str">
        <f t="shared" ref="BQ89:BQ113" si="142">IF($AP89=7,ROUND(AVERAGE(AB83:AB89),1),"")</f>
        <v/>
      </c>
      <c r="BR89" s="1151" t="str">
        <f t="shared" ref="BR89:BR113" si="143">IF($AP89=7,ROUND(AVERAGE(AC83:AC89),1),"")</f>
        <v/>
      </c>
      <c r="BS89" s="1152" t="str">
        <f t="shared" si="115"/>
        <v/>
      </c>
      <c r="BT89" s="1152" t="str">
        <f t="shared" ref="BT89:BT113" si="144">IF($AP89=7,ROUND(AVERAGE(AE83:AE89),1),"")</f>
        <v/>
      </c>
      <c r="BU89" s="1152" t="str">
        <f t="shared" ref="BU89:BU113" si="145">IF($AP89=7,ROUND(AVERAGE(AF83:AF89),1),"")</f>
        <v/>
      </c>
      <c r="BV89" s="1152" t="str">
        <f t="shared" si="116"/>
        <v/>
      </c>
      <c r="BW89" s="1151" t="str">
        <f t="shared" ref="BW89:BW113" si="146">IF($AP89=7,ROUND(AVERAGE(AH83:AH89),1),"")</f>
        <v/>
      </c>
      <c r="BX89" s="1151" t="str">
        <f t="shared" ref="BX89:BX113" si="147">IF($AP89=7,ROUND(AVERAGE(AI83:AI89),1),"")</f>
        <v/>
      </c>
      <c r="BY89" s="1152"/>
      <c r="BZ89" s="1152"/>
      <c r="CA89" s="1151"/>
      <c r="CB89" s="1151"/>
      <c r="CC89" s="1151"/>
      <c r="CD89" s="585"/>
      <c r="CE89" s="585"/>
      <c r="CF89" s="585"/>
      <c r="CG89" s="585"/>
      <c r="CH89" s="585"/>
      <c r="CI89" s="585"/>
      <c r="CJ89" s="585"/>
      <c r="CK89" s="585"/>
      <c r="CL89" s="585"/>
      <c r="CM89" s="585"/>
      <c r="CN89" s="585"/>
      <c r="CO89" s="585"/>
      <c r="CP89" s="585"/>
      <c r="CQ89" s="585"/>
      <c r="CR89" s="585"/>
      <c r="CS89" s="585"/>
      <c r="CT89" s="585"/>
      <c r="CU89" s="585"/>
      <c r="CV89" s="585"/>
      <c r="CW89" s="585"/>
      <c r="CX89" s="585"/>
      <c r="CY89" s="585"/>
      <c r="CZ89" s="585"/>
      <c r="DA89" s="585"/>
      <c r="DB89" s="585"/>
      <c r="DC89" s="585"/>
      <c r="DD89" s="585"/>
      <c r="DE89" s="585"/>
      <c r="DF89" s="585"/>
      <c r="DG89" s="585"/>
      <c r="DH89" s="585"/>
      <c r="DI89" s="585"/>
      <c r="DJ89" s="585"/>
      <c r="DL89" s="582"/>
      <c r="DM89" s="582"/>
      <c r="DN89" s="582"/>
      <c r="DO89" s="582"/>
      <c r="DP89" s="582"/>
      <c r="DQ89" s="582"/>
      <c r="DR89" s="582"/>
      <c r="DS89" s="583"/>
      <c r="DT89" s="583"/>
      <c r="DU89" s="583"/>
      <c r="DV89" s="583"/>
      <c r="DW89" s="583"/>
      <c r="DX89" s="582"/>
      <c r="DY89" s="582"/>
      <c r="DZ89" s="582"/>
      <c r="EA89" s="582"/>
      <c r="EB89" s="582"/>
      <c r="EC89" s="582"/>
      <c r="ED89" s="582"/>
      <c r="EE89" s="582"/>
      <c r="EF89" s="582"/>
      <c r="EG89" s="582"/>
      <c r="EH89" s="582"/>
      <c r="EI89" s="582"/>
      <c r="EJ89" s="582"/>
      <c r="EK89" s="582"/>
      <c r="EL89" s="582"/>
      <c r="EM89" s="582"/>
      <c r="EN89" s="582"/>
      <c r="EO89" s="582"/>
      <c r="EP89" s="582"/>
      <c r="EQ89" s="582"/>
      <c r="ER89" s="582"/>
      <c r="ES89" s="582"/>
      <c r="ET89" s="582"/>
      <c r="EU89" s="582"/>
      <c r="EV89" s="582"/>
      <c r="EW89" s="582"/>
      <c r="EX89" s="582"/>
      <c r="EY89" s="582"/>
      <c r="EZ89" s="582"/>
      <c r="FA89" s="582"/>
      <c r="FB89" s="582"/>
      <c r="FC89" s="582"/>
      <c r="FD89" s="582"/>
      <c r="FE89" s="582"/>
      <c r="IV89" s="578"/>
    </row>
    <row r="90" spans="1:256" ht="17.100000000000001" customHeight="1">
      <c r="A90" s="1138">
        <f t="shared" si="72"/>
        <v>42377</v>
      </c>
      <c r="B90" s="1157">
        <f>DMREZ!D18</f>
        <v>42377</v>
      </c>
      <c r="C90" s="1145">
        <f>+AT_!CM18</f>
        <v>93.2</v>
      </c>
      <c r="D90" s="1144">
        <f ca="1">+AT_!AR18</f>
        <v>6.1164709073458736</v>
      </c>
      <c r="E90" s="1144" t="str">
        <f>+AT_!AS18</f>
        <v>18.6*</v>
      </c>
      <c r="F90" s="1160" t="str">
        <f>+AT_!U18</f>
        <v/>
      </c>
      <c r="G90" s="1160" t="str">
        <f>+AT_!V18</f>
        <v/>
      </c>
      <c r="H90" s="1144">
        <f ca="1">IF(B90&gt;TODAY()-2,"",+AT_!DJ18)</f>
        <v>57.5</v>
      </c>
      <c r="I90" s="1145" t="str">
        <f t="shared" si="111"/>
        <v/>
      </c>
      <c r="J90" s="1145" t="str">
        <f t="shared" si="104"/>
        <v/>
      </c>
      <c r="K90" s="1144" t="str">
        <f>+AT_!AH18</f>
        <v/>
      </c>
      <c r="L90" s="1144" t="str">
        <f>+AT_!AI18</f>
        <v/>
      </c>
      <c r="M90" s="1144" t="str">
        <f>+AT_!AJ18</f>
        <v/>
      </c>
      <c r="N90" s="1144" t="str">
        <f>+AT_!AK18</f>
        <v/>
      </c>
      <c r="O90" s="1161" t="str">
        <f t="shared" si="105"/>
        <v/>
      </c>
      <c r="P90" s="1161" t="str">
        <f t="shared" si="105"/>
        <v/>
      </c>
      <c r="Q90" s="1161" t="str">
        <f t="shared" si="105"/>
        <v/>
      </c>
      <c r="R90" s="1161" t="str">
        <f t="shared" si="105"/>
        <v/>
      </c>
      <c r="S90" s="1144">
        <f ca="1">+DMREZ!CY18</f>
        <v>40.4</v>
      </c>
      <c r="T90" s="1144">
        <f ca="1">+DMREZ!CZ18</f>
        <v>14</v>
      </c>
      <c r="U90" s="1145">
        <f ca="1">+DMREZ!DA18</f>
        <v>29313.431999999997</v>
      </c>
      <c r="V90" s="1145">
        <f ca="1">+DMREZ!DB18</f>
        <v>10158.119999999999</v>
      </c>
      <c r="W90" s="1145">
        <f>+CHEM_!G17</f>
        <v>830</v>
      </c>
      <c r="X90" s="1799">
        <f>+DMREZ!AC18</f>
        <v>0.46</v>
      </c>
      <c r="Y90" s="1500">
        <f t="shared" si="112"/>
        <v>102</v>
      </c>
      <c r="Z90" s="1160">
        <f>+AT_!CZ18</f>
        <v>11.9</v>
      </c>
      <c r="AA90" s="1160">
        <f>+AT_!DA18</f>
        <v>12.3</v>
      </c>
      <c r="AB90" s="1160">
        <f t="shared" si="113"/>
        <v>3.9849999999999999</v>
      </c>
      <c r="AC90" s="1160">
        <f t="shared" si="114"/>
        <v>56.932079999999999</v>
      </c>
      <c r="AD90" s="1160">
        <f>+CHEM_!AN17</f>
        <v>0</v>
      </c>
      <c r="AE90" s="1161">
        <v>0</v>
      </c>
      <c r="AF90" s="1161">
        <f>+CHEM_!AD17</f>
        <v>0</v>
      </c>
      <c r="AG90" s="1161">
        <f>+CHEM_!AJ17</f>
        <v>0</v>
      </c>
      <c r="AH90" s="1160" t="str">
        <f>+DW_!E18</f>
        <v/>
      </c>
      <c r="AI90" s="1160" t="str">
        <f>+DW_!AA18</f>
        <v/>
      </c>
      <c r="AJ90" s="1160"/>
      <c r="AK90" s="1160"/>
      <c r="AL90" s="1160"/>
      <c r="AM90" s="1160"/>
      <c r="AN90" s="1160"/>
      <c r="AP90" s="1505">
        <f t="shared" si="74"/>
        <v>6</v>
      </c>
      <c r="AQ90" s="1136">
        <f>DMREZ!X18</f>
        <v>42377</v>
      </c>
      <c r="AR90" s="1152" t="str">
        <f t="shared" si="117"/>
        <v/>
      </c>
      <c r="AS90" s="1151" t="str">
        <f t="shared" si="118"/>
        <v/>
      </c>
      <c r="AT90" s="1151" t="str">
        <f t="shared" si="119"/>
        <v/>
      </c>
      <c r="AU90" s="1151" t="str">
        <f t="shared" si="120"/>
        <v/>
      </c>
      <c r="AV90" s="1151" t="str">
        <f t="shared" si="121"/>
        <v/>
      </c>
      <c r="AW90" s="1151" t="str">
        <f t="shared" si="122"/>
        <v/>
      </c>
      <c r="AX90" s="1152" t="str">
        <f t="shared" si="123"/>
        <v/>
      </c>
      <c r="AY90" s="1151" t="str">
        <f t="shared" si="124"/>
        <v/>
      </c>
      <c r="AZ90" s="1151" t="str">
        <f t="shared" si="125"/>
        <v/>
      </c>
      <c r="BA90" s="1151" t="str">
        <f t="shared" si="126"/>
        <v/>
      </c>
      <c r="BB90" s="1151" t="str">
        <f t="shared" si="127"/>
        <v/>
      </c>
      <c r="BC90" s="1152" t="str">
        <f t="shared" si="128"/>
        <v/>
      </c>
      <c r="BD90" s="1152" t="str">
        <f t="shared" si="129"/>
        <v/>
      </c>
      <c r="BE90" s="1152" t="str">
        <f t="shared" si="130"/>
        <v/>
      </c>
      <c r="BF90" s="1152" t="str">
        <f t="shared" si="131"/>
        <v/>
      </c>
      <c r="BG90" s="1151" t="str">
        <f t="shared" si="132"/>
        <v/>
      </c>
      <c r="BH90" s="1151" t="str">
        <f t="shared" si="133"/>
        <v/>
      </c>
      <c r="BI90" s="1152" t="str">
        <f t="shared" si="134"/>
        <v/>
      </c>
      <c r="BJ90" s="1152" t="str">
        <f t="shared" si="135"/>
        <v/>
      </c>
      <c r="BK90" s="1152" t="str">
        <f t="shared" si="136"/>
        <v/>
      </c>
      <c r="BL90" s="1300" t="str">
        <f t="shared" si="137"/>
        <v/>
      </c>
      <c r="BM90" s="1152" t="str">
        <f t="shared" si="138"/>
        <v/>
      </c>
      <c r="BN90" s="1152" t="str">
        <f t="shared" si="139"/>
        <v/>
      </c>
      <c r="BO90" s="1151" t="str">
        <f t="shared" si="140"/>
        <v/>
      </c>
      <c r="BP90" s="1151" t="str">
        <f t="shared" si="141"/>
        <v/>
      </c>
      <c r="BQ90" s="1151" t="str">
        <f t="shared" si="142"/>
        <v/>
      </c>
      <c r="BR90" s="1151" t="str">
        <f t="shared" si="143"/>
        <v/>
      </c>
      <c r="BS90" s="1152" t="str">
        <f t="shared" si="115"/>
        <v/>
      </c>
      <c r="BT90" s="1152" t="str">
        <f t="shared" si="144"/>
        <v/>
      </c>
      <c r="BU90" s="1152" t="str">
        <f t="shared" si="145"/>
        <v/>
      </c>
      <c r="BV90" s="1152" t="str">
        <f t="shared" si="116"/>
        <v/>
      </c>
      <c r="BW90" s="1151" t="str">
        <f t="shared" si="146"/>
        <v/>
      </c>
      <c r="BX90" s="1151" t="str">
        <f t="shared" si="147"/>
        <v/>
      </c>
      <c r="BY90" s="1152"/>
      <c r="BZ90" s="1152"/>
      <c r="CA90" s="1151"/>
      <c r="CB90" s="1151"/>
      <c r="CC90" s="1151"/>
      <c r="CD90" s="585"/>
      <c r="CE90" s="585"/>
      <c r="CF90" s="585"/>
      <c r="CG90" s="585"/>
      <c r="CH90" s="585"/>
      <c r="CI90" s="585"/>
      <c r="CJ90" s="585"/>
      <c r="CK90" s="585"/>
      <c r="CL90" s="585"/>
      <c r="CM90" s="585"/>
      <c r="CN90" s="585"/>
      <c r="CO90" s="585"/>
      <c r="CP90" s="585"/>
      <c r="CQ90" s="585"/>
      <c r="CR90" s="585"/>
      <c r="CS90" s="585"/>
      <c r="CT90" s="585"/>
      <c r="CU90" s="585"/>
      <c r="CV90" s="585"/>
      <c r="CW90" s="585"/>
      <c r="CX90" s="585"/>
      <c r="CY90" s="585"/>
      <c r="CZ90" s="585"/>
      <c r="DA90" s="585"/>
      <c r="DB90" s="585"/>
      <c r="DC90" s="585"/>
      <c r="DD90" s="585"/>
      <c r="DE90" s="585"/>
      <c r="DF90" s="585"/>
      <c r="DG90" s="585"/>
      <c r="DH90" s="585"/>
      <c r="DI90" s="585"/>
      <c r="DJ90" s="585"/>
      <c r="DL90" s="582"/>
      <c r="DM90" s="582"/>
      <c r="DN90" s="582"/>
      <c r="DO90" s="582"/>
      <c r="DP90" s="582"/>
      <c r="DQ90" s="582"/>
      <c r="DR90" s="582"/>
      <c r="DS90" s="583"/>
      <c r="DT90" s="583"/>
      <c r="DU90" s="583"/>
      <c r="DV90" s="583"/>
      <c r="DW90" s="583"/>
      <c r="DX90" s="582"/>
      <c r="DY90" s="582"/>
      <c r="DZ90" s="582"/>
      <c r="EA90" s="582"/>
      <c r="EB90" s="582"/>
      <c r="EC90" s="582"/>
      <c r="ED90" s="582"/>
      <c r="EE90" s="582"/>
      <c r="EF90" s="582"/>
      <c r="EG90" s="582"/>
      <c r="EH90" s="582"/>
      <c r="EI90" s="582"/>
      <c r="EJ90" s="582"/>
      <c r="EK90" s="582"/>
      <c r="EL90" s="582"/>
      <c r="EM90" s="582"/>
      <c r="EN90" s="582"/>
      <c r="EO90" s="582"/>
      <c r="EP90" s="582"/>
      <c r="EQ90" s="582"/>
      <c r="ER90" s="582"/>
      <c r="ES90" s="582"/>
      <c r="ET90" s="582"/>
      <c r="EU90" s="582"/>
      <c r="EV90" s="582"/>
      <c r="EW90" s="582"/>
      <c r="EX90" s="582"/>
      <c r="EY90" s="582"/>
      <c r="EZ90" s="582"/>
      <c r="FA90" s="582"/>
      <c r="FB90" s="582"/>
      <c r="FC90" s="582"/>
      <c r="FD90" s="582"/>
      <c r="FE90" s="582"/>
      <c r="IV90" s="578"/>
    </row>
    <row r="91" spans="1:256" ht="17.100000000000001" customHeight="1">
      <c r="A91" s="1138">
        <f t="shared" si="72"/>
        <v>42378</v>
      </c>
      <c r="B91" s="1157">
        <f>DMREZ!D19</f>
        <v>42378</v>
      </c>
      <c r="C91" s="1145">
        <f>+AT_!CM19</f>
        <v>92.2</v>
      </c>
      <c r="D91" s="1144">
        <f ca="1">+AT_!AR19</f>
        <v>5.8265346473717718</v>
      </c>
      <c r="E91" s="1144">
        <f ca="1">+AT_!AS19</f>
        <v>12.148900594743033</v>
      </c>
      <c r="F91" s="1160" t="str">
        <f>+AT_!U19</f>
        <v/>
      </c>
      <c r="G91" s="1160" t="str">
        <f>+AT_!V19</f>
        <v/>
      </c>
      <c r="H91" s="1144">
        <f ca="1">IF(B91&gt;TODAY()-2,"",+AT_!DJ19)</f>
        <v>81.3</v>
      </c>
      <c r="I91" s="1145" t="str">
        <f t="shared" si="111"/>
        <v/>
      </c>
      <c r="J91" s="1145" t="str">
        <f t="shared" si="104"/>
        <v/>
      </c>
      <c r="K91" s="1144" t="str">
        <f>+AT_!AH19</f>
        <v/>
      </c>
      <c r="L91" s="1144" t="str">
        <f>+AT_!AI19</f>
        <v/>
      </c>
      <c r="M91" s="1144" t="str">
        <f>+AT_!AJ19</f>
        <v/>
      </c>
      <c r="N91" s="1144" t="str">
        <f>+AT_!AK19</f>
        <v/>
      </c>
      <c r="O91" s="1161" t="str">
        <f t="shared" si="105"/>
        <v/>
      </c>
      <c r="P91" s="1161" t="str">
        <f t="shared" si="105"/>
        <v/>
      </c>
      <c r="Q91" s="1161" t="str">
        <f t="shared" si="105"/>
        <v/>
      </c>
      <c r="R91" s="1161" t="str">
        <f t="shared" si="105"/>
        <v/>
      </c>
      <c r="S91" s="1144">
        <f ca="1">+DMREZ!CY19</f>
        <v>45.9</v>
      </c>
      <c r="T91" s="1144">
        <f ca="1">+DMREZ!CZ19</f>
        <v>16.100000000000001</v>
      </c>
      <c r="U91" s="1145">
        <f ca="1">+DMREZ!DA19</f>
        <v>44022.689999999995</v>
      </c>
      <c r="V91" s="1145">
        <f ca="1">+DMREZ!DB19</f>
        <v>15441.51</v>
      </c>
      <c r="W91" s="1145">
        <f>+CHEM_!G18</f>
        <v>1270</v>
      </c>
      <c r="X91" s="1799">
        <f>+DMREZ!AC19</f>
        <v>0.46</v>
      </c>
      <c r="Y91" s="1500">
        <f t="shared" si="112"/>
        <v>103</v>
      </c>
      <c r="Z91" s="1160">
        <f>+AT_!CZ19</f>
        <v>9</v>
      </c>
      <c r="AA91" s="1160">
        <f>+AT_!DA19</f>
        <v>9.3000000000000007</v>
      </c>
      <c r="AB91" s="1160">
        <f t="shared" si="113"/>
        <v>4.4024999999999999</v>
      </c>
      <c r="AC91" s="1160">
        <f t="shared" si="114"/>
        <v>56.372160000000001</v>
      </c>
      <c r="AD91" s="1160">
        <f>+CHEM_!AN18</f>
        <v>0</v>
      </c>
      <c r="AE91" s="1161">
        <v>0</v>
      </c>
      <c r="AF91" s="1161">
        <f>+CHEM_!AD18</f>
        <v>0</v>
      </c>
      <c r="AG91" s="1161">
        <f>+CHEM_!AJ18</f>
        <v>0</v>
      </c>
      <c r="AH91" s="1160" t="str">
        <f>+DW_!E19</f>
        <v/>
      </c>
      <c r="AI91" s="1160" t="str">
        <f>+DW_!AA19</f>
        <v/>
      </c>
      <c r="AJ91" s="1160"/>
      <c r="AK91" s="1160"/>
      <c r="AL91" s="1160"/>
      <c r="AM91" s="1160"/>
      <c r="AN91" s="1160"/>
      <c r="AP91" s="1505">
        <f t="shared" si="74"/>
        <v>7</v>
      </c>
      <c r="AQ91" s="1136">
        <f>DMREZ!X19</f>
        <v>42378</v>
      </c>
      <c r="AR91" s="1152">
        <f t="shared" si="117"/>
        <v>93.7</v>
      </c>
      <c r="AS91" s="1151">
        <f t="shared" ca="1" si="118"/>
        <v>5.4</v>
      </c>
      <c r="AT91" s="1151">
        <f t="shared" ca="1" si="119"/>
        <v>7.4</v>
      </c>
      <c r="AU91" s="1151">
        <f t="shared" si="120"/>
        <v>0.8</v>
      </c>
      <c r="AV91" s="1151">
        <f t="shared" si="121"/>
        <v>0.8</v>
      </c>
      <c r="AW91" s="1151">
        <f t="shared" ca="1" si="122"/>
        <v>63.5</v>
      </c>
      <c r="AX91" s="1152">
        <f t="shared" si="123"/>
        <v>190</v>
      </c>
      <c r="AY91" s="1151">
        <f t="shared" si="124"/>
        <v>2.9</v>
      </c>
      <c r="AZ91" s="1151">
        <f t="shared" si="125"/>
        <v>84.8</v>
      </c>
      <c r="BA91" s="1151">
        <f t="shared" si="126"/>
        <v>1.8</v>
      </c>
      <c r="BB91" s="1151">
        <f t="shared" si="127"/>
        <v>73.2</v>
      </c>
      <c r="BC91" s="1152">
        <f t="shared" si="128"/>
        <v>3100</v>
      </c>
      <c r="BD91" s="1152">
        <f t="shared" si="129"/>
        <v>2460</v>
      </c>
      <c r="BE91" s="1152">
        <f t="shared" si="130"/>
        <v>3380</v>
      </c>
      <c r="BF91" s="1152">
        <f t="shared" si="131"/>
        <v>3220</v>
      </c>
      <c r="BG91" s="1151">
        <f t="shared" ca="1" si="132"/>
        <v>41</v>
      </c>
      <c r="BH91" s="1151">
        <f t="shared" ca="1" si="133"/>
        <v>14.6</v>
      </c>
      <c r="BI91" s="1152">
        <f t="shared" ca="1" si="134"/>
        <v>31723.8</v>
      </c>
      <c r="BJ91" s="1152">
        <f t="shared" ca="1" si="135"/>
        <v>11294.9</v>
      </c>
      <c r="BK91" s="1152">
        <f t="shared" si="136"/>
        <v>854</v>
      </c>
      <c r="BL91" s="1300">
        <f t="shared" si="137"/>
        <v>0.47</v>
      </c>
      <c r="BM91" s="1152">
        <f t="shared" si="138"/>
        <v>100.7</v>
      </c>
      <c r="BN91" s="1152">
        <f t="shared" si="139"/>
        <v>92</v>
      </c>
      <c r="BO91" s="1151">
        <f t="shared" si="140"/>
        <v>13.9</v>
      </c>
      <c r="BP91" s="1151">
        <f t="shared" si="141"/>
        <v>10.4</v>
      </c>
      <c r="BQ91" s="1151">
        <f t="shared" si="142"/>
        <v>4.5</v>
      </c>
      <c r="BR91" s="1151">
        <f t="shared" si="143"/>
        <v>58</v>
      </c>
      <c r="BS91" s="1152">
        <f t="shared" si="115"/>
        <v>130</v>
      </c>
      <c r="BT91" s="1152">
        <f t="shared" si="144"/>
        <v>0</v>
      </c>
      <c r="BU91" s="1152">
        <f t="shared" si="145"/>
        <v>15.1</v>
      </c>
      <c r="BV91" s="1152">
        <f t="shared" si="116"/>
        <v>320</v>
      </c>
      <c r="BW91" s="1151">
        <f t="shared" si="146"/>
        <v>23.9</v>
      </c>
      <c r="BX91" s="1151">
        <f t="shared" si="147"/>
        <v>69.099999999999994</v>
      </c>
      <c r="BY91" s="1152"/>
      <c r="BZ91" s="1152"/>
      <c r="CA91" s="1151"/>
      <c r="CB91" s="1151"/>
      <c r="CC91" s="1151"/>
      <c r="CD91" s="585"/>
      <c r="CE91" s="585"/>
      <c r="CF91" s="585"/>
      <c r="CG91" s="585"/>
      <c r="CH91" s="585"/>
      <c r="CI91" s="585"/>
      <c r="CJ91" s="585"/>
      <c r="CK91" s="585"/>
      <c r="CL91" s="585"/>
      <c r="CM91" s="585"/>
      <c r="CN91" s="585"/>
      <c r="CO91" s="585"/>
      <c r="CP91" s="585"/>
      <c r="CQ91" s="585"/>
      <c r="CR91" s="585"/>
      <c r="CS91" s="585"/>
      <c r="CT91" s="585"/>
      <c r="CU91" s="585"/>
      <c r="CV91" s="585"/>
      <c r="CW91" s="585"/>
      <c r="CX91" s="585"/>
      <c r="CY91" s="585"/>
      <c r="CZ91" s="585"/>
      <c r="DA91" s="585"/>
      <c r="DB91" s="585"/>
      <c r="DC91" s="585"/>
      <c r="DD91" s="585"/>
      <c r="DE91" s="585"/>
      <c r="DF91" s="585"/>
      <c r="DG91" s="585"/>
      <c r="DH91" s="585"/>
      <c r="DI91" s="585"/>
      <c r="DJ91" s="585"/>
      <c r="DL91" s="582"/>
      <c r="DM91" s="582"/>
      <c r="DN91" s="582"/>
      <c r="DO91" s="582"/>
      <c r="DP91" s="582"/>
      <c r="DQ91" s="582"/>
      <c r="DR91" s="582"/>
      <c r="DS91" s="583"/>
      <c r="DT91" s="583"/>
      <c r="DU91" s="583"/>
      <c r="DV91" s="583"/>
      <c r="DW91" s="583"/>
      <c r="DX91" s="582"/>
      <c r="DY91" s="582"/>
      <c r="DZ91" s="582"/>
      <c r="EA91" s="582"/>
      <c r="EB91" s="582"/>
      <c r="EC91" s="582"/>
      <c r="ED91" s="582"/>
      <c r="EE91" s="582"/>
      <c r="EF91" s="582"/>
      <c r="EG91" s="582"/>
      <c r="EH91" s="582"/>
      <c r="EI91" s="582"/>
      <c r="EJ91" s="582"/>
      <c r="EK91" s="582"/>
      <c r="EL91" s="582"/>
      <c r="EM91" s="582"/>
      <c r="EN91" s="582"/>
      <c r="EO91" s="582"/>
      <c r="EP91" s="582"/>
      <c r="EQ91" s="582"/>
      <c r="ER91" s="582"/>
      <c r="ES91" s="582"/>
      <c r="ET91" s="582"/>
      <c r="EU91" s="582"/>
      <c r="EV91" s="582"/>
      <c r="EW91" s="582"/>
      <c r="EX91" s="582"/>
      <c r="EY91" s="582"/>
      <c r="EZ91" s="582"/>
      <c r="FA91" s="582"/>
      <c r="FB91" s="582"/>
      <c r="FC91" s="582"/>
      <c r="FD91" s="582"/>
      <c r="FE91" s="582"/>
      <c r="IV91" s="578"/>
    </row>
    <row r="92" spans="1:256" ht="17.100000000000001" customHeight="1">
      <c r="A92" s="1138">
        <f t="shared" si="72"/>
        <v>42379</v>
      </c>
      <c r="B92" s="1157">
        <f>DMREZ!D20</f>
        <v>42379</v>
      </c>
      <c r="C92" s="1145">
        <f>+AT_!CM20</f>
        <v>87.5</v>
      </c>
      <c r="D92" s="1144">
        <f ca="1">+AT_!AR20</f>
        <v>3.030990632500691</v>
      </c>
      <c r="E92" s="1144">
        <f ca="1">+AT_!AS20</f>
        <v>5.0776162865177836</v>
      </c>
      <c r="F92" s="1160">
        <f>+AT_!U20</f>
        <v>1</v>
      </c>
      <c r="G92" s="1160">
        <f>+AT_!V20</f>
        <v>0.91666666666666663</v>
      </c>
      <c r="H92" s="1144">
        <f ca="1">IF(B92&gt;TODAY()-2,"",+AT_!DJ20)</f>
        <v>65.599999999999994</v>
      </c>
      <c r="I92" s="1145" t="str">
        <f t="shared" si="111"/>
        <v/>
      </c>
      <c r="J92" s="1145" t="str">
        <f t="shared" si="104"/>
        <v/>
      </c>
      <c r="K92" s="1144" t="str">
        <f>+AT_!AH20</f>
        <v/>
      </c>
      <c r="L92" s="1144" t="str">
        <f>+AT_!AI20</f>
        <v/>
      </c>
      <c r="M92" s="1144" t="str">
        <f>+AT_!AJ20</f>
        <v/>
      </c>
      <c r="N92" s="1144" t="str">
        <f>+AT_!AK20</f>
        <v/>
      </c>
      <c r="O92" s="1161">
        <f t="shared" si="105"/>
        <v>1500</v>
      </c>
      <c r="P92" s="1161">
        <f t="shared" si="105"/>
        <v>2200</v>
      </c>
      <c r="Q92" s="1161">
        <f t="shared" si="105"/>
        <v>2400</v>
      </c>
      <c r="R92" s="1161">
        <f t="shared" si="105"/>
        <v>2900</v>
      </c>
      <c r="S92" s="1144">
        <f ca="1">+DMREZ!CY20</f>
        <v>19</v>
      </c>
      <c r="T92" s="1144">
        <f ca="1">+DMREZ!CZ20</f>
        <v>11.3</v>
      </c>
      <c r="U92" s="1145">
        <f ca="1">+DMREZ!DA20</f>
        <v>27255.120000000003</v>
      </c>
      <c r="V92" s="1145">
        <f ca="1">+DMREZ!DB20</f>
        <v>16209.624000000002</v>
      </c>
      <c r="W92" s="1145">
        <f>+CHEM_!G19</f>
        <v>1850</v>
      </c>
      <c r="X92" s="1799">
        <f>+DMREZ!AC20</f>
        <v>0.46</v>
      </c>
      <c r="Y92" s="1500">
        <f t="shared" si="112"/>
        <v>102</v>
      </c>
      <c r="Z92" s="1160">
        <f>+AT_!CZ20</f>
        <v>2.6</v>
      </c>
      <c r="AA92" s="1160">
        <f>+AT_!DA20</f>
        <v>3.4</v>
      </c>
      <c r="AB92" s="1160">
        <f t="shared" si="113"/>
        <v>5.26</v>
      </c>
      <c r="AC92" s="1160">
        <f t="shared" si="114"/>
        <v>54.680160000000001</v>
      </c>
      <c r="AD92" s="1160">
        <f>+CHEM_!AN19</f>
        <v>0</v>
      </c>
      <c r="AE92" s="1161">
        <v>0</v>
      </c>
      <c r="AF92" s="1161">
        <f>+CHEM_!AD19</f>
        <v>0</v>
      </c>
      <c r="AG92" s="1161">
        <f>+CHEM_!AJ19</f>
        <v>0</v>
      </c>
      <c r="AH92" s="1160" t="str">
        <f>+DW_!E20</f>
        <v/>
      </c>
      <c r="AI92" s="1160" t="str">
        <f>+DW_!AA20</f>
        <v/>
      </c>
      <c r="AJ92" s="1160"/>
      <c r="AK92" s="1160"/>
      <c r="AL92" s="1160"/>
      <c r="AM92" s="1160"/>
      <c r="AN92" s="1160"/>
      <c r="AP92" s="1505">
        <f t="shared" si="74"/>
        <v>1</v>
      </c>
      <c r="AQ92" s="1136">
        <f>DMREZ!X20</f>
        <v>42379</v>
      </c>
      <c r="AR92" s="1152" t="str">
        <f t="shared" si="117"/>
        <v/>
      </c>
      <c r="AS92" s="1151" t="str">
        <f t="shared" si="118"/>
        <v/>
      </c>
      <c r="AT92" s="1151" t="str">
        <f t="shared" si="119"/>
        <v/>
      </c>
      <c r="AU92" s="1151" t="str">
        <f t="shared" si="120"/>
        <v/>
      </c>
      <c r="AV92" s="1151" t="str">
        <f t="shared" si="121"/>
        <v/>
      </c>
      <c r="AW92" s="1151" t="str">
        <f t="shared" si="122"/>
        <v/>
      </c>
      <c r="AX92" s="1152" t="str">
        <f t="shared" si="123"/>
        <v/>
      </c>
      <c r="AY92" s="1151" t="str">
        <f t="shared" si="124"/>
        <v/>
      </c>
      <c r="AZ92" s="1151" t="str">
        <f t="shared" si="125"/>
        <v/>
      </c>
      <c r="BA92" s="1151" t="str">
        <f t="shared" si="126"/>
        <v/>
      </c>
      <c r="BB92" s="1151" t="str">
        <f t="shared" si="127"/>
        <v/>
      </c>
      <c r="BC92" s="1152" t="str">
        <f t="shared" si="128"/>
        <v/>
      </c>
      <c r="BD92" s="1152" t="str">
        <f t="shared" si="129"/>
        <v/>
      </c>
      <c r="BE92" s="1152" t="str">
        <f t="shared" si="130"/>
        <v/>
      </c>
      <c r="BF92" s="1152" t="str">
        <f t="shared" si="131"/>
        <v/>
      </c>
      <c r="BG92" s="1151" t="str">
        <f t="shared" si="132"/>
        <v/>
      </c>
      <c r="BH92" s="1151" t="str">
        <f t="shared" si="133"/>
        <v/>
      </c>
      <c r="BI92" s="1152" t="str">
        <f t="shared" si="134"/>
        <v/>
      </c>
      <c r="BJ92" s="1152" t="str">
        <f t="shared" si="135"/>
        <v/>
      </c>
      <c r="BK92" s="1152" t="str">
        <f t="shared" si="136"/>
        <v/>
      </c>
      <c r="BL92" s="1300" t="str">
        <f t="shared" si="137"/>
        <v/>
      </c>
      <c r="BM92" s="1152" t="str">
        <f t="shared" si="138"/>
        <v/>
      </c>
      <c r="BN92" s="1152" t="str">
        <f t="shared" si="139"/>
        <v/>
      </c>
      <c r="BO92" s="1151" t="str">
        <f t="shared" si="140"/>
        <v/>
      </c>
      <c r="BP92" s="1151" t="str">
        <f t="shared" si="141"/>
        <v/>
      </c>
      <c r="BQ92" s="1151" t="str">
        <f t="shared" si="142"/>
        <v/>
      </c>
      <c r="BR92" s="1151" t="str">
        <f t="shared" si="143"/>
        <v/>
      </c>
      <c r="BS92" s="1152" t="str">
        <f t="shared" si="115"/>
        <v/>
      </c>
      <c r="BT92" s="1152" t="str">
        <f t="shared" si="144"/>
        <v/>
      </c>
      <c r="BU92" s="1152" t="str">
        <f t="shared" si="145"/>
        <v/>
      </c>
      <c r="BV92" s="1152" t="str">
        <f t="shared" si="116"/>
        <v/>
      </c>
      <c r="BW92" s="1151" t="str">
        <f t="shared" si="146"/>
        <v/>
      </c>
      <c r="BX92" s="1151" t="str">
        <f t="shared" si="147"/>
        <v/>
      </c>
      <c r="BY92" s="1152"/>
      <c r="BZ92" s="1152"/>
      <c r="CA92" s="1151"/>
      <c r="CB92" s="1151"/>
      <c r="CC92" s="1151"/>
      <c r="CD92" s="585"/>
      <c r="CE92" s="585"/>
      <c r="CF92" s="585"/>
      <c r="CG92" s="585"/>
      <c r="CH92" s="585"/>
      <c r="CI92" s="585"/>
      <c r="CJ92" s="585"/>
      <c r="CK92" s="585"/>
      <c r="CL92" s="585"/>
      <c r="CM92" s="585"/>
      <c r="CN92" s="585"/>
      <c r="CO92" s="585"/>
      <c r="CP92" s="585"/>
      <c r="CQ92" s="585"/>
      <c r="CR92" s="585"/>
      <c r="CS92" s="585"/>
      <c r="CT92" s="585"/>
      <c r="CU92" s="585"/>
      <c r="CV92" s="585"/>
      <c r="CW92" s="585"/>
      <c r="CX92" s="585"/>
      <c r="CY92" s="585"/>
      <c r="CZ92" s="585"/>
      <c r="DA92" s="585"/>
      <c r="DB92" s="585"/>
      <c r="DC92" s="585"/>
      <c r="DD92" s="585"/>
      <c r="DE92" s="585"/>
      <c r="DF92" s="585"/>
      <c r="DG92" s="585"/>
      <c r="DH92" s="585"/>
      <c r="DI92" s="585"/>
      <c r="DJ92" s="585"/>
      <c r="DL92" s="582"/>
      <c r="DM92" s="582"/>
      <c r="DN92" s="582"/>
      <c r="DO92" s="582"/>
      <c r="DP92" s="582"/>
      <c r="DQ92" s="582"/>
      <c r="DR92" s="582"/>
      <c r="DS92" s="583"/>
      <c r="DT92" s="583"/>
      <c r="DU92" s="583"/>
      <c r="DV92" s="583"/>
      <c r="DW92" s="583"/>
      <c r="DX92" s="582"/>
      <c r="DY92" s="582"/>
      <c r="DZ92" s="582"/>
      <c r="EA92" s="582"/>
      <c r="EB92" s="582"/>
      <c r="EC92" s="582"/>
      <c r="ED92" s="582"/>
      <c r="EE92" s="582"/>
      <c r="EF92" s="582"/>
      <c r="EG92" s="582"/>
      <c r="EH92" s="582"/>
      <c r="EI92" s="582"/>
      <c r="EJ92" s="582"/>
      <c r="EK92" s="582"/>
      <c r="EL92" s="582"/>
      <c r="EM92" s="582"/>
      <c r="EN92" s="582"/>
      <c r="EO92" s="582"/>
      <c r="EP92" s="582"/>
      <c r="EQ92" s="582"/>
      <c r="ER92" s="582"/>
      <c r="ES92" s="582"/>
      <c r="ET92" s="582"/>
      <c r="EU92" s="582"/>
      <c r="EV92" s="582"/>
      <c r="EW92" s="582"/>
      <c r="EX92" s="582"/>
      <c r="EY92" s="582"/>
      <c r="EZ92" s="582"/>
      <c r="FA92" s="582"/>
      <c r="FB92" s="582"/>
      <c r="FC92" s="582"/>
      <c r="FD92" s="582"/>
      <c r="FE92" s="582"/>
      <c r="IV92" s="578"/>
    </row>
    <row r="93" spans="1:256" ht="17.100000000000001" customHeight="1">
      <c r="A93" s="1138">
        <f t="shared" si="72"/>
        <v>42380</v>
      </c>
      <c r="B93" s="1157">
        <f>DMREZ!D21</f>
        <v>42380</v>
      </c>
      <c r="C93" s="1145">
        <f>+AT_!CM21</f>
        <v>92.3</v>
      </c>
      <c r="D93" s="1144">
        <f ca="1">+AT_!AR21</f>
        <v>10.018995641384549</v>
      </c>
      <c r="E93" s="1144">
        <f ca="1">+AT_!AS21</f>
        <v>15.890152865573288</v>
      </c>
      <c r="F93" s="1160">
        <f>+AT_!U21</f>
        <v>0.84</v>
      </c>
      <c r="G93" s="1160">
        <f>+AT_!V21</f>
        <v>0.59259259259259256</v>
      </c>
      <c r="H93" s="1144">
        <f ca="1">IF(B93&gt;TODAY()-2,"",+AT_!DJ21)</f>
        <v>43.7</v>
      </c>
      <c r="I93" s="1145" t="str">
        <f t="shared" si="111"/>
        <v/>
      </c>
      <c r="J93" s="1145" t="str">
        <f t="shared" si="104"/>
        <v/>
      </c>
      <c r="K93" s="1144">
        <f>+AT_!AH21</f>
        <v>3.46</v>
      </c>
      <c r="L93" s="1144">
        <f>+AT_!AI21</f>
        <v>80.400000000000006</v>
      </c>
      <c r="M93" s="1144">
        <f>+AT_!AJ21</f>
        <v>1.68</v>
      </c>
      <c r="N93" s="1144">
        <f>+AT_!AK21</f>
        <v>71.3</v>
      </c>
      <c r="O93" s="1161">
        <f t="shared" si="105"/>
        <v>2100</v>
      </c>
      <c r="P93" s="1161">
        <f t="shared" si="105"/>
        <v>3200</v>
      </c>
      <c r="Q93" s="1161">
        <f t="shared" si="105"/>
        <v>4100</v>
      </c>
      <c r="R93" s="1161">
        <f t="shared" si="105"/>
        <v>4300</v>
      </c>
      <c r="S93" s="1144">
        <f ca="1">+DMREZ!CY21</f>
        <v>36.6</v>
      </c>
      <c r="T93" s="1144">
        <f ca="1">+DMREZ!CZ21</f>
        <v>13.3</v>
      </c>
      <c r="U93" s="1145">
        <f ca="1">+DMREZ!DA21</f>
        <v>29303.424000000003</v>
      </c>
      <c r="V93" s="1145">
        <f ca="1">+DMREZ!DB21</f>
        <v>10648.511999999999</v>
      </c>
      <c r="W93" s="1145">
        <f>+CHEM_!G20</f>
        <v>580</v>
      </c>
      <c r="X93" s="1799">
        <f>+DMREZ!AC21</f>
        <v>0.44</v>
      </c>
      <c r="Y93" s="1500">
        <f t="shared" si="112"/>
        <v>102</v>
      </c>
      <c r="Z93" s="1160">
        <f>+AT_!CZ21</f>
        <v>15.1</v>
      </c>
      <c r="AA93" s="1160">
        <f>+AT_!DA21</f>
        <v>12.7</v>
      </c>
      <c r="AB93" s="1160">
        <f t="shared" si="113"/>
        <v>4.7475000000000005</v>
      </c>
      <c r="AC93" s="1160">
        <f t="shared" si="114"/>
        <v>57.655919999999995</v>
      </c>
      <c r="AD93" s="1160">
        <f>+CHEM_!AN20</f>
        <v>0</v>
      </c>
      <c r="AE93" s="1161">
        <v>0</v>
      </c>
      <c r="AF93" s="1161">
        <f>+CHEM_!AD20</f>
        <v>0</v>
      </c>
      <c r="AG93" s="1161">
        <f>+CHEM_!AJ20</f>
        <v>635</v>
      </c>
      <c r="AH93" s="1160" t="str">
        <f>+DW_!E21</f>
        <v/>
      </c>
      <c r="AI93" s="1160" t="str">
        <f>+DW_!AA21</f>
        <v/>
      </c>
      <c r="AJ93" s="1160"/>
      <c r="AK93" s="1160"/>
      <c r="AL93" s="1160"/>
      <c r="AM93" s="1160"/>
      <c r="AN93" s="1160"/>
      <c r="AP93" s="1505">
        <f t="shared" si="74"/>
        <v>2</v>
      </c>
      <c r="AQ93" s="1136">
        <f>DMREZ!X21</f>
        <v>42380</v>
      </c>
      <c r="AR93" s="1152" t="str">
        <f t="shared" si="117"/>
        <v/>
      </c>
      <c r="AS93" s="1151" t="str">
        <f t="shared" si="118"/>
        <v/>
      </c>
      <c r="AT93" s="1151" t="str">
        <f t="shared" si="119"/>
        <v/>
      </c>
      <c r="AU93" s="1151" t="str">
        <f t="shared" si="120"/>
        <v/>
      </c>
      <c r="AV93" s="1151" t="str">
        <f t="shared" si="121"/>
        <v/>
      </c>
      <c r="AW93" s="1151" t="str">
        <f t="shared" si="122"/>
        <v/>
      </c>
      <c r="AX93" s="1152" t="str">
        <f t="shared" si="123"/>
        <v/>
      </c>
      <c r="AY93" s="1151" t="str">
        <f t="shared" si="124"/>
        <v/>
      </c>
      <c r="AZ93" s="1151" t="str">
        <f t="shared" si="125"/>
        <v/>
      </c>
      <c r="BA93" s="1151" t="str">
        <f t="shared" si="126"/>
        <v/>
      </c>
      <c r="BB93" s="1151" t="str">
        <f t="shared" si="127"/>
        <v/>
      </c>
      <c r="BC93" s="1152" t="str">
        <f t="shared" si="128"/>
        <v/>
      </c>
      <c r="BD93" s="1152" t="str">
        <f t="shared" si="129"/>
        <v/>
      </c>
      <c r="BE93" s="1152" t="str">
        <f t="shared" si="130"/>
        <v/>
      </c>
      <c r="BF93" s="1152" t="str">
        <f t="shared" si="131"/>
        <v/>
      </c>
      <c r="BG93" s="1151" t="str">
        <f t="shared" si="132"/>
        <v/>
      </c>
      <c r="BH93" s="1151" t="str">
        <f t="shared" si="133"/>
        <v/>
      </c>
      <c r="BI93" s="1152" t="str">
        <f t="shared" si="134"/>
        <v/>
      </c>
      <c r="BJ93" s="1152" t="str">
        <f t="shared" si="135"/>
        <v/>
      </c>
      <c r="BK93" s="1152" t="str">
        <f t="shared" si="136"/>
        <v/>
      </c>
      <c r="BL93" s="1300" t="str">
        <f t="shared" si="137"/>
        <v/>
      </c>
      <c r="BM93" s="1152" t="str">
        <f t="shared" si="138"/>
        <v/>
      </c>
      <c r="BN93" s="1152" t="str">
        <f t="shared" si="139"/>
        <v/>
      </c>
      <c r="BO93" s="1151" t="str">
        <f t="shared" si="140"/>
        <v/>
      </c>
      <c r="BP93" s="1151" t="str">
        <f t="shared" si="141"/>
        <v/>
      </c>
      <c r="BQ93" s="1151" t="str">
        <f t="shared" si="142"/>
        <v/>
      </c>
      <c r="BR93" s="1151" t="str">
        <f t="shared" si="143"/>
        <v/>
      </c>
      <c r="BS93" s="1152" t="str">
        <f t="shared" si="115"/>
        <v/>
      </c>
      <c r="BT93" s="1152" t="str">
        <f t="shared" si="144"/>
        <v/>
      </c>
      <c r="BU93" s="1152" t="str">
        <f t="shared" si="145"/>
        <v/>
      </c>
      <c r="BV93" s="1152" t="str">
        <f t="shared" si="116"/>
        <v/>
      </c>
      <c r="BW93" s="1151" t="str">
        <f t="shared" si="146"/>
        <v/>
      </c>
      <c r="BX93" s="1151" t="str">
        <f t="shared" si="147"/>
        <v/>
      </c>
      <c r="BY93" s="1152"/>
      <c r="BZ93" s="1152"/>
      <c r="CA93" s="1151"/>
      <c r="CB93" s="1151"/>
      <c r="CC93" s="1151"/>
      <c r="CD93" s="585"/>
      <c r="CE93" s="585"/>
      <c r="CF93" s="585"/>
      <c r="CG93" s="585"/>
      <c r="CH93" s="585"/>
      <c r="CI93" s="585"/>
      <c r="CJ93" s="585"/>
      <c r="CK93" s="585"/>
      <c r="CL93" s="585"/>
      <c r="CM93" s="585"/>
      <c r="CN93" s="585"/>
      <c r="CO93" s="585"/>
      <c r="CP93" s="585"/>
      <c r="CQ93" s="585"/>
      <c r="CR93" s="585"/>
      <c r="CS93" s="585"/>
      <c r="CT93" s="585"/>
      <c r="CU93" s="585"/>
      <c r="CV93" s="585"/>
      <c r="CW93" s="585"/>
      <c r="CX93" s="585"/>
      <c r="CY93" s="585"/>
      <c r="CZ93" s="585"/>
      <c r="DA93" s="585"/>
      <c r="DB93" s="585"/>
      <c r="DC93" s="585"/>
      <c r="DD93" s="585"/>
      <c r="DE93" s="585"/>
      <c r="DF93" s="585"/>
      <c r="DG93" s="585"/>
      <c r="DH93" s="585"/>
      <c r="DI93" s="585"/>
      <c r="DJ93" s="585"/>
      <c r="DL93" s="582"/>
      <c r="DM93" s="582"/>
      <c r="DN93" s="582"/>
      <c r="DO93" s="582"/>
      <c r="DP93" s="582"/>
      <c r="DQ93" s="582"/>
      <c r="DR93" s="582"/>
      <c r="DS93" s="583"/>
      <c r="DT93" s="583"/>
      <c r="DU93" s="583"/>
      <c r="DV93" s="583"/>
      <c r="DW93" s="583"/>
      <c r="DX93" s="582"/>
      <c r="DY93" s="582"/>
      <c r="DZ93" s="582"/>
      <c r="EA93" s="582"/>
      <c r="EB93" s="582"/>
      <c r="EC93" s="582"/>
      <c r="ED93" s="582"/>
      <c r="EE93" s="582"/>
      <c r="EF93" s="582"/>
      <c r="EG93" s="582"/>
      <c r="EH93" s="582"/>
      <c r="EI93" s="582"/>
      <c r="EJ93" s="582"/>
      <c r="EK93" s="582"/>
      <c r="EL93" s="582"/>
      <c r="EM93" s="582"/>
      <c r="EN93" s="582"/>
      <c r="EO93" s="582"/>
      <c r="EP93" s="582"/>
      <c r="EQ93" s="582"/>
      <c r="ER93" s="582"/>
      <c r="ES93" s="582"/>
      <c r="ET93" s="582"/>
      <c r="EU93" s="582"/>
      <c r="EV93" s="582"/>
      <c r="EW93" s="582"/>
      <c r="EX93" s="582"/>
      <c r="EY93" s="582"/>
      <c r="EZ93" s="582"/>
      <c r="FA93" s="582"/>
      <c r="FB93" s="582"/>
      <c r="FC93" s="582"/>
      <c r="FD93" s="582"/>
      <c r="FE93" s="582"/>
      <c r="IV93" s="578"/>
    </row>
    <row r="94" spans="1:256" ht="17.100000000000001" customHeight="1">
      <c r="A94" s="1138">
        <f t="shared" si="72"/>
        <v>42381</v>
      </c>
      <c r="B94" s="1157">
        <f>DMREZ!D22</f>
        <v>42381</v>
      </c>
      <c r="C94" s="1145">
        <f>+AT_!CM22</f>
        <v>90.6</v>
      </c>
      <c r="D94" s="1144">
        <f ca="1">+AT_!AR22</f>
        <v>7.9419076700243281</v>
      </c>
      <c r="E94" s="1144">
        <f ca="1">+AT_!AS22</f>
        <v>14.811551896579431</v>
      </c>
      <c r="F94" s="1160">
        <f>+AT_!U22</f>
        <v>1.1052631578947369</v>
      </c>
      <c r="G94" s="1160">
        <f>+AT_!V22</f>
        <v>0.6071428571428571</v>
      </c>
      <c r="H94" s="1144">
        <f ca="1">IF(B94&gt;TODAY()-2,"",+AT_!DJ22)</f>
        <v>66.099999999999994</v>
      </c>
      <c r="I94" s="1145">
        <f t="shared" si="111"/>
        <v>312</v>
      </c>
      <c r="J94" s="1145">
        <f t="shared" si="104"/>
        <v>389</v>
      </c>
      <c r="K94" s="1144">
        <f>+AT_!AH22</f>
        <v>3.51</v>
      </c>
      <c r="L94" s="1144">
        <f>+AT_!AI22</f>
        <v>81.400000000000006</v>
      </c>
      <c r="M94" s="1144">
        <f>+AT_!AJ22</f>
        <v>1.71</v>
      </c>
      <c r="N94" s="1144">
        <f>+AT_!AK22</f>
        <v>70.8</v>
      </c>
      <c r="O94" s="1161">
        <f t="shared" si="105"/>
        <v>2100</v>
      </c>
      <c r="P94" s="1161">
        <f t="shared" si="105"/>
        <v>3400</v>
      </c>
      <c r="Q94" s="1161">
        <f t="shared" si="105"/>
        <v>4200</v>
      </c>
      <c r="R94" s="1161">
        <f t="shared" si="105"/>
        <v>5100</v>
      </c>
      <c r="S94" s="1144">
        <f ca="1">+DMREZ!CY22</f>
        <v>35.200000000000003</v>
      </c>
      <c r="T94" s="1144">
        <f ca="1">+DMREZ!CZ22</f>
        <v>17.100000000000001</v>
      </c>
      <c r="U94" s="1145">
        <f ca="1">+DMREZ!DA22</f>
        <v>27595.392000000003</v>
      </c>
      <c r="V94" s="1145">
        <f ca="1">+DMREZ!DB22</f>
        <v>13405.716</v>
      </c>
      <c r="W94" s="1145">
        <f>+CHEM_!G21</f>
        <v>1360</v>
      </c>
      <c r="X94" s="1799">
        <f>+DMREZ!AC22</f>
        <v>0.45</v>
      </c>
      <c r="Y94" s="1500">
        <f t="shared" si="112"/>
        <v>104</v>
      </c>
      <c r="Z94" s="1160">
        <f>+AT_!CZ22</f>
        <v>11.3</v>
      </c>
      <c r="AA94" s="1160">
        <f>+AT_!DA22</f>
        <v>13.3</v>
      </c>
      <c r="AB94" s="1160">
        <f t="shared" si="113"/>
        <v>4.9400000000000004</v>
      </c>
      <c r="AC94" s="1160">
        <f t="shared" si="114"/>
        <v>57.024000000000001</v>
      </c>
      <c r="AD94" s="1160">
        <f>+CHEM_!AN21</f>
        <v>0</v>
      </c>
      <c r="AE94" s="1161">
        <v>0</v>
      </c>
      <c r="AF94" s="1161">
        <f>+CHEM_!AD21</f>
        <v>0</v>
      </c>
      <c r="AG94" s="1161">
        <f>+CHEM_!AJ21</f>
        <v>1339</v>
      </c>
      <c r="AH94" s="1160" t="str">
        <f>+DW_!E22</f>
        <v/>
      </c>
      <c r="AI94" s="1160" t="str">
        <f>+DW_!AA22</f>
        <v/>
      </c>
      <c r="AJ94" s="1160"/>
      <c r="AK94" s="1160"/>
      <c r="AL94" s="1160"/>
      <c r="AM94" s="1160"/>
      <c r="AN94" s="1160"/>
      <c r="AP94" s="1505">
        <f t="shared" si="74"/>
        <v>3</v>
      </c>
      <c r="AQ94" s="1136">
        <f>DMREZ!X22</f>
        <v>42381</v>
      </c>
      <c r="AR94" s="1152" t="str">
        <f t="shared" si="117"/>
        <v/>
      </c>
      <c r="AS94" s="1151" t="str">
        <f t="shared" si="118"/>
        <v/>
      </c>
      <c r="AT94" s="1151" t="str">
        <f t="shared" si="119"/>
        <v/>
      </c>
      <c r="AU94" s="1151" t="str">
        <f t="shared" si="120"/>
        <v/>
      </c>
      <c r="AV94" s="1151" t="str">
        <f t="shared" si="121"/>
        <v/>
      </c>
      <c r="AW94" s="1151" t="str">
        <f t="shared" si="122"/>
        <v/>
      </c>
      <c r="AX94" s="1152" t="str">
        <f t="shared" si="123"/>
        <v/>
      </c>
      <c r="AY94" s="1151" t="str">
        <f t="shared" si="124"/>
        <v/>
      </c>
      <c r="AZ94" s="1151" t="str">
        <f t="shared" si="125"/>
        <v/>
      </c>
      <c r="BA94" s="1151" t="str">
        <f t="shared" si="126"/>
        <v/>
      </c>
      <c r="BB94" s="1151" t="str">
        <f t="shared" si="127"/>
        <v/>
      </c>
      <c r="BC94" s="1152" t="str">
        <f t="shared" si="128"/>
        <v/>
      </c>
      <c r="BD94" s="1152" t="str">
        <f t="shared" si="129"/>
        <v/>
      </c>
      <c r="BE94" s="1152" t="str">
        <f t="shared" si="130"/>
        <v/>
      </c>
      <c r="BF94" s="1152" t="str">
        <f t="shared" si="131"/>
        <v/>
      </c>
      <c r="BG94" s="1151" t="str">
        <f t="shared" si="132"/>
        <v/>
      </c>
      <c r="BH94" s="1151" t="str">
        <f t="shared" si="133"/>
        <v/>
      </c>
      <c r="BI94" s="1152" t="str">
        <f t="shared" si="134"/>
        <v/>
      </c>
      <c r="BJ94" s="1152" t="str">
        <f t="shared" si="135"/>
        <v/>
      </c>
      <c r="BK94" s="1152" t="str">
        <f t="shared" si="136"/>
        <v/>
      </c>
      <c r="BL94" s="1300" t="str">
        <f t="shared" si="137"/>
        <v/>
      </c>
      <c r="BM94" s="1152" t="str">
        <f t="shared" si="138"/>
        <v/>
      </c>
      <c r="BN94" s="1152" t="str">
        <f t="shared" si="139"/>
        <v/>
      </c>
      <c r="BO94" s="1151" t="str">
        <f t="shared" si="140"/>
        <v/>
      </c>
      <c r="BP94" s="1151" t="str">
        <f t="shared" si="141"/>
        <v/>
      </c>
      <c r="BQ94" s="1151" t="str">
        <f t="shared" si="142"/>
        <v/>
      </c>
      <c r="BR94" s="1151" t="str">
        <f t="shared" si="143"/>
        <v/>
      </c>
      <c r="BS94" s="1152" t="str">
        <f t="shared" si="115"/>
        <v/>
      </c>
      <c r="BT94" s="1152" t="str">
        <f t="shared" si="144"/>
        <v/>
      </c>
      <c r="BU94" s="1152" t="str">
        <f t="shared" si="145"/>
        <v/>
      </c>
      <c r="BV94" s="1152" t="str">
        <f t="shared" si="116"/>
        <v/>
      </c>
      <c r="BW94" s="1151" t="str">
        <f t="shared" si="146"/>
        <v/>
      </c>
      <c r="BX94" s="1151" t="str">
        <f t="shared" si="147"/>
        <v/>
      </c>
      <c r="BY94" s="1152"/>
      <c r="BZ94" s="1152"/>
      <c r="CA94" s="1151"/>
      <c r="CB94" s="1151"/>
      <c r="CC94" s="1151"/>
      <c r="CD94" s="585"/>
      <c r="CE94" s="585"/>
      <c r="CF94" s="585"/>
      <c r="CG94" s="585"/>
      <c r="CH94" s="585"/>
      <c r="CI94" s="585"/>
      <c r="CJ94" s="585"/>
      <c r="CK94" s="585"/>
      <c r="CL94" s="585"/>
      <c r="CM94" s="585"/>
      <c r="CN94" s="585"/>
      <c r="CO94" s="585"/>
      <c r="CP94" s="585"/>
      <c r="CQ94" s="585"/>
      <c r="CR94" s="585"/>
      <c r="CS94" s="585"/>
      <c r="CT94" s="585"/>
      <c r="CU94" s="585"/>
      <c r="CV94" s="585"/>
      <c r="CW94" s="585"/>
      <c r="CX94" s="585"/>
      <c r="CY94" s="585"/>
      <c r="CZ94" s="585"/>
      <c r="DA94" s="585"/>
      <c r="DB94" s="585"/>
      <c r="DC94" s="585"/>
      <c r="DD94" s="585"/>
      <c r="DE94" s="585"/>
      <c r="DF94" s="585"/>
      <c r="DG94" s="585"/>
      <c r="DH94" s="585"/>
      <c r="DI94" s="585"/>
      <c r="DJ94" s="585"/>
      <c r="DL94" s="582"/>
      <c r="DM94" s="582"/>
      <c r="DN94" s="582"/>
      <c r="DO94" s="582"/>
      <c r="DP94" s="582"/>
      <c r="DQ94" s="582"/>
      <c r="DR94" s="582"/>
      <c r="DS94" s="583"/>
      <c r="DT94" s="583"/>
      <c r="DU94" s="583"/>
      <c r="DV94" s="583"/>
      <c r="DW94" s="583"/>
      <c r="DX94" s="582"/>
      <c r="DY94" s="582"/>
      <c r="DZ94" s="582"/>
      <c r="EA94" s="582"/>
      <c r="EB94" s="582"/>
      <c r="EC94" s="582"/>
      <c r="ED94" s="582"/>
      <c r="EE94" s="582"/>
      <c r="EF94" s="582"/>
      <c r="EG94" s="582"/>
      <c r="EH94" s="582"/>
      <c r="EI94" s="582"/>
      <c r="EJ94" s="582"/>
      <c r="EK94" s="582"/>
      <c r="EL94" s="582"/>
      <c r="EM94" s="582"/>
      <c r="EN94" s="582"/>
      <c r="EO94" s="582"/>
      <c r="EP94" s="582"/>
      <c r="EQ94" s="582"/>
      <c r="ER94" s="582"/>
      <c r="ES94" s="582"/>
      <c r="ET94" s="582"/>
      <c r="EU94" s="582"/>
      <c r="EV94" s="582"/>
      <c r="EW94" s="582"/>
      <c r="EX94" s="582"/>
      <c r="EY94" s="582"/>
      <c r="EZ94" s="582"/>
      <c r="FA94" s="582"/>
      <c r="FB94" s="582"/>
      <c r="FC94" s="582"/>
      <c r="FD94" s="582"/>
      <c r="FE94" s="582"/>
      <c r="IV94" s="578"/>
    </row>
    <row r="95" spans="1:256" ht="17.100000000000001" customHeight="1">
      <c r="A95" s="1138">
        <f t="shared" si="72"/>
        <v>42382</v>
      </c>
      <c r="B95" s="1157">
        <f>DMREZ!D23</f>
        <v>42382</v>
      </c>
      <c r="C95" s="1145">
        <f>+AT_!CM23</f>
        <v>96.2</v>
      </c>
      <c r="D95" s="1144">
        <f ca="1">+AT_!AR23</f>
        <v>3.0104351931862263</v>
      </c>
      <c r="E95" s="1144">
        <f ca="1">+AT_!AS23</f>
        <v>7.1256038290564474</v>
      </c>
      <c r="F95" s="1160">
        <f>+AT_!U23</f>
        <v>0.7857142857142857</v>
      </c>
      <c r="G95" s="1160">
        <f>+AT_!V23</f>
        <v>0.46575342465753422</v>
      </c>
      <c r="H95" s="1144">
        <f ca="1">IF(B95&gt;TODAY()-2,"",+AT_!DJ23)</f>
        <v>41.3</v>
      </c>
      <c r="I95" s="1145" t="str">
        <f t="shared" si="111"/>
        <v/>
      </c>
      <c r="J95" s="1145" t="str">
        <f t="shared" si="104"/>
        <v/>
      </c>
      <c r="K95" s="1144">
        <f>+AT_!AH23</f>
        <v>3.14</v>
      </c>
      <c r="L95" s="1144">
        <f>+AT_!AI23</f>
        <v>81.7</v>
      </c>
      <c r="M95" s="1144">
        <f>+AT_!AJ23</f>
        <v>1.72</v>
      </c>
      <c r="N95" s="1144">
        <f>+AT_!AK23</f>
        <v>74.400000000000006</v>
      </c>
      <c r="O95" s="1161">
        <f t="shared" si="105"/>
        <v>2200</v>
      </c>
      <c r="P95" s="1161">
        <f t="shared" si="105"/>
        <v>3400</v>
      </c>
      <c r="Q95" s="1161">
        <f t="shared" si="105"/>
        <v>2100</v>
      </c>
      <c r="R95" s="1161">
        <f t="shared" si="105"/>
        <v>3400</v>
      </c>
      <c r="S95" s="1144">
        <f ca="1">+DMREZ!CY23</f>
        <v>35.6</v>
      </c>
      <c r="T95" s="1144">
        <f ca="1">+DMREZ!CZ23</f>
        <v>20.3</v>
      </c>
      <c r="U95" s="1145">
        <f ca="1">+DMREZ!DA23</f>
        <v>26721.360000000001</v>
      </c>
      <c r="V95" s="1145">
        <f ca="1">+DMREZ!DB23</f>
        <v>15237.179999999998</v>
      </c>
      <c r="W95" s="1145">
        <f>+CHEM_!G22</f>
        <v>1130</v>
      </c>
      <c r="X95" s="1799">
        <f>+DMREZ!AC23</f>
        <v>0.42</v>
      </c>
      <c r="Y95" s="1500">
        <f t="shared" si="112"/>
        <v>104</v>
      </c>
      <c r="Z95" s="1160">
        <f>+AT_!CZ23</f>
        <v>8.6999999999999993</v>
      </c>
      <c r="AA95" s="1160">
        <f>+AT_!DA23</f>
        <v>12.3</v>
      </c>
      <c r="AB95" s="1160">
        <f t="shared" si="113"/>
        <v>5.3574999999999999</v>
      </c>
      <c r="AC95" s="1160">
        <f t="shared" si="114"/>
        <v>57.523200000000003</v>
      </c>
      <c r="AD95" s="1160">
        <f>+CHEM_!AN22</f>
        <v>0</v>
      </c>
      <c r="AE95" s="1161">
        <v>0</v>
      </c>
      <c r="AF95" s="1161">
        <f>+CHEM_!AD22</f>
        <v>0</v>
      </c>
      <c r="AG95" s="1161">
        <f>+CHEM_!AJ22</f>
        <v>1269</v>
      </c>
      <c r="AH95" s="1160" t="str">
        <f>+DW_!E23</f>
        <v/>
      </c>
      <c r="AI95" s="1160" t="str">
        <f>+DW_!AA23</f>
        <v/>
      </c>
      <c r="AJ95" s="1160"/>
      <c r="AK95" s="1160"/>
      <c r="AL95" s="1160"/>
      <c r="AM95" s="1160"/>
      <c r="AN95" s="1160"/>
      <c r="AP95" s="1505">
        <f t="shared" si="74"/>
        <v>4</v>
      </c>
      <c r="AQ95" s="1136">
        <f>DMREZ!X23</f>
        <v>42382</v>
      </c>
      <c r="AR95" s="1152" t="str">
        <f t="shared" si="117"/>
        <v/>
      </c>
      <c r="AS95" s="1151" t="str">
        <f t="shared" si="118"/>
        <v/>
      </c>
      <c r="AT95" s="1151" t="str">
        <f t="shared" si="119"/>
        <v/>
      </c>
      <c r="AU95" s="1151" t="str">
        <f t="shared" si="120"/>
        <v/>
      </c>
      <c r="AV95" s="1151" t="str">
        <f t="shared" si="121"/>
        <v/>
      </c>
      <c r="AW95" s="1151" t="str">
        <f t="shared" si="122"/>
        <v/>
      </c>
      <c r="AX95" s="1152" t="str">
        <f t="shared" si="123"/>
        <v/>
      </c>
      <c r="AY95" s="1151" t="str">
        <f t="shared" si="124"/>
        <v/>
      </c>
      <c r="AZ95" s="1151" t="str">
        <f t="shared" si="125"/>
        <v/>
      </c>
      <c r="BA95" s="1151" t="str">
        <f t="shared" si="126"/>
        <v/>
      </c>
      <c r="BB95" s="1151" t="str">
        <f t="shared" si="127"/>
        <v/>
      </c>
      <c r="BC95" s="1152" t="str">
        <f t="shared" si="128"/>
        <v/>
      </c>
      <c r="BD95" s="1152" t="str">
        <f t="shared" si="129"/>
        <v/>
      </c>
      <c r="BE95" s="1152" t="str">
        <f t="shared" si="130"/>
        <v/>
      </c>
      <c r="BF95" s="1152" t="str">
        <f t="shared" si="131"/>
        <v/>
      </c>
      <c r="BG95" s="1151" t="str">
        <f t="shared" si="132"/>
        <v/>
      </c>
      <c r="BH95" s="1151" t="str">
        <f t="shared" si="133"/>
        <v/>
      </c>
      <c r="BI95" s="1152" t="str">
        <f t="shared" si="134"/>
        <v/>
      </c>
      <c r="BJ95" s="1152" t="str">
        <f t="shared" si="135"/>
        <v/>
      </c>
      <c r="BK95" s="1152" t="str">
        <f t="shared" si="136"/>
        <v/>
      </c>
      <c r="BL95" s="1300" t="str">
        <f t="shared" si="137"/>
        <v/>
      </c>
      <c r="BM95" s="1152" t="str">
        <f t="shared" si="138"/>
        <v/>
      </c>
      <c r="BN95" s="1152" t="str">
        <f t="shared" si="139"/>
        <v/>
      </c>
      <c r="BO95" s="1151" t="str">
        <f t="shared" si="140"/>
        <v/>
      </c>
      <c r="BP95" s="1151" t="str">
        <f t="shared" si="141"/>
        <v/>
      </c>
      <c r="BQ95" s="1151" t="str">
        <f t="shared" si="142"/>
        <v/>
      </c>
      <c r="BR95" s="1151" t="str">
        <f t="shared" si="143"/>
        <v/>
      </c>
      <c r="BS95" s="1152" t="str">
        <f t="shared" si="115"/>
        <v/>
      </c>
      <c r="BT95" s="1152" t="str">
        <f t="shared" si="144"/>
        <v/>
      </c>
      <c r="BU95" s="1152" t="str">
        <f t="shared" si="145"/>
        <v/>
      </c>
      <c r="BV95" s="1152" t="str">
        <f t="shared" si="116"/>
        <v/>
      </c>
      <c r="BW95" s="1151" t="str">
        <f t="shared" si="146"/>
        <v/>
      </c>
      <c r="BX95" s="1151" t="str">
        <f t="shared" si="147"/>
        <v/>
      </c>
      <c r="BY95" s="1152"/>
      <c r="BZ95" s="1152"/>
      <c r="CA95" s="1151"/>
      <c r="CB95" s="1151"/>
      <c r="CC95" s="1151"/>
      <c r="CD95" s="585"/>
      <c r="CE95" s="585"/>
      <c r="CF95" s="585"/>
      <c r="CG95" s="585"/>
      <c r="CH95" s="585"/>
      <c r="CI95" s="585"/>
      <c r="CJ95" s="585"/>
      <c r="CK95" s="585"/>
      <c r="CL95" s="585"/>
      <c r="CM95" s="585"/>
      <c r="CN95" s="585"/>
      <c r="CO95" s="585"/>
      <c r="CP95" s="585"/>
      <c r="CQ95" s="585"/>
      <c r="CR95" s="585"/>
      <c r="CS95" s="585"/>
      <c r="CT95" s="585"/>
      <c r="CU95" s="585"/>
      <c r="CV95" s="585"/>
      <c r="CW95" s="585"/>
      <c r="CX95" s="585"/>
      <c r="CY95" s="585"/>
      <c r="CZ95" s="585"/>
      <c r="DA95" s="585"/>
      <c r="DB95" s="585"/>
      <c r="DC95" s="585"/>
      <c r="DD95" s="585"/>
      <c r="DE95" s="585"/>
      <c r="DF95" s="585"/>
      <c r="DG95" s="585"/>
      <c r="DH95" s="585"/>
      <c r="DI95" s="585"/>
      <c r="DJ95" s="585"/>
      <c r="DL95" s="582"/>
      <c r="DM95" s="582"/>
      <c r="DN95" s="582"/>
      <c r="DO95" s="582"/>
      <c r="DP95" s="582"/>
      <c r="DQ95" s="582"/>
      <c r="DR95" s="582"/>
      <c r="DS95" s="583"/>
      <c r="DT95" s="583"/>
      <c r="DU95" s="583"/>
      <c r="DV95" s="583"/>
      <c r="DW95" s="583"/>
      <c r="DX95" s="582"/>
      <c r="DY95" s="582"/>
      <c r="DZ95" s="582"/>
      <c r="EA95" s="582"/>
      <c r="EB95" s="582"/>
      <c r="EC95" s="582"/>
      <c r="ED95" s="582"/>
      <c r="EE95" s="582"/>
      <c r="EF95" s="582"/>
      <c r="EG95" s="582"/>
      <c r="EH95" s="582"/>
      <c r="EI95" s="582"/>
      <c r="EJ95" s="582"/>
      <c r="EK95" s="582"/>
      <c r="EL95" s="582"/>
      <c r="EM95" s="582"/>
      <c r="EN95" s="582"/>
      <c r="EO95" s="582"/>
      <c r="EP95" s="582"/>
      <c r="EQ95" s="582"/>
      <c r="ER95" s="582"/>
      <c r="ES95" s="582"/>
      <c r="ET95" s="582"/>
      <c r="EU95" s="582"/>
      <c r="EV95" s="582"/>
      <c r="EW95" s="582"/>
      <c r="EX95" s="582"/>
      <c r="EY95" s="582"/>
      <c r="EZ95" s="582"/>
      <c r="FA95" s="582"/>
      <c r="FB95" s="582"/>
      <c r="FC95" s="582"/>
      <c r="FD95" s="582"/>
      <c r="FE95" s="582"/>
      <c r="IV95" s="578"/>
    </row>
    <row r="96" spans="1:256" ht="17.100000000000001" customHeight="1">
      <c r="A96" s="1138">
        <f t="shared" si="72"/>
        <v>42383</v>
      </c>
      <c r="B96" s="1157">
        <f>DMREZ!D24</f>
        <v>42383</v>
      </c>
      <c r="C96" s="1145">
        <f>+AT_!CM24</f>
        <v>96.8</v>
      </c>
      <c r="D96" s="1144">
        <f ca="1">+AT_!AR24</f>
        <v>3.2888033357913149</v>
      </c>
      <c r="E96" s="1144">
        <f ca="1">+AT_!AS24</f>
        <v>8.0782393665903225</v>
      </c>
      <c r="F96" s="1160">
        <f>+AT_!U24</f>
        <v>0.9</v>
      </c>
      <c r="G96" s="1160">
        <f>+AT_!V24</f>
        <v>0.44736842105263158</v>
      </c>
      <c r="H96" s="1144">
        <f ca="1">IF(B96&gt;TODAY()-2,"",+AT_!DJ24)</f>
        <v>66.3</v>
      </c>
      <c r="I96" s="1145" t="str">
        <f t="shared" si="111"/>
        <v/>
      </c>
      <c r="J96" s="1145" t="str">
        <f t="shared" si="104"/>
        <v/>
      </c>
      <c r="K96" s="1144">
        <f>+AT_!AH24</f>
        <v>3.05</v>
      </c>
      <c r="L96" s="1144">
        <f>+AT_!AI24</f>
        <v>83.7</v>
      </c>
      <c r="M96" s="1144">
        <f>+AT_!AJ24</f>
        <v>1.83</v>
      </c>
      <c r="N96" s="1144">
        <f>+AT_!AK24</f>
        <v>69.599999999999994</v>
      </c>
      <c r="O96" s="1161">
        <f t="shared" si="105"/>
        <v>1800</v>
      </c>
      <c r="P96" s="1161">
        <f t="shared" si="105"/>
        <v>3400</v>
      </c>
      <c r="Q96" s="1161">
        <f t="shared" si="105"/>
        <v>1800</v>
      </c>
      <c r="R96" s="1161">
        <f t="shared" si="105"/>
        <v>3600</v>
      </c>
      <c r="S96" s="1144">
        <f ca="1">+DMREZ!CY24</f>
        <v>37.200000000000003</v>
      </c>
      <c r="T96" s="1144">
        <f ca="1">+DMREZ!CZ24</f>
        <v>21.8</v>
      </c>
      <c r="U96" s="1145">
        <f ca="1">+DMREZ!DA24</f>
        <v>26991.576000000001</v>
      </c>
      <c r="V96" s="1145">
        <f ca="1">+DMREZ!DB24</f>
        <v>15817.644</v>
      </c>
      <c r="W96" s="1145">
        <f>+CHEM_!G23</f>
        <v>780</v>
      </c>
      <c r="X96" s="1799">
        <f>+DMREZ!AC24</f>
        <v>0.41</v>
      </c>
      <c r="Y96" s="1500">
        <f t="shared" si="112"/>
        <v>106</v>
      </c>
      <c r="Z96" s="1160">
        <f>+AT_!CZ24</f>
        <v>6.5</v>
      </c>
      <c r="AA96" s="1160">
        <f>+AT_!DA24</f>
        <v>11</v>
      </c>
      <c r="AB96" s="1160">
        <f t="shared" si="113"/>
        <v>5.3525</v>
      </c>
      <c r="AC96" s="1160">
        <f t="shared" si="114"/>
        <v>56.975999999999999</v>
      </c>
      <c r="AD96" s="1160">
        <f>+CHEM_!AN23</f>
        <v>0</v>
      </c>
      <c r="AE96" s="1161">
        <v>0</v>
      </c>
      <c r="AF96" s="1161">
        <f>+CHEM_!AD23</f>
        <v>0</v>
      </c>
      <c r="AG96" s="1161">
        <f>+CHEM_!AJ23</f>
        <v>2044.5</v>
      </c>
      <c r="AH96" s="1160" t="str">
        <f>+DW_!E24</f>
        <v/>
      </c>
      <c r="AI96" s="1160" t="str">
        <f>+DW_!AA24</f>
        <v/>
      </c>
      <c r="AJ96" s="1160"/>
      <c r="AK96" s="1160"/>
      <c r="AL96" s="1160"/>
      <c r="AM96" s="1160"/>
      <c r="AN96" s="1160"/>
      <c r="AP96" s="1505">
        <f t="shared" si="74"/>
        <v>5</v>
      </c>
      <c r="AQ96" s="1136">
        <f>DMREZ!X24</f>
        <v>42383</v>
      </c>
      <c r="AR96" s="1152" t="str">
        <f t="shared" si="117"/>
        <v/>
      </c>
      <c r="AS96" s="1151" t="str">
        <f t="shared" si="118"/>
        <v/>
      </c>
      <c r="AT96" s="1151" t="str">
        <f t="shared" si="119"/>
        <v/>
      </c>
      <c r="AU96" s="1151" t="str">
        <f t="shared" si="120"/>
        <v/>
      </c>
      <c r="AV96" s="1151" t="str">
        <f t="shared" si="121"/>
        <v/>
      </c>
      <c r="AW96" s="1151" t="str">
        <f t="shared" si="122"/>
        <v/>
      </c>
      <c r="AX96" s="1152" t="str">
        <f t="shared" si="123"/>
        <v/>
      </c>
      <c r="AY96" s="1151" t="str">
        <f t="shared" si="124"/>
        <v/>
      </c>
      <c r="AZ96" s="1151" t="str">
        <f t="shared" si="125"/>
        <v/>
      </c>
      <c r="BA96" s="1151" t="str">
        <f t="shared" si="126"/>
        <v/>
      </c>
      <c r="BB96" s="1151" t="str">
        <f t="shared" si="127"/>
        <v/>
      </c>
      <c r="BC96" s="1152" t="str">
        <f t="shared" si="128"/>
        <v/>
      </c>
      <c r="BD96" s="1152" t="str">
        <f t="shared" si="129"/>
        <v/>
      </c>
      <c r="BE96" s="1152" t="str">
        <f t="shared" si="130"/>
        <v/>
      </c>
      <c r="BF96" s="1152" t="str">
        <f t="shared" si="131"/>
        <v/>
      </c>
      <c r="BG96" s="1151" t="str">
        <f t="shared" si="132"/>
        <v/>
      </c>
      <c r="BH96" s="1151" t="str">
        <f t="shared" si="133"/>
        <v/>
      </c>
      <c r="BI96" s="1152" t="str">
        <f t="shared" si="134"/>
        <v/>
      </c>
      <c r="BJ96" s="1152" t="str">
        <f t="shared" si="135"/>
        <v/>
      </c>
      <c r="BK96" s="1152" t="str">
        <f t="shared" si="136"/>
        <v/>
      </c>
      <c r="BL96" s="1300" t="str">
        <f t="shared" si="137"/>
        <v/>
      </c>
      <c r="BM96" s="1152" t="str">
        <f t="shared" si="138"/>
        <v/>
      </c>
      <c r="BN96" s="1152" t="str">
        <f t="shared" si="139"/>
        <v/>
      </c>
      <c r="BO96" s="1151" t="str">
        <f t="shared" si="140"/>
        <v/>
      </c>
      <c r="BP96" s="1151" t="str">
        <f t="shared" si="141"/>
        <v/>
      </c>
      <c r="BQ96" s="1151" t="str">
        <f t="shared" si="142"/>
        <v/>
      </c>
      <c r="BR96" s="1151" t="str">
        <f t="shared" si="143"/>
        <v/>
      </c>
      <c r="BS96" s="1152" t="str">
        <f t="shared" si="115"/>
        <v/>
      </c>
      <c r="BT96" s="1152" t="str">
        <f t="shared" si="144"/>
        <v/>
      </c>
      <c r="BU96" s="1152" t="str">
        <f t="shared" si="145"/>
        <v/>
      </c>
      <c r="BV96" s="1152" t="str">
        <f t="shared" si="116"/>
        <v/>
      </c>
      <c r="BW96" s="1151" t="str">
        <f t="shared" si="146"/>
        <v/>
      </c>
      <c r="BX96" s="1151" t="str">
        <f t="shared" si="147"/>
        <v/>
      </c>
      <c r="BY96" s="1152"/>
      <c r="BZ96" s="1152"/>
      <c r="CA96" s="1151"/>
      <c r="CB96" s="1151"/>
      <c r="CC96" s="1151"/>
      <c r="CD96" s="585"/>
      <c r="CE96" s="585"/>
      <c r="CF96" s="585"/>
      <c r="CG96" s="585"/>
      <c r="CH96" s="585"/>
      <c r="CI96" s="585"/>
      <c r="CJ96" s="585"/>
      <c r="CK96" s="585"/>
      <c r="CL96" s="585"/>
      <c r="CM96" s="585"/>
      <c r="CN96" s="585"/>
      <c r="CO96" s="585"/>
      <c r="CP96" s="585"/>
      <c r="CQ96" s="585"/>
      <c r="CR96" s="585"/>
      <c r="CS96" s="585"/>
      <c r="CT96" s="585"/>
      <c r="CU96" s="585"/>
      <c r="CV96" s="585"/>
      <c r="CW96" s="585"/>
      <c r="CX96" s="585"/>
      <c r="CY96" s="585"/>
      <c r="CZ96" s="585"/>
      <c r="DA96" s="585"/>
      <c r="DB96" s="585"/>
      <c r="DC96" s="585"/>
      <c r="DD96" s="585"/>
      <c r="DE96" s="585"/>
      <c r="DF96" s="585"/>
      <c r="DG96" s="585"/>
      <c r="DH96" s="585"/>
      <c r="DI96" s="585"/>
      <c r="DJ96" s="585"/>
      <c r="DL96" s="582"/>
      <c r="DM96" s="582"/>
      <c r="DN96" s="582"/>
      <c r="DO96" s="582"/>
      <c r="DP96" s="582"/>
      <c r="DQ96" s="582"/>
      <c r="DR96" s="582"/>
      <c r="DS96" s="583"/>
      <c r="DT96" s="583"/>
      <c r="DU96" s="583"/>
      <c r="DV96" s="583"/>
      <c r="DW96" s="583"/>
      <c r="DX96" s="582"/>
      <c r="DY96" s="582"/>
      <c r="DZ96" s="582"/>
      <c r="EA96" s="582"/>
      <c r="EB96" s="582"/>
      <c r="EC96" s="582"/>
      <c r="ED96" s="582"/>
      <c r="EE96" s="582"/>
      <c r="EF96" s="582"/>
      <c r="EG96" s="582"/>
      <c r="EH96" s="582"/>
      <c r="EI96" s="582"/>
      <c r="EJ96" s="582"/>
      <c r="EK96" s="582"/>
      <c r="EL96" s="582"/>
      <c r="EM96" s="582"/>
      <c r="EN96" s="582"/>
      <c r="EO96" s="582"/>
      <c r="EP96" s="582"/>
      <c r="EQ96" s="582"/>
      <c r="ER96" s="582"/>
      <c r="ES96" s="582"/>
      <c r="ET96" s="582"/>
      <c r="EU96" s="582"/>
      <c r="EV96" s="582"/>
      <c r="EW96" s="582"/>
      <c r="EX96" s="582"/>
      <c r="EY96" s="582"/>
      <c r="EZ96" s="582"/>
      <c r="FA96" s="582"/>
      <c r="FB96" s="582"/>
      <c r="FC96" s="582"/>
      <c r="FD96" s="582"/>
      <c r="FE96" s="582"/>
      <c r="IV96" s="578"/>
    </row>
    <row r="97" spans="1:256" ht="17.100000000000001" customHeight="1">
      <c r="A97" s="1138">
        <f t="shared" si="72"/>
        <v>42384</v>
      </c>
      <c r="B97" s="1157">
        <f>DMREZ!D25</f>
        <v>42384</v>
      </c>
      <c r="C97" s="1145">
        <f>+AT_!CM25</f>
        <v>91</v>
      </c>
      <c r="D97" s="1144">
        <f ca="1">+AT_!AR25</f>
        <v>5.2661761117130936</v>
      </c>
      <c r="E97" s="1144">
        <f ca="1">+AT_!AS25</f>
        <v>7.6280050777667903</v>
      </c>
      <c r="F97" s="1160" t="str">
        <f>+AT_!U25</f>
        <v/>
      </c>
      <c r="G97" s="1160" t="str">
        <f>+AT_!V25</f>
        <v/>
      </c>
      <c r="H97" s="1144">
        <f ca="1">IF(B97&gt;TODAY()-2,"",+AT_!DJ25)</f>
        <v>71.400000000000006</v>
      </c>
      <c r="I97" s="1145" t="str">
        <f t="shared" si="111"/>
        <v/>
      </c>
      <c r="J97" s="1145" t="str">
        <f t="shared" si="104"/>
        <v/>
      </c>
      <c r="K97" s="1144" t="str">
        <f>+AT_!AH25</f>
        <v/>
      </c>
      <c r="L97" s="1144" t="str">
        <f>+AT_!AI25</f>
        <v/>
      </c>
      <c r="M97" s="1144" t="str">
        <f>+AT_!AJ25</f>
        <v/>
      </c>
      <c r="N97" s="1144" t="str">
        <f>+AT_!AK25</f>
        <v/>
      </c>
      <c r="O97" s="1161" t="str">
        <f t="shared" si="105"/>
        <v/>
      </c>
      <c r="P97" s="1161" t="str">
        <f t="shared" si="105"/>
        <v/>
      </c>
      <c r="Q97" s="1161" t="str">
        <f t="shared" si="105"/>
        <v/>
      </c>
      <c r="R97" s="1161" t="str">
        <f t="shared" si="105"/>
        <v/>
      </c>
      <c r="S97" s="1144">
        <f ca="1">+DMREZ!CY25</f>
        <v>35.4</v>
      </c>
      <c r="T97" s="1144">
        <f ca="1">+DMREZ!CZ25</f>
        <v>21.7</v>
      </c>
      <c r="U97" s="1145">
        <f ca="1">+DMREZ!DA25</f>
        <v>34247.375999999997</v>
      </c>
      <c r="V97" s="1145">
        <f ca="1">+DMREZ!DB25</f>
        <v>20993.447999999997</v>
      </c>
      <c r="W97" s="1145">
        <f>+CHEM_!G24</f>
        <v>1170</v>
      </c>
      <c r="X97" s="1799">
        <f>+DMREZ!AC25</f>
        <v>0.46</v>
      </c>
      <c r="Y97" s="1500">
        <f t="shared" si="112"/>
        <v>106</v>
      </c>
      <c r="Z97" s="1160">
        <f>+AT_!CZ25</f>
        <v>8.9</v>
      </c>
      <c r="AA97" s="1160">
        <f>+AT_!DA25</f>
        <v>9.1999999999999993</v>
      </c>
      <c r="AB97" s="1160">
        <f t="shared" si="113"/>
        <v>4.6099999999999994</v>
      </c>
      <c r="AC97" s="1160">
        <f t="shared" si="114"/>
        <v>55.496160000000003</v>
      </c>
      <c r="AD97" s="1160">
        <f>+CHEM_!AN24</f>
        <v>0</v>
      </c>
      <c r="AE97" s="1161">
        <v>0</v>
      </c>
      <c r="AF97" s="1161">
        <f>+CHEM_!AD24</f>
        <v>0</v>
      </c>
      <c r="AG97" s="1161">
        <f>+CHEM_!AJ24</f>
        <v>1057.5</v>
      </c>
      <c r="AH97" s="1160" t="str">
        <f>+DW_!E25</f>
        <v/>
      </c>
      <c r="AI97" s="1160" t="str">
        <f>+DW_!AA25</f>
        <v/>
      </c>
      <c r="AJ97" s="1160"/>
      <c r="AK97" s="1160"/>
      <c r="AL97" s="1160"/>
      <c r="AM97" s="1160"/>
      <c r="AN97" s="1160"/>
      <c r="AP97" s="1505">
        <f t="shared" si="74"/>
        <v>6</v>
      </c>
      <c r="AQ97" s="1136">
        <f>DMREZ!X25</f>
        <v>42384</v>
      </c>
      <c r="AR97" s="1152" t="str">
        <f t="shared" si="117"/>
        <v/>
      </c>
      <c r="AS97" s="1151" t="str">
        <f t="shared" si="118"/>
        <v/>
      </c>
      <c r="AT97" s="1151" t="str">
        <f t="shared" si="119"/>
        <v/>
      </c>
      <c r="AU97" s="1151" t="str">
        <f t="shared" si="120"/>
        <v/>
      </c>
      <c r="AV97" s="1151" t="str">
        <f t="shared" si="121"/>
        <v/>
      </c>
      <c r="AW97" s="1151" t="str">
        <f t="shared" si="122"/>
        <v/>
      </c>
      <c r="AX97" s="1152" t="str">
        <f t="shared" si="123"/>
        <v/>
      </c>
      <c r="AY97" s="1151" t="str">
        <f t="shared" si="124"/>
        <v/>
      </c>
      <c r="AZ97" s="1151" t="str">
        <f t="shared" si="125"/>
        <v/>
      </c>
      <c r="BA97" s="1151" t="str">
        <f t="shared" si="126"/>
        <v/>
      </c>
      <c r="BB97" s="1151" t="str">
        <f t="shared" si="127"/>
        <v/>
      </c>
      <c r="BC97" s="1152" t="str">
        <f t="shared" si="128"/>
        <v/>
      </c>
      <c r="BD97" s="1152" t="str">
        <f t="shared" si="129"/>
        <v/>
      </c>
      <c r="BE97" s="1152" t="str">
        <f t="shared" si="130"/>
        <v/>
      </c>
      <c r="BF97" s="1152" t="str">
        <f t="shared" si="131"/>
        <v/>
      </c>
      <c r="BG97" s="1151" t="str">
        <f t="shared" si="132"/>
        <v/>
      </c>
      <c r="BH97" s="1151" t="str">
        <f t="shared" si="133"/>
        <v/>
      </c>
      <c r="BI97" s="1152" t="str">
        <f t="shared" si="134"/>
        <v/>
      </c>
      <c r="BJ97" s="1152" t="str">
        <f t="shared" si="135"/>
        <v/>
      </c>
      <c r="BK97" s="1152" t="str">
        <f t="shared" si="136"/>
        <v/>
      </c>
      <c r="BL97" s="1300" t="str">
        <f t="shared" si="137"/>
        <v/>
      </c>
      <c r="BM97" s="1152" t="str">
        <f t="shared" si="138"/>
        <v/>
      </c>
      <c r="BN97" s="1152" t="str">
        <f t="shared" si="139"/>
        <v/>
      </c>
      <c r="BO97" s="1151" t="str">
        <f t="shared" si="140"/>
        <v/>
      </c>
      <c r="BP97" s="1151" t="str">
        <f t="shared" si="141"/>
        <v/>
      </c>
      <c r="BQ97" s="1151" t="str">
        <f t="shared" si="142"/>
        <v/>
      </c>
      <c r="BR97" s="1151" t="str">
        <f t="shared" si="143"/>
        <v/>
      </c>
      <c r="BS97" s="1152" t="str">
        <f t="shared" si="115"/>
        <v/>
      </c>
      <c r="BT97" s="1152" t="str">
        <f t="shared" si="144"/>
        <v/>
      </c>
      <c r="BU97" s="1152" t="str">
        <f t="shared" si="145"/>
        <v/>
      </c>
      <c r="BV97" s="1152" t="str">
        <f t="shared" si="116"/>
        <v/>
      </c>
      <c r="BW97" s="1151" t="str">
        <f t="shared" si="146"/>
        <v/>
      </c>
      <c r="BX97" s="1151" t="str">
        <f t="shared" si="147"/>
        <v/>
      </c>
      <c r="BY97" s="1152"/>
      <c r="BZ97" s="1152"/>
      <c r="CA97" s="1151"/>
      <c r="CB97" s="1151"/>
      <c r="CC97" s="1151"/>
      <c r="CD97" s="585"/>
      <c r="CE97" s="585"/>
      <c r="CF97" s="585"/>
      <c r="CG97" s="585"/>
      <c r="CH97" s="585"/>
      <c r="CI97" s="585"/>
      <c r="CJ97" s="585"/>
      <c r="CK97" s="585"/>
      <c r="CL97" s="585"/>
      <c r="CM97" s="585"/>
      <c r="CN97" s="585"/>
      <c r="CO97" s="585"/>
      <c r="CP97" s="585"/>
      <c r="CQ97" s="585"/>
      <c r="CR97" s="585"/>
      <c r="CS97" s="585"/>
      <c r="CT97" s="585"/>
      <c r="CU97" s="585"/>
      <c r="CV97" s="585"/>
      <c r="CW97" s="585"/>
      <c r="CX97" s="585"/>
      <c r="CY97" s="585"/>
      <c r="CZ97" s="585"/>
      <c r="DA97" s="585"/>
      <c r="DB97" s="585"/>
      <c r="DC97" s="585"/>
      <c r="DD97" s="585"/>
      <c r="DE97" s="585"/>
      <c r="DF97" s="585"/>
      <c r="DG97" s="585"/>
      <c r="DH97" s="585"/>
      <c r="DI97" s="585"/>
      <c r="DJ97" s="585"/>
      <c r="DL97" s="582"/>
      <c r="DM97" s="582"/>
      <c r="DN97" s="582"/>
      <c r="DO97" s="582"/>
      <c r="DP97" s="582"/>
      <c r="DQ97" s="582"/>
      <c r="DR97" s="582"/>
      <c r="DS97" s="583"/>
      <c r="DT97" s="583"/>
      <c r="DU97" s="583"/>
      <c r="DV97" s="583"/>
      <c r="DW97" s="583"/>
      <c r="DX97" s="582"/>
      <c r="DY97" s="582"/>
      <c r="DZ97" s="582"/>
      <c r="EA97" s="582"/>
      <c r="EB97" s="582"/>
      <c r="EC97" s="582"/>
      <c r="ED97" s="582"/>
      <c r="EE97" s="582"/>
      <c r="EF97" s="582"/>
      <c r="EG97" s="582"/>
      <c r="EH97" s="582"/>
      <c r="EI97" s="582"/>
      <c r="EJ97" s="582"/>
      <c r="EK97" s="582"/>
      <c r="EL97" s="582"/>
      <c r="EM97" s="582"/>
      <c r="EN97" s="582"/>
      <c r="EO97" s="582"/>
      <c r="EP97" s="582"/>
      <c r="EQ97" s="582"/>
      <c r="ER97" s="582"/>
      <c r="ES97" s="582"/>
      <c r="ET97" s="582"/>
      <c r="EU97" s="582"/>
      <c r="EV97" s="582"/>
      <c r="EW97" s="582"/>
      <c r="EX97" s="582"/>
      <c r="EY97" s="582"/>
      <c r="EZ97" s="582"/>
      <c r="FA97" s="582"/>
      <c r="FB97" s="582"/>
      <c r="FC97" s="582"/>
      <c r="FD97" s="582"/>
      <c r="FE97" s="582"/>
      <c r="IV97" s="578"/>
    </row>
    <row r="98" spans="1:256" ht="17.100000000000001" customHeight="1">
      <c r="A98" s="1138">
        <f t="shared" si="72"/>
        <v>42385</v>
      </c>
      <c r="B98" s="1157">
        <f>DMREZ!D26</f>
        <v>42385</v>
      </c>
      <c r="C98" s="1145">
        <f>+AT_!CM26</f>
        <v>89.2</v>
      </c>
      <c r="D98" s="1144">
        <f ca="1">+AT_!AR26</f>
        <v>4.1684097793755353</v>
      </c>
      <c r="E98" s="1144">
        <f ca="1">+AT_!AS26</f>
        <v>6.5546706827065107</v>
      </c>
      <c r="F98" s="1160" t="str">
        <f>+AT_!U26</f>
        <v/>
      </c>
      <c r="G98" s="1160" t="str">
        <f>+AT_!V26</f>
        <v/>
      </c>
      <c r="H98" s="1144">
        <f ca="1">IF(B98&gt;TODAY()-2,"",+AT_!DJ26)</f>
        <v>62.5</v>
      </c>
      <c r="I98" s="1145" t="str">
        <f t="shared" si="111"/>
        <v/>
      </c>
      <c r="J98" s="1145" t="str">
        <f t="shared" si="104"/>
        <v/>
      </c>
      <c r="K98" s="1144" t="str">
        <f>+AT_!AH26</f>
        <v/>
      </c>
      <c r="L98" s="1144" t="str">
        <f>+AT_!AI26</f>
        <v/>
      </c>
      <c r="M98" s="1144" t="str">
        <f>+AT_!AJ26</f>
        <v/>
      </c>
      <c r="N98" s="1144" t="str">
        <f>+AT_!AK26</f>
        <v/>
      </c>
      <c r="O98" s="1161" t="str">
        <f t="shared" si="105"/>
        <v/>
      </c>
      <c r="P98" s="1161" t="str">
        <f t="shared" si="105"/>
        <v/>
      </c>
      <c r="Q98" s="1161" t="str">
        <f t="shared" si="105"/>
        <v/>
      </c>
      <c r="R98" s="1161" t="str">
        <f t="shared" si="105"/>
        <v/>
      </c>
      <c r="S98" s="1144">
        <f ca="1">+DMREZ!CY26</f>
        <v>27.6</v>
      </c>
      <c r="T98" s="1144">
        <f ca="1">+DMREZ!CZ26</f>
        <v>20.9</v>
      </c>
      <c r="U98" s="1145">
        <f ca="1">+DMREZ!DA26</f>
        <v>25320.239999999998</v>
      </c>
      <c r="V98" s="1145">
        <f ca="1">+DMREZ!DB26</f>
        <v>19173.66</v>
      </c>
      <c r="W98" s="1145">
        <f>+CHEM_!G25</f>
        <v>1360</v>
      </c>
      <c r="X98" s="1799">
        <f>+DMREZ!AC26</f>
        <v>0.52</v>
      </c>
      <c r="Y98" s="1500">
        <f t="shared" si="112"/>
        <v>103</v>
      </c>
      <c r="Z98" s="1160">
        <f>+AT_!CZ26</f>
        <v>9.4</v>
      </c>
      <c r="AA98" s="1160">
        <f>+AT_!DA26</f>
        <v>9.6999999999999993</v>
      </c>
      <c r="AB98" s="1160">
        <f t="shared" si="113"/>
        <v>6.1675000000000004</v>
      </c>
      <c r="AC98" s="1160">
        <f t="shared" si="114"/>
        <v>55.096080000000001</v>
      </c>
      <c r="AD98" s="1160">
        <f>+CHEM_!AN25</f>
        <v>0</v>
      </c>
      <c r="AE98" s="1161">
        <v>0</v>
      </c>
      <c r="AF98" s="1161">
        <f>+CHEM_!AD25</f>
        <v>0</v>
      </c>
      <c r="AG98" s="1161">
        <f>+CHEM_!AJ25</f>
        <v>352</v>
      </c>
      <c r="AH98" s="1160" t="str">
        <f>+DW_!E26</f>
        <v/>
      </c>
      <c r="AI98" s="1160" t="str">
        <f>+DW_!AA26</f>
        <v/>
      </c>
      <c r="AJ98" s="1160"/>
      <c r="AK98" s="1160"/>
      <c r="AL98" s="1160"/>
      <c r="AM98" s="1160"/>
      <c r="AN98" s="1160"/>
      <c r="AP98" s="1505">
        <f t="shared" si="74"/>
        <v>7</v>
      </c>
      <c r="AQ98" s="1136">
        <f>DMREZ!X26</f>
        <v>42385</v>
      </c>
      <c r="AR98" s="1152">
        <f t="shared" si="117"/>
        <v>91.9</v>
      </c>
      <c r="AS98" s="1151">
        <f t="shared" ca="1" si="118"/>
        <v>5.2</v>
      </c>
      <c r="AT98" s="1151">
        <f t="shared" ca="1" si="119"/>
        <v>9.3000000000000007</v>
      </c>
      <c r="AU98" s="1151">
        <f t="shared" si="120"/>
        <v>0.9</v>
      </c>
      <c r="AV98" s="1151">
        <f t="shared" si="121"/>
        <v>0.6</v>
      </c>
      <c r="AW98" s="1151">
        <f t="shared" ca="1" si="122"/>
        <v>59.6</v>
      </c>
      <c r="AX98" s="1152">
        <f t="shared" si="123"/>
        <v>390</v>
      </c>
      <c r="AY98" s="1151">
        <f t="shared" si="124"/>
        <v>3.3</v>
      </c>
      <c r="AZ98" s="1151">
        <f t="shared" si="125"/>
        <v>81.8</v>
      </c>
      <c r="BA98" s="1151">
        <f t="shared" si="126"/>
        <v>1.7</v>
      </c>
      <c r="BB98" s="1151">
        <f t="shared" si="127"/>
        <v>71.5</v>
      </c>
      <c r="BC98" s="1152">
        <f t="shared" si="128"/>
        <v>1940</v>
      </c>
      <c r="BD98" s="1152">
        <f t="shared" si="129"/>
        <v>3120</v>
      </c>
      <c r="BE98" s="1152">
        <f t="shared" si="130"/>
        <v>2920</v>
      </c>
      <c r="BF98" s="1152">
        <f t="shared" si="131"/>
        <v>3860</v>
      </c>
      <c r="BG98" s="1151">
        <f t="shared" ca="1" si="132"/>
        <v>32.4</v>
      </c>
      <c r="BH98" s="1151">
        <f t="shared" ca="1" si="133"/>
        <v>18.100000000000001</v>
      </c>
      <c r="BI98" s="1152">
        <f t="shared" ca="1" si="134"/>
        <v>28204.9</v>
      </c>
      <c r="BJ98" s="1152">
        <f t="shared" ca="1" si="135"/>
        <v>15926.5</v>
      </c>
      <c r="BK98" s="1152">
        <f t="shared" si="136"/>
        <v>1176</v>
      </c>
      <c r="BL98" s="1300">
        <f t="shared" si="137"/>
        <v>0.45</v>
      </c>
      <c r="BM98" s="1152">
        <f t="shared" si="138"/>
        <v>103.9</v>
      </c>
      <c r="BN98" s="1152">
        <f t="shared" si="139"/>
        <v>312</v>
      </c>
      <c r="BO98" s="1151">
        <f t="shared" si="140"/>
        <v>8.9</v>
      </c>
      <c r="BP98" s="1151">
        <f t="shared" si="141"/>
        <v>10.199999999999999</v>
      </c>
      <c r="BQ98" s="1151">
        <f t="shared" si="142"/>
        <v>5.2</v>
      </c>
      <c r="BR98" s="1151">
        <f t="shared" si="143"/>
        <v>56.4</v>
      </c>
      <c r="BS98" s="1152">
        <f t="shared" si="115"/>
        <v>0</v>
      </c>
      <c r="BT98" s="1152">
        <f t="shared" si="144"/>
        <v>0</v>
      </c>
      <c r="BU98" s="1152">
        <f t="shared" si="145"/>
        <v>0</v>
      </c>
      <c r="BV98" s="1152">
        <f t="shared" si="116"/>
        <v>960</v>
      </c>
      <c r="BW98" s="1151" t="e">
        <f t="shared" si="146"/>
        <v>#DIV/0!</v>
      </c>
      <c r="BX98" s="1151" t="e">
        <f t="shared" si="147"/>
        <v>#DIV/0!</v>
      </c>
      <c r="BY98" s="1152"/>
      <c r="BZ98" s="1152"/>
      <c r="CA98" s="1151"/>
      <c r="CB98" s="1151"/>
      <c r="CC98" s="1151"/>
      <c r="CD98" s="585"/>
      <c r="CE98" s="585"/>
      <c r="CF98" s="585"/>
      <c r="CG98" s="585"/>
      <c r="CH98" s="585"/>
      <c r="CI98" s="585"/>
      <c r="CJ98" s="585"/>
      <c r="CK98" s="585"/>
      <c r="CL98" s="585"/>
      <c r="CM98" s="585"/>
      <c r="CN98" s="585"/>
      <c r="CO98" s="585"/>
      <c r="CP98" s="585"/>
      <c r="CQ98" s="585"/>
      <c r="CR98" s="585"/>
      <c r="CS98" s="585"/>
      <c r="CT98" s="585"/>
      <c r="CU98" s="585"/>
      <c r="CV98" s="585"/>
      <c r="CW98" s="585"/>
      <c r="CX98" s="585"/>
      <c r="CY98" s="585"/>
      <c r="CZ98" s="585"/>
      <c r="DA98" s="585"/>
      <c r="DB98" s="585"/>
      <c r="DC98" s="585"/>
      <c r="DD98" s="585"/>
      <c r="DE98" s="585"/>
      <c r="DF98" s="585"/>
      <c r="DG98" s="585"/>
      <c r="DH98" s="585"/>
      <c r="DI98" s="585"/>
      <c r="DJ98" s="585"/>
      <c r="DL98" s="582"/>
      <c r="DM98" s="582"/>
      <c r="DN98" s="582"/>
      <c r="DO98" s="582"/>
      <c r="DP98" s="582"/>
      <c r="DQ98" s="582"/>
      <c r="DR98" s="582"/>
      <c r="DS98" s="583"/>
      <c r="DT98" s="583"/>
      <c r="DU98" s="583"/>
      <c r="DV98" s="583"/>
      <c r="DW98" s="583"/>
      <c r="DX98" s="582"/>
      <c r="DY98" s="582"/>
      <c r="DZ98" s="582"/>
      <c r="EA98" s="582"/>
      <c r="EB98" s="582"/>
      <c r="EC98" s="582"/>
      <c r="ED98" s="582"/>
      <c r="EE98" s="582"/>
      <c r="EF98" s="582"/>
      <c r="EG98" s="582"/>
      <c r="EH98" s="582"/>
      <c r="EI98" s="582"/>
      <c r="EJ98" s="582"/>
      <c r="EK98" s="582"/>
      <c r="EL98" s="582"/>
      <c r="EM98" s="582"/>
      <c r="EN98" s="582"/>
      <c r="EO98" s="582"/>
      <c r="EP98" s="582"/>
      <c r="EQ98" s="582"/>
      <c r="ER98" s="582"/>
      <c r="ES98" s="582"/>
      <c r="ET98" s="582"/>
      <c r="EU98" s="582"/>
      <c r="EV98" s="582"/>
      <c r="EW98" s="582"/>
      <c r="EX98" s="582"/>
      <c r="EY98" s="582"/>
      <c r="EZ98" s="582"/>
      <c r="FA98" s="582"/>
      <c r="FB98" s="582"/>
      <c r="FC98" s="582"/>
      <c r="FD98" s="582"/>
      <c r="FE98" s="582"/>
      <c r="IV98" s="578"/>
    </row>
    <row r="99" spans="1:256" ht="17.100000000000001" customHeight="1">
      <c r="A99" s="1138">
        <f t="shared" si="72"/>
        <v>42386</v>
      </c>
      <c r="B99" s="1157">
        <f>DMREZ!D27</f>
        <v>42386</v>
      </c>
      <c r="C99" s="1145">
        <f>+AT_!CM27</f>
        <v>90.9</v>
      </c>
      <c r="D99" s="1144">
        <f ca="1">+AT_!AR27</f>
        <v>5.501897595538578</v>
      </c>
      <c r="E99" s="1144">
        <f ca="1">+AT_!AS27</f>
        <v>9.1847937657783341</v>
      </c>
      <c r="F99" s="1160" t="str">
        <f>+AT_!U27</f>
        <v/>
      </c>
      <c r="G99" s="1160" t="str">
        <f>+AT_!V27</f>
        <v/>
      </c>
      <c r="H99" s="1144">
        <f ca="1">IF(B99&gt;TODAY()-2,"",+AT_!DJ27)</f>
        <v>41.2</v>
      </c>
      <c r="I99" s="1145" t="str">
        <f t="shared" si="111"/>
        <v/>
      </c>
      <c r="J99" s="1145" t="str">
        <f t="shared" si="104"/>
        <v/>
      </c>
      <c r="K99" s="1144" t="str">
        <f>+AT_!AH27</f>
        <v/>
      </c>
      <c r="L99" s="1144" t="str">
        <f>+AT_!AI27</f>
        <v/>
      </c>
      <c r="M99" s="1144" t="str">
        <f>+AT_!AJ27</f>
        <v/>
      </c>
      <c r="N99" s="1144" t="str">
        <f>+AT_!AK27</f>
        <v/>
      </c>
      <c r="O99" s="1161" t="str">
        <f t="shared" si="105"/>
        <v/>
      </c>
      <c r="P99" s="1161" t="str">
        <f t="shared" si="105"/>
        <v/>
      </c>
      <c r="Q99" s="1161" t="str">
        <f t="shared" si="105"/>
        <v/>
      </c>
      <c r="R99" s="1161" t="str">
        <f t="shared" si="105"/>
        <v/>
      </c>
      <c r="S99" s="1144">
        <f ca="1">+DMREZ!CY27</f>
        <v>37.200000000000003</v>
      </c>
      <c r="T99" s="1144">
        <f ca="1">+DMREZ!CZ27</f>
        <v>19.899999999999999</v>
      </c>
      <c r="U99" s="1145">
        <f ca="1">+DMREZ!DA27</f>
        <v>29783.807999999997</v>
      </c>
      <c r="V99" s="1145">
        <f ca="1">+DMREZ!DB27</f>
        <v>15932.735999999997</v>
      </c>
      <c r="W99" s="1145">
        <f>+CHEM_!G26</f>
        <v>730</v>
      </c>
      <c r="X99" s="1799">
        <f>+DMREZ!AC27</f>
        <v>0.52</v>
      </c>
      <c r="Y99" s="1500">
        <f t="shared" si="112"/>
        <v>101</v>
      </c>
      <c r="Z99" s="1160">
        <f>+AT_!CZ27</f>
        <v>10.8</v>
      </c>
      <c r="AA99" s="1160">
        <f>+AT_!DA27</f>
        <v>11.1</v>
      </c>
      <c r="AB99" s="1160">
        <f t="shared" si="113"/>
        <v>5.25</v>
      </c>
      <c r="AC99" s="1160">
        <f t="shared" si="114"/>
        <v>56.692080000000004</v>
      </c>
      <c r="AD99" s="1160">
        <f>+CHEM_!AN26</f>
        <v>0</v>
      </c>
      <c r="AE99" s="1161">
        <v>0</v>
      </c>
      <c r="AF99" s="1161">
        <f>+CHEM_!AD26</f>
        <v>0</v>
      </c>
      <c r="AG99" s="1161">
        <f>+CHEM_!AJ26</f>
        <v>846</v>
      </c>
      <c r="AH99" s="1160" t="str">
        <f>+DW_!E27</f>
        <v/>
      </c>
      <c r="AI99" s="1160" t="str">
        <f>+DW_!AA27</f>
        <v/>
      </c>
      <c r="AJ99" s="1160"/>
      <c r="AK99" s="1160"/>
      <c r="AL99" s="1160"/>
      <c r="AM99" s="1160"/>
      <c r="AN99" s="1160"/>
      <c r="AP99" s="1505">
        <f t="shared" si="74"/>
        <v>1</v>
      </c>
      <c r="AQ99" s="1136">
        <f>DMREZ!X27</f>
        <v>42386</v>
      </c>
      <c r="AR99" s="1152" t="str">
        <f t="shared" si="117"/>
        <v/>
      </c>
      <c r="AS99" s="1151" t="str">
        <f t="shared" si="118"/>
        <v/>
      </c>
      <c r="AT99" s="1151" t="str">
        <f t="shared" si="119"/>
        <v/>
      </c>
      <c r="AU99" s="1151" t="str">
        <f t="shared" si="120"/>
        <v/>
      </c>
      <c r="AV99" s="1151" t="str">
        <f t="shared" si="121"/>
        <v/>
      </c>
      <c r="AW99" s="1151" t="str">
        <f t="shared" si="122"/>
        <v/>
      </c>
      <c r="AX99" s="1152" t="str">
        <f t="shared" si="123"/>
        <v/>
      </c>
      <c r="AY99" s="1151" t="str">
        <f t="shared" si="124"/>
        <v/>
      </c>
      <c r="AZ99" s="1151" t="str">
        <f t="shared" si="125"/>
        <v/>
      </c>
      <c r="BA99" s="1151" t="str">
        <f t="shared" si="126"/>
        <v/>
      </c>
      <c r="BB99" s="1151" t="str">
        <f t="shared" si="127"/>
        <v/>
      </c>
      <c r="BC99" s="1152" t="str">
        <f t="shared" si="128"/>
        <v/>
      </c>
      <c r="BD99" s="1152" t="str">
        <f t="shared" si="129"/>
        <v/>
      </c>
      <c r="BE99" s="1152" t="str">
        <f t="shared" si="130"/>
        <v/>
      </c>
      <c r="BF99" s="1152" t="str">
        <f t="shared" si="131"/>
        <v/>
      </c>
      <c r="BG99" s="1151" t="str">
        <f t="shared" si="132"/>
        <v/>
      </c>
      <c r="BH99" s="1151" t="str">
        <f t="shared" si="133"/>
        <v/>
      </c>
      <c r="BI99" s="1152" t="str">
        <f t="shared" si="134"/>
        <v/>
      </c>
      <c r="BJ99" s="1152" t="str">
        <f t="shared" si="135"/>
        <v/>
      </c>
      <c r="BK99" s="1152" t="str">
        <f t="shared" si="136"/>
        <v/>
      </c>
      <c r="BL99" s="1300" t="str">
        <f t="shared" si="137"/>
        <v/>
      </c>
      <c r="BM99" s="1152" t="str">
        <f t="shared" si="138"/>
        <v/>
      </c>
      <c r="BN99" s="1152" t="str">
        <f t="shared" si="139"/>
        <v/>
      </c>
      <c r="BO99" s="1151" t="str">
        <f t="shared" si="140"/>
        <v/>
      </c>
      <c r="BP99" s="1151" t="str">
        <f t="shared" si="141"/>
        <v/>
      </c>
      <c r="BQ99" s="1151" t="str">
        <f t="shared" si="142"/>
        <v/>
      </c>
      <c r="BR99" s="1151" t="str">
        <f t="shared" si="143"/>
        <v/>
      </c>
      <c r="BS99" s="1152" t="str">
        <f t="shared" si="115"/>
        <v/>
      </c>
      <c r="BT99" s="1152" t="str">
        <f t="shared" si="144"/>
        <v/>
      </c>
      <c r="BU99" s="1152" t="str">
        <f t="shared" si="145"/>
        <v/>
      </c>
      <c r="BV99" s="1152" t="str">
        <f t="shared" si="116"/>
        <v/>
      </c>
      <c r="BW99" s="1151" t="str">
        <f t="shared" si="146"/>
        <v/>
      </c>
      <c r="BX99" s="1151" t="str">
        <f t="shared" si="147"/>
        <v/>
      </c>
      <c r="BY99" s="1152"/>
      <c r="BZ99" s="1152"/>
      <c r="CA99" s="1151"/>
      <c r="CB99" s="1151"/>
      <c r="CC99" s="1151"/>
      <c r="CD99" s="585"/>
      <c r="CE99" s="585"/>
      <c r="CF99" s="585"/>
      <c r="CG99" s="585"/>
      <c r="CH99" s="585"/>
      <c r="CI99" s="585"/>
      <c r="CJ99" s="585"/>
      <c r="CK99" s="585"/>
      <c r="CL99" s="585"/>
      <c r="CM99" s="585"/>
      <c r="CN99" s="585"/>
      <c r="CO99" s="585"/>
      <c r="CP99" s="585"/>
      <c r="CQ99" s="585"/>
      <c r="CR99" s="585"/>
      <c r="CS99" s="585"/>
      <c r="CT99" s="585"/>
      <c r="CU99" s="585"/>
      <c r="CV99" s="585"/>
      <c r="CW99" s="585"/>
      <c r="CX99" s="585"/>
      <c r="CY99" s="585"/>
      <c r="CZ99" s="585"/>
      <c r="DA99" s="585"/>
      <c r="DB99" s="585"/>
      <c r="DC99" s="585"/>
      <c r="DD99" s="585"/>
      <c r="DE99" s="585"/>
      <c r="DF99" s="585"/>
      <c r="DG99" s="585"/>
      <c r="DH99" s="585"/>
      <c r="DI99" s="585"/>
      <c r="DJ99" s="585"/>
      <c r="DL99" s="582"/>
      <c r="DM99" s="582"/>
      <c r="DN99" s="582"/>
      <c r="DO99" s="582"/>
      <c r="DP99" s="582"/>
      <c r="DQ99" s="582"/>
      <c r="DR99" s="582"/>
      <c r="DS99" s="583"/>
      <c r="DT99" s="583"/>
      <c r="DU99" s="583"/>
      <c r="DV99" s="583"/>
      <c r="DW99" s="583"/>
      <c r="DX99" s="582"/>
      <c r="DY99" s="582"/>
      <c r="DZ99" s="582"/>
      <c r="EA99" s="582"/>
      <c r="EB99" s="582"/>
      <c r="EC99" s="582"/>
      <c r="ED99" s="582"/>
      <c r="EE99" s="582"/>
      <c r="EF99" s="582"/>
      <c r="EG99" s="582"/>
      <c r="EH99" s="582"/>
      <c r="EI99" s="582"/>
      <c r="EJ99" s="582"/>
      <c r="EK99" s="582"/>
      <c r="EL99" s="582"/>
      <c r="EM99" s="582"/>
      <c r="EN99" s="582"/>
      <c r="EO99" s="582"/>
      <c r="EP99" s="582"/>
      <c r="EQ99" s="582"/>
      <c r="ER99" s="582"/>
      <c r="ES99" s="582"/>
      <c r="ET99" s="582"/>
      <c r="EU99" s="582"/>
      <c r="EV99" s="582"/>
      <c r="EW99" s="582"/>
      <c r="EX99" s="582"/>
      <c r="EY99" s="582"/>
      <c r="EZ99" s="582"/>
      <c r="FA99" s="582"/>
      <c r="FB99" s="582"/>
      <c r="FC99" s="582"/>
      <c r="FD99" s="582"/>
      <c r="FE99" s="582"/>
      <c r="IV99" s="578"/>
    </row>
    <row r="100" spans="1:256" ht="17.100000000000001" customHeight="1">
      <c r="A100" s="1138">
        <f t="shared" si="72"/>
        <v>42387</v>
      </c>
      <c r="B100" s="1157">
        <f>DMREZ!D28</f>
        <v>42387</v>
      </c>
      <c r="C100" s="1145">
        <f>+AT_!CM28</f>
        <v>92</v>
      </c>
      <c r="D100" s="1144">
        <f ca="1">+AT_!AR28</f>
        <v>7.7664101361051721</v>
      </c>
      <c r="E100" s="1144">
        <f ca="1">+AT_!AS28</f>
        <v>10.206541827800802</v>
      </c>
      <c r="F100" s="1160">
        <f>+AT_!U28</f>
        <v>1.6923076923076923</v>
      </c>
      <c r="G100" s="1160">
        <f>+AT_!V28</f>
        <v>0.65079365079365081</v>
      </c>
      <c r="H100" s="1144">
        <f ca="1">IF(B100&gt;TODAY()-2,"",+AT_!DJ28)</f>
        <v>55.4</v>
      </c>
      <c r="I100" s="1145" t="str">
        <f t="shared" si="111"/>
        <v/>
      </c>
      <c r="J100" s="1145" t="str">
        <f t="shared" si="104"/>
        <v/>
      </c>
      <c r="K100" s="1144">
        <f>+AT_!AH28</f>
        <v>3.4</v>
      </c>
      <c r="L100" s="1144">
        <f>+AT_!AI28</f>
        <v>84.9</v>
      </c>
      <c r="M100" s="1144">
        <f>+AT_!AJ28</f>
        <v>1.9</v>
      </c>
      <c r="N100" s="1144">
        <f>+AT_!AK28</f>
        <v>70.8</v>
      </c>
      <c r="O100" s="1161">
        <f t="shared" si="105"/>
        <v>2200</v>
      </c>
      <c r="P100" s="1161">
        <f t="shared" si="105"/>
        <v>4100</v>
      </c>
      <c r="Q100" s="1161">
        <f t="shared" si="105"/>
        <v>3600</v>
      </c>
      <c r="R100" s="1161">
        <f t="shared" si="105"/>
        <v>6100</v>
      </c>
      <c r="S100" s="1144">
        <f ca="1">+DMREZ!CY28</f>
        <v>38.200000000000003</v>
      </c>
      <c r="T100" s="1144">
        <f ca="1">+DMREZ!CZ28</f>
        <v>21.1</v>
      </c>
      <c r="U100" s="1145">
        <f ca="1">+DMREZ!DA28</f>
        <v>29628.684000000001</v>
      </c>
      <c r="V100" s="1145">
        <f ca="1">+DMREZ!DB28</f>
        <v>16365.582000000002</v>
      </c>
      <c r="W100" s="1145">
        <f>+CHEM_!G27</f>
        <v>440</v>
      </c>
      <c r="X100" s="1799">
        <f>+DMREZ!AC28</f>
        <v>0.5</v>
      </c>
      <c r="Y100" s="1500">
        <f t="shared" si="112"/>
        <v>101</v>
      </c>
      <c r="Z100" s="1160">
        <f>+AT_!CZ28</f>
        <v>12.2</v>
      </c>
      <c r="AA100" s="1160">
        <f>+AT_!DA28</f>
        <v>19.600000000000001</v>
      </c>
      <c r="AB100" s="1160">
        <f t="shared" si="113"/>
        <v>4.4550000000000001</v>
      </c>
      <c r="AC100" s="1160">
        <f t="shared" si="114"/>
        <v>58.231919999999995</v>
      </c>
      <c r="AD100" s="1160">
        <f>+CHEM_!AN27</f>
        <v>0</v>
      </c>
      <c r="AE100" s="1161">
        <v>0</v>
      </c>
      <c r="AF100" s="1161">
        <f>+CHEM_!AD27</f>
        <v>0</v>
      </c>
      <c r="AG100" s="1161">
        <f>+CHEM_!AJ27</f>
        <v>775.5</v>
      </c>
      <c r="AH100" s="1160" t="str">
        <f>+DW_!E28</f>
        <v/>
      </c>
      <c r="AI100" s="1160" t="str">
        <f>+DW_!AA28</f>
        <v/>
      </c>
      <c r="AJ100" s="1160"/>
      <c r="AK100" s="1160"/>
      <c r="AL100" s="1160"/>
      <c r="AM100" s="1160"/>
      <c r="AN100" s="1160"/>
      <c r="AP100" s="1505">
        <f t="shared" si="74"/>
        <v>2</v>
      </c>
      <c r="AQ100" s="1136">
        <f>DMREZ!X28</f>
        <v>42387</v>
      </c>
      <c r="AR100" s="1152" t="str">
        <f t="shared" si="117"/>
        <v/>
      </c>
      <c r="AS100" s="1151" t="str">
        <f t="shared" si="118"/>
        <v/>
      </c>
      <c r="AT100" s="1151" t="str">
        <f t="shared" si="119"/>
        <v/>
      </c>
      <c r="AU100" s="1151" t="str">
        <f t="shared" si="120"/>
        <v/>
      </c>
      <c r="AV100" s="1151" t="str">
        <f t="shared" si="121"/>
        <v/>
      </c>
      <c r="AW100" s="1151" t="str">
        <f t="shared" si="122"/>
        <v/>
      </c>
      <c r="AX100" s="1152" t="str">
        <f t="shared" si="123"/>
        <v/>
      </c>
      <c r="AY100" s="1151" t="str">
        <f t="shared" si="124"/>
        <v/>
      </c>
      <c r="AZ100" s="1151" t="str">
        <f t="shared" si="125"/>
        <v/>
      </c>
      <c r="BA100" s="1151" t="str">
        <f t="shared" si="126"/>
        <v/>
      </c>
      <c r="BB100" s="1151" t="str">
        <f t="shared" si="127"/>
        <v/>
      </c>
      <c r="BC100" s="1152" t="str">
        <f t="shared" si="128"/>
        <v/>
      </c>
      <c r="BD100" s="1152" t="str">
        <f t="shared" si="129"/>
        <v/>
      </c>
      <c r="BE100" s="1152" t="str">
        <f t="shared" si="130"/>
        <v/>
      </c>
      <c r="BF100" s="1152" t="str">
        <f t="shared" si="131"/>
        <v/>
      </c>
      <c r="BG100" s="1151" t="str">
        <f t="shared" si="132"/>
        <v/>
      </c>
      <c r="BH100" s="1151" t="str">
        <f t="shared" si="133"/>
        <v/>
      </c>
      <c r="BI100" s="1152" t="str">
        <f t="shared" si="134"/>
        <v/>
      </c>
      <c r="BJ100" s="1152" t="str">
        <f t="shared" si="135"/>
        <v/>
      </c>
      <c r="BK100" s="1152" t="str">
        <f t="shared" si="136"/>
        <v/>
      </c>
      <c r="BL100" s="1300" t="str">
        <f t="shared" si="137"/>
        <v/>
      </c>
      <c r="BM100" s="1152" t="str">
        <f t="shared" si="138"/>
        <v/>
      </c>
      <c r="BN100" s="1152" t="str">
        <f t="shared" si="139"/>
        <v/>
      </c>
      <c r="BO100" s="1151" t="str">
        <f t="shared" si="140"/>
        <v/>
      </c>
      <c r="BP100" s="1151" t="str">
        <f t="shared" si="141"/>
        <v/>
      </c>
      <c r="BQ100" s="1151" t="str">
        <f t="shared" si="142"/>
        <v/>
      </c>
      <c r="BR100" s="1151" t="str">
        <f t="shared" si="143"/>
        <v/>
      </c>
      <c r="BS100" s="1152" t="str">
        <f t="shared" si="115"/>
        <v/>
      </c>
      <c r="BT100" s="1152" t="str">
        <f t="shared" si="144"/>
        <v/>
      </c>
      <c r="BU100" s="1152" t="str">
        <f t="shared" si="145"/>
        <v/>
      </c>
      <c r="BV100" s="1152" t="str">
        <f t="shared" si="116"/>
        <v/>
      </c>
      <c r="BW100" s="1151" t="str">
        <f t="shared" si="146"/>
        <v/>
      </c>
      <c r="BX100" s="1151" t="str">
        <f t="shared" si="147"/>
        <v/>
      </c>
      <c r="BY100" s="1152"/>
      <c r="BZ100" s="1152"/>
      <c r="CA100" s="1151"/>
      <c r="CB100" s="1151"/>
      <c r="CC100" s="1151"/>
      <c r="CD100" s="585"/>
      <c r="CE100" s="585"/>
      <c r="CF100" s="585"/>
      <c r="CG100" s="585"/>
      <c r="CH100" s="585"/>
      <c r="CI100" s="585"/>
      <c r="CJ100" s="585"/>
      <c r="CK100" s="585"/>
      <c r="CL100" s="585"/>
      <c r="CM100" s="585"/>
      <c r="CN100" s="585"/>
      <c r="CO100" s="585"/>
      <c r="CP100" s="585"/>
      <c r="CQ100" s="585"/>
      <c r="CR100" s="585"/>
      <c r="CS100" s="585"/>
      <c r="CT100" s="585"/>
      <c r="CU100" s="585"/>
      <c r="CV100" s="585"/>
      <c r="CW100" s="585"/>
      <c r="CX100" s="585"/>
      <c r="CY100" s="585"/>
      <c r="CZ100" s="585"/>
      <c r="DA100" s="585"/>
      <c r="DB100" s="585"/>
      <c r="DC100" s="585"/>
      <c r="DD100" s="585"/>
      <c r="DE100" s="585"/>
      <c r="DF100" s="585"/>
      <c r="DG100" s="585"/>
      <c r="DH100" s="585"/>
      <c r="DI100" s="585"/>
      <c r="DJ100" s="585"/>
      <c r="DL100" s="582"/>
      <c r="DM100" s="582"/>
      <c r="DN100" s="582"/>
      <c r="DO100" s="582"/>
      <c r="DP100" s="582"/>
      <c r="DQ100" s="582"/>
      <c r="DR100" s="582"/>
      <c r="DS100" s="583"/>
      <c r="DT100" s="583"/>
      <c r="DU100" s="583"/>
      <c r="DV100" s="583"/>
      <c r="DW100" s="583"/>
      <c r="DX100" s="582"/>
      <c r="DY100" s="582"/>
      <c r="DZ100" s="582"/>
      <c r="EA100" s="582"/>
      <c r="EB100" s="582"/>
      <c r="EC100" s="582"/>
      <c r="ED100" s="582"/>
      <c r="EE100" s="582"/>
      <c r="EF100" s="582"/>
      <c r="EG100" s="582"/>
      <c r="EH100" s="582"/>
      <c r="EI100" s="582"/>
      <c r="EJ100" s="582"/>
      <c r="EK100" s="582"/>
      <c r="EL100" s="582"/>
      <c r="EM100" s="582"/>
      <c r="EN100" s="582"/>
      <c r="EO100" s="582"/>
      <c r="EP100" s="582"/>
      <c r="EQ100" s="582"/>
      <c r="ER100" s="582"/>
      <c r="ES100" s="582"/>
      <c r="ET100" s="582"/>
      <c r="EU100" s="582"/>
      <c r="EV100" s="582"/>
      <c r="EW100" s="582"/>
      <c r="EX100" s="582"/>
      <c r="EY100" s="582"/>
      <c r="EZ100" s="582"/>
      <c r="FA100" s="582"/>
      <c r="FB100" s="582"/>
      <c r="FC100" s="582"/>
      <c r="FD100" s="582"/>
      <c r="FE100" s="582"/>
      <c r="IV100" s="578"/>
    </row>
    <row r="101" spans="1:256" ht="17.100000000000001" customHeight="1">
      <c r="A101" s="1138">
        <f t="shared" si="72"/>
        <v>42388</v>
      </c>
      <c r="B101" s="1157">
        <f>DMREZ!D29</f>
        <v>42388</v>
      </c>
      <c r="C101" s="1145">
        <f>+AT_!CM29</f>
        <v>94.5</v>
      </c>
      <c r="D101" s="1144">
        <f ca="1">+AT_!AR29</f>
        <v>5.2692569705959391</v>
      </c>
      <c r="E101" s="1144">
        <f ca="1">+AT_!AS29</f>
        <v>6.7627747240276959</v>
      </c>
      <c r="F101" s="1160">
        <f>+AT_!U29</f>
        <v>1.7</v>
      </c>
      <c r="G101" s="1160">
        <f>+AT_!V29</f>
        <v>0.64406779661016944</v>
      </c>
      <c r="H101" s="1144">
        <f ca="1">IF(B101&gt;TODAY()-2,"",+AT_!DJ29)</f>
        <v>60.7</v>
      </c>
      <c r="I101" s="1145">
        <f t="shared" si="111"/>
        <v>94</v>
      </c>
      <c r="J101" s="1145">
        <f t="shared" si="104"/>
        <v>122</v>
      </c>
      <c r="K101" s="1144">
        <f>+AT_!AH29</f>
        <v>3.28</v>
      </c>
      <c r="L101" s="1144">
        <f>+AT_!AI29</f>
        <v>85.2</v>
      </c>
      <c r="M101" s="1144">
        <f>+AT_!AJ29</f>
        <v>1.7</v>
      </c>
      <c r="N101" s="1144">
        <f>+AT_!AK29</f>
        <v>72.099999999999994</v>
      </c>
      <c r="O101" s="1161">
        <f t="shared" si="105"/>
        <v>1700</v>
      </c>
      <c r="P101" s="1161">
        <f t="shared" si="105"/>
        <v>3800</v>
      </c>
      <c r="Q101" s="1161">
        <f t="shared" si="105"/>
        <v>2300</v>
      </c>
      <c r="R101" s="1161">
        <f t="shared" si="105"/>
        <v>5700</v>
      </c>
      <c r="S101" s="1144">
        <f ca="1">+DMREZ!CY29</f>
        <v>38.200000000000003</v>
      </c>
      <c r="T101" s="1144">
        <f ca="1">+DMREZ!CZ29</f>
        <v>20.2</v>
      </c>
      <c r="U101" s="1145">
        <f ca="1">+DMREZ!DA29</f>
        <v>28354.332000000002</v>
      </c>
      <c r="V101" s="1145">
        <f ca="1">+DMREZ!DB29</f>
        <v>14993.651999999998</v>
      </c>
      <c r="W101" s="1145">
        <f>+CHEM_!G28</f>
        <v>680</v>
      </c>
      <c r="X101" s="1799">
        <f>+DMREZ!AC29</f>
        <v>0.47</v>
      </c>
      <c r="Y101" s="1500">
        <f t="shared" si="112"/>
        <v>101</v>
      </c>
      <c r="Z101" s="1160">
        <f>+AT_!CZ29</f>
        <v>12.7</v>
      </c>
      <c r="AA101" s="1160">
        <f>+AT_!DA29</f>
        <v>17.3</v>
      </c>
      <c r="AB101" s="1160">
        <f t="shared" si="113"/>
        <v>4.6775000000000002</v>
      </c>
      <c r="AC101" s="1160">
        <f t="shared" si="114"/>
        <v>58.295999999999999</v>
      </c>
      <c r="AD101" s="1160">
        <f>+CHEM_!AN28</f>
        <v>0</v>
      </c>
      <c r="AE101" s="1161">
        <v>0</v>
      </c>
      <c r="AF101" s="1161">
        <f>+CHEM_!AD28</f>
        <v>0</v>
      </c>
      <c r="AG101" s="1161">
        <f>+CHEM_!AJ28</f>
        <v>1128</v>
      </c>
      <c r="AH101" s="1160" t="str">
        <f>+DW_!E29</f>
        <v/>
      </c>
      <c r="AI101" s="1160" t="str">
        <f>+DW_!AA29</f>
        <v/>
      </c>
      <c r="AJ101" s="1160"/>
      <c r="AK101" s="1160"/>
      <c r="AL101" s="1160"/>
      <c r="AM101" s="1160"/>
      <c r="AN101" s="1160"/>
      <c r="AP101" s="1505">
        <f t="shared" si="74"/>
        <v>3</v>
      </c>
      <c r="AQ101" s="1136">
        <f>DMREZ!X29</f>
        <v>42388</v>
      </c>
      <c r="AR101" s="1152" t="str">
        <f t="shared" si="117"/>
        <v/>
      </c>
      <c r="AS101" s="1151" t="str">
        <f t="shared" si="118"/>
        <v/>
      </c>
      <c r="AT101" s="1151" t="str">
        <f t="shared" si="119"/>
        <v/>
      </c>
      <c r="AU101" s="1151" t="str">
        <f t="shared" si="120"/>
        <v/>
      </c>
      <c r="AV101" s="1151" t="str">
        <f t="shared" si="121"/>
        <v/>
      </c>
      <c r="AW101" s="1151" t="str">
        <f t="shared" si="122"/>
        <v/>
      </c>
      <c r="AX101" s="1152" t="str">
        <f t="shared" si="123"/>
        <v/>
      </c>
      <c r="AY101" s="1151" t="str">
        <f t="shared" si="124"/>
        <v/>
      </c>
      <c r="AZ101" s="1151" t="str">
        <f t="shared" si="125"/>
        <v/>
      </c>
      <c r="BA101" s="1151" t="str">
        <f t="shared" si="126"/>
        <v/>
      </c>
      <c r="BB101" s="1151" t="str">
        <f t="shared" si="127"/>
        <v/>
      </c>
      <c r="BC101" s="1152" t="str">
        <f t="shared" si="128"/>
        <v/>
      </c>
      <c r="BD101" s="1152" t="str">
        <f t="shared" si="129"/>
        <v/>
      </c>
      <c r="BE101" s="1152" t="str">
        <f t="shared" si="130"/>
        <v/>
      </c>
      <c r="BF101" s="1152" t="str">
        <f t="shared" si="131"/>
        <v/>
      </c>
      <c r="BG101" s="1151" t="str">
        <f t="shared" si="132"/>
        <v/>
      </c>
      <c r="BH101" s="1151" t="str">
        <f t="shared" si="133"/>
        <v/>
      </c>
      <c r="BI101" s="1152" t="str">
        <f t="shared" si="134"/>
        <v/>
      </c>
      <c r="BJ101" s="1152" t="str">
        <f t="shared" si="135"/>
        <v/>
      </c>
      <c r="BK101" s="1152" t="str">
        <f t="shared" si="136"/>
        <v/>
      </c>
      <c r="BL101" s="1300" t="str">
        <f t="shared" si="137"/>
        <v/>
      </c>
      <c r="BM101" s="1152" t="str">
        <f t="shared" si="138"/>
        <v/>
      </c>
      <c r="BN101" s="1152" t="str">
        <f t="shared" si="139"/>
        <v/>
      </c>
      <c r="BO101" s="1151" t="str">
        <f t="shared" si="140"/>
        <v/>
      </c>
      <c r="BP101" s="1151" t="str">
        <f t="shared" si="141"/>
        <v/>
      </c>
      <c r="BQ101" s="1151" t="str">
        <f t="shared" si="142"/>
        <v/>
      </c>
      <c r="BR101" s="1151" t="str">
        <f t="shared" si="143"/>
        <v/>
      </c>
      <c r="BS101" s="1152" t="str">
        <f t="shared" si="115"/>
        <v/>
      </c>
      <c r="BT101" s="1152" t="str">
        <f t="shared" si="144"/>
        <v/>
      </c>
      <c r="BU101" s="1152" t="str">
        <f t="shared" si="145"/>
        <v/>
      </c>
      <c r="BV101" s="1152" t="str">
        <f t="shared" si="116"/>
        <v/>
      </c>
      <c r="BW101" s="1151" t="str">
        <f t="shared" si="146"/>
        <v/>
      </c>
      <c r="BX101" s="1151" t="str">
        <f t="shared" si="147"/>
        <v/>
      </c>
      <c r="BY101" s="1152"/>
      <c r="BZ101" s="1152"/>
      <c r="CA101" s="1151"/>
      <c r="CB101" s="1151"/>
      <c r="CC101" s="1151"/>
      <c r="CD101" s="585"/>
      <c r="CE101" s="585"/>
      <c r="CF101" s="585"/>
      <c r="CG101" s="585"/>
      <c r="CH101" s="585"/>
      <c r="CI101" s="585"/>
      <c r="CJ101" s="585"/>
      <c r="CK101" s="585"/>
      <c r="CL101" s="585"/>
      <c r="CM101" s="585"/>
      <c r="CN101" s="585"/>
      <c r="CO101" s="585"/>
      <c r="CP101" s="585"/>
      <c r="CQ101" s="585"/>
      <c r="CR101" s="585"/>
      <c r="CS101" s="585"/>
      <c r="CT101" s="585"/>
      <c r="CU101" s="585"/>
      <c r="CV101" s="585"/>
      <c r="CW101" s="585"/>
      <c r="CX101" s="585"/>
      <c r="CY101" s="585"/>
      <c r="CZ101" s="585"/>
      <c r="DA101" s="585"/>
      <c r="DB101" s="585"/>
      <c r="DC101" s="585"/>
      <c r="DD101" s="585"/>
      <c r="DE101" s="585"/>
      <c r="DF101" s="585"/>
      <c r="DG101" s="585"/>
      <c r="DH101" s="585"/>
      <c r="DI101" s="585"/>
      <c r="DJ101" s="585"/>
      <c r="DL101" s="582"/>
      <c r="DM101" s="582"/>
      <c r="DN101" s="582"/>
      <c r="DO101" s="582"/>
      <c r="DP101" s="582"/>
      <c r="DQ101" s="582"/>
      <c r="DR101" s="582"/>
      <c r="DS101" s="583"/>
      <c r="DT101" s="583"/>
      <c r="DU101" s="583"/>
      <c r="DV101" s="583"/>
      <c r="DW101" s="583"/>
      <c r="DX101" s="582"/>
      <c r="DY101" s="582"/>
      <c r="DZ101" s="582"/>
      <c r="EA101" s="582"/>
      <c r="EB101" s="582"/>
      <c r="EC101" s="582"/>
      <c r="ED101" s="582"/>
      <c r="EE101" s="582"/>
      <c r="EF101" s="582"/>
      <c r="EG101" s="582"/>
      <c r="EH101" s="582"/>
      <c r="EI101" s="582"/>
      <c r="EJ101" s="582"/>
      <c r="EK101" s="582"/>
      <c r="EL101" s="582"/>
      <c r="EM101" s="582"/>
      <c r="EN101" s="582"/>
      <c r="EO101" s="582"/>
      <c r="EP101" s="582"/>
      <c r="EQ101" s="582"/>
      <c r="ER101" s="582"/>
      <c r="ES101" s="582"/>
      <c r="ET101" s="582"/>
      <c r="EU101" s="582"/>
      <c r="EV101" s="582"/>
      <c r="EW101" s="582"/>
      <c r="EX101" s="582"/>
      <c r="EY101" s="582"/>
      <c r="EZ101" s="582"/>
      <c r="FA101" s="582"/>
      <c r="FB101" s="582"/>
      <c r="FC101" s="582"/>
      <c r="FD101" s="582"/>
      <c r="FE101" s="582"/>
      <c r="IV101" s="578"/>
    </row>
    <row r="102" spans="1:256" ht="17.100000000000001" customHeight="1">
      <c r="A102" s="1138">
        <f t="shared" si="72"/>
        <v>42389</v>
      </c>
      <c r="B102" s="1157">
        <f>DMREZ!D30</f>
        <v>42389</v>
      </c>
      <c r="C102" s="1145">
        <f>+AT_!CM30</f>
        <v>94</v>
      </c>
      <c r="D102" s="1144">
        <f ca="1">+AT_!AR30</f>
        <v>7.9560963686621138</v>
      </c>
      <c r="E102" s="1144">
        <f ca="1">+AT_!AS30</f>
        <v>4.7781507645660444</v>
      </c>
      <c r="F102" s="1160">
        <f>+AT_!U30</f>
        <v>2.4285714285714284</v>
      </c>
      <c r="G102" s="1160">
        <f>+AT_!V30</f>
        <v>0.71153846153846156</v>
      </c>
      <c r="H102" s="1144">
        <f ca="1">IF(B102&gt;TODAY()-2,"",+AT_!DJ30)</f>
        <v>59.1</v>
      </c>
      <c r="I102" s="1145" t="str">
        <f t="shared" si="111"/>
        <v/>
      </c>
      <c r="J102" s="1145" t="str">
        <f t="shared" si="104"/>
        <v/>
      </c>
      <c r="K102" s="1144">
        <f>+AT_!AH30</f>
        <v>2.8</v>
      </c>
      <c r="L102" s="1144">
        <f>+AT_!AI30</f>
        <v>85.9</v>
      </c>
      <c r="M102" s="1144">
        <f>+AT_!AJ30</f>
        <v>1.7</v>
      </c>
      <c r="N102" s="1144">
        <f>+AT_!AK30</f>
        <v>72.099999999999994</v>
      </c>
      <c r="O102" s="1161">
        <f t="shared" si="105"/>
        <v>3400</v>
      </c>
      <c r="P102" s="1161">
        <f t="shared" si="105"/>
        <v>3700</v>
      </c>
      <c r="Q102" s="1161">
        <f t="shared" si="105"/>
        <v>3300</v>
      </c>
      <c r="R102" s="1161">
        <f t="shared" si="105"/>
        <v>5100</v>
      </c>
      <c r="S102" s="1144">
        <f ca="1">+DMREZ!CY30</f>
        <v>38.4</v>
      </c>
      <c r="T102" s="1144">
        <f ca="1">+DMREZ!CZ30</f>
        <v>21.5</v>
      </c>
      <c r="U102" s="1145">
        <f ca="1">+DMREZ!DA30</f>
        <v>27862.271999999997</v>
      </c>
      <c r="V102" s="1145">
        <f ca="1">+DMREZ!DB30</f>
        <v>15599.97</v>
      </c>
      <c r="W102" s="1145">
        <f>+CHEM_!G29</f>
        <v>730</v>
      </c>
      <c r="X102" s="1799">
        <f>+DMREZ!AC30</f>
        <v>0.42</v>
      </c>
      <c r="Y102" s="1500">
        <f t="shared" si="112"/>
        <v>103</v>
      </c>
      <c r="Z102" s="1160">
        <f>+AT_!CZ30</f>
        <v>17.2</v>
      </c>
      <c r="AA102" s="1160">
        <f>+AT_!DA30</f>
        <v>16.2</v>
      </c>
      <c r="AB102" s="1160">
        <f t="shared" si="113"/>
        <v>5.0724999999999998</v>
      </c>
      <c r="AC102" s="1160">
        <f t="shared" si="114"/>
        <v>57.627839999999999</v>
      </c>
      <c r="AD102" s="1160">
        <f>+CHEM_!AN29</f>
        <v>0</v>
      </c>
      <c r="AE102" s="1161">
        <v>0</v>
      </c>
      <c r="AF102" s="1161">
        <f>+CHEM_!AD29</f>
        <v>0</v>
      </c>
      <c r="AG102" s="1161">
        <f>+CHEM_!AJ29</f>
        <v>1410</v>
      </c>
      <c r="AH102" s="1160" t="str">
        <f>+DW_!E30</f>
        <v/>
      </c>
      <c r="AI102" s="1160" t="str">
        <f>+DW_!AA30</f>
        <v/>
      </c>
      <c r="AJ102" s="1160"/>
      <c r="AK102" s="1160"/>
      <c r="AL102" s="1160"/>
      <c r="AM102" s="1160"/>
      <c r="AN102" s="1160"/>
      <c r="AP102" s="1505">
        <f t="shared" si="74"/>
        <v>4</v>
      </c>
      <c r="AQ102" s="1136">
        <f>DMREZ!X30</f>
        <v>42389</v>
      </c>
      <c r="AR102" s="1152" t="str">
        <f t="shared" si="117"/>
        <v/>
      </c>
      <c r="AS102" s="1151" t="str">
        <f t="shared" si="118"/>
        <v/>
      </c>
      <c r="AT102" s="1151" t="str">
        <f t="shared" si="119"/>
        <v/>
      </c>
      <c r="AU102" s="1151" t="str">
        <f t="shared" si="120"/>
        <v/>
      </c>
      <c r="AV102" s="1151" t="str">
        <f t="shared" si="121"/>
        <v/>
      </c>
      <c r="AW102" s="1151" t="str">
        <f t="shared" si="122"/>
        <v/>
      </c>
      <c r="AX102" s="1152" t="str">
        <f t="shared" si="123"/>
        <v/>
      </c>
      <c r="AY102" s="1151" t="str">
        <f t="shared" si="124"/>
        <v/>
      </c>
      <c r="AZ102" s="1151" t="str">
        <f t="shared" si="125"/>
        <v/>
      </c>
      <c r="BA102" s="1151" t="str">
        <f t="shared" si="126"/>
        <v/>
      </c>
      <c r="BB102" s="1151" t="str">
        <f t="shared" si="127"/>
        <v/>
      </c>
      <c r="BC102" s="1152" t="str">
        <f t="shared" si="128"/>
        <v/>
      </c>
      <c r="BD102" s="1152" t="str">
        <f t="shared" si="129"/>
        <v/>
      </c>
      <c r="BE102" s="1152" t="str">
        <f t="shared" si="130"/>
        <v/>
      </c>
      <c r="BF102" s="1152" t="str">
        <f t="shared" si="131"/>
        <v/>
      </c>
      <c r="BG102" s="1151" t="str">
        <f t="shared" si="132"/>
        <v/>
      </c>
      <c r="BH102" s="1151" t="str">
        <f t="shared" si="133"/>
        <v/>
      </c>
      <c r="BI102" s="1152" t="str">
        <f t="shared" si="134"/>
        <v/>
      </c>
      <c r="BJ102" s="1152" t="str">
        <f t="shared" si="135"/>
        <v/>
      </c>
      <c r="BK102" s="1152" t="str">
        <f t="shared" si="136"/>
        <v/>
      </c>
      <c r="BL102" s="1300" t="str">
        <f t="shared" si="137"/>
        <v/>
      </c>
      <c r="BM102" s="1152" t="str">
        <f t="shared" si="138"/>
        <v/>
      </c>
      <c r="BN102" s="1152" t="str">
        <f t="shared" si="139"/>
        <v/>
      </c>
      <c r="BO102" s="1151" t="str">
        <f t="shared" si="140"/>
        <v/>
      </c>
      <c r="BP102" s="1151" t="str">
        <f t="shared" si="141"/>
        <v/>
      </c>
      <c r="BQ102" s="1151" t="str">
        <f t="shared" si="142"/>
        <v/>
      </c>
      <c r="BR102" s="1151" t="str">
        <f t="shared" si="143"/>
        <v/>
      </c>
      <c r="BS102" s="1152" t="str">
        <f t="shared" si="115"/>
        <v/>
      </c>
      <c r="BT102" s="1152" t="str">
        <f t="shared" si="144"/>
        <v/>
      </c>
      <c r="BU102" s="1152" t="str">
        <f t="shared" si="145"/>
        <v/>
      </c>
      <c r="BV102" s="1152" t="str">
        <f t="shared" si="116"/>
        <v/>
      </c>
      <c r="BW102" s="1151" t="str">
        <f t="shared" si="146"/>
        <v/>
      </c>
      <c r="BX102" s="1151" t="str">
        <f t="shared" si="147"/>
        <v/>
      </c>
      <c r="BY102" s="1152"/>
      <c r="BZ102" s="1152"/>
      <c r="CA102" s="1151"/>
      <c r="CB102" s="1151"/>
      <c r="CC102" s="1151"/>
      <c r="CD102" s="585"/>
      <c r="CE102" s="585"/>
      <c r="CF102" s="585"/>
      <c r="CG102" s="585"/>
      <c r="CH102" s="585"/>
      <c r="CI102" s="585"/>
      <c r="CJ102" s="585"/>
      <c r="CK102" s="585"/>
      <c r="CL102" s="585"/>
      <c r="CM102" s="585"/>
      <c r="CN102" s="585"/>
      <c r="CO102" s="585"/>
      <c r="CP102" s="585"/>
      <c r="CQ102" s="719"/>
      <c r="CR102" s="719"/>
      <c r="CS102" s="719"/>
      <c r="CT102" s="719"/>
      <c r="CU102" s="719"/>
      <c r="DF102" s="578"/>
      <c r="DG102" s="578"/>
      <c r="DH102" s="578"/>
      <c r="DI102" s="578"/>
      <c r="DJ102" s="578"/>
      <c r="DL102" s="582"/>
      <c r="DM102" s="582"/>
      <c r="DN102" s="582"/>
      <c r="DO102" s="582"/>
      <c r="DP102" s="582"/>
      <c r="DQ102" s="582"/>
      <c r="DR102" s="582"/>
      <c r="DS102" s="583"/>
      <c r="DT102" s="583"/>
      <c r="DU102" s="583"/>
      <c r="DV102" s="583"/>
      <c r="DW102" s="583"/>
      <c r="DX102" s="582"/>
      <c r="DY102" s="582"/>
      <c r="DZ102" s="582"/>
      <c r="EA102" s="582"/>
      <c r="EB102" s="582"/>
      <c r="EC102" s="582"/>
      <c r="ED102" s="582"/>
      <c r="EE102" s="582"/>
      <c r="EF102" s="582"/>
      <c r="EG102" s="582"/>
      <c r="EH102" s="582"/>
      <c r="EI102" s="582"/>
      <c r="EJ102" s="582"/>
      <c r="EK102" s="582"/>
      <c r="EL102" s="582"/>
      <c r="EM102" s="582"/>
      <c r="EN102" s="582"/>
      <c r="EO102" s="582"/>
      <c r="EP102" s="582"/>
      <c r="EQ102" s="582"/>
      <c r="ER102" s="582"/>
      <c r="ES102" s="582"/>
      <c r="ET102" s="582"/>
      <c r="EU102" s="582"/>
      <c r="EV102" s="582"/>
      <c r="EW102" s="582"/>
      <c r="EX102" s="582"/>
      <c r="EY102" s="582"/>
      <c r="EZ102" s="582"/>
      <c r="FA102" s="582"/>
      <c r="FB102" s="582"/>
      <c r="FC102" s="582"/>
      <c r="FD102" s="582"/>
      <c r="FE102" s="582"/>
      <c r="IV102" s="578"/>
    </row>
    <row r="103" spans="1:256" ht="17.100000000000001" customHeight="1">
      <c r="A103" s="1138">
        <f t="shared" si="72"/>
        <v>42390</v>
      </c>
      <c r="B103" s="1157">
        <f>DMREZ!D31</f>
        <v>42390</v>
      </c>
      <c r="C103" s="1145">
        <f>+AT_!CM31</f>
        <v>94.2</v>
      </c>
      <c r="D103" s="1144">
        <f ca="1">+AT_!AR31</f>
        <v>6.5972969107818731</v>
      </c>
      <c r="E103" s="1144">
        <f ca="1">+AT_!AS31</f>
        <v>2.394868922485978</v>
      </c>
      <c r="F103" s="1160">
        <f>+AT_!U31</f>
        <v>1.7692307692307692</v>
      </c>
      <c r="G103" s="1160">
        <f>+AT_!V31</f>
        <v>0.91304347826086951</v>
      </c>
      <c r="H103" s="1144">
        <f ca="1">IF(B103&gt;TODAY()-2,"",+AT_!DJ31)</f>
        <v>90.4</v>
      </c>
      <c r="I103" s="1145" t="str">
        <f t="shared" si="111"/>
        <v/>
      </c>
      <c r="J103" s="1145" t="str">
        <f t="shared" si="104"/>
        <v/>
      </c>
      <c r="K103" s="1144">
        <f>+AT_!AH31</f>
        <v>2.95</v>
      </c>
      <c r="L103" s="1144">
        <f>+AT_!AI31</f>
        <v>85.1</v>
      </c>
      <c r="M103" s="1144">
        <f>+AT_!AJ31</f>
        <v>1.59</v>
      </c>
      <c r="N103" s="1144">
        <f>+AT_!AK31</f>
        <v>72.5</v>
      </c>
      <c r="O103" s="1161">
        <f t="shared" si="105"/>
        <v>2300</v>
      </c>
      <c r="P103" s="1161">
        <f t="shared" si="105"/>
        <v>4200</v>
      </c>
      <c r="Q103" s="1161">
        <f t="shared" si="105"/>
        <v>2600</v>
      </c>
      <c r="R103" s="1161">
        <f t="shared" si="105"/>
        <v>5100</v>
      </c>
      <c r="S103" s="1144">
        <f ca="1">+DMREZ!CY31</f>
        <v>41.7</v>
      </c>
      <c r="T103" s="1144">
        <f ca="1">+DMREZ!CZ31</f>
        <v>20.9</v>
      </c>
      <c r="U103" s="1145">
        <f ca="1">+DMREZ!DA31</f>
        <v>30256.686000000002</v>
      </c>
      <c r="V103" s="1145">
        <f ca="1">+DMREZ!DB31</f>
        <v>15164.621999999999</v>
      </c>
      <c r="W103" s="1145">
        <f>+CHEM_!G30</f>
        <v>880</v>
      </c>
      <c r="X103" s="1799">
        <f>+DMREZ!AC31</f>
        <v>0.37</v>
      </c>
      <c r="Y103" s="1500">
        <f t="shared" si="112"/>
        <v>102</v>
      </c>
      <c r="Z103" s="1160">
        <f>+AT_!CZ31</f>
        <v>13</v>
      </c>
      <c r="AA103" s="1160">
        <f>+AT_!DA31</f>
        <v>15.1</v>
      </c>
      <c r="AB103" s="1160">
        <f t="shared" si="113"/>
        <v>4.3549999999999995</v>
      </c>
      <c r="AC103" s="1160">
        <f t="shared" si="114"/>
        <v>57.627839999999999</v>
      </c>
      <c r="AD103" s="1160">
        <f>+CHEM_!AN30</f>
        <v>0</v>
      </c>
      <c r="AE103" s="1161">
        <v>0</v>
      </c>
      <c r="AF103" s="1161">
        <f>+CHEM_!AD30</f>
        <v>0</v>
      </c>
      <c r="AG103" s="1161">
        <f>+CHEM_!AJ30</f>
        <v>0</v>
      </c>
      <c r="AH103" s="1160" t="str">
        <f>+DW_!E31</f>
        <v/>
      </c>
      <c r="AI103" s="1160" t="str">
        <f>+DW_!AA31</f>
        <v/>
      </c>
      <c r="AJ103" s="1160"/>
      <c r="AK103" s="1160"/>
      <c r="AL103" s="1160"/>
      <c r="AM103" s="1160"/>
      <c r="AN103" s="1160"/>
      <c r="AP103" s="1505">
        <f t="shared" si="74"/>
        <v>5</v>
      </c>
      <c r="AQ103" s="1136">
        <f>DMREZ!X31</f>
        <v>42390</v>
      </c>
      <c r="AR103" s="1152" t="str">
        <f t="shared" si="117"/>
        <v/>
      </c>
      <c r="AS103" s="1151" t="str">
        <f t="shared" si="118"/>
        <v/>
      </c>
      <c r="AT103" s="1151" t="str">
        <f t="shared" si="119"/>
        <v/>
      </c>
      <c r="AU103" s="1151" t="str">
        <f t="shared" si="120"/>
        <v/>
      </c>
      <c r="AV103" s="1151" t="str">
        <f t="shared" si="121"/>
        <v/>
      </c>
      <c r="AW103" s="1151" t="str">
        <f t="shared" si="122"/>
        <v/>
      </c>
      <c r="AX103" s="1152" t="str">
        <f t="shared" si="123"/>
        <v/>
      </c>
      <c r="AY103" s="1151" t="str">
        <f t="shared" si="124"/>
        <v/>
      </c>
      <c r="AZ103" s="1151" t="str">
        <f t="shared" si="125"/>
        <v/>
      </c>
      <c r="BA103" s="1151" t="str">
        <f t="shared" si="126"/>
        <v/>
      </c>
      <c r="BB103" s="1151" t="str">
        <f t="shared" si="127"/>
        <v/>
      </c>
      <c r="BC103" s="1152" t="str">
        <f t="shared" si="128"/>
        <v/>
      </c>
      <c r="BD103" s="1152" t="str">
        <f t="shared" si="129"/>
        <v/>
      </c>
      <c r="BE103" s="1152" t="str">
        <f t="shared" si="130"/>
        <v/>
      </c>
      <c r="BF103" s="1152" t="str">
        <f t="shared" si="131"/>
        <v/>
      </c>
      <c r="BG103" s="1151" t="str">
        <f t="shared" si="132"/>
        <v/>
      </c>
      <c r="BH103" s="1151" t="str">
        <f t="shared" si="133"/>
        <v/>
      </c>
      <c r="BI103" s="1152" t="str">
        <f t="shared" si="134"/>
        <v/>
      </c>
      <c r="BJ103" s="1152" t="str">
        <f t="shared" si="135"/>
        <v/>
      </c>
      <c r="BK103" s="1152" t="str">
        <f t="shared" si="136"/>
        <v/>
      </c>
      <c r="BL103" s="1300" t="str">
        <f t="shared" si="137"/>
        <v/>
      </c>
      <c r="BM103" s="1152" t="str">
        <f t="shared" si="138"/>
        <v/>
      </c>
      <c r="BN103" s="1152" t="str">
        <f t="shared" si="139"/>
        <v/>
      </c>
      <c r="BO103" s="1151" t="str">
        <f t="shared" si="140"/>
        <v/>
      </c>
      <c r="BP103" s="1151" t="str">
        <f t="shared" si="141"/>
        <v/>
      </c>
      <c r="BQ103" s="1151" t="str">
        <f t="shared" si="142"/>
        <v/>
      </c>
      <c r="BR103" s="1151" t="str">
        <f t="shared" si="143"/>
        <v/>
      </c>
      <c r="BS103" s="1152" t="str">
        <f t="shared" si="115"/>
        <v/>
      </c>
      <c r="BT103" s="1152" t="str">
        <f t="shared" si="144"/>
        <v/>
      </c>
      <c r="BU103" s="1152" t="str">
        <f t="shared" si="145"/>
        <v/>
      </c>
      <c r="BV103" s="1152" t="str">
        <f t="shared" si="116"/>
        <v/>
      </c>
      <c r="BW103" s="1151" t="str">
        <f t="shared" si="146"/>
        <v/>
      </c>
      <c r="BX103" s="1151" t="str">
        <f t="shared" si="147"/>
        <v/>
      </c>
      <c r="BY103" s="1152"/>
      <c r="BZ103" s="1152"/>
      <c r="CA103" s="1151"/>
      <c r="CB103" s="1151"/>
      <c r="CC103" s="1151"/>
      <c r="CD103" s="585"/>
      <c r="CE103" s="585"/>
      <c r="CF103" s="585"/>
      <c r="CG103" s="585"/>
      <c r="CH103" s="585"/>
      <c r="CI103" s="585"/>
      <c r="CJ103" s="585"/>
      <c r="CK103" s="585"/>
      <c r="CL103" s="585"/>
      <c r="CM103" s="585"/>
      <c r="CN103" s="585"/>
      <c r="CO103" s="585"/>
      <c r="CP103" s="585"/>
      <c r="CQ103" s="719"/>
      <c r="CR103" s="719"/>
      <c r="CS103" s="719"/>
      <c r="CT103" s="719"/>
      <c r="CU103" s="719"/>
      <c r="DF103" s="578"/>
      <c r="DG103" s="578"/>
      <c r="DH103" s="578"/>
      <c r="DI103" s="578"/>
      <c r="DJ103" s="578"/>
      <c r="DL103" s="582"/>
      <c r="DM103" s="582"/>
      <c r="DN103" s="582"/>
      <c r="DO103" s="582"/>
      <c r="DP103" s="582"/>
      <c r="DQ103" s="582"/>
      <c r="DR103" s="582"/>
      <c r="DS103" s="583"/>
      <c r="DT103" s="583"/>
      <c r="DU103" s="583"/>
      <c r="DV103" s="583"/>
      <c r="DW103" s="583"/>
      <c r="DX103" s="582"/>
      <c r="DY103" s="582"/>
      <c r="DZ103" s="582"/>
      <c r="EA103" s="582"/>
      <c r="EB103" s="582"/>
      <c r="EC103" s="582"/>
      <c r="ED103" s="582"/>
      <c r="EE103" s="582"/>
      <c r="EF103" s="582"/>
      <c r="EG103" s="582"/>
      <c r="EH103" s="582"/>
      <c r="EI103" s="582"/>
      <c r="EJ103" s="582"/>
      <c r="EK103" s="582"/>
      <c r="EL103" s="582"/>
      <c r="EM103" s="582"/>
      <c r="EN103" s="582"/>
      <c r="EO103" s="582"/>
      <c r="EP103" s="582"/>
      <c r="EQ103" s="582"/>
      <c r="ER103" s="582"/>
      <c r="ES103" s="582"/>
      <c r="ET103" s="582"/>
      <c r="EU103" s="582"/>
      <c r="EV103" s="582"/>
      <c r="EW103" s="582"/>
      <c r="EX103" s="582"/>
      <c r="EY103" s="582"/>
      <c r="EZ103" s="582"/>
      <c r="FA103" s="582"/>
      <c r="FB103" s="582"/>
      <c r="FC103" s="582"/>
      <c r="FD103" s="582"/>
      <c r="FE103" s="582"/>
      <c r="IV103" s="578"/>
    </row>
    <row r="104" spans="1:256" ht="17.100000000000001" customHeight="1">
      <c r="A104" s="1138">
        <f t="shared" si="72"/>
        <v>42391</v>
      </c>
      <c r="B104" s="1157">
        <f>DMREZ!D32</f>
        <v>42391</v>
      </c>
      <c r="C104" s="1145">
        <f>+AT_!CM32</f>
        <v>100.3</v>
      </c>
      <c r="D104" s="1144">
        <f ca="1">+AT_!AR32</f>
        <v>5.8410563734928713</v>
      </c>
      <c r="E104" s="1144">
        <f ca="1">+AT_!AS32</f>
        <v>3.5203796758625305</v>
      </c>
      <c r="F104" s="1160" t="str">
        <f>+AT_!U32</f>
        <v/>
      </c>
      <c r="G104" s="1160" t="str">
        <f>+AT_!V32</f>
        <v/>
      </c>
      <c r="H104" s="1144">
        <f ca="1">IF(B104&gt;TODAY()-2,"",+AT_!DJ32)</f>
        <v>57.4</v>
      </c>
      <c r="I104" s="1145" t="str">
        <f t="shared" si="111"/>
        <v/>
      </c>
      <c r="J104" s="1145" t="str">
        <f t="shared" si="104"/>
        <v/>
      </c>
      <c r="K104" s="1144" t="str">
        <f>+AT_!AH32</f>
        <v/>
      </c>
      <c r="L104" s="1144" t="str">
        <f>+AT_!AI32</f>
        <v/>
      </c>
      <c r="M104" s="1144" t="str">
        <f>+AT_!AJ32</f>
        <v/>
      </c>
      <c r="N104" s="1144" t="str">
        <f>+AT_!AK32</f>
        <v/>
      </c>
      <c r="O104" s="1161" t="str">
        <f t="shared" si="105"/>
        <v/>
      </c>
      <c r="P104" s="1161" t="str">
        <f t="shared" si="105"/>
        <v/>
      </c>
      <c r="Q104" s="1161" t="str">
        <f t="shared" si="105"/>
        <v/>
      </c>
      <c r="R104" s="1161" t="str">
        <f t="shared" si="105"/>
        <v/>
      </c>
      <c r="S104" s="1144">
        <f ca="1">+DMREZ!CY32</f>
        <v>40</v>
      </c>
      <c r="T104" s="1144">
        <f ca="1">+DMREZ!CZ32</f>
        <v>20.9</v>
      </c>
      <c r="U104" s="1145">
        <f ca="1">+DMREZ!DA32</f>
        <v>29690.400000000001</v>
      </c>
      <c r="V104" s="1145">
        <f ca="1">+DMREZ!DB32</f>
        <v>15513.233999999999</v>
      </c>
      <c r="W104" s="1145">
        <f>+CHEM_!G31</f>
        <v>1360</v>
      </c>
      <c r="X104" s="1799">
        <f>+DMREZ!AC32</f>
        <v>0.42</v>
      </c>
      <c r="Y104" s="1500">
        <f t="shared" si="112"/>
        <v>100</v>
      </c>
      <c r="Z104" s="1160">
        <f>+AT_!CZ32</f>
        <v>11.6</v>
      </c>
      <c r="AA104" s="1160">
        <f>+AT_!DA32</f>
        <v>12</v>
      </c>
      <c r="AB104" s="1160">
        <f t="shared" si="113"/>
        <v>4.8199999999999994</v>
      </c>
      <c r="AC104" s="1160">
        <f t="shared" si="114"/>
        <v>58.388160000000006</v>
      </c>
      <c r="AD104" s="1160">
        <f>+CHEM_!AN31</f>
        <v>0</v>
      </c>
      <c r="AE104" s="1161">
        <v>0</v>
      </c>
      <c r="AF104" s="1161">
        <f>+CHEM_!AD31</f>
        <v>0</v>
      </c>
      <c r="AG104" s="1161">
        <f>+CHEM_!AJ31</f>
        <v>705</v>
      </c>
      <c r="AH104" s="1160" t="str">
        <f>+DW_!E32</f>
        <v/>
      </c>
      <c r="AI104" s="1160" t="str">
        <f>+DW_!AA32</f>
        <v/>
      </c>
      <c r="AJ104" s="1160"/>
      <c r="AK104" s="1160"/>
      <c r="AL104" s="1160"/>
      <c r="AM104" s="1160"/>
      <c r="AN104" s="1160"/>
      <c r="AP104" s="1505">
        <f t="shared" si="74"/>
        <v>6</v>
      </c>
      <c r="AQ104" s="1136">
        <f>DMREZ!X32</f>
        <v>42391</v>
      </c>
      <c r="AR104" s="1152" t="str">
        <f t="shared" si="117"/>
        <v/>
      </c>
      <c r="AS104" s="1151" t="str">
        <f t="shared" si="118"/>
        <v/>
      </c>
      <c r="AT104" s="1151" t="str">
        <f t="shared" si="119"/>
        <v/>
      </c>
      <c r="AU104" s="1151" t="str">
        <f t="shared" si="120"/>
        <v/>
      </c>
      <c r="AV104" s="1151" t="str">
        <f t="shared" si="121"/>
        <v/>
      </c>
      <c r="AW104" s="1151" t="str">
        <f t="shared" si="122"/>
        <v/>
      </c>
      <c r="AX104" s="1152" t="str">
        <f t="shared" si="123"/>
        <v/>
      </c>
      <c r="AY104" s="1151" t="str">
        <f t="shared" si="124"/>
        <v/>
      </c>
      <c r="AZ104" s="1151" t="str">
        <f t="shared" si="125"/>
        <v/>
      </c>
      <c r="BA104" s="1151" t="str">
        <f t="shared" si="126"/>
        <v/>
      </c>
      <c r="BB104" s="1151" t="str">
        <f t="shared" si="127"/>
        <v/>
      </c>
      <c r="BC104" s="1152" t="str">
        <f t="shared" si="128"/>
        <v/>
      </c>
      <c r="BD104" s="1152" t="str">
        <f t="shared" si="129"/>
        <v/>
      </c>
      <c r="BE104" s="1152" t="str">
        <f t="shared" si="130"/>
        <v/>
      </c>
      <c r="BF104" s="1152" t="str">
        <f t="shared" si="131"/>
        <v/>
      </c>
      <c r="BG104" s="1151" t="str">
        <f t="shared" si="132"/>
        <v/>
      </c>
      <c r="BH104" s="1151" t="str">
        <f t="shared" si="133"/>
        <v/>
      </c>
      <c r="BI104" s="1152" t="str">
        <f t="shared" si="134"/>
        <v/>
      </c>
      <c r="BJ104" s="1152" t="str">
        <f t="shared" si="135"/>
        <v/>
      </c>
      <c r="BK104" s="1152" t="str">
        <f t="shared" si="136"/>
        <v/>
      </c>
      <c r="BL104" s="1300" t="str">
        <f t="shared" si="137"/>
        <v/>
      </c>
      <c r="BM104" s="1152" t="str">
        <f t="shared" si="138"/>
        <v/>
      </c>
      <c r="BN104" s="1152" t="str">
        <f t="shared" si="139"/>
        <v/>
      </c>
      <c r="BO104" s="1151" t="str">
        <f t="shared" si="140"/>
        <v/>
      </c>
      <c r="BP104" s="1151" t="str">
        <f t="shared" si="141"/>
        <v/>
      </c>
      <c r="BQ104" s="1151" t="str">
        <f t="shared" si="142"/>
        <v/>
      </c>
      <c r="BR104" s="1151" t="str">
        <f t="shared" si="143"/>
        <v/>
      </c>
      <c r="BS104" s="1152" t="str">
        <f t="shared" si="115"/>
        <v/>
      </c>
      <c r="BT104" s="1152" t="str">
        <f t="shared" si="144"/>
        <v/>
      </c>
      <c r="BU104" s="1152" t="str">
        <f t="shared" si="145"/>
        <v/>
      </c>
      <c r="BV104" s="1152" t="str">
        <f t="shared" si="116"/>
        <v/>
      </c>
      <c r="BW104" s="1151" t="str">
        <f t="shared" si="146"/>
        <v/>
      </c>
      <c r="BX104" s="1151" t="str">
        <f t="shared" si="147"/>
        <v/>
      </c>
      <c r="BY104" s="1152"/>
      <c r="BZ104" s="1152"/>
      <c r="CA104" s="1151"/>
      <c r="CB104" s="1151"/>
      <c r="CC104" s="1151"/>
      <c r="CD104" s="585"/>
      <c r="CE104" s="585"/>
      <c r="CF104" s="585"/>
      <c r="CG104" s="585"/>
      <c r="CH104" s="585"/>
      <c r="CI104" s="585"/>
      <c r="CJ104" s="585"/>
      <c r="CK104" s="585"/>
      <c r="CL104" s="585"/>
      <c r="CM104" s="585"/>
      <c r="CN104" s="585"/>
      <c r="CO104" s="585"/>
      <c r="CP104" s="585"/>
      <c r="CQ104" s="719"/>
      <c r="CR104" s="719"/>
      <c r="CS104" s="719"/>
      <c r="CT104" s="719"/>
      <c r="CU104" s="719"/>
      <c r="DF104" s="578"/>
      <c r="DG104" s="578"/>
      <c r="DH104" s="578"/>
      <c r="DI104" s="578"/>
      <c r="DJ104" s="578"/>
      <c r="DL104" s="582"/>
      <c r="DM104" s="582"/>
      <c r="DN104" s="582"/>
      <c r="DO104" s="582"/>
      <c r="DP104" s="582"/>
      <c r="DQ104" s="582"/>
      <c r="DR104" s="582"/>
      <c r="DS104" s="583"/>
      <c r="DT104" s="583"/>
      <c r="DU104" s="583"/>
      <c r="DV104" s="583"/>
      <c r="DW104" s="583"/>
      <c r="DX104" s="582"/>
      <c r="DY104" s="582"/>
      <c r="DZ104" s="582"/>
      <c r="EA104" s="582"/>
      <c r="EB104" s="582"/>
      <c r="EC104" s="582"/>
      <c r="ED104" s="582"/>
      <c r="EE104" s="582"/>
      <c r="EF104" s="582"/>
      <c r="EG104" s="582"/>
      <c r="EH104" s="582"/>
      <c r="EI104" s="582"/>
      <c r="EJ104" s="582"/>
      <c r="EK104" s="582"/>
      <c r="EL104" s="582"/>
      <c r="EM104" s="582"/>
      <c r="EN104" s="582"/>
      <c r="EO104" s="582"/>
      <c r="EP104" s="582"/>
      <c r="EQ104" s="582"/>
      <c r="ER104" s="582"/>
      <c r="ES104" s="582"/>
      <c r="ET104" s="582"/>
      <c r="EU104" s="582"/>
      <c r="EV104" s="582"/>
      <c r="EW104" s="582"/>
      <c r="EX104" s="582"/>
      <c r="EY104" s="582"/>
      <c r="EZ104" s="582"/>
      <c r="FA104" s="582"/>
      <c r="FB104" s="582"/>
      <c r="FC104" s="582"/>
      <c r="FD104" s="582"/>
      <c r="FE104" s="582"/>
      <c r="IV104" s="578"/>
    </row>
    <row r="105" spans="1:256" ht="17.100000000000001" customHeight="1">
      <c r="A105" s="1138">
        <f t="shared" si="72"/>
        <v>42392</v>
      </c>
      <c r="B105" s="1157">
        <f>DMREZ!D33</f>
        <v>42392</v>
      </c>
      <c r="C105" s="1145">
        <f>+AT_!CM33</f>
        <v>98.4</v>
      </c>
      <c r="D105" s="1144">
        <f ca="1">+AT_!AR33</f>
        <v>3.1518549913123937</v>
      </c>
      <c r="E105" s="1144">
        <f ca="1">+AT_!AS33</f>
        <v>2.7169723218316739</v>
      </c>
      <c r="F105" s="1160" t="str">
        <f>+AT_!U33</f>
        <v/>
      </c>
      <c r="G105" s="1160" t="str">
        <f>+AT_!V33</f>
        <v/>
      </c>
      <c r="H105" s="1144">
        <f ca="1">IF(B105&gt;TODAY()-2,"",+AT_!DJ33)</f>
        <v>37.799999999999997</v>
      </c>
      <c r="I105" s="1145" t="str">
        <f t="shared" si="111"/>
        <v/>
      </c>
      <c r="J105" s="1145" t="str">
        <f t="shared" si="104"/>
        <v/>
      </c>
      <c r="K105" s="1144" t="str">
        <f>+AT_!AH33</f>
        <v/>
      </c>
      <c r="L105" s="1144" t="str">
        <f>+AT_!AI33</f>
        <v/>
      </c>
      <c r="M105" s="1144" t="str">
        <f>+AT_!AJ33</f>
        <v/>
      </c>
      <c r="N105" s="1144" t="str">
        <f>+AT_!AK33</f>
        <v/>
      </c>
      <c r="O105" s="1161" t="str">
        <f t="shared" si="105"/>
        <v/>
      </c>
      <c r="P105" s="1161" t="str">
        <f t="shared" si="105"/>
        <v/>
      </c>
      <c r="Q105" s="1161" t="str">
        <f t="shared" si="105"/>
        <v/>
      </c>
      <c r="R105" s="1161" t="str">
        <f t="shared" si="105"/>
        <v/>
      </c>
      <c r="S105" s="1144">
        <f ca="1">+DMREZ!CY33</f>
        <v>31.1</v>
      </c>
      <c r="T105" s="1144">
        <f ca="1">+DMREZ!CZ33</f>
        <v>25.2</v>
      </c>
      <c r="U105" s="1145">
        <f ca="1">+DMREZ!DA33</f>
        <v>32162.376000000004</v>
      </c>
      <c r="V105" s="1145">
        <f ca="1">+DMREZ!DB33</f>
        <v>26060.831999999999</v>
      </c>
      <c r="W105" s="1145">
        <f>+CHEM_!G32</f>
        <v>3440</v>
      </c>
      <c r="X105" s="1799">
        <f>+DMREZ!AC33</f>
        <v>0.42</v>
      </c>
      <c r="Y105" s="1500">
        <f t="shared" si="112"/>
        <v>102</v>
      </c>
      <c r="Z105" s="1160">
        <f>+AT_!CZ33</f>
        <v>8.3000000000000007</v>
      </c>
      <c r="AA105" s="1160">
        <f>+AT_!DA33</f>
        <v>8.6</v>
      </c>
      <c r="AB105" s="1160">
        <f t="shared" si="113"/>
        <v>5.2774999999999999</v>
      </c>
      <c r="AC105" s="1160">
        <f t="shared" si="114"/>
        <v>57.515999999999998</v>
      </c>
      <c r="AD105" s="1160">
        <f>+CHEM_!AN32</f>
        <v>0</v>
      </c>
      <c r="AE105" s="1161">
        <v>0</v>
      </c>
      <c r="AF105" s="1161">
        <f>+CHEM_!AD32</f>
        <v>0</v>
      </c>
      <c r="AG105" s="1161">
        <f>+CHEM_!AJ32</f>
        <v>2292</v>
      </c>
      <c r="AH105" s="1160" t="str">
        <f>+DW_!E33</f>
        <v/>
      </c>
      <c r="AI105" s="1160" t="str">
        <f>+DW_!AA33</f>
        <v/>
      </c>
      <c r="AJ105" s="1160"/>
      <c r="AK105" s="1160"/>
      <c r="AL105" s="1160"/>
      <c r="AM105" s="1160"/>
      <c r="AN105" s="1160"/>
      <c r="AP105" s="1505">
        <f t="shared" si="74"/>
        <v>7</v>
      </c>
      <c r="AQ105" s="1136">
        <f>DMREZ!X33</f>
        <v>42392</v>
      </c>
      <c r="AR105" s="1152">
        <f t="shared" si="117"/>
        <v>94.9</v>
      </c>
      <c r="AS105" s="1151">
        <f t="shared" ca="1" si="118"/>
        <v>6</v>
      </c>
      <c r="AT105" s="1151">
        <f t="shared" ca="1" si="119"/>
        <v>5.7</v>
      </c>
      <c r="AU105" s="1151">
        <f t="shared" si="120"/>
        <v>1.9</v>
      </c>
      <c r="AV105" s="1151">
        <f t="shared" si="121"/>
        <v>0.7</v>
      </c>
      <c r="AW105" s="1151">
        <f t="shared" ca="1" si="122"/>
        <v>57.4</v>
      </c>
      <c r="AX105" s="1152">
        <f t="shared" si="123"/>
        <v>120</v>
      </c>
      <c r="AY105" s="1151">
        <f t="shared" si="124"/>
        <v>3.1</v>
      </c>
      <c r="AZ105" s="1151">
        <f t="shared" si="125"/>
        <v>85.3</v>
      </c>
      <c r="BA105" s="1151">
        <f t="shared" si="126"/>
        <v>1.7</v>
      </c>
      <c r="BB105" s="1151">
        <f t="shared" si="127"/>
        <v>71.900000000000006</v>
      </c>
      <c r="BC105" s="1152">
        <f t="shared" si="128"/>
        <v>2400</v>
      </c>
      <c r="BD105" s="1152">
        <f t="shared" si="129"/>
        <v>3950</v>
      </c>
      <c r="BE105" s="1152">
        <f t="shared" si="130"/>
        <v>2950</v>
      </c>
      <c r="BF105" s="1152">
        <f t="shared" si="131"/>
        <v>5500</v>
      </c>
      <c r="BG105" s="1151">
        <f t="shared" ca="1" si="132"/>
        <v>37.799999999999997</v>
      </c>
      <c r="BH105" s="1151">
        <f t="shared" ca="1" si="133"/>
        <v>21.4</v>
      </c>
      <c r="BI105" s="1152">
        <f t="shared" ca="1" si="134"/>
        <v>29676.9</v>
      </c>
      <c r="BJ105" s="1152">
        <f t="shared" ca="1" si="135"/>
        <v>17090.099999999999</v>
      </c>
      <c r="BK105" s="1152">
        <f t="shared" si="136"/>
        <v>1180</v>
      </c>
      <c r="BL105" s="1300">
        <f t="shared" si="137"/>
        <v>0.45</v>
      </c>
      <c r="BM105" s="1152">
        <f t="shared" si="138"/>
        <v>101.4</v>
      </c>
      <c r="BN105" s="1152">
        <f t="shared" si="139"/>
        <v>94</v>
      </c>
      <c r="BO105" s="1151">
        <f t="shared" si="140"/>
        <v>12.3</v>
      </c>
      <c r="BP105" s="1151">
        <f t="shared" si="141"/>
        <v>14.3</v>
      </c>
      <c r="BQ105" s="1151">
        <f t="shared" si="142"/>
        <v>4.8</v>
      </c>
      <c r="BR105" s="1151">
        <f t="shared" si="143"/>
        <v>57.8</v>
      </c>
      <c r="BS105" s="1152">
        <f t="shared" si="115"/>
        <v>0</v>
      </c>
      <c r="BT105" s="1152">
        <f t="shared" si="144"/>
        <v>0</v>
      </c>
      <c r="BU105" s="1152">
        <f t="shared" si="145"/>
        <v>0</v>
      </c>
      <c r="BV105" s="1152">
        <f t="shared" si="116"/>
        <v>1020</v>
      </c>
      <c r="BW105" s="1151" t="e">
        <f t="shared" si="146"/>
        <v>#DIV/0!</v>
      </c>
      <c r="BX105" s="1151" t="e">
        <f t="shared" si="147"/>
        <v>#DIV/0!</v>
      </c>
      <c r="BY105" s="1152"/>
      <c r="BZ105" s="1152"/>
      <c r="CA105" s="1151"/>
      <c r="CB105" s="1151"/>
      <c r="CC105" s="1151"/>
      <c r="CD105" s="585"/>
      <c r="CE105" s="585"/>
      <c r="CF105" s="585"/>
      <c r="CG105" s="585"/>
      <c r="CH105" s="585"/>
      <c r="CI105" s="585"/>
      <c r="CJ105" s="585"/>
      <c r="CK105" s="585"/>
      <c r="CL105" s="585"/>
      <c r="CM105" s="585"/>
      <c r="CN105" s="585"/>
      <c r="CO105" s="585"/>
      <c r="CP105" s="585"/>
      <c r="CQ105" s="719"/>
      <c r="CR105" s="719"/>
      <c r="CS105" s="719"/>
      <c r="CT105" s="719"/>
      <c r="CU105" s="719"/>
      <c r="DF105" s="578"/>
      <c r="DG105" s="578"/>
      <c r="DH105" s="578"/>
      <c r="DI105" s="578"/>
      <c r="DJ105" s="578"/>
      <c r="DL105" s="582"/>
      <c r="DM105" s="582"/>
      <c r="DN105" s="582"/>
      <c r="DO105" s="582"/>
      <c r="DP105" s="582"/>
      <c r="DQ105" s="582"/>
      <c r="DR105" s="582"/>
      <c r="DS105" s="583"/>
      <c r="DT105" s="583"/>
      <c r="DU105" s="583"/>
      <c r="DV105" s="583"/>
      <c r="DW105" s="583"/>
      <c r="DX105" s="582"/>
      <c r="DY105" s="582"/>
      <c r="DZ105" s="582"/>
      <c r="EA105" s="582"/>
      <c r="EB105" s="582"/>
      <c r="EC105" s="582"/>
      <c r="ED105" s="582"/>
      <c r="EE105" s="582"/>
      <c r="EF105" s="582"/>
      <c r="EG105" s="582"/>
      <c r="EH105" s="582"/>
      <c r="EI105" s="582"/>
      <c r="EJ105" s="582"/>
      <c r="EK105" s="582"/>
      <c r="EL105" s="582"/>
      <c r="EM105" s="582"/>
      <c r="EN105" s="582"/>
      <c r="EO105" s="582"/>
      <c r="EP105" s="582"/>
      <c r="EQ105" s="582"/>
      <c r="ER105" s="582"/>
      <c r="ES105" s="582"/>
      <c r="ET105" s="582"/>
      <c r="EU105" s="582"/>
      <c r="EV105" s="582"/>
      <c r="EW105" s="582"/>
      <c r="EX105" s="582"/>
      <c r="EY105" s="582"/>
      <c r="EZ105" s="582"/>
      <c r="FA105" s="582"/>
      <c r="FB105" s="582"/>
      <c r="FC105" s="582"/>
      <c r="FD105" s="582"/>
      <c r="FE105" s="582"/>
      <c r="IV105" s="578"/>
    </row>
    <row r="106" spans="1:256" ht="17.100000000000001" customHeight="1">
      <c r="A106" s="1138">
        <f t="shared" si="72"/>
        <v>42393</v>
      </c>
      <c r="B106" s="1157">
        <f>DMREZ!D34</f>
        <v>42393</v>
      </c>
      <c r="C106" s="1145">
        <f>+AT_!CM34</f>
        <v>99.4</v>
      </c>
      <c r="D106" s="1144">
        <f ca="1">+AT_!AR34</f>
        <v>3.9713182909413498</v>
      </c>
      <c r="E106" s="1144">
        <f ca="1">+AT_!AS34</f>
        <v>5.3240112115298972</v>
      </c>
      <c r="F106" s="1160">
        <f>+AT_!U34</f>
        <v>1.3333333333333333</v>
      </c>
      <c r="G106" s="1160">
        <f>+AT_!V34</f>
        <v>0.61702127659574468</v>
      </c>
      <c r="H106" s="1144">
        <f ca="1">IF(B106&gt;TODAY()-2,"",+AT_!DJ34)</f>
        <v>63.8</v>
      </c>
      <c r="I106" s="1145" t="str">
        <f t="shared" si="111"/>
        <v/>
      </c>
      <c r="J106" s="1145" t="str">
        <f t="shared" si="104"/>
        <v/>
      </c>
      <c r="K106" s="1144" t="str">
        <f>+AT_!AH34</f>
        <v/>
      </c>
      <c r="L106" s="1144" t="str">
        <f>+AT_!AI34</f>
        <v/>
      </c>
      <c r="M106" s="1144" t="str">
        <f>+AT_!AJ34</f>
        <v/>
      </c>
      <c r="N106" s="1144" t="str">
        <f>+AT_!AK34</f>
        <v/>
      </c>
      <c r="O106" s="1161">
        <f t="shared" si="105"/>
        <v>2400</v>
      </c>
      <c r="P106" s="1161">
        <f t="shared" si="105"/>
        <v>2900</v>
      </c>
      <c r="Q106" s="1161">
        <f t="shared" si="105"/>
        <v>2600</v>
      </c>
      <c r="R106" s="1161">
        <f t="shared" si="105"/>
        <v>4900</v>
      </c>
      <c r="S106" s="1144">
        <f ca="1">+DMREZ!CY34</f>
        <v>32.200000000000003</v>
      </c>
      <c r="T106" s="1144">
        <f ca="1">+DMREZ!CZ34</f>
        <v>22</v>
      </c>
      <c r="U106" s="1145">
        <f ca="1">+DMREZ!DA34</f>
        <v>32225.760000000002</v>
      </c>
      <c r="V106" s="1145">
        <f ca="1">+DMREZ!DB34</f>
        <v>22017.599999999999</v>
      </c>
      <c r="W106" s="1145">
        <f>+CHEM_!G33</f>
        <v>1800</v>
      </c>
      <c r="X106" s="1799">
        <f>+DMREZ!AC34</f>
        <v>0.48</v>
      </c>
      <c r="Y106" s="1500">
        <f t="shared" si="112"/>
        <v>102</v>
      </c>
      <c r="Z106" s="1160">
        <f>+AT_!CZ34</f>
        <v>5.9</v>
      </c>
      <c r="AA106" s="1160">
        <f>+AT_!DA34</f>
        <v>8.4</v>
      </c>
      <c r="AB106" s="1160">
        <f t="shared" si="113"/>
        <v>6.8925000000000001</v>
      </c>
      <c r="AC106" s="1160">
        <f t="shared" si="114"/>
        <v>57.731999999999999</v>
      </c>
      <c r="AD106" s="1160">
        <f>+CHEM_!AN33</f>
        <v>0</v>
      </c>
      <c r="AE106" s="1161">
        <v>0</v>
      </c>
      <c r="AF106" s="1161">
        <f>+CHEM_!AD33</f>
        <v>0</v>
      </c>
      <c r="AG106" s="1161">
        <f>+CHEM_!AJ33</f>
        <v>1021.5</v>
      </c>
      <c r="AH106" s="1160" t="str">
        <f>+DW_!E34</f>
        <v/>
      </c>
      <c r="AI106" s="1160" t="str">
        <f>+DW_!AA34</f>
        <v/>
      </c>
      <c r="AJ106" s="1160"/>
      <c r="AK106" s="1160"/>
      <c r="AL106" s="1160"/>
      <c r="AM106" s="1160"/>
      <c r="AN106" s="1160"/>
      <c r="AP106" s="1505">
        <f t="shared" si="74"/>
        <v>1</v>
      </c>
      <c r="AQ106" s="1136">
        <f>DMREZ!X34</f>
        <v>42393</v>
      </c>
      <c r="AR106" s="1152" t="str">
        <f t="shared" si="117"/>
        <v/>
      </c>
      <c r="AS106" s="1151" t="str">
        <f t="shared" si="118"/>
        <v/>
      </c>
      <c r="AT106" s="1151" t="str">
        <f t="shared" si="119"/>
        <v/>
      </c>
      <c r="AU106" s="1151" t="str">
        <f t="shared" si="120"/>
        <v/>
      </c>
      <c r="AV106" s="1151" t="str">
        <f t="shared" si="121"/>
        <v/>
      </c>
      <c r="AW106" s="1151" t="str">
        <f t="shared" si="122"/>
        <v/>
      </c>
      <c r="AX106" s="1152" t="str">
        <f t="shared" si="123"/>
        <v/>
      </c>
      <c r="AY106" s="1151" t="str">
        <f t="shared" si="124"/>
        <v/>
      </c>
      <c r="AZ106" s="1151" t="str">
        <f t="shared" si="125"/>
        <v/>
      </c>
      <c r="BA106" s="1151" t="str">
        <f t="shared" si="126"/>
        <v/>
      </c>
      <c r="BB106" s="1151" t="str">
        <f t="shared" si="127"/>
        <v/>
      </c>
      <c r="BC106" s="1152" t="str">
        <f t="shared" si="128"/>
        <v/>
      </c>
      <c r="BD106" s="1152" t="str">
        <f t="shared" si="129"/>
        <v/>
      </c>
      <c r="BE106" s="1152" t="str">
        <f t="shared" si="130"/>
        <v/>
      </c>
      <c r="BF106" s="1152" t="str">
        <f t="shared" si="131"/>
        <v/>
      </c>
      <c r="BG106" s="1151" t="str">
        <f t="shared" si="132"/>
        <v/>
      </c>
      <c r="BH106" s="1151" t="str">
        <f t="shared" si="133"/>
        <v/>
      </c>
      <c r="BI106" s="1152" t="str">
        <f t="shared" si="134"/>
        <v/>
      </c>
      <c r="BJ106" s="1152" t="str">
        <f t="shared" si="135"/>
        <v/>
      </c>
      <c r="BK106" s="1152" t="str">
        <f t="shared" si="136"/>
        <v/>
      </c>
      <c r="BL106" s="1300" t="str">
        <f t="shared" si="137"/>
        <v/>
      </c>
      <c r="BM106" s="1152" t="str">
        <f t="shared" si="138"/>
        <v/>
      </c>
      <c r="BN106" s="1152" t="str">
        <f t="shared" si="139"/>
        <v/>
      </c>
      <c r="BO106" s="1151" t="str">
        <f t="shared" si="140"/>
        <v/>
      </c>
      <c r="BP106" s="1151" t="str">
        <f t="shared" si="141"/>
        <v/>
      </c>
      <c r="BQ106" s="1151" t="str">
        <f t="shared" si="142"/>
        <v/>
      </c>
      <c r="BR106" s="1151" t="str">
        <f t="shared" si="143"/>
        <v/>
      </c>
      <c r="BS106" s="1152" t="str">
        <f t="shared" si="115"/>
        <v/>
      </c>
      <c r="BT106" s="1152" t="str">
        <f t="shared" si="144"/>
        <v/>
      </c>
      <c r="BU106" s="1152" t="str">
        <f t="shared" si="145"/>
        <v/>
      </c>
      <c r="BV106" s="1152" t="str">
        <f t="shared" si="116"/>
        <v/>
      </c>
      <c r="BW106" s="1151" t="str">
        <f t="shared" si="146"/>
        <v/>
      </c>
      <c r="BX106" s="1151" t="str">
        <f t="shared" si="147"/>
        <v/>
      </c>
      <c r="BY106" s="1152"/>
      <c r="BZ106" s="1152"/>
      <c r="CA106" s="1151"/>
      <c r="CB106" s="1151"/>
      <c r="CC106" s="1151"/>
      <c r="CD106" s="809"/>
      <c r="CE106" s="809"/>
      <c r="CF106" s="809"/>
      <c r="CG106" s="809"/>
      <c r="CH106" s="809"/>
      <c r="CI106" s="809"/>
      <c r="CJ106" s="809"/>
      <c r="CK106" s="809"/>
      <c r="CL106" s="585"/>
      <c r="CM106" s="585"/>
      <c r="CN106" s="585"/>
      <c r="CO106" s="585"/>
      <c r="CP106" s="585"/>
      <c r="CQ106" s="719"/>
      <c r="CR106" s="719"/>
      <c r="CS106" s="719"/>
      <c r="CT106" s="719"/>
      <c r="CU106" s="719"/>
      <c r="DF106" s="578"/>
      <c r="DG106" s="578"/>
      <c r="DH106" s="578"/>
      <c r="DI106" s="578"/>
      <c r="DJ106" s="578"/>
      <c r="DL106" s="582"/>
      <c r="DM106" s="582"/>
      <c r="DN106" s="582"/>
      <c r="DO106" s="582"/>
      <c r="DP106" s="582"/>
      <c r="DQ106" s="582"/>
      <c r="DR106" s="582"/>
      <c r="DS106" s="583"/>
      <c r="DT106" s="583"/>
      <c r="DU106" s="583"/>
      <c r="DV106" s="583"/>
      <c r="DW106" s="583"/>
      <c r="DX106" s="582"/>
      <c r="DY106" s="582"/>
      <c r="DZ106" s="582"/>
      <c r="EA106" s="582"/>
      <c r="EB106" s="582"/>
      <c r="EC106" s="582"/>
      <c r="ED106" s="582"/>
      <c r="EE106" s="582"/>
      <c r="EF106" s="582"/>
      <c r="EG106" s="582"/>
      <c r="EH106" s="582"/>
      <c r="EI106" s="582"/>
      <c r="EJ106" s="582"/>
      <c r="EK106" s="582"/>
      <c r="EL106" s="582"/>
      <c r="EM106" s="582"/>
      <c r="EN106" s="582"/>
      <c r="EO106" s="582"/>
      <c r="EP106" s="582"/>
      <c r="EQ106" s="582"/>
      <c r="ER106" s="582"/>
      <c r="ES106" s="582"/>
      <c r="ET106" s="582"/>
      <c r="EU106" s="582"/>
      <c r="EV106" s="582"/>
      <c r="EW106" s="582"/>
      <c r="EX106" s="582"/>
      <c r="EY106" s="582"/>
      <c r="EZ106" s="582"/>
      <c r="FA106" s="582"/>
      <c r="FB106" s="582"/>
      <c r="FC106" s="582"/>
      <c r="FD106" s="582"/>
      <c r="FE106" s="582"/>
      <c r="IV106" s="578"/>
    </row>
    <row r="107" spans="1:256" ht="17.100000000000001" customHeight="1">
      <c r="A107" s="1138">
        <f t="shared" si="72"/>
        <v>42394</v>
      </c>
      <c r="B107" s="1157">
        <f>DMREZ!D35</f>
        <v>42394</v>
      </c>
      <c r="C107" s="1145">
        <f>+AT_!CM35</f>
        <v>98</v>
      </c>
      <c r="D107" s="1144">
        <f ca="1">+AT_!AR35</f>
        <v>5.3128761276194432</v>
      </c>
      <c r="E107" s="1144">
        <f ca="1">+AT_!AS35</f>
        <v>7.6118920189942534</v>
      </c>
      <c r="F107" s="1160">
        <f>+AT_!U35</f>
        <v>1.9</v>
      </c>
      <c r="G107" s="1160">
        <f>+AT_!V35</f>
        <v>1.0434782608695652</v>
      </c>
      <c r="H107" s="1144">
        <f ca="1">IF(B107&gt;TODAY()-2,"",+AT_!DJ35)</f>
        <v>49.6</v>
      </c>
      <c r="I107" s="1145" t="str">
        <f t="shared" si="111"/>
        <v/>
      </c>
      <c r="J107" s="1145" t="str">
        <f t="shared" si="104"/>
        <v/>
      </c>
      <c r="K107" s="1144">
        <f>+AT_!AH35</f>
        <v>4.4000000000000004</v>
      </c>
      <c r="L107" s="1144">
        <f>+AT_!AI35</f>
        <v>79.5</v>
      </c>
      <c r="M107" s="1144">
        <f>+AT_!AJ35</f>
        <v>1.79</v>
      </c>
      <c r="N107" s="1144">
        <f>+AT_!AK35</f>
        <v>69.400000000000006</v>
      </c>
      <c r="O107" s="1161">
        <f t="shared" si="105"/>
        <v>1900</v>
      </c>
      <c r="P107" s="1161">
        <f t="shared" si="105"/>
        <v>2400</v>
      </c>
      <c r="Q107" s="1161">
        <f t="shared" si="105"/>
        <v>2300</v>
      </c>
      <c r="R107" s="1161">
        <f t="shared" si="105"/>
        <v>4500</v>
      </c>
      <c r="S107" s="1144">
        <f ca="1">+DMREZ!CY35</f>
        <v>34.4</v>
      </c>
      <c r="T107" s="1144">
        <f ca="1">+DMREZ!CZ35</f>
        <v>16.5</v>
      </c>
      <c r="U107" s="1145">
        <f ca="1">+DMREZ!DA35</f>
        <v>30410.975999999995</v>
      </c>
      <c r="V107" s="1145">
        <f ca="1">+DMREZ!DB35</f>
        <v>14586.659999999998</v>
      </c>
      <c r="W107" s="1145">
        <f>+CHEM_!G34</f>
        <v>1320</v>
      </c>
      <c r="X107" s="1799">
        <f>+DMREZ!AC35</f>
        <v>0.43</v>
      </c>
      <c r="Y107" s="1500">
        <f t="shared" si="112"/>
        <v>103</v>
      </c>
      <c r="Z107" s="1160">
        <f>+AT_!CZ35</f>
        <v>6</v>
      </c>
      <c r="AA107" s="1160">
        <f>+AT_!DA35</f>
        <v>8.3000000000000007</v>
      </c>
      <c r="AB107" s="1160">
        <f t="shared" si="113"/>
        <v>5.75</v>
      </c>
      <c r="AC107" s="1160">
        <f t="shared" si="114"/>
        <v>57.61992</v>
      </c>
      <c r="AD107" s="1160">
        <f>+CHEM_!AN34</f>
        <v>0</v>
      </c>
      <c r="AE107" s="1161">
        <v>0</v>
      </c>
      <c r="AF107" s="1161">
        <f>+CHEM_!AD34</f>
        <v>0</v>
      </c>
      <c r="AG107" s="1161">
        <f>+CHEM_!AJ34</f>
        <v>1057.5</v>
      </c>
      <c r="AH107" s="1160" t="str">
        <f>+DW_!E35</f>
        <v/>
      </c>
      <c r="AI107" s="1160" t="str">
        <f>+DW_!AA35</f>
        <v/>
      </c>
      <c r="AJ107" s="1160"/>
      <c r="AK107" s="1160"/>
      <c r="AL107" s="1160"/>
      <c r="AM107" s="1160"/>
      <c r="AN107" s="1160"/>
      <c r="AP107" s="1505">
        <f t="shared" si="74"/>
        <v>2</v>
      </c>
      <c r="AQ107" s="1136">
        <f>DMREZ!X35</f>
        <v>42394</v>
      </c>
      <c r="AR107" s="1152" t="str">
        <f t="shared" si="117"/>
        <v/>
      </c>
      <c r="AS107" s="1151" t="str">
        <f t="shared" si="118"/>
        <v/>
      </c>
      <c r="AT107" s="1151" t="str">
        <f t="shared" si="119"/>
        <v/>
      </c>
      <c r="AU107" s="1151" t="str">
        <f t="shared" si="120"/>
        <v/>
      </c>
      <c r="AV107" s="1151" t="str">
        <f t="shared" si="121"/>
        <v/>
      </c>
      <c r="AW107" s="1151" t="str">
        <f t="shared" si="122"/>
        <v/>
      </c>
      <c r="AX107" s="1152" t="str">
        <f t="shared" si="123"/>
        <v/>
      </c>
      <c r="AY107" s="1151" t="str">
        <f t="shared" si="124"/>
        <v/>
      </c>
      <c r="AZ107" s="1151" t="str">
        <f t="shared" si="125"/>
        <v/>
      </c>
      <c r="BA107" s="1151" t="str">
        <f t="shared" si="126"/>
        <v/>
      </c>
      <c r="BB107" s="1151" t="str">
        <f t="shared" si="127"/>
        <v/>
      </c>
      <c r="BC107" s="1152" t="str">
        <f t="shared" si="128"/>
        <v/>
      </c>
      <c r="BD107" s="1152" t="str">
        <f t="shared" si="129"/>
        <v/>
      </c>
      <c r="BE107" s="1152" t="str">
        <f t="shared" si="130"/>
        <v/>
      </c>
      <c r="BF107" s="1152" t="str">
        <f t="shared" si="131"/>
        <v/>
      </c>
      <c r="BG107" s="1151" t="str">
        <f t="shared" si="132"/>
        <v/>
      </c>
      <c r="BH107" s="1151" t="str">
        <f t="shared" si="133"/>
        <v/>
      </c>
      <c r="BI107" s="1152" t="str">
        <f t="shared" si="134"/>
        <v/>
      </c>
      <c r="BJ107" s="1152" t="str">
        <f t="shared" si="135"/>
        <v/>
      </c>
      <c r="BK107" s="1152" t="str">
        <f t="shared" si="136"/>
        <v/>
      </c>
      <c r="BL107" s="1300" t="str">
        <f t="shared" si="137"/>
        <v/>
      </c>
      <c r="BM107" s="1152" t="str">
        <f t="shared" si="138"/>
        <v/>
      </c>
      <c r="BN107" s="1152" t="str">
        <f t="shared" si="139"/>
        <v/>
      </c>
      <c r="BO107" s="1151" t="str">
        <f t="shared" si="140"/>
        <v/>
      </c>
      <c r="BP107" s="1151" t="str">
        <f t="shared" si="141"/>
        <v/>
      </c>
      <c r="BQ107" s="1151" t="str">
        <f t="shared" si="142"/>
        <v/>
      </c>
      <c r="BR107" s="1151" t="str">
        <f t="shared" si="143"/>
        <v/>
      </c>
      <c r="BS107" s="1152" t="str">
        <f t="shared" si="115"/>
        <v/>
      </c>
      <c r="BT107" s="1152" t="str">
        <f t="shared" si="144"/>
        <v/>
      </c>
      <c r="BU107" s="1152" t="str">
        <f t="shared" si="145"/>
        <v/>
      </c>
      <c r="BV107" s="1152" t="str">
        <f t="shared" si="116"/>
        <v/>
      </c>
      <c r="BW107" s="1151" t="str">
        <f t="shared" si="146"/>
        <v/>
      </c>
      <c r="BX107" s="1151" t="str">
        <f t="shared" si="147"/>
        <v/>
      </c>
      <c r="BY107" s="1152"/>
      <c r="BZ107" s="1152"/>
      <c r="CA107" s="1151"/>
      <c r="CB107" s="1151"/>
      <c r="CC107" s="1151"/>
      <c r="CD107" s="585"/>
      <c r="CE107" s="585"/>
      <c r="CF107" s="585"/>
      <c r="CG107" s="585"/>
      <c r="CH107" s="585"/>
      <c r="CI107" s="585"/>
      <c r="CJ107" s="585"/>
      <c r="CK107" s="585"/>
      <c r="CL107" s="585"/>
      <c r="CM107" s="585"/>
      <c r="CN107" s="585"/>
      <c r="CO107" s="585"/>
      <c r="CP107" s="585"/>
      <c r="DF107" s="578"/>
      <c r="DG107" s="578"/>
      <c r="DH107" s="578"/>
      <c r="DI107" s="578"/>
      <c r="DJ107" s="578"/>
      <c r="DL107" s="582"/>
      <c r="DM107" s="582"/>
      <c r="DN107" s="582"/>
      <c r="DO107" s="582"/>
      <c r="DP107" s="582"/>
      <c r="DQ107" s="582"/>
      <c r="DR107" s="582"/>
      <c r="DS107" s="583"/>
      <c r="DT107" s="583"/>
      <c r="DU107" s="583"/>
      <c r="DV107" s="583"/>
      <c r="DW107" s="583"/>
      <c r="DX107" s="582"/>
      <c r="DY107" s="582"/>
      <c r="DZ107" s="582"/>
      <c r="EA107" s="582"/>
      <c r="EB107" s="582"/>
      <c r="EC107" s="582"/>
      <c r="ED107" s="582"/>
      <c r="EE107" s="582"/>
      <c r="EF107" s="582"/>
      <c r="EG107" s="582"/>
      <c r="EH107" s="582"/>
      <c r="EI107" s="582"/>
      <c r="EJ107" s="582"/>
      <c r="EK107" s="582"/>
      <c r="EL107" s="582"/>
      <c r="EM107" s="582"/>
      <c r="EN107" s="582"/>
      <c r="EO107" s="582"/>
      <c r="EP107" s="582"/>
      <c r="EQ107" s="582"/>
      <c r="ER107" s="582"/>
      <c r="ES107" s="582"/>
      <c r="ET107" s="582"/>
      <c r="EU107" s="582"/>
      <c r="EV107" s="582"/>
      <c r="EW107" s="582"/>
      <c r="EX107" s="582"/>
      <c r="EY107" s="582"/>
      <c r="EZ107" s="582"/>
      <c r="FA107" s="582"/>
      <c r="FB107" s="582"/>
      <c r="FC107" s="582"/>
      <c r="FD107" s="582"/>
      <c r="FE107" s="582"/>
      <c r="IV107" s="578"/>
    </row>
    <row r="108" spans="1:256" ht="17.100000000000001" customHeight="1">
      <c r="A108" s="1138">
        <f t="shared" si="72"/>
        <v>42395</v>
      </c>
      <c r="B108" s="1157">
        <f>DMREZ!D36</f>
        <v>42395</v>
      </c>
      <c r="C108" s="1145">
        <f>+AT_!CM36</f>
        <v>94.4</v>
      </c>
      <c r="D108" s="1144">
        <f ca="1">+AT_!AR36</f>
        <v>7.1349488957037375</v>
      </c>
      <c r="E108" s="1144">
        <f ca="1">+AT_!AS36</f>
        <v>4.6859749011724094</v>
      </c>
      <c r="F108" s="1160">
        <f>+AT_!U36</f>
        <v>2.3333333333333335</v>
      </c>
      <c r="G108" s="1160">
        <f>+AT_!V36</f>
        <v>0.90909090909090906</v>
      </c>
      <c r="H108" s="1144">
        <f ca="1">IF(B108&gt;TODAY()-2,"",+AT_!DJ36)</f>
        <v>29.4</v>
      </c>
      <c r="I108" s="1145">
        <f t="shared" si="111"/>
        <v>1550</v>
      </c>
      <c r="J108" s="1145">
        <f t="shared" si="104"/>
        <v>1510</v>
      </c>
      <c r="K108" s="1144">
        <f>+AT_!AH36</f>
        <v>3.91</v>
      </c>
      <c r="L108" s="1144">
        <f>+AT_!AI36</f>
        <v>81.3</v>
      </c>
      <c r="M108" s="1144">
        <f>+AT_!AJ36</f>
        <v>1.7</v>
      </c>
      <c r="N108" s="1144">
        <f>+AT_!AK36</f>
        <v>67.400000000000006</v>
      </c>
      <c r="O108" s="1161">
        <f t="shared" si="105"/>
        <v>2800</v>
      </c>
      <c r="P108" s="1161">
        <f t="shared" si="105"/>
        <v>3000</v>
      </c>
      <c r="Q108" s="1161">
        <f t="shared" si="105"/>
        <v>3800</v>
      </c>
      <c r="R108" s="1161">
        <f t="shared" si="105"/>
        <v>4000</v>
      </c>
      <c r="S108" s="1144">
        <f ca="1">+DMREZ!CY36</f>
        <v>34.299999999999997</v>
      </c>
      <c r="T108" s="1144">
        <f ca="1">+DMREZ!CZ36</f>
        <v>16.3</v>
      </c>
      <c r="U108" s="1145">
        <f ca="1">+DMREZ!DA36</f>
        <v>46055.981999999996</v>
      </c>
      <c r="V108" s="1145">
        <f ca="1">+DMREZ!DB36</f>
        <v>21886.662</v>
      </c>
      <c r="W108" s="1145">
        <f>+CHEM_!G35</f>
        <v>1210</v>
      </c>
      <c r="X108" s="1799">
        <f>+DMREZ!AC36</f>
        <v>0.41</v>
      </c>
      <c r="Y108" s="1500">
        <f t="shared" si="112"/>
        <v>100</v>
      </c>
      <c r="Z108" s="1160">
        <f>+AT_!CZ36</f>
        <v>9.9</v>
      </c>
      <c r="AA108" s="1160">
        <f>+AT_!DA36</f>
        <v>4.0999999999999996</v>
      </c>
      <c r="AB108" s="1160">
        <f t="shared" si="113"/>
        <v>6.2225000000000001</v>
      </c>
      <c r="AC108" s="1160">
        <f t="shared" si="114"/>
        <v>53.244</v>
      </c>
      <c r="AD108" s="1160">
        <f>+CHEM_!AN35</f>
        <v>0</v>
      </c>
      <c r="AE108" s="1161">
        <v>0</v>
      </c>
      <c r="AF108" s="1161">
        <f>+CHEM_!AD35</f>
        <v>0</v>
      </c>
      <c r="AG108" s="1161">
        <f>+CHEM_!AJ35</f>
        <v>916.5</v>
      </c>
      <c r="AH108" s="1160" t="str">
        <f>+DW_!E36</f>
        <v/>
      </c>
      <c r="AI108" s="1160" t="str">
        <f>+DW_!AA36</f>
        <v/>
      </c>
      <c r="AJ108" s="1160"/>
      <c r="AK108" s="1160"/>
      <c r="AL108" s="1160"/>
      <c r="AM108" s="1160"/>
      <c r="AN108" s="1160"/>
      <c r="AP108" s="1505">
        <f t="shared" si="74"/>
        <v>3</v>
      </c>
      <c r="AQ108" s="1136">
        <f>DMREZ!X36</f>
        <v>42395</v>
      </c>
      <c r="AR108" s="1152" t="str">
        <f t="shared" si="117"/>
        <v/>
      </c>
      <c r="AS108" s="1151" t="str">
        <f t="shared" si="118"/>
        <v/>
      </c>
      <c r="AT108" s="1151" t="str">
        <f t="shared" si="119"/>
        <v/>
      </c>
      <c r="AU108" s="1151" t="str">
        <f t="shared" si="120"/>
        <v/>
      </c>
      <c r="AV108" s="1151" t="str">
        <f t="shared" si="121"/>
        <v/>
      </c>
      <c r="AW108" s="1151" t="str">
        <f t="shared" si="122"/>
        <v/>
      </c>
      <c r="AX108" s="1152" t="str">
        <f t="shared" si="123"/>
        <v/>
      </c>
      <c r="AY108" s="1151" t="str">
        <f t="shared" si="124"/>
        <v/>
      </c>
      <c r="AZ108" s="1151" t="str">
        <f t="shared" si="125"/>
        <v/>
      </c>
      <c r="BA108" s="1151" t="str">
        <f t="shared" si="126"/>
        <v/>
      </c>
      <c r="BB108" s="1151" t="str">
        <f t="shared" si="127"/>
        <v/>
      </c>
      <c r="BC108" s="1152" t="str">
        <f t="shared" si="128"/>
        <v/>
      </c>
      <c r="BD108" s="1152" t="str">
        <f t="shared" si="129"/>
        <v/>
      </c>
      <c r="BE108" s="1152" t="str">
        <f t="shared" si="130"/>
        <v/>
      </c>
      <c r="BF108" s="1152" t="str">
        <f t="shared" si="131"/>
        <v/>
      </c>
      <c r="BG108" s="1151" t="str">
        <f t="shared" si="132"/>
        <v/>
      </c>
      <c r="BH108" s="1151" t="str">
        <f t="shared" si="133"/>
        <v/>
      </c>
      <c r="BI108" s="1152" t="str">
        <f t="shared" si="134"/>
        <v/>
      </c>
      <c r="BJ108" s="1152" t="str">
        <f t="shared" si="135"/>
        <v/>
      </c>
      <c r="BK108" s="1152" t="str">
        <f t="shared" si="136"/>
        <v/>
      </c>
      <c r="BL108" s="1300" t="str">
        <f t="shared" si="137"/>
        <v/>
      </c>
      <c r="BM108" s="1152" t="str">
        <f t="shared" si="138"/>
        <v/>
      </c>
      <c r="BN108" s="1152" t="str">
        <f t="shared" si="139"/>
        <v/>
      </c>
      <c r="BO108" s="1151" t="str">
        <f t="shared" si="140"/>
        <v/>
      </c>
      <c r="BP108" s="1151" t="str">
        <f t="shared" si="141"/>
        <v/>
      </c>
      <c r="BQ108" s="1151" t="str">
        <f t="shared" si="142"/>
        <v/>
      </c>
      <c r="BR108" s="1151" t="str">
        <f t="shared" si="143"/>
        <v/>
      </c>
      <c r="BS108" s="1152" t="str">
        <f t="shared" si="115"/>
        <v/>
      </c>
      <c r="BT108" s="1152" t="str">
        <f t="shared" si="144"/>
        <v/>
      </c>
      <c r="BU108" s="1152" t="str">
        <f t="shared" si="145"/>
        <v/>
      </c>
      <c r="BV108" s="1152" t="str">
        <f t="shared" si="116"/>
        <v/>
      </c>
      <c r="BW108" s="1151" t="str">
        <f t="shared" si="146"/>
        <v/>
      </c>
      <c r="BX108" s="1151" t="str">
        <f t="shared" si="147"/>
        <v/>
      </c>
      <c r="BY108" s="1152"/>
      <c r="BZ108" s="1152"/>
      <c r="CA108" s="1151"/>
      <c r="CB108" s="1151"/>
      <c r="CC108" s="1151"/>
      <c r="CD108" s="809"/>
      <c r="CE108" s="809"/>
      <c r="CF108" s="809"/>
      <c r="CG108" s="809"/>
      <c r="CH108" s="809"/>
      <c r="CI108" s="809"/>
      <c r="CJ108" s="809"/>
      <c r="CK108" s="809"/>
      <c r="CL108" s="585"/>
      <c r="CM108" s="585"/>
      <c r="CN108" s="585"/>
      <c r="CO108" s="585"/>
      <c r="CP108" s="585"/>
      <c r="DF108" s="578"/>
      <c r="DG108" s="578"/>
      <c r="DH108" s="578"/>
      <c r="DI108" s="578"/>
      <c r="DJ108" s="578"/>
      <c r="DL108" s="582"/>
      <c r="DM108" s="582"/>
      <c r="DN108" s="582"/>
      <c r="DO108" s="582"/>
      <c r="DP108" s="582"/>
      <c r="DQ108" s="582"/>
      <c r="DR108" s="582"/>
      <c r="DS108" s="583"/>
      <c r="DT108" s="583"/>
      <c r="DU108" s="583"/>
      <c r="DV108" s="583"/>
      <c r="DW108" s="583"/>
      <c r="DX108" s="582"/>
      <c r="DY108" s="582"/>
      <c r="DZ108" s="582"/>
      <c r="EA108" s="582"/>
      <c r="EB108" s="582"/>
      <c r="EC108" s="582"/>
      <c r="ED108" s="582"/>
      <c r="EE108" s="582"/>
      <c r="EF108" s="582"/>
      <c r="EG108" s="582"/>
      <c r="EH108" s="582"/>
      <c r="EI108" s="582"/>
      <c r="EJ108" s="582"/>
      <c r="EK108" s="582"/>
      <c r="EL108" s="582"/>
      <c r="EM108" s="582"/>
      <c r="EN108" s="582"/>
      <c r="EO108" s="582"/>
      <c r="EP108" s="582"/>
      <c r="EQ108" s="582"/>
      <c r="ER108" s="582"/>
      <c r="ES108" s="582"/>
      <c r="ET108" s="582"/>
      <c r="EU108" s="582"/>
      <c r="EV108" s="582"/>
      <c r="EW108" s="582"/>
      <c r="EX108" s="582"/>
      <c r="EY108" s="582"/>
      <c r="EZ108" s="582"/>
      <c r="FA108" s="582"/>
      <c r="FB108" s="582"/>
      <c r="FC108" s="582"/>
      <c r="FD108" s="582"/>
      <c r="FE108" s="582"/>
      <c r="IV108" s="578"/>
    </row>
    <row r="109" spans="1:256" ht="17.100000000000001" customHeight="1">
      <c r="A109" s="1138">
        <f t="shared" si="72"/>
        <v>42396</v>
      </c>
      <c r="B109" s="1157">
        <f>DMREZ!D37</f>
        <v>42396</v>
      </c>
      <c r="C109" s="1145">
        <f>+AT_!CM37</f>
        <v>86.8</v>
      </c>
      <c r="D109" s="1144">
        <f ca="1">+AT_!AR37</f>
        <v>6.160796128681203</v>
      </c>
      <c r="E109" s="1144">
        <f ca="1">+AT_!AS37</f>
        <v>5.8021582940280769</v>
      </c>
      <c r="F109" s="1160">
        <f>+AT_!U37</f>
        <v>1.7333333333333334</v>
      </c>
      <c r="G109" s="1160">
        <f>+AT_!V37</f>
        <v>0.92592592592592593</v>
      </c>
      <c r="H109" s="1144">
        <f ca="1">IF(B109&gt;TODAY()-2,"",+AT_!DJ37)</f>
        <v>45</v>
      </c>
      <c r="I109" s="1145" t="str">
        <f t="shared" si="111"/>
        <v/>
      </c>
      <c r="J109" s="1145" t="str">
        <f t="shared" si="104"/>
        <v/>
      </c>
      <c r="K109" s="1144">
        <f>+AT_!AH37</f>
        <v>3.93</v>
      </c>
      <c r="L109" s="1144">
        <f>+AT_!AI37</f>
        <v>80.400000000000006</v>
      </c>
      <c r="M109" s="1144">
        <f>+AT_!AJ37</f>
        <v>1.56</v>
      </c>
      <c r="N109" s="1144">
        <f>+AT_!AK37</f>
        <v>71.8</v>
      </c>
      <c r="O109" s="1161">
        <f t="shared" si="105"/>
        <v>2600</v>
      </c>
      <c r="P109" s="1161">
        <f t="shared" si="105"/>
        <v>2500</v>
      </c>
      <c r="Q109" s="1161">
        <f t="shared" si="105"/>
        <v>4200</v>
      </c>
      <c r="R109" s="1161">
        <f t="shared" si="105"/>
        <v>5000</v>
      </c>
      <c r="S109" s="1144">
        <f ca="1">+DMREZ!CY37</f>
        <v>25.5</v>
      </c>
      <c r="T109" s="1144">
        <f ca="1">+DMREZ!CZ37</f>
        <v>13.8</v>
      </c>
      <c r="U109" s="1145">
        <f ca="1">+DMREZ!DA37</f>
        <v>29773.8</v>
      </c>
      <c r="V109" s="1145">
        <f ca="1">+DMREZ!DB37</f>
        <v>16112.88</v>
      </c>
      <c r="W109" s="1145">
        <f>+CHEM_!G36</f>
        <v>1270</v>
      </c>
      <c r="X109" s="1799">
        <f>+DMREZ!AC37</f>
        <v>0.45</v>
      </c>
      <c r="Y109" s="1500">
        <f t="shared" si="112"/>
        <v>104</v>
      </c>
      <c r="Z109" s="1160">
        <f>+AT_!CZ37</f>
        <v>7.1</v>
      </c>
      <c r="AA109" s="1160">
        <f>+AT_!DA37</f>
        <v>11.9</v>
      </c>
      <c r="AB109" s="1160">
        <f t="shared" si="113"/>
        <v>7.6025</v>
      </c>
      <c r="AC109" s="1160">
        <f t="shared" si="114"/>
        <v>51.844080000000005</v>
      </c>
      <c r="AD109" s="1160">
        <f>+CHEM_!AN36</f>
        <v>0</v>
      </c>
      <c r="AE109" s="1161">
        <v>0</v>
      </c>
      <c r="AF109" s="1161">
        <f>+CHEM_!AD36</f>
        <v>0</v>
      </c>
      <c r="AG109" s="1161">
        <f>+CHEM_!AJ36</f>
        <v>1890</v>
      </c>
      <c r="AH109" s="1160" t="str">
        <f>+DW_!E37</f>
        <v/>
      </c>
      <c r="AI109" s="1160" t="str">
        <f>+DW_!AA37</f>
        <v/>
      </c>
      <c r="AJ109" s="1160"/>
      <c r="AK109" s="1160"/>
      <c r="AL109" s="1160"/>
      <c r="AM109" s="1160"/>
      <c r="AN109" s="1160"/>
      <c r="AP109" s="1505">
        <f t="shared" si="74"/>
        <v>4</v>
      </c>
      <c r="AQ109" s="1136">
        <f>DMREZ!X37</f>
        <v>42396</v>
      </c>
      <c r="AR109" s="1152" t="str">
        <f t="shared" si="117"/>
        <v/>
      </c>
      <c r="AS109" s="1151" t="str">
        <f t="shared" si="118"/>
        <v/>
      </c>
      <c r="AT109" s="1151" t="str">
        <f t="shared" si="119"/>
        <v/>
      </c>
      <c r="AU109" s="1151" t="str">
        <f t="shared" si="120"/>
        <v/>
      </c>
      <c r="AV109" s="1151" t="str">
        <f t="shared" si="121"/>
        <v/>
      </c>
      <c r="AW109" s="1151" t="str">
        <f t="shared" si="122"/>
        <v/>
      </c>
      <c r="AX109" s="1152" t="str">
        <f t="shared" si="123"/>
        <v/>
      </c>
      <c r="AY109" s="1151" t="str">
        <f t="shared" si="124"/>
        <v/>
      </c>
      <c r="AZ109" s="1151" t="str">
        <f t="shared" si="125"/>
        <v/>
      </c>
      <c r="BA109" s="1151" t="str">
        <f t="shared" si="126"/>
        <v/>
      </c>
      <c r="BB109" s="1151" t="str">
        <f t="shared" si="127"/>
        <v/>
      </c>
      <c r="BC109" s="1152" t="str">
        <f t="shared" si="128"/>
        <v/>
      </c>
      <c r="BD109" s="1152" t="str">
        <f t="shared" si="129"/>
        <v/>
      </c>
      <c r="BE109" s="1152" t="str">
        <f t="shared" si="130"/>
        <v/>
      </c>
      <c r="BF109" s="1152" t="str">
        <f t="shared" si="131"/>
        <v/>
      </c>
      <c r="BG109" s="1151" t="str">
        <f t="shared" si="132"/>
        <v/>
      </c>
      <c r="BH109" s="1151" t="str">
        <f t="shared" si="133"/>
        <v/>
      </c>
      <c r="BI109" s="1152" t="str">
        <f t="shared" si="134"/>
        <v/>
      </c>
      <c r="BJ109" s="1152" t="str">
        <f t="shared" si="135"/>
        <v/>
      </c>
      <c r="BK109" s="1152" t="str">
        <f t="shared" si="136"/>
        <v/>
      </c>
      <c r="BL109" s="1300" t="str">
        <f t="shared" si="137"/>
        <v/>
      </c>
      <c r="BM109" s="1152" t="str">
        <f t="shared" si="138"/>
        <v/>
      </c>
      <c r="BN109" s="1152" t="str">
        <f t="shared" si="139"/>
        <v/>
      </c>
      <c r="BO109" s="1151" t="str">
        <f t="shared" si="140"/>
        <v/>
      </c>
      <c r="BP109" s="1151" t="str">
        <f t="shared" si="141"/>
        <v/>
      </c>
      <c r="BQ109" s="1151" t="str">
        <f t="shared" si="142"/>
        <v/>
      </c>
      <c r="BR109" s="1151" t="str">
        <f t="shared" si="143"/>
        <v/>
      </c>
      <c r="BS109" s="1152" t="str">
        <f t="shared" si="115"/>
        <v/>
      </c>
      <c r="BT109" s="1152" t="str">
        <f t="shared" si="144"/>
        <v/>
      </c>
      <c r="BU109" s="1152" t="str">
        <f t="shared" si="145"/>
        <v/>
      </c>
      <c r="BV109" s="1152" t="str">
        <f t="shared" si="116"/>
        <v/>
      </c>
      <c r="BW109" s="1151" t="str">
        <f t="shared" si="146"/>
        <v/>
      </c>
      <c r="BX109" s="1151" t="str">
        <f t="shared" si="147"/>
        <v/>
      </c>
      <c r="BY109" s="1152"/>
      <c r="BZ109" s="1152"/>
      <c r="CA109" s="1151"/>
      <c r="CB109" s="1151"/>
      <c r="CC109" s="1151"/>
      <c r="CD109" s="585"/>
      <c r="CE109" s="585"/>
      <c r="CF109" s="585"/>
      <c r="CG109" s="585"/>
      <c r="CH109" s="585"/>
      <c r="CI109" s="585"/>
      <c r="CJ109" s="585"/>
      <c r="CK109" s="585"/>
      <c r="CL109" s="585"/>
      <c r="CM109" s="585"/>
      <c r="CN109" s="585"/>
      <c r="CO109" s="585"/>
      <c r="CP109" s="585"/>
      <c r="DF109" s="578"/>
      <c r="DG109" s="578"/>
      <c r="DH109" s="578"/>
      <c r="DI109" s="578"/>
      <c r="DJ109" s="578"/>
      <c r="DL109" s="582"/>
      <c r="DM109" s="582"/>
      <c r="DN109" s="582"/>
      <c r="DO109" s="582"/>
      <c r="DP109" s="582"/>
      <c r="DQ109" s="582"/>
      <c r="DR109" s="582"/>
      <c r="DS109" s="583"/>
      <c r="DT109" s="583"/>
      <c r="DU109" s="583"/>
      <c r="DV109" s="583"/>
      <c r="DW109" s="583"/>
      <c r="DX109" s="582"/>
      <c r="DY109" s="582"/>
      <c r="DZ109" s="582"/>
      <c r="EA109" s="582"/>
      <c r="EB109" s="582"/>
      <c r="EC109" s="582"/>
      <c r="ED109" s="582"/>
      <c r="EE109" s="582"/>
      <c r="EF109" s="582"/>
      <c r="EG109" s="582"/>
      <c r="EH109" s="582"/>
      <c r="EI109" s="582"/>
      <c r="EJ109" s="582"/>
      <c r="EK109" s="582"/>
      <c r="EL109" s="582"/>
      <c r="EM109" s="582"/>
      <c r="EN109" s="582"/>
      <c r="EO109" s="582"/>
      <c r="EP109" s="582"/>
      <c r="EQ109" s="582"/>
      <c r="ER109" s="582"/>
      <c r="ES109" s="582"/>
      <c r="ET109" s="582"/>
      <c r="EU109" s="582"/>
      <c r="EV109" s="582"/>
      <c r="EW109" s="582"/>
      <c r="EX109" s="582"/>
      <c r="EY109" s="582"/>
      <c r="EZ109" s="582"/>
      <c r="FA109" s="582"/>
      <c r="FB109" s="582"/>
      <c r="FC109" s="582"/>
      <c r="FD109" s="582"/>
      <c r="FE109" s="582"/>
      <c r="IV109" s="578"/>
    </row>
    <row r="110" spans="1:256" ht="17.100000000000001" customHeight="1">
      <c r="A110" s="1138">
        <f t="shared" si="72"/>
        <v>42397</v>
      </c>
      <c r="B110" s="1157">
        <f>DMREZ!D38</f>
        <v>42397</v>
      </c>
      <c r="C110" s="1145">
        <f>+AT_!CM38</f>
        <v>85.4</v>
      </c>
      <c r="D110" s="1144">
        <f ca="1">+AT_!AR38</f>
        <v>5.3812733070915773</v>
      </c>
      <c r="E110" s="1144">
        <f ca="1">+AT_!AS38</f>
        <v>5.2705286107671458</v>
      </c>
      <c r="F110" s="1160">
        <f>+AT_!U38</f>
        <v>1.6428571428571428</v>
      </c>
      <c r="G110" s="1160">
        <f>+AT_!V38</f>
        <v>0.875</v>
      </c>
      <c r="H110" s="1144">
        <f ca="1">IF(B110&gt;TODAY()-2,"",+AT_!DJ38)</f>
        <v>51.6</v>
      </c>
      <c r="I110" s="1145" t="str">
        <f t="shared" si="111"/>
        <v/>
      </c>
      <c r="J110" s="1145" t="str">
        <f t="shared" si="104"/>
        <v/>
      </c>
      <c r="K110" s="1144">
        <f>+AT_!AH38</f>
        <v>3.75</v>
      </c>
      <c r="L110" s="1144">
        <f>+AT_!AI38</f>
        <v>80</v>
      </c>
      <c r="M110" s="1144">
        <f>+AT_!AJ38</f>
        <v>1.6</v>
      </c>
      <c r="N110" s="1144">
        <f>+AT_!AK38</f>
        <v>67.400000000000006</v>
      </c>
      <c r="O110" s="1161">
        <f t="shared" si="105"/>
        <v>2300</v>
      </c>
      <c r="P110" s="1161">
        <f t="shared" si="105"/>
        <v>2100</v>
      </c>
      <c r="Q110" s="1161">
        <f t="shared" si="105"/>
        <v>3100</v>
      </c>
      <c r="R110" s="1161">
        <f t="shared" si="105"/>
        <v>4100</v>
      </c>
      <c r="S110" s="1144">
        <f ca="1">+DMREZ!CY38</f>
        <v>31.2</v>
      </c>
      <c r="T110" s="1144">
        <f ca="1">+DMREZ!CZ38</f>
        <v>15.5</v>
      </c>
      <c r="U110" s="1145">
        <f ca="1">+DMREZ!DA38</f>
        <v>27842.255999999998</v>
      </c>
      <c r="V110" s="1145">
        <f ca="1">+DMREZ!DB38</f>
        <v>13831.890000000001</v>
      </c>
      <c r="W110" s="1145">
        <f>+CHEM_!G37</f>
        <v>480</v>
      </c>
      <c r="X110" s="1799">
        <f>+DMREZ!AC38</f>
        <v>0.45</v>
      </c>
      <c r="Y110" s="1500">
        <f t="shared" si="112"/>
        <v>104</v>
      </c>
      <c r="Z110" s="1160">
        <f>+AT_!CZ38</f>
        <v>9.1</v>
      </c>
      <c r="AA110" s="1160">
        <f>+AT_!DA38</f>
        <v>10.3</v>
      </c>
      <c r="AB110" s="1160">
        <f t="shared" si="113"/>
        <v>6.0564999999999998</v>
      </c>
      <c r="AC110" s="1160">
        <f t="shared" si="114"/>
        <v>51.71208</v>
      </c>
      <c r="AD110" s="1160">
        <f>+CHEM_!AN37</f>
        <v>0</v>
      </c>
      <c r="AE110" s="1161">
        <v>0</v>
      </c>
      <c r="AF110" s="1161">
        <f>+CHEM_!AD37</f>
        <v>0</v>
      </c>
      <c r="AG110" s="1161">
        <f>+CHEM_!AJ37</f>
        <v>493.5</v>
      </c>
      <c r="AH110" s="1160" t="str">
        <f>+DW_!E38</f>
        <v/>
      </c>
      <c r="AI110" s="1160" t="str">
        <f>+DW_!AA38</f>
        <v/>
      </c>
      <c r="AJ110" s="1160"/>
      <c r="AK110" s="1160"/>
      <c r="AL110" s="1160"/>
      <c r="AM110" s="1160"/>
      <c r="AN110" s="1160"/>
      <c r="AP110" s="1505">
        <f t="shared" si="74"/>
        <v>5</v>
      </c>
      <c r="AQ110" s="1136">
        <f>DMREZ!X38</f>
        <v>42397</v>
      </c>
      <c r="AR110" s="1152" t="str">
        <f t="shared" si="117"/>
        <v/>
      </c>
      <c r="AS110" s="1151" t="str">
        <f t="shared" si="118"/>
        <v/>
      </c>
      <c r="AT110" s="1151" t="str">
        <f t="shared" si="119"/>
        <v/>
      </c>
      <c r="AU110" s="1151" t="str">
        <f t="shared" si="120"/>
        <v/>
      </c>
      <c r="AV110" s="1151" t="str">
        <f t="shared" si="121"/>
        <v/>
      </c>
      <c r="AW110" s="1151" t="str">
        <f t="shared" si="122"/>
        <v/>
      </c>
      <c r="AX110" s="1152" t="str">
        <f t="shared" si="123"/>
        <v/>
      </c>
      <c r="AY110" s="1151" t="str">
        <f t="shared" si="124"/>
        <v/>
      </c>
      <c r="AZ110" s="1151" t="str">
        <f t="shared" si="125"/>
        <v/>
      </c>
      <c r="BA110" s="1151" t="str">
        <f t="shared" si="126"/>
        <v/>
      </c>
      <c r="BB110" s="1151" t="str">
        <f t="shared" si="127"/>
        <v/>
      </c>
      <c r="BC110" s="1152" t="str">
        <f t="shared" si="128"/>
        <v/>
      </c>
      <c r="BD110" s="1152" t="str">
        <f t="shared" si="129"/>
        <v/>
      </c>
      <c r="BE110" s="1152" t="str">
        <f t="shared" si="130"/>
        <v/>
      </c>
      <c r="BF110" s="1152" t="str">
        <f t="shared" si="131"/>
        <v/>
      </c>
      <c r="BG110" s="1151" t="str">
        <f t="shared" si="132"/>
        <v/>
      </c>
      <c r="BH110" s="1151" t="str">
        <f t="shared" si="133"/>
        <v/>
      </c>
      <c r="BI110" s="1152" t="str">
        <f t="shared" si="134"/>
        <v/>
      </c>
      <c r="BJ110" s="1152" t="str">
        <f t="shared" si="135"/>
        <v/>
      </c>
      <c r="BK110" s="1152" t="str">
        <f t="shared" si="136"/>
        <v/>
      </c>
      <c r="BL110" s="1300" t="str">
        <f t="shared" si="137"/>
        <v/>
      </c>
      <c r="BM110" s="1152" t="str">
        <f t="shared" si="138"/>
        <v/>
      </c>
      <c r="BN110" s="1152" t="str">
        <f t="shared" si="139"/>
        <v/>
      </c>
      <c r="BO110" s="1151" t="str">
        <f t="shared" si="140"/>
        <v/>
      </c>
      <c r="BP110" s="1151" t="str">
        <f t="shared" si="141"/>
        <v/>
      </c>
      <c r="BQ110" s="1151" t="str">
        <f t="shared" si="142"/>
        <v/>
      </c>
      <c r="BR110" s="1151" t="str">
        <f t="shared" si="143"/>
        <v/>
      </c>
      <c r="BS110" s="1152" t="str">
        <f t="shared" si="115"/>
        <v/>
      </c>
      <c r="BT110" s="1152" t="str">
        <f t="shared" si="144"/>
        <v/>
      </c>
      <c r="BU110" s="1152" t="str">
        <f t="shared" si="145"/>
        <v/>
      </c>
      <c r="BV110" s="1152" t="str">
        <f t="shared" si="116"/>
        <v/>
      </c>
      <c r="BW110" s="1151" t="str">
        <f t="shared" si="146"/>
        <v/>
      </c>
      <c r="BX110" s="1151" t="str">
        <f t="shared" si="147"/>
        <v/>
      </c>
      <c r="BY110" s="1152"/>
      <c r="BZ110" s="1152"/>
      <c r="CA110" s="1151"/>
      <c r="CB110" s="1151"/>
      <c r="CC110" s="1151"/>
      <c r="CD110" s="809"/>
      <c r="CE110" s="809"/>
      <c r="CF110" s="809"/>
      <c r="CG110" s="809"/>
      <c r="CH110" s="809"/>
      <c r="CI110" s="809"/>
      <c r="CJ110" s="809"/>
      <c r="CK110" s="809"/>
      <c r="CL110" s="585"/>
      <c r="CM110" s="585"/>
      <c r="CN110" s="585"/>
      <c r="CO110" s="585"/>
      <c r="CP110" s="585"/>
      <c r="DF110" s="578"/>
      <c r="DG110" s="578"/>
      <c r="DH110" s="578"/>
      <c r="DI110" s="578"/>
      <c r="DJ110" s="578"/>
      <c r="DL110" s="582"/>
      <c r="DM110" s="582"/>
      <c r="DN110" s="582"/>
      <c r="DO110" s="582"/>
      <c r="DP110" s="582"/>
      <c r="DQ110" s="582"/>
      <c r="DR110" s="582"/>
      <c r="DS110" s="583"/>
      <c r="DT110" s="583"/>
      <c r="DU110" s="583"/>
      <c r="DV110" s="583"/>
      <c r="DW110" s="583"/>
      <c r="DX110" s="582"/>
      <c r="DY110" s="582"/>
      <c r="DZ110" s="582"/>
      <c r="EA110" s="582"/>
      <c r="EB110" s="582"/>
      <c r="EC110" s="582"/>
      <c r="ED110" s="582"/>
      <c r="EE110" s="582"/>
      <c r="EF110" s="582"/>
      <c r="EG110" s="582"/>
      <c r="EH110" s="582"/>
      <c r="EI110" s="582"/>
      <c r="EJ110" s="582"/>
      <c r="EK110" s="582"/>
      <c r="EL110" s="582"/>
      <c r="EM110" s="582"/>
      <c r="EN110" s="582"/>
      <c r="EO110" s="582"/>
      <c r="EP110" s="582"/>
      <c r="EQ110" s="582"/>
      <c r="ER110" s="582"/>
      <c r="ES110" s="582"/>
      <c r="ET110" s="582"/>
      <c r="EU110" s="582"/>
      <c r="EV110" s="582"/>
      <c r="EW110" s="582"/>
      <c r="EX110" s="582"/>
      <c r="EY110" s="582"/>
      <c r="EZ110" s="582"/>
      <c r="FA110" s="582"/>
      <c r="FB110" s="582"/>
      <c r="FC110" s="582"/>
      <c r="FD110" s="582"/>
      <c r="FE110" s="582"/>
      <c r="IV110" s="578"/>
    </row>
    <row r="111" spans="1:256" ht="17.100000000000001" customHeight="1">
      <c r="A111" s="1138">
        <f t="shared" si="72"/>
        <v>42398</v>
      </c>
      <c r="B111" s="1157">
        <f>DMREZ!D39</f>
        <v>42398</v>
      </c>
      <c r="C111" s="1145">
        <f>+AT_!CM39</f>
        <v>80.5</v>
      </c>
      <c r="D111" s="1144">
        <f ca="1">+AT_!AR39</f>
        <v>5.8811209556368489</v>
      </c>
      <c r="E111" s="1144">
        <f ca="1">+AT_!AS39</f>
        <v>4.9465948158975284</v>
      </c>
      <c r="F111" s="1160" t="str">
        <f>+AT_!U39</f>
        <v/>
      </c>
      <c r="G111" s="1160" t="str">
        <f>+AT_!V39</f>
        <v/>
      </c>
      <c r="H111" s="1144">
        <f ca="1">IF(B111&gt;TODAY()-2,"",+AT_!DJ39)</f>
        <v>52.9</v>
      </c>
      <c r="I111" s="1145" t="str">
        <f t="shared" si="111"/>
        <v/>
      </c>
      <c r="J111" s="1145" t="str">
        <f t="shared" si="104"/>
        <v/>
      </c>
      <c r="K111" s="1144" t="str">
        <f>+AT_!AH39</f>
        <v/>
      </c>
      <c r="L111" s="1144" t="str">
        <f>+AT_!AI39</f>
        <v/>
      </c>
      <c r="M111" s="1144" t="str">
        <f>+AT_!AJ39</f>
        <v/>
      </c>
      <c r="N111" s="1144" t="str">
        <f>+AT_!AK39</f>
        <v/>
      </c>
      <c r="O111" s="1161" t="str">
        <f t="shared" si="105"/>
        <v/>
      </c>
      <c r="P111" s="1161" t="str">
        <f t="shared" si="105"/>
        <v/>
      </c>
      <c r="Q111" s="1161" t="str">
        <f t="shared" si="105"/>
        <v/>
      </c>
      <c r="R111" s="1161" t="str">
        <f t="shared" si="105"/>
        <v/>
      </c>
      <c r="S111" s="1144">
        <f ca="1">+DMREZ!CY39</f>
        <v>35.9</v>
      </c>
      <c r="T111" s="1144">
        <f ca="1">+DMREZ!CZ39</f>
        <v>16.600000000000001</v>
      </c>
      <c r="U111" s="1145">
        <f ca="1">+DMREZ!DA39</f>
        <v>30240.006000000001</v>
      </c>
      <c r="V111" s="1145">
        <f ca="1">+DMREZ!DB39</f>
        <v>13982.844000000001</v>
      </c>
      <c r="W111" s="1145">
        <f>+CHEM_!G38</f>
        <v>1420</v>
      </c>
      <c r="X111" s="1799">
        <f>+DMREZ!AC39</f>
        <v>0.42</v>
      </c>
      <c r="Y111" s="1500">
        <f t="shared" si="112"/>
        <v>103</v>
      </c>
      <c r="Z111" s="1160">
        <f>+AT_!CZ39</f>
        <v>10.199999999999999</v>
      </c>
      <c r="AA111" s="1160">
        <f>+AT_!DA39</f>
        <v>10.6</v>
      </c>
      <c r="AB111" s="1160">
        <f t="shared" si="113"/>
        <v>4.3374999999999995</v>
      </c>
      <c r="AC111" s="1160">
        <f t="shared" si="114"/>
        <v>74.320799999999991</v>
      </c>
      <c r="AD111" s="1160">
        <f>+CHEM_!AN38</f>
        <v>0</v>
      </c>
      <c r="AE111" s="1161">
        <v>0</v>
      </c>
      <c r="AF111" s="1161">
        <f>+CHEM_!AD38</f>
        <v>0</v>
      </c>
      <c r="AG111" s="1161">
        <f>+CHEM_!AJ38</f>
        <v>634.5</v>
      </c>
      <c r="AH111" s="1160" t="str">
        <f>+DW_!E39</f>
        <v/>
      </c>
      <c r="AI111" s="1160" t="str">
        <f>+DW_!AA39</f>
        <v/>
      </c>
      <c r="AJ111" s="1160"/>
      <c r="AK111" s="1160"/>
      <c r="AL111" s="1160"/>
      <c r="AM111" s="1160"/>
      <c r="AN111" s="1160"/>
      <c r="AP111" s="1505">
        <f t="shared" si="74"/>
        <v>6</v>
      </c>
      <c r="AQ111" s="1136">
        <f>DMREZ!X39</f>
        <v>42398</v>
      </c>
      <c r="AR111" s="1152" t="str">
        <f t="shared" si="117"/>
        <v/>
      </c>
      <c r="AS111" s="1151" t="str">
        <f t="shared" si="118"/>
        <v/>
      </c>
      <c r="AT111" s="1151" t="str">
        <f t="shared" si="119"/>
        <v/>
      </c>
      <c r="AU111" s="1151" t="str">
        <f t="shared" si="120"/>
        <v/>
      </c>
      <c r="AV111" s="1151" t="str">
        <f t="shared" si="121"/>
        <v/>
      </c>
      <c r="AW111" s="1151" t="str">
        <f t="shared" si="122"/>
        <v/>
      </c>
      <c r="AX111" s="1152" t="str">
        <f t="shared" si="123"/>
        <v/>
      </c>
      <c r="AY111" s="1151" t="str">
        <f t="shared" si="124"/>
        <v/>
      </c>
      <c r="AZ111" s="1151" t="str">
        <f t="shared" si="125"/>
        <v/>
      </c>
      <c r="BA111" s="1151" t="str">
        <f t="shared" si="126"/>
        <v/>
      </c>
      <c r="BB111" s="1151" t="str">
        <f t="shared" si="127"/>
        <v/>
      </c>
      <c r="BC111" s="1152" t="str">
        <f t="shared" si="128"/>
        <v/>
      </c>
      <c r="BD111" s="1152" t="str">
        <f t="shared" si="129"/>
        <v/>
      </c>
      <c r="BE111" s="1152" t="str">
        <f t="shared" si="130"/>
        <v/>
      </c>
      <c r="BF111" s="1152" t="str">
        <f t="shared" si="131"/>
        <v/>
      </c>
      <c r="BG111" s="1151" t="str">
        <f t="shared" si="132"/>
        <v/>
      </c>
      <c r="BH111" s="1151" t="str">
        <f t="shared" si="133"/>
        <v/>
      </c>
      <c r="BI111" s="1152" t="str">
        <f t="shared" si="134"/>
        <v/>
      </c>
      <c r="BJ111" s="1152" t="str">
        <f t="shared" si="135"/>
        <v/>
      </c>
      <c r="BK111" s="1152" t="str">
        <f t="shared" si="136"/>
        <v/>
      </c>
      <c r="BL111" s="1300" t="str">
        <f t="shared" si="137"/>
        <v/>
      </c>
      <c r="BM111" s="1152" t="str">
        <f t="shared" si="138"/>
        <v/>
      </c>
      <c r="BN111" s="1152" t="str">
        <f t="shared" si="139"/>
        <v/>
      </c>
      <c r="BO111" s="1151" t="str">
        <f t="shared" si="140"/>
        <v/>
      </c>
      <c r="BP111" s="1151" t="str">
        <f t="shared" si="141"/>
        <v/>
      </c>
      <c r="BQ111" s="1151" t="str">
        <f t="shared" si="142"/>
        <v/>
      </c>
      <c r="BR111" s="1151" t="str">
        <f t="shared" si="143"/>
        <v/>
      </c>
      <c r="BS111" s="1152" t="str">
        <f t="shared" si="115"/>
        <v/>
      </c>
      <c r="BT111" s="1152" t="str">
        <f t="shared" si="144"/>
        <v/>
      </c>
      <c r="BU111" s="1152" t="str">
        <f t="shared" si="145"/>
        <v/>
      </c>
      <c r="BV111" s="1152" t="str">
        <f t="shared" si="116"/>
        <v/>
      </c>
      <c r="BW111" s="1151" t="str">
        <f t="shared" si="146"/>
        <v/>
      </c>
      <c r="BX111" s="1151" t="str">
        <f t="shared" si="147"/>
        <v/>
      </c>
      <c r="BY111" s="1152"/>
      <c r="BZ111" s="1152"/>
      <c r="CA111" s="1151"/>
      <c r="CB111" s="1151"/>
      <c r="CC111" s="1151"/>
      <c r="CD111" s="585"/>
      <c r="CE111" s="585"/>
      <c r="CF111" s="585"/>
      <c r="CG111" s="585"/>
      <c r="CH111" s="585"/>
      <c r="CI111" s="585"/>
      <c r="CJ111" s="585"/>
      <c r="CK111" s="585"/>
      <c r="CL111" s="585"/>
      <c r="CM111" s="585"/>
      <c r="CN111" s="585"/>
      <c r="CO111" s="585"/>
      <c r="CP111" s="585"/>
      <c r="DF111" s="578"/>
      <c r="DG111" s="578"/>
      <c r="DH111" s="578"/>
      <c r="DI111" s="578"/>
      <c r="DJ111" s="578"/>
      <c r="DL111" s="582"/>
      <c r="DM111" s="582"/>
      <c r="DN111" s="582"/>
      <c r="DO111" s="582"/>
      <c r="DP111" s="582"/>
      <c r="DQ111" s="582"/>
      <c r="DR111" s="582"/>
      <c r="DS111" s="583"/>
      <c r="DT111" s="583"/>
      <c r="DU111" s="583"/>
      <c r="DV111" s="583"/>
      <c r="DW111" s="583"/>
      <c r="DX111" s="582"/>
      <c r="DY111" s="582"/>
      <c r="DZ111" s="582"/>
      <c r="EA111" s="582"/>
      <c r="EB111" s="582"/>
      <c r="EC111" s="582"/>
      <c r="ED111" s="582"/>
      <c r="EE111" s="582"/>
      <c r="EF111" s="582"/>
      <c r="EG111" s="582"/>
      <c r="EH111" s="582"/>
      <c r="EI111" s="582"/>
      <c r="EJ111" s="582"/>
      <c r="EK111" s="582"/>
      <c r="EL111" s="582"/>
      <c r="EM111" s="582"/>
      <c r="EN111" s="582"/>
      <c r="EO111" s="582"/>
      <c r="EP111" s="582"/>
      <c r="EQ111" s="582"/>
      <c r="ER111" s="582"/>
      <c r="ES111" s="582"/>
      <c r="ET111" s="582"/>
      <c r="EU111" s="582"/>
      <c r="EV111" s="582"/>
      <c r="EW111" s="582"/>
      <c r="EX111" s="582"/>
      <c r="EY111" s="582"/>
      <c r="EZ111" s="582"/>
      <c r="FA111" s="582"/>
      <c r="FB111" s="582"/>
      <c r="FC111" s="582"/>
      <c r="FD111" s="582"/>
      <c r="FE111" s="582"/>
      <c r="IV111" s="578"/>
    </row>
    <row r="112" spans="1:256" ht="17.100000000000001" customHeight="1">
      <c r="A112" s="1138">
        <f t="shared" si="72"/>
        <v>42399</v>
      </c>
      <c r="B112" s="1157">
        <f>DMREZ!D40</f>
        <v>42399</v>
      </c>
      <c r="C112" s="1145">
        <f>+AT_!CM40</f>
        <v>85.5</v>
      </c>
      <c r="D112" s="1144">
        <f ca="1">+AT_!AR40</f>
        <v>5.8850591412932207</v>
      </c>
      <c r="E112" s="1144">
        <f ca="1">+AT_!AS40</f>
        <v>5.5581264721721722</v>
      </c>
      <c r="F112" s="1160" t="str">
        <f>+AT_!U40</f>
        <v/>
      </c>
      <c r="G112" s="1160" t="str">
        <f>+AT_!V40</f>
        <v/>
      </c>
      <c r="H112" s="1144">
        <f ca="1">IF(B112&gt;TODAY()-2,"",+AT_!DJ40)</f>
        <v>49.2</v>
      </c>
      <c r="I112" s="1145" t="str">
        <f t="shared" si="111"/>
        <v/>
      </c>
      <c r="J112" s="1145" t="str">
        <f t="shared" si="104"/>
        <v/>
      </c>
      <c r="K112" s="1144" t="str">
        <f>+AT_!AH40</f>
        <v/>
      </c>
      <c r="L112" s="1144" t="str">
        <f>+AT_!AI40</f>
        <v/>
      </c>
      <c r="M112" s="1144" t="str">
        <f>+AT_!AJ40</f>
        <v/>
      </c>
      <c r="N112" s="1144" t="str">
        <f>+AT_!AK40</f>
        <v/>
      </c>
      <c r="O112" s="1161" t="str">
        <f t="shared" si="105"/>
        <v/>
      </c>
      <c r="P112" s="1161" t="str">
        <f t="shared" si="105"/>
        <v/>
      </c>
      <c r="Q112" s="1161" t="str">
        <f t="shared" si="105"/>
        <v/>
      </c>
      <c r="R112" s="1161" t="str">
        <f t="shared" si="105"/>
        <v/>
      </c>
      <c r="S112" s="1144">
        <f ca="1">+DMREZ!CY40</f>
        <v>37</v>
      </c>
      <c r="T112" s="1144">
        <f ca="1">+DMREZ!CZ40</f>
        <v>17.100000000000001</v>
      </c>
      <c r="U112" s="1145">
        <f ca="1">+DMREZ!DA40</f>
        <v>30858</v>
      </c>
      <c r="V112" s="1145">
        <f ca="1">+DMREZ!DB40</f>
        <v>14261.4</v>
      </c>
      <c r="W112" s="1145">
        <f>+CHEM_!G39</f>
        <v>970</v>
      </c>
      <c r="X112" s="1799">
        <f>+DMREZ!AC40</f>
        <v>0.49</v>
      </c>
      <c r="Y112" s="1500">
        <f t="shared" si="112"/>
        <v>104</v>
      </c>
      <c r="Z112" s="1160">
        <f>+AT_!CZ40</f>
        <v>10.3</v>
      </c>
      <c r="AA112" s="1160">
        <f>+AT_!DA40</f>
        <v>10.7</v>
      </c>
      <c r="AB112" s="1160">
        <f t="shared" si="113"/>
        <v>4.5225</v>
      </c>
      <c r="AC112" s="1160">
        <f t="shared" si="114"/>
        <v>51.188160000000003</v>
      </c>
      <c r="AD112" s="1160">
        <f>+CHEM_!AN39</f>
        <v>0</v>
      </c>
      <c r="AE112" s="1161">
        <v>0</v>
      </c>
      <c r="AF112" s="1161">
        <f>+CHEM_!AD39</f>
        <v>0</v>
      </c>
      <c r="AG112" s="1161">
        <f>+CHEM_!AJ39</f>
        <v>634.5</v>
      </c>
      <c r="AH112" s="1160" t="str">
        <f>+DW_!E40</f>
        <v/>
      </c>
      <c r="AI112" s="1160" t="str">
        <f>+DW_!AA40</f>
        <v/>
      </c>
      <c r="AJ112" s="1160"/>
      <c r="AK112" s="1160"/>
      <c r="AL112" s="1160"/>
      <c r="AM112" s="1160"/>
      <c r="AN112" s="1160"/>
      <c r="AP112" s="1505">
        <f>IF(AQ112="","",WEEKDAY(AQ112))</f>
        <v>7</v>
      </c>
      <c r="AQ112" s="1136">
        <f>DMREZ!X40</f>
        <v>42399</v>
      </c>
      <c r="AR112" s="1152">
        <f t="shared" si="117"/>
        <v>90</v>
      </c>
      <c r="AS112" s="1151">
        <f t="shared" ca="1" si="118"/>
        <v>5.7</v>
      </c>
      <c r="AT112" s="1151">
        <f t="shared" ca="1" si="119"/>
        <v>5.6</v>
      </c>
      <c r="AU112" s="1151">
        <f t="shared" si="120"/>
        <v>1.8</v>
      </c>
      <c r="AV112" s="1151">
        <f t="shared" si="121"/>
        <v>0.9</v>
      </c>
      <c r="AW112" s="1151">
        <f t="shared" ca="1" si="122"/>
        <v>48.8</v>
      </c>
      <c r="AX112" s="1152">
        <f t="shared" si="123"/>
        <v>1510</v>
      </c>
      <c r="AY112" s="1151">
        <f t="shared" si="124"/>
        <v>4</v>
      </c>
      <c r="AZ112" s="1151">
        <f t="shared" si="125"/>
        <v>80.3</v>
      </c>
      <c r="BA112" s="1151">
        <f t="shared" si="126"/>
        <v>1.7</v>
      </c>
      <c r="BB112" s="1151">
        <f t="shared" si="127"/>
        <v>69</v>
      </c>
      <c r="BC112" s="1152">
        <f t="shared" si="128"/>
        <v>2400</v>
      </c>
      <c r="BD112" s="1152">
        <f t="shared" si="129"/>
        <v>2580</v>
      </c>
      <c r="BE112" s="1152">
        <f t="shared" si="130"/>
        <v>3200</v>
      </c>
      <c r="BF112" s="1152">
        <f t="shared" si="131"/>
        <v>4500</v>
      </c>
      <c r="BG112" s="1151">
        <f t="shared" ca="1" si="132"/>
        <v>32.9</v>
      </c>
      <c r="BH112" s="1151">
        <f t="shared" ca="1" si="133"/>
        <v>16.8</v>
      </c>
      <c r="BI112" s="1152">
        <f t="shared" ca="1" si="134"/>
        <v>32486.7</v>
      </c>
      <c r="BJ112" s="1152">
        <f t="shared" ca="1" si="135"/>
        <v>16668.599999999999</v>
      </c>
      <c r="BK112" s="1152">
        <f t="shared" si="136"/>
        <v>1210</v>
      </c>
      <c r="BL112" s="1300">
        <f t="shared" si="137"/>
        <v>0.45</v>
      </c>
      <c r="BM112" s="1152">
        <f t="shared" si="138"/>
        <v>102.9</v>
      </c>
      <c r="BN112" s="1152">
        <f t="shared" si="139"/>
        <v>1550</v>
      </c>
      <c r="BO112" s="1151">
        <f t="shared" si="140"/>
        <v>8.4</v>
      </c>
      <c r="BP112" s="1151">
        <f t="shared" si="141"/>
        <v>9.1999999999999993</v>
      </c>
      <c r="BQ112" s="1151">
        <f t="shared" si="142"/>
        <v>5.9</v>
      </c>
      <c r="BR112" s="1151">
        <f t="shared" si="143"/>
        <v>56.8</v>
      </c>
      <c r="BS112" s="1152">
        <f t="shared" si="115"/>
        <v>0</v>
      </c>
      <c r="BT112" s="1152">
        <f t="shared" si="144"/>
        <v>0</v>
      </c>
      <c r="BU112" s="1152">
        <f t="shared" si="145"/>
        <v>0</v>
      </c>
      <c r="BV112" s="1152">
        <f t="shared" si="116"/>
        <v>950</v>
      </c>
      <c r="BW112" s="1151" t="e">
        <f t="shared" si="146"/>
        <v>#DIV/0!</v>
      </c>
      <c r="BX112" s="1151" t="e">
        <f t="shared" si="147"/>
        <v>#DIV/0!</v>
      </c>
      <c r="BY112" s="1152"/>
      <c r="BZ112" s="1152"/>
      <c r="CA112" s="1151"/>
      <c r="CB112" s="1151"/>
      <c r="CC112" s="1151"/>
      <c r="CD112" s="809"/>
      <c r="CE112" s="809"/>
      <c r="CF112" s="809"/>
      <c r="CG112" s="809"/>
      <c r="CH112" s="809"/>
      <c r="CI112" s="809"/>
      <c r="CJ112" s="809"/>
      <c r="CK112" s="809"/>
      <c r="CL112" s="585"/>
      <c r="CM112" s="585"/>
      <c r="CN112" s="585"/>
      <c r="CO112" s="585"/>
      <c r="CP112" s="585"/>
      <c r="DF112" s="578"/>
      <c r="DG112" s="578"/>
      <c r="DH112" s="578"/>
      <c r="DI112" s="578"/>
      <c r="DJ112" s="578"/>
      <c r="DL112" s="582"/>
      <c r="DM112" s="582"/>
      <c r="DN112" s="582"/>
      <c r="DO112" s="582"/>
      <c r="DP112" s="582"/>
      <c r="DQ112" s="582"/>
      <c r="DR112" s="582"/>
      <c r="DS112" s="583"/>
      <c r="DT112" s="583"/>
      <c r="DU112" s="583"/>
      <c r="DV112" s="583"/>
      <c r="DW112" s="583"/>
      <c r="DX112" s="582"/>
      <c r="DY112" s="582"/>
      <c r="DZ112" s="582"/>
      <c r="EA112" s="582"/>
      <c r="EB112" s="582"/>
      <c r="EC112" s="582"/>
      <c r="ED112" s="582"/>
      <c r="EE112" s="582"/>
      <c r="EF112" s="582"/>
      <c r="EG112" s="582"/>
      <c r="EH112" s="582"/>
      <c r="EI112" s="582"/>
      <c r="EJ112" s="582"/>
      <c r="EK112" s="582"/>
      <c r="EL112" s="582"/>
      <c r="EM112" s="582"/>
      <c r="EN112" s="582"/>
      <c r="EO112" s="582"/>
      <c r="EP112" s="582"/>
      <c r="EQ112" s="582"/>
      <c r="ER112" s="582"/>
      <c r="ES112" s="582"/>
      <c r="ET112" s="582"/>
      <c r="EU112" s="582"/>
      <c r="EV112" s="582"/>
      <c r="EW112" s="582"/>
      <c r="EX112" s="582"/>
      <c r="EY112" s="582"/>
      <c r="EZ112" s="582"/>
      <c r="FA112" s="582"/>
      <c r="FB112" s="582"/>
      <c r="FC112" s="582"/>
      <c r="FD112" s="582"/>
      <c r="FE112" s="582"/>
      <c r="IV112" s="578"/>
    </row>
    <row r="113" spans="1:256" ht="17.100000000000001" customHeight="1" thickBot="1">
      <c r="A113" s="1138">
        <f t="shared" si="72"/>
        <v>42400</v>
      </c>
      <c r="B113" s="1157">
        <f>DMREZ!D41</f>
        <v>42400</v>
      </c>
      <c r="C113" s="1145">
        <f>+AT_!CM41</f>
        <v>84.7</v>
      </c>
      <c r="D113" s="1144">
        <f ca="1">+AT_!AR41</f>
        <v>3.8093672595506143</v>
      </c>
      <c r="E113" s="1144">
        <f ca="1">+AT_!AS41</f>
        <v>3.1897172713831603</v>
      </c>
      <c r="F113" s="1160">
        <f>+AT_!U41</f>
        <v>1.8333333333333333</v>
      </c>
      <c r="G113" s="1160">
        <f>+AT_!V41</f>
        <v>0.65625</v>
      </c>
      <c r="H113" s="1144">
        <f ca="1">IF(B113&gt;TODAY()-2,"",+AT_!DJ41)</f>
        <v>56.6</v>
      </c>
      <c r="I113" s="1145" t="str">
        <f t="shared" si="111"/>
        <v/>
      </c>
      <c r="J113" s="1145" t="str">
        <f t="shared" si="104"/>
        <v/>
      </c>
      <c r="K113" s="1144" t="str">
        <f>+AT_!AH41</f>
        <v/>
      </c>
      <c r="L113" s="1144" t="str">
        <f>+AT_!AI41</f>
        <v/>
      </c>
      <c r="M113" s="1144" t="str">
        <f>+AT_!AJ41</f>
        <v/>
      </c>
      <c r="N113" s="1144" t="str">
        <f>+AT_!AK41</f>
        <v/>
      </c>
      <c r="O113" s="1161">
        <f t="shared" si="105"/>
        <v>2200</v>
      </c>
      <c r="P113" s="1161">
        <f t="shared" si="105"/>
        <v>2100</v>
      </c>
      <c r="Q113" s="1161">
        <f t="shared" si="105"/>
        <v>2100</v>
      </c>
      <c r="R113" s="1161">
        <f t="shared" si="105"/>
        <v>2100</v>
      </c>
      <c r="S113" s="1144">
        <f ca="1">+DMREZ!CY41</f>
        <v>35.299999999999997</v>
      </c>
      <c r="T113" s="1144">
        <f ca="1">+DMREZ!CZ41</f>
        <v>18.7</v>
      </c>
      <c r="U113" s="1145">
        <f ca="1">+DMREZ!DA41</f>
        <v>33267.425999999999</v>
      </c>
      <c r="V113" s="1145">
        <f ca="1">+DMREZ!DB41</f>
        <v>17623.254000000001</v>
      </c>
      <c r="W113" s="1145">
        <f>+CHEM_!G40</f>
        <v>1030</v>
      </c>
      <c r="X113" s="1799">
        <f>+DMREZ!AC41</f>
        <v>0.5</v>
      </c>
      <c r="Y113" s="1500">
        <f t="shared" si="112"/>
        <v>105</v>
      </c>
      <c r="Z113" s="1160">
        <f>+AT_!CZ41</f>
        <v>7</v>
      </c>
      <c r="AA113" s="1160">
        <f>+AT_!DA41</f>
        <v>5.9</v>
      </c>
      <c r="AB113" s="1160">
        <f t="shared" si="113"/>
        <v>4.3574999999999999</v>
      </c>
      <c r="AC113" s="1160">
        <f t="shared" si="114"/>
        <v>49.86</v>
      </c>
      <c r="AD113" s="1160">
        <f>+CHEM_!AN40</f>
        <v>0</v>
      </c>
      <c r="AE113" s="1161">
        <v>0</v>
      </c>
      <c r="AF113" s="1161">
        <f>+CHEM_!AD40</f>
        <v>0</v>
      </c>
      <c r="AG113" s="1161">
        <f>+CHEM_!AJ40</f>
        <v>493.5</v>
      </c>
      <c r="AH113" s="1160" t="str">
        <f>+DW_!E41</f>
        <v/>
      </c>
      <c r="AI113" s="1160" t="str">
        <f>+DW_!AA41</f>
        <v/>
      </c>
      <c r="AJ113" s="1160"/>
      <c r="AK113" s="1160"/>
      <c r="AL113" s="1160"/>
      <c r="AM113" s="1160"/>
      <c r="AN113" s="1160"/>
      <c r="AP113" s="1507">
        <f>IF(AQ113="","",WEEKDAY(AQ113))</f>
        <v>1</v>
      </c>
      <c r="AQ113" s="1508">
        <f>DMREZ!X41</f>
        <v>42400</v>
      </c>
      <c r="AR113" s="1510" t="str">
        <f t="shared" si="117"/>
        <v/>
      </c>
      <c r="AS113" s="1509" t="str">
        <f t="shared" si="118"/>
        <v/>
      </c>
      <c r="AT113" s="1509" t="str">
        <f t="shared" si="119"/>
        <v/>
      </c>
      <c r="AU113" s="1509" t="str">
        <f t="shared" si="120"/>
        <v/>
      </c>
      <c r="AV113" s="1509" t="str">
        <f t="shared" si="121"/>
        <v/>
      </c>
      <c r="AW113" s="1509" t="str">
        <f t="shared" si="122"/>
        <v/>
      </c>
      <c r="AX113" s="1510" t="str">
        <f t="shared" si="123"/>
        <v/>
      </c>
      <c r="AY113" s="1509" t="str">
        <f t="shared" si="124"/>
        <v/>
      </c>
      <c r="AZ113" s="1509" t="str">
        <f t="shared" si="125"/>
        <v/>
      </c>
      <c r="BA113" s="1509" t="str">
        <f t="shared" si="126"/>
        <v/>
      </c>
      <c r="BB113" s="1509" t="str">
        <f t="shared" si="127"/>
        <v/>
      </c>
      <c r="BC113" s="1510" t="str">
        <f t="shared" si="128"/>
        <v/>
      </c>
      <c r="BD113" s="1510" t="str">
        <f t="shared" si="129"/>
        <v/>
      </c>
      <c r="BE113" s="1510" t="str">
        <f t="shared" si="130"/>
        <v/>
      </c>
      <c r="BF113" s="1510" t="str">
        <f t="shared" si="131"/>
        <v/>
      </c>
      <c r="BG113" s="1509" t="str">
        <f t="shared" si="132"/>
        <v/>
      </c>
      <c r="BH113" s="1509" t="str">
        <f t="shared" si="133"/>
        <v/>
      </c>
      <c r="BI113" s="1510" t="str">
        <f t="shared" si="134"/>
        <v/>
      </c>
      <c r="BJ113" s="1510" t="str">
        <f t="shared" si="135"/>
        <v/>
      </c>
      <c r="BK113" s="1510" t="str">
        <f t="shared" si="136"/>
        <v/>
      </c>
      <c r="BL113" s="1511" t="str">
        <f t="shared" si="137"/>
        <v/>
      </c>
      <c r="BM113" s="1510" t="str">
        <f t="shared" si="138"/>
        <v/>
      </c>
      <c r="BN113" s="1510" t="str">
        <f t="shared" si="139"/>
        <v/>
      </c>
      <c r="BO113" s="1509" t="str">
        <f t="shared" si="140"/>
        <v/>
      </c>
      <c r="BP113" s="1509" t="str">
        <f t="shared" si="141"/>
        <v/>
      </c>
      <c r="BQ113" s="1509" t="str">
        <f t="shared" si="142"/>
        <v/>
      </c>
      <c r="BR113" s="1509" t="str">
        <f t="shared" si="143"/>
        <v/>
      </c>
      <c r="BS113" s="1510" t="str">
        <f t="shared" si="115"/>
        <v/>
      </c>
      <c r="BT113" s="1510" t="str">
        <f t="shared" si="144"/>
        <v/>
      </c>
      <c r="BU113" s="1510" t="str">
        <f t="shared" si="145"/>
        <v/>
      </c>
      <c r="BV113" s="1510" t="str">
        <f t="shared" si="116"/>
        <v/>
      </c>
      <c r="BW113" s="1509" t="str">
        <f t="shared" si="146"/>
        <v/>
      </c>
      <c r="BX113" s="1509" t="str">
        <f t="shared" si="147"/>
        <v/>
      </c>
      <c r="BY113" s="1510"/>
      <c r="BZ113" s="1510"/>
      <c r="CA113" s="1509"/>
      <c r="CB113" s="1509"/>
      <c r="CC113" s="1509"/>
      <c r="CD113" s="585"/>
      <c r="CE113" s="585"/>
      <c r="CF113" s="585"/>
      <c r="CG113" s="585"/>
      <c r="CH113" s="585"/>
      <c r="CI113" s="585"/>
      <c r="CJ113" s="585"/>
      <c r="CK113" s="585"/>
      <c r="CL113" s="585"/>
      <c r="CM113" s="585"/>
      <c r="CN113" s="585"/>
      <c r="CO113" s="585"/>
      <c r="CP113" s="585"/>
      <c r="DF113" s="578"/>
      <c r="DG113" s="578"/>
      <c r="DH113" s="578"/>
      <c r="DI113" s="578"/>
      <c r="DJ113" s="578"/>
      <c r="DL113" s="582"/>
      <c r="DM113" s="582"/>
      <c r="DN113" s="582"/>
      <c r="DO113" s="582"/>
      <c r="DP113" s="582"/>
      <c r="DQ113" s="582"/>
      <c r="DR113" s="582"/>
      <c r="DS113" s="583"/>
      <c r="DT113" s="583"/>
      <c r="DU113" s="583"/>
      <c r="DV113" s="583"/>
      <c r="DW113" s="583"/>
      <c r="DX113" s="582"/>
      <c r="DY113" s="582"/>
      <c r="DZ113" s="582"/>
      <c r="EA113" s="582"/>
      <c r="EB113" s="582"/>
      <c r="EC113" s="582"/>
      <c r="ED113" s="582"/>
      <c r="EE113" s="582"/>
      <c r="EF113" s="582"/>
      <c r="EG113" s="582"/>
      <c r="EH113" s="582"/>
      <c r="EI113" s="582"/>
      <c r="EJ113" s="582"/>
      <c r="EK113" s="582"/>
      <c r="EL113" s="582"/>
      <c r="EM113" s="582"/>
      <c r="EN113" s="582"/>
      <c r="EO113" s="582"/>
      <c r="EP113" s="582"/>
      <c r="EQ113" s="582"/>
      <c r="ER113" s="582"/>
      <c r="ES113" s="582"/>
      <c r="ET113" s="582"/>
      <c r="EU113" s="582"/>
      <c r="EV113" s="582"/>
      <c r="EW113" s="582"/>
      <c r="EX113" s="582"/>
      <c r="EY113" s="582"/>
      <c r="EZ113" s="582"/>
      <c r="FA113" s="582"/>
      <c r="FB113" s="582"/>
      <c r="FC113" s="582"/>
      <c r="FD113" s="582"/>
      <c r="FE113" s="582"/>
      <c r="IV113" s="578"/>
    </row>
    <row r="114" spans="1:256" s="1172" customFormat="1" ht="17.100000000000001" customHeight="1">
      <c r="A114" s="28"/>
      <c r="B114" s="28" t="s">
        <v>131</v>
      </c>
      <c r="C114" s="1167">
        <f t="shared" ref="C114:H114" si="148">ROUND(AVERAGE(C83:C113),1)</f>
        <v>92.4</v>
      </c>
      <c r="D114" s="1166">
        <f t="shared" ca="1" si="148"/>
        <v>5.6</v>
      </c>
      <c r="E114" s="1166">
        <f t="shared" ca="1" si="148"/>
        <v>6.6</v>
      </c>
      <c r="F114" s="1166">
        <f t="shared" si="148"/>
        <v>1.4</v>
      </c>
      <c r="G114" s="1166">
        <f t="shared" si="148"/>
        <v>0.7</v>
      </c>
      <c r="H114" s="1166">
        <f t="shared" ca="1" si="148"/>
        <v>58.2</v>
      </c>
      <c r="I114" s="1167">
        <f>ROUND(AVERAGE(I83:I113),-1)</f>
        <v>510</v>
      </c>
      <c r="J114" s="1167">
        <f>ROUND(AVERAGE(J83:J113),-1)</f>
        <v>550</v>
      </c>
      <c r="K114" s="1166">
        <f>ROUND(AVERAGE(K83:K113),1)</f>
        <v>3.3</v>
      </c>
      <c r="L114" s="1166">
        <f>ROUND(AVERAGE(L83:L113),1)</f>
        <v>83.1</v>
      </c>
      <c r="M114" s="1166">
        <f>ROUND(AVERAGE(M83:M113),1)</f>
        <v>1.7</v>
      </c>
      <c r="N114" s="1166">
        <f>ROUND(AVERAGE(N83:N113),1)</f>
        <v>71.400000000000006</v>
      </c>
      <c r="O114" s="1167">
        <f>ROUND(AVERAGE(O83:O113),-1)</f>
        <v>2450</v>
      </c>
      <c r="P114" s="1167">
        <f>ROUND(AVERAGE(P83:P113),-1)</f>
        <v>2940</v>
      </c>
      <c r="Q114" s="1167">
        <f>ROUND(AVERAGE(Q83:Q113),-1)</f>
        <v>3070</v>
      </c>
      <c r="R114" s="1167">
        <f>ROUND(AVERAGE(R83:R113),-1)</f>
        <v>4100</v>
      </c>
      <c r="S114" s="1166">
        <f ca="1">ROUND(AVERAGE(S83:S113),1)</f>
        <v>36.200000000000003</v>
      </c>
      <c r="T114" s="1166">
        <f ca="1">ROUND(AVERAGE(T83:T113),1)</f>
        <v>17.5</v>
      </c>
      <c r="U114" s="1167">
        <f ca="1">ROUND(AVERAGE(U83:U113),1)</f>
        <v>30508.9</v>
      </c>
      <c r="V114" s="1167">
        <f ca="1">ROUND(AVERAGE(V83:V113),1)</f>
        <v>15028.5</v>
      </c>
      <c r="W114" s="1167">
        <f>ROUND(AVERAGE(W83:W113),0)</f>
        <v>1083</v>
      </c>
      <c r="X114" s="1801">
        <f>ROUND(AVERAGE(X83:X113),1)</f>
        <v>0.5</v>
      </c>
      <c r="Y114" s="1500">
        <f>+DT43</f>
        <v>102</v>
      </c>
      <c r="Z114" s="1166">
        <f t="shared" ref="Z114:AN114" si="149">ROUND(AVERAGE(Z83:Z113),1)</f>
        <v>10.8</v>
      </c>
      <c r="AA114" s="1166">
        <f t="shared" si="149"/>
        <v>10.9</v>
      </c>
      <c r="AB114" s="1166">
        <f t="shared" si="149"/>
        <v>5.0999999999999996</v>
      </c>
      <c r="AC114" s="1166">
        <f t="shared" si="149"/>
        <v>57.1</v>
      </c>
      <c r="AD114" s="1166">
        <f t="shared" si="149"/>
        <v>57.7</v>
      </c>
      <c r="AE114" s="1166">
        <f t="shared" si="149"/>
        <v>0</v>
      </c>
      <c r="AF114" s="1166">
        <f t="shared" si="149"/>
        <v>7.6</v>
      </c>
      <c r="AG114" s="1166">
        <f t="shared" si="149"/>
        <v>816</v>
      </c>
      <c r="AH114" s="1166">
        <f t="shared" si="149"/>
        <v>23.2</v>
      </c>
      <c r="AI114" s="1166">
        <f t="shared" si="149"/>
        <v>69.400000000000006</v>
      </c>
      <c r="AJ114" s="1166" t="e">
        <f t="shared" si="149"/>
        <v>#DIV/0!</v>
      </c>
      <c r="AK114" s="1166" t="e">
        <f t="shared" si="149"/>
        <v>#DIV/0!</v>
      </c>
      <c r="AL114" s="1166" t="e">
        <f t="shared" si="149"/>
        <v>#DIV/0!</v>
      </c>
      <c r="AM114" s="1166" t="e">
        <f t="shared" si="149"/>
        <v>#DIV/0!</v>
      </c>
      <c r="AN114" s="1166" t="e">
        <f t="shared" si="149"/>
        <v>#DIV/0!</v>
      </c>
      <c r="AP114" s="1168"/>
      <c r="AQ114" s="1168"/>
      <c r="AR114" s="1168"/>
      <c r="AS114" s="1168"/>
      <c r="AT114" s="28"/>
      <c r="AU114" s="28"/>
      <c r="AV114" s="28"/>
      <c r="AW114" s="28"/>
      <c r="AX114" s="28"/>
      <c r="AY114" s="28"/>
      <c r="AZ114" s="28"/>
      <c r="BA114" s="28"/>
      <c r="BB114" s="28"/>
      <c r="BC114" s="28"/>
      <c r="BD114" s="28"/>
      <c r="BE114" s="28"/>
      <c r="BF114" s="1169"/>
      <c r="BG114" s="28"/>
      <c r="BH114" s="28"/>
      <c r="BI114" s="28"/>
      <c r="BJ114" s="28"/>
      <c r="BK114" s="28"/>
      <c r="BL114" s="28"/>
      <c r="BM114" s="28"/>
      <c r="BN114" s="28"/>
      <c r="BO114" s="28"/>
      <c r="BP114" s="28"/>
      <c r="BQ114" s="28"/>
      <c r="BR114" s="1170"/>
      <c r="BS114" s="1170"/>
      <c r="BT114" s="1170"/>
      <c r="BU114" s="1170"/>
      <c r="BV114" s="1170"/>
      <c r="BW114" s="1170"/>
      <c r="BX114" s="1170"/>
      <c r="BY114" s="1170"/>
      <c r="BZ114" s="1170"/>
      <c r="CA114" s="1170"/>
      <c r="CB114" s="1170"/>
      <c r="CC114" s="1170"/>
      <c r="CD114" s="28"/>
      <c r="CE114" s="28"/>
      <c r="CF114" s="28"/>
      <c r="CG114" s="28"/>
      <c r="CH114" s="28"/>
      <c r="CI114" s="28"/>
      <c r="CJ114" s="28"/>
      <c r="CK114" s="28"/>
      <c r="CL114" s="28"/>
      <c r="CM114" s="28"/>
      <c r="CN114" s="28"/>
      <c r="CO114" s="28"/>
      <c r="CP114" s="28"/>
      <c r="CQ114" s="1168"/>
      <c r="CR114" s="1168"/>
      <c r="CS114" s="1168"/>
      <c r="CT114" s="1168"/>
      <c r="CU114" s="1168"/>
      <c r="CV114" s="1168"/>
      <c r="CW114" s="1168"/>
      <c r="CX114" s="1168"/>
      <c r="CY114" s="1168"/>
      <c r="CZ114" s="1168"/>
      <c r="DA114" s="1168"/>
      <c r="DB114" s="1168"/>
      <c r="DC114" s="1168"/>
      <c r="DD114" s="1168"/>
      <c r="DE114" s="1168"/>
      <c r="DF114" s="1168"/>
      <c r="DG114" s="1168"/>
      <c r="DH114" s="1168"/>
      <c r="DI114" s="1168"/>
      <c r="DJ114" s="1168"/>
      <c r="DK114" s="1168"/>
      <c r="DL114" s="28"/>
      <c r="DM114" s="28"/>
      <c r="DN114" s="28"/>
      <c r="DO114" s="28"/>
      <c r="DP114" s="28"/>
      <c r="DQ114" s="28"/>
      <c r="DR114" s="28"/>
      <c r="DS114" s="1171"/>
      <c r="DT114" s="1171"/>
      <c r="DU114" s="1171"/>
      <c r="DV114" s="1171"/>
      <c r="DW114" s="1171"/>
      <c r="DX114" s="28"/>
      <c r="DY114" s="28"/>
      <c r="DZ114" s="28"/>
      <c r="EA114" s="28"/>
      <c r="EB114" s="28"/>
      <c r="EC114" s="28"/>
      <c r="ED114" s="28"/>
      <c r="EE114" s="28"/>
      <c r="EF114" s="28"/>
      <c r="EG114" s="28"/>
      <c r="EH114" s="28"/>
      <c r="EI114" s="28"/>
      <c r="EJ114" s="28"/>
      <c r="EK114" s="28"/>
      <c r="EL114" s="28"/>
      <c r="EM114" s="28"/>
      <c r="EN114" s="28"/>
      <c r="EO114" s="28"/>
      <c r="EP114" s="28"/>
      <c r="EQ114" s="28"/>
      <c r="ER114" s="28"/>
      <c r="ES114" s="28"/>
      <c r="ET114" s="28"/>
      <c r="EU114" s="28"/>
      <c r="EV114" s="28"/>
      <c r="EW114" s="28"/>
      <c r="EX114" s="28"/>
      <c r="EY114" s="28"/>
      <c r="EZ114" s="28"/>
      <c r="FA114" s="28"/>
      <c r="FB114" s="28"/>
      <c r="FC114" s="28"/>
      <c r="FD114" s="28"/>
      <c r="FE114" s="28"/>
      <c r="FF114" s="1168"/>
      <c r="FG114" s="1168"/>
      <c r="FH114" s="1168"/>
      <c r="FI114" s="1168"/>
      <c r="FJ114" s="1168"/>
      <c r="FK114" s="1168"/>
      <c r="FL114" s="1168"/>
      <c r="FM114" s="1168"/>
      <c r="FN114" s="1168"/>
      <c r="FO114" s="1168"/>
      <c r="FP114" s="1168"/>
      <c r="FQ114" s="1168"/>
      <c r="FR114" s="1168"/>
      <c r="FS114" s="1168"/>
      <c r="FT114" s="1168"/>
      <c r="FU114" s="1168"/>
      <c r="FV114" s="1168"/>
      <c r="FW114" s="1168"/>
      <c r="FX114" s="1168"/>
      <c r="FY114" s="1168"/>
      <c r="FZ114" s="1168"/>
      <c r="GA114" s="1168"/>
      <c r="GB114" s="1168"/>
      <c r="GC114" s="1168"/>
      <c r="GD114" s="1168"/>
      <c r="GE114" s="1168"/>
      <c r="GF114" s="1168"/>
      <c r="GG114" s="1168"/>
      <c r="GH114" s="1168"/>
      <c r="GI114" s="1168"/>
      <c r="GJ114" s="1168"/>
      <c r="GK114" s="1168"/>
      <c r="GL114" s="1168"/>
      <c r="GM114" s="1168"/>
      <c r="GN114" s="1168"/>
      <c r="GO114" s="1168"/>
      <c r="GP114" s="1168"/>
      <c r="GQ114" s="1168"/>
      <c r="GR114" s="1168"/>
      <c r="GS114" s="1168"/>
      <c r="GT114" s="1168"/>
      <c r="GU114" s="1168"/>
      <c r="GV114" s="1168"/>
      <c r="GW114" s="1168"/>
      <c r="GX114" s="1168"/>
      <c r="GY114" s="1168"/>
      <c r="GZ114" s="1168"/>
      <c r="HA114" s="1168"/>
      <c r="HB114" s="1168"/>
      <c r="HC114" s="1168"/>
      <c r="HD114" s="1168"/>
      <c r="HE114" s="1168"/>
      <c r="HF114" s="1168"/>
      <c r="HG114" s="1168"/>
      <c r="HH114" s="1168"/>
      <c r="HI114" s="1168"/>
      <c r="HJ114" s="1168"/>
      <c r="HK114" s="1168"/>
      <c r="HL114" s="1168"/>
      <c r="HM114" s="1168"/>
      <c r="HN114" s="1168"/>
      <c r="HO114" s="1168"/>
      <c r="HP114" s="1168"/>
      <c r="HQ114" s="1168"/>
      <c r="HR114" s="1168"/>
      <c r="HS114" s="1168"/>
      <c r="HT114" s="1168"/>
      <c r="HU114" s="1168"/>
      <c r="HV114" s="1168"/>
      <c r="HW114" s="1168"/>
      <c r="HX114" s="1168"/>
      <c r="HY114" s="1168"/>
      <c r="HZ114" s="1168"/>
      <c r="IA114" s="1168"/>
      <c r="IB114" s="1168"/>
      <c r="IC114" s="1168"/>
      <c r="ID114" s="1168"/>
      <c r="IE114" s="1168"/>
      <c r="IF114" s="1168"/>
      <c r="IG114" s="1168"/>
      <c r="IH114" s="1168"/>
      <c r="II114" s="1168"/>
      <c r="IJ114" s="1168"/>
      <c r="IK114" s="1168"/>
      <c r="IL114" s="1168"/>
      <c r="IM114" s="1168"/>
      <c r="IN114" s="1168"/>
      <c r="IO114" s="1168"/>
      <c r="IP114" s="1168"/>
      <c r="IQ114" s="1168"/>
      <c r="IR114" s="1168"/>
      <c r="IS114" s="1168"/>
      <c r="IT114" s="1168"/>
      <c r="IU114" s="1168"/>
      <c r="IV114" s="1168"/>
    </row>
    <row r="115" spans="1:256" ht="17.100000000000001" customHeight="1">
      <c r="A115" s="585"/>
      <c r="B115" s="585"/>
      <c r="C115" s="585"/>
      <c r="D115" s="585"/>
      <c r="F115" s="585"/>
      <c r="G115" s="585"/>
      <c r="H115" s="585"/>
      <c r="I115" s="585"/>
      <c r="J115" s="585"/>
      <c r="K115" s="585"/>
      <c r="L115" s="585"/>
      <c r="M115" s="585"/>
      <c r="N115" s="585"/>
      <c r="P115" s="585"/>
      <c r="Q115" s="585"/>
      <c r="R115" s="585"/>
      <c r="S115" s="585"/>
      <c r="T115" s="585"/>
      <c r="U115" s="585"/>
      <c r="V115" s="585"/>
      <c r="W115" s="585"/>
      <c r="X115" s="585"/>
      <c r="Y115" s="1296"/>
      <c r="Z115" s="1175"/>
      <c r="AG115" s="578"/>
      <c r="AL115" s="585"/>
      <c r="AM115" s="585"/>
      <c r="AN115" s="585"/>
      <c r="AO115" s="585"/>
      <c r="AP115" s="585"/>
      <c r="AQ115" s="585"/>
      <c r="AR115" s="585"/>
      <c r="AS115" s="585"/>
      <c r="AT115" s="585"/>
      <c r="AU115" s="720"/>
      <c r="AV115" s="585"/>
      <c r="AW115" s="585"/>
      <c r="AX115" s="585"/>
      <c r="AY115" s="585"/>
      <c r="AZ115" s="585"/>
      <c r="BA115" s="585"/>
      <c r="BB115" s="585"/>
      <c r="BC115" s="585"/>
      <c r="BD115" s="585"/>
      <c r="BE115" s="585"/>
      <c r="BF115" s="585"/>
      <c r="BG115" s="585"/>
      <c r="BH115" s="585"/>
      <c r="BI115" s="585"/>
      <c r="BJ115" s="585"/>
      <c r="BK115" s="585"/>
      <c r="BL115" s="585"/>
      <c r="BM115" s="585"/>
      <c r="BN115" s="585"/>
      <c r="BO115" s="585"/>
      <c r="BP115" s="585"/>
      <c r="BQ115" s="585"/>
      <c r="BR115" s="585"/>
      <c r="BS115" s="585"/>
      <c r="BT115" s="585"/>
      <c r="BU115" s="585"/>
      <c r="BV115" s="585"/>
      <c r="BW115" s="585"/>
      <c r="BX115" s="585"/>
      <c r="BY115" s="585"/>
      <c r="BZ115" s="585"/>
      <c r="CA115" s="585"/>
      <c r="CB115" s="585"/>
      <c r="CC115" s="585"/>
      <c r="CD115" s="585"/>
      <c r="CE115" s="585"/>
      <c r="CF115" s="585"/>
      <c r="CG115" s="585"/>
      <c r="CH115" s="585"/>
      <c r="CI115" s="585"/>
      <c r="CJ115" s="585"/>
      <c r="CK115" s="585"/>
      <c r="CL115" s="585"/>
      <c r="DF115" s="578"/>
      <c r="DG115" s="578"/>
      <c r="DH115" s="582"/>
      <c r="DI115" s="582"/>
      <c r="DJ115" s="582"/>
      <c r="DK115" s="582"/>
      <c r="DL115" s="582"/>
      <c r="DM115" s="582"/>
      <c r="DN115" s="582"/>
      <c r="DO115" s="583"/>
      <c r="DP115" s="583"/>
      <c r="DQ115" s="583"/>
      <c r="DR115" s="583"/>
      <c r="DS115" s="583"/>
      <c r="DT115" s="582"/>
      <c r="DU115" s="582"/>
      <c r="DV115" s="582"/>
      <c r="DW115" s="582"/>
      <c r="DX115" s="582"/>
      <c r="DY115" s="582"/>
      <c r="DZ115" s="582"/>
      <c r="EA115" s="582"/>
      <c r="EB115" s="582"/>
      <c r="EC115" s="582"/>
      <c r="ED115" s="582"/>
      <c r="EE115" s="582"/>
      <c r="EF115" s="582"/>
      <c r="EG115" s="582"/>
      <c r="EH115" s="582"/>
      <c r="EI115" s="582"/>
      <c r="EJ115" s="582"/>
      <c r="EK115" s="582"/>
      <c r="EL115" s="582"/>
      <c r="EM115" s="582"/>
      <c r="EN115" s="582"/>
      <c r="EO115" s="582"/>
      <c r="EP115" s="582"/>
      <c r="EQ115" s="582"/>
      <c r="ER115" s="582"/>
      <c r="ES115" s="582"/>
      <c r="ET115" s="582"/>
      <c r="EU115" s="582"/>
      <c r="EV115" s="582"/>
      <c r="EW115" s="582"/>
      <c r="EX115" s="582"/>
      <c r="EY115" s="582"/>
      <c r="EZ115" s="582"/>
      <c r="FA115" s="582"/>
      <c r="IV115" s="578"/>
    </row>
    <row r="116" spans="1:256" ht="17.100000000000001" customHeight="1">
      <c r="A116" s="585"/>
      <c r="B116" s="585"/>
      <c r="Y116" s="1297"/>
      <c r="AG116" s="578"/>
      <c r="AT116" s="581"/>
      <c r="CC116" s="582"/>
      <c r="CD116" s="582"/>
      <c r="CE116" s="582"/>
      <c r="CF116" s="582"/>
      <c r="CG116" s="582"/>
      <c r="CH116" s="582"/>
      <c r="CI116" s="582"/>
      <c r="CJ116" s="582"/>
      <c r="CK116" s="582"/>
      <c r="CL116" s="582"/>
      <c r="DF116" s="578"/>
      <c r="DG116" s="578"/>
      <c r="DH116" s="582"/>
      <c r="DI116" s="582"/>
      <c r="DJ116" s="582"/>
      <c r="DK116" s="582"/>
      <c r="DL116" s="582"/>
      <c r="DM116" s="582"/>
      <c r="DN116" s="582"/>
      <c r="DO116" s="583"/>
      <c r="DP116" s="583"/>
      <c r="DQ116" s="583"/>
      <c r="DR116" s="583"/>
      <c r="DS116" s="583"/>
      <c r="DT116" s="582"/>
      <c r="DU116" s="582"/>
      <c r="DV116" s="582"/>
      <c r="DW116" s="582"/>
      <c r="DX116" s="582"/>
      <c r="DY116" s="582"/>
      <c r="DZ116" s="582"/>
      <c r="EA116" s="582"/>
      <c r="EB116" s="582"/>
      <c r="EC116" s="582"/>
      <c r="ED116" s="582"/>
      <c r="EE116" s="582"/>
      <c r="EF116" s="582"/>
      <c r="EG116" s="582"/>
      <c r="EH116" s="582"/>
      <c r="EI116" s="582"/>
      <c r="EJ116" s="582"/>
      <c r="EK116" s="582"/>
      <c r="EL116" s="582"/>
      <c r="EM116" s="582"/>
      <c r="EN116" s="582"/>
      <c r="EO116" s="582"/>
      <c r="EP116" s="582"/>
      <c r="EQ116" s="582"/>
      <c r="ER116" s="582"/>
      <c r="ES116" s="582"/>
      <c r="ET116" s="582"/>
      <c r="EU116" s="582"/>
      <c r="EV116" s="582"/>
      <c r="EW116" s="582"/>
      <c r="EX116" s="582"/>
      <c r="EY116" s="582"/>
      <c r="EZ116" s="582"/>
      <c r="FA116" s="582"/>
      <c r="IV116" s="578"/>
    </row>
    <row r="117" spans="1:256" ht="17.100000000000001" customHeight="1">
      <c r="A117" s="585"/>
      <c r="B117" s="585"/>
      <c r="Y117" s="1297"/>
      <c r="AG117" s="578"/>
      <c r="AS117" s="581"/>
      <c r="DF117" s="578"/>
      <c r="DG117" s="578"/>
      <c r="DH117" s="582"/>
      <c r="DI117" s="582"/>
      <c r="DJ117" s="582"/>
      <c r="DK117" s="582"/>
      <c r="DL117" s="582"/>
      <c r="DM117" s="582"/>
      <c r="DN117" s="582"/>
      <c r="DO117" s="583"/>
      <c r="DP117" s="583"/>
      <c r="DQ117" s="583"/>
      <c r="DR117" s="583"/>
      <c r="DS117" s="583"/>
      <c r="DT117" s="582"/>
      <c r="DU117" s="582"/>
      <c r="DV117" s="582"/>
      <c r="DW117" s="582"/>
      <c r="DX117" s="582"/>
      <c r="DY117" s="582"/>
      <c r="DZ117" s="582"/>
      <c r="EA117" s="582"/>
      <c r="EB117" s="582"/>
      <c r="EC117" s="582"/>
      <c r="ED117" s="582"/>
      <c r="EE117" s="582"/>
      <c r="EF117" s="582"/>
      <c r="EG117" s="582"/>
      <c r="EH117" s="582"/>
      <c r="EI117" s="582"/>
      <c r="EJ117" s="582"/>
      <c r="EK117" s="582"/>
      <c r="EL117" s="582"/>
      <c r="EM117" s="582"/>
      <c r="EN117" s="582"/>
      <c r="EO117" s="582"/>
      <c r="EP117" s="582"/>
      <c r="EQ117" s="582"/>
      <c r="ER117" s="582"/>
      <c r="ES117" s="582"/>
      <c r="ET117" s="582"/>
      <c r="EU117" s="582"/>
      <c r="EV117" s="582"/>
      <c r="EW117" s="582"/>
      <c r="EX117" s="582"/>
      <c r="EY117" s="582"/>
      <c r="EZ117" s="582"/>
      <c r="FA117" s="582"/>
      <c r="IV117" s="578"/>
    </row>
    <row r="118" spans="1:256" ht="17.100000000000001" customHeight="1">
      <c r="A118" s="585"/>
      <c r="B118" s="585"/>
      <c r="C118" s="585"/>
      <c r="D118" s="585"/>
      <c r="E118" s="585"/>
      <c r="F118" s="585"/>
      <c r="G118" s="585"/>
      <c r="H118" s="585"/>
      <c r="I118" s="585"/>
      <c r="J118" s="585"/>
      <c r="K118" s="585"/>
      <c r="L118" s="585"/>
      <c r="M118" s="585"/>
      <c r="N118" s="585"/>
      <c r="O118" s="585"/>
      <c r="P118" s="585"/>
      <c r="Q118" s="585"/>
      <c r="R118" s="585"/>
      <c r="S118" s="585"/>
      <c r="T118" s="585"/>
      <c r="U118" s="585"/>
      <c r="V118" s="585"/>
      <c r="W118" s="585"/>
      <c r="X118" s="585"/>
      <c r="Y118" s="1296"/>
      <c r="Z118" s="585"/>
      <c r="AG118" s="578"/>
      <c r="AL118" s="585"/>
      <c r="AM118" s="585"/>
      <c r="AN118" s="585"/>
      <c r="AO118" s="585"/>
      <c r="AP118" s="585"/>
      <c r="AQ118" s="585"/>
      <c r="AR118" s="585"/>
      <c r="AS118" s="720"/>
      <c r="AT118" s="585"/>
      <c r="AU118" s="585"/>
      <c r="AV118" s="585"/>
      <c r="AW118" s="585"/>
      <c r="AX118" s="585"/>
      <c r="AY118" s="585"/>
      <c r="AZ118" s="585"/>
      <c r="BA118" s="585"/>
      <c r="BB118" s="585"/>
      <c r="BC118" s="585"/>
      <c r="BD118" s="585"/>
      <c r="BE118" s="585"/>
      <c r="BF118" s="585"/>
      <c r="BG118" s="585"/>
      <c r="BH118" s="585"/>
      <c r="BI118" s="585"/>
      <c r="BJ118" s="585"/>
      <c r="BK118" s="585"/>
      <c r="BL118" s="585"/>
      <c r="BM118" s="585"/>
      <c r="BN118" s="585"/>
      <c r="BO118" s="585"/>
      <c r="BP118" s="585"/>
      <c r="BQ118" s="585"/>
      <c r="BR118" s="585"/>
      <c r="BS118" s="585"/>
      <c r="BT118" s="585"/>
      <c r="BU118" s="585"/>
      <c r="BV118" s="585"/>
      <c r="BW118" s="585"/>
      <c r="BX118" s="585"/>
      <c r="BY118" s="585"/>
      <c r="BZ118" s="585"/>
      <c r="CA118" s="585"/>
      <c r="CB118" s="585"/>
      <c r="CC118" s="585"/>
      <c r="CD118" s="585"/>
      <c r="CE118" s="585"/>
      <c r="CF118" s="585"/>
      <c r="CG118" s="585"/>
      <c r="CH118" s="585"/>
      <c r="CI118" s="585"/>
      <c r="CJ118" s="585"/>
      <c r="CK118" s="585"/>
      <c r="CL118" s="585"/>
      <c r="CM118" s="585"/>
      <c r="DF118" s="578"/>
      <c r="DG118" s="578"/>
      <c r="DH118" s="582"/>
      <c r="DI118" s="582"/>
      <c r="DJ118" s="582"/>
      <c r="DK118" s="582"/>
      <c r="DL118" s="582"/>
      <c r="DM118" s="582"/>
      <c r="DN118" s="582"/>
      <c r="DO118" s="583"/>
      <c r="DP118" s="583"/>
      <c r="DQ118" s="583"/>
      <c r="DR118" s="583"/>
      <c r="DS118" s="583"/>
      <c r="DT118" s="582"/>
      <c r="DU118" s="582"/>
      <c r="DV118" s="582"/>
      <c r="DW118" s="582"/>
      <c r="DX118" s="582"/>
      <c r="DY118" s="582"/>
      <c r="DZ118" s="582"/>
      <c r="EA118" s="582"/>
      <c r="EB118" s="582"/>
      <c r="EC118" s="582"/>
      <c r="ED118" s="582"/>
      <c r="EE118" s="582"/>
      <c r="EF118" s="582"/>
      <c r="EG118" s="582"/>
      <c r="EH118" s="582"/>
      <c r="EI118" s="582"/>
      <c r="EJ118" s="582"/>
      <c r="EK118" s="582"/>
      <c r="EL118" s="582"/>
      <c r="EM118" s="582"/>
      <c r="EN118" s="582"/>
      <c r="EO118" s="582"/>
      <c r="EP118" s="582"/>
      <c r="EQ118" s="582"/>
      <c r="ER118" s="582"/>
      <c r="ES118" s="582"/>
      <c r="ET118" s="582"/>
      <c r="EU118" s="582"/>
      <c r="EV118" s="582"/>
      <c r="EW118" s="582"/>
      <c r="EX118" s="582"/>
      <c r="EY118" s="582"/>
      <c r="EZ118" s="582"/>
      <c r="FA118" s="582"/>
      <c r="IV118" s="578"/>
    </row>
    <row r="119" spans="1:256">
      <c r="Y119" s="1297"/>
      <c r="AG119" s="578"/>
      <c r="AS119" s="581"/>
      <c r="DF119" s="578"/>
      <c r="DG119" s="578"/>
      <c r="DH119" s="578"/>
      <c r="DI119" s="578"/>
      <c r="DJ119" s="578"/>
      <c r="DO119" s="798"/>
      <c r="DP119" s="798"/>
      <c r="DQ119" s="798"/>
      <c r="DR119" s="798"/>
      <c r="DS119" s="798"/>
      <c r="IV119" s="578"/>
    </row>
    <row r="120" spans="1:256">
      <c r="Y120" s="1297"/>
      <c r="AG120" s="578"/>
      <c r="AS120" s="581"/>
      <c r="DF120" s="578"/>
      <c r="DG120" s="578"/>
      <c r="DH120" s="578"/>
      <c r="DI120" s="578"/>
      <c r="DJ120" s="578"/>
      <c r="DO120" s="798"/>
      <c r="DP120" s="798"/>
      <c r="DQ120" s="798"/>
      <c r="DR120" s="798"/>
      <c r="DS120" s="798"/>
      <c r="IV120" s="578"/>
    </row>
    <row r="121" spans="1:256" hidden="1">
      <c r="Y121" s="1297"/>
      <c r="AG121" s="578"/>
      <c r="AH121" s="581"/>
      <c r="DF121" s="578"/>
      <c r="DK121" s="798"/>
      <c r="IV121" s="578"/>
    </row>
    <row r="122" spans="1:256">
      <c r="Y122" s="1297"/>
      <c r="AG122" s="578"/>
      <c r="AH122" s="581"/>
      <c r="DF122" s="578"/>
      <c r="DK122" s="798"/>
      <c r="IV122" s="578"/>
    </row>
    <row r="123" spans="1:256">
      <c r="Y123" s="1297"/>
      <c r="AG123" s="578"/>
      <c r="AH123" s="581"/>
      <c r="DF123" s="578"/>
      <c r="DK123" s="798"/>
      <c r="IV123" s="578"/>
    </row>
    <row r="124" spans="1:256">
      <c r="Y124" s="1297"/>
      <c r="AG124" s="578"/>
      <c r="AH124" s="581"/>
      <c r="DF124" s="578"/>
      <c r="DK124" s="798"/>
      <c r="IV124" s="578"/>
    </row>
    <row r="125" spans="1:256">
      <c r="Y125" s="1297"/>
      <c r="AG125" s="578"/>
      <c r="AH125" s="581"/>
      <c r="DF125" s="578"/>
      <c r="DK125" s="798"/>
      <c r="IV125" s="578"/>
    </row>
    <row r="126" spans="1:256">
      <c r="X126" s="1297"/>
    </row>
    <row r="127" spans="1:256">
      <c r="X127" s="1297"/>
    </row>
    <row r="128" spans="1:256">
      <c r="X128" s="1297"/>
    </row>
    <row r="129" spans="24:24">
      <c r="X129" s="1297"/>
    </row>
    <row r="130" spans="24:24">
      <c r="X130" s="1297"/>
    </row>
    <row r="131" spans="24:24">
      <c r="X131" s="1297"/>
    </row>
    <row r="132" spans="24:24">
      <c r="X132" s="1297"/>
    </row>
    <row r="133" spans="24:24">
      <c r="X133" s="1297"/>
    </row>
    <row r="134" spans="24:24">
      <c r="X134" s="1297"/>
    </row>
    <row r="135" spans="24:24">
      <c r="X135" s="1297"/>
    </row>
    <row r="136" spans="24:24">
      <c r="X136" s="1297"/>
    </row>
    <row r="137" spans="24:24">
      <c r="X137" s="1297"/>
    </row>
    <row r="138" spans="24:24">
      <c r="X138" s="1297"/>
    </row>
    <row r="139" spans="24:24">
      <c r="X139" s="1297"/>
    </row>
    <row r="140" spans="24:24">
      <c r="X140" s="1297"/>
    </row>
    <row r="141" spans="24:24">
      <c r="X141" s="1297"/>
    </row>
    <row r="142" spans="24:24">
      <c r="X142" s="1297"/>
    </row>
    <row r="143" spans="24:24">
      <c r="X143" s="1297"/>
    </row>
    <row r="144" spans="24:24">
      <c r="X144" s="1297"/>
    </row>
    <row r="145" spans="24:24">
      <c r="X145" s="1297"/>
    </row>
    <row r="146" spans="24:24">
      <c r="X146" s="1297"/>
    </row>
    <row r="147" spans="24:24">
      <c r="X147" s="1297"/>
    </row>
    <row r="148" spans="24:24">
      <c r="X148" s="1297"/>
    </row>
  </sheetData>
  <mergeCells count="85">
    <mergeCell ref="AV45:AX45"/>
    <mergeCell ref="AV46:AX46"/>
    <mergeCell ref="AV47:AX47"/>
    <mergeCell ref="AV48:AX48"/>
    <mergeCell ref="AV44:AX44"/>
    <mergeCell ref="HV9:HV10"/>
    <mergeCell ref="HV6:HV8"/>
    <mergeCell ref="T4:U4"/>
    <mergeCell ref="Q63:R63"/>
    <mergeCell ref="S63:T63"/>
    <mergeCell ref="CK55:CL55"/>
    <mergeCell ref="CK58:CL58"/>
    <mergeCell ref="CK56:CL56"/>
    <mergeCell ref="CK57:CL57"/>
    <mergeCell ref="U63:V63"/>
    <mergeCell ref="Z63:AA63"/>
    <mergeCell ref="AP6:AQ7"/>
    <mergeCell ref="AR6:AS7"/>
    <mergeCell ref="AL6:AL8"/>
    <mergeCell ref="DZ6:EC6"/>
    <mergeCell ref="DZ7:EC7"/>
    <mergeCell ref="A63:B64"/>
    <mergeCell ref="D63:E63"/>
    <mergeCell ref="M63:N63"/>
    <mergeCell ref="O63:P63"/>
    <mergeCell ref="I63:J63"/>
    <mergeCell ref="F63:G63"/>
    <mergeCell ref="K63:L63"/>
    <mergeCell ref="A75:B76"/>
    <mergeCell ref="AP75:AQ76"/>
    <mergeCell ref="O75:P75"/>
    <mergeCell ref="S75:T75"/>
    <mergeCell ref="U75:V75"/>
    <mergeCell ref="D75:E75"/>
    <mergeCell ref="F75:G75"/>
    <mergeCell ref="K75:L75"/>
    <mergeCell ref="M75:N75"/>
    <mergeCell ref="Q75:R75"/>
    <mergeCell ref="I75:J75"/>
    <mergeCell ref="Z75:AA75"/>
    <mergeCell ref="A72:B72"/>
    <mergeCell ref="A66:B66"/>
    <mergeCell ref="A65:B65"/>
    <mergeCell ref="A67:B67"/>
    <mergeCell ref="A68:B68"/>
    <mergeCell ref="A69:B69"/>
    <mergeCell ref="A70:B70"/>
    <mergeCell ref="A71:B71"/>
    <mergeCell ref="GV4:GW4"/>
    <mergeCell ref="AO4:AP4"/>
    <mergeCell ref="BY4:BZ4"/>
    <mergeCell ref="CY4:CZ4"/>
    <mergeCell ref="DU4:DV4"/>
    <mergeCell ref="EK4:EL4"/>
    <mergeCell ref="FW4:FX4"/>
    <mergeCell ref="GB7:GI7"/>
    <mergeCell ref="GC8:GD8"/>
    <mergeCell ref="HM6:HN7"/>
    <mergeCell ref="HM8:HM9"/>
    <mergeCell ref="HN8:HN9"/>
    <mergeCell ref="GN8:GO8"/>
    <mergeCell ref="GP8:GQ8"/>
    <mergeCell ref="GT8:GU8"/>
    <mergeCell ref="GR8:GS8"/>
    <mergeCell ref="GJ7:GU7"/>
    <mergeCell ref="GJ8:GK8"/>
    <mergeCell ref="GL8:GM8"/>
    <mergeCell ref="AU75:AV75"/>
    <mergeCell ref="AS75:AT75"/>
    <mergeCell ref="AY75:AZ75"/>
    <mergeCell ref="BA75:BB75"/>
    <mergeCell ref="BC75:BD75"/>
    <mergeCell ref="BE75:BF75"/>
    <mergeCell ref="CQ52:CS52"/>
    <mergeCell ref="DF49:DG49"/>
    <mergeCell ref="DF47:DH47"/>
    <mergeCell ref="EB52:EL54"/>
    <mergeCell ref="EG67:EJ69"/>
    <mergeCell ref="BG75:BH75"/>
    <mergeCell ref="BI75:BJ75"/>
    <mergeCell ref="BO75:BP75"/>
    <mergeCell ref="DF48:DG48"/>
    <mergeCell ref="DJ47:DL47"/>
    <mergeCell ref="DJ48:DK48"/>
    <mergeCell ref="DJ49:DK49"/>
  </mergeCells>
  <phoneticPr fontId="41" type="noConversion"/>
  <printOptions horizontalCentered="1" verticalCentered="1"/>
  <pageMargins left="0.5" right="0.33333333333333331" top="0.5" bottom="0.45" header="0" footer="0"/>
  <pageSetup scale="52" orientation="landscape" r:id="rId1"/>
  <headerFooter alignWithMargins="0"/>
  <colBreaks count="3" manualBreakCount="3">
    <brk id="25" min="47" max="82" man="1"/>
    <brk id="108" min="132" max="149" man="1"/>
    <brk id="13480" min="16" max="24006"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K119"/>
  <sheetViews>
    <sheetView showGridLines="0" defaultGridColor="0" colorId="59" zoomScale="80" zoomScaleNormal="80" workbookViewId="0">
      <pane xSplit="3" ySplit="10" topLeftCell="D17" activePane="bottomRight" state="frozen"/>
      <selection pane="topRight" activeCell="D1" sqref="D1"/>
      <selection pane="bottomLeft" activeCell="A11" sqref="A11"/>
      <selection pane="bottomRight" activeCell="W37" sqref="W37"/>
    </sheetView>
  </sheetViews>
  <sheetFormatPr defaultColWidth="9.6328125" defaultRowHeight="15"/>
  <cols>
    <col min="1" max="1" width="2.6328125" style="811" customWidth="1"/>
    <col min="2" max="2" width="8.08984375" style="811" customWidth="1"/>
    <col min="3" max="3" width="4.6328125" style="811" customWidth="1"/>
    <col min="4" max="30" width="8.6328125" style="811" customWidth="1"/>
    <col min="31" max="31" width="12.6328125" style="811" customWidth="1"/>
    <col min="32" max="111" width="8.6328125" style="811" customWidth="1"/>
    <col min="112" max="112" width="10.6328125" style="811" customWidth="1"/>
    <col min="113" max="122" width="8.6328125" style="811" customWidth="1"/>
    <col min="123" max="123" width="4.6328125" style="811" customWidth="1"/>
    <col min="124" max="126" width="8.6328125" style="811" customWidth="1"/>
    <col min="127" max="127" width="11.6328125" style="811" customWidth="1"/>
    <col min="128" max="245" width="9.6328125" style="811" customWidth="1"/>
    <col min="246" max="16384" width="9.6328125" style="308"/>
  </cols>
  <sheetData>
    <row r="1" spans="2:128" ht="17.100000000000001" customHeight="1">
      <c r="C1" s="812"/>
      <c r="D1" s="813" t="e">
        <f>IF(F1="","",ROUND(((DF_!$DY65535*LA_!D1)-(DW_!AG1*DW_!I1))/(DF_!$DY65535-DW_!AG1),0))</f>
        <v>#DIV/0!</v>
      </c>
      <c r="F1" s="811">
        <v>1</v>
      </c>
      <c r="Z1" s="813"/>
      <c r="AA1" s="811">
        <v>1</v>
      </c>
      <c r="AB1" s="813"/>
      <c r="DF1" s="812"/>
    </row>
    <row r="2" spans="2:128" ht="17.100000000000001" customHeight="1">
      <c r="C2" s="814"/>
      <c r="D2" s="815">
        <f>AVERAGE(D11:D41)+2*STDEVP(D11:D41)</f>
        <v>210.44831564145346</v>
      </c>
      <c r="E2" s="815"/>
      <c r="F2" s="815">
        <f>AVERAGE(F11:F41)+2*STDEVP(F11:F41)</f>
        <v>169.96965913801097</v>
      </c>
      <c r="G2" s="815"/>
      <c r="H2" s="815">
        <f>ROUND(AVERAGE(H11:H41)+2*STDEVP(H11:H41),-1)</f>
        <v>100</v>
      </c>
      <c r="I2" s="815">
        <f t="shared" ref="I2:U2" si="0">ROUND(AVERAGE(I11:I41)+2*STDEVP(I11:I41),-1)</f>
        <v>130</v>
      </c>
      <c r="J2" s="815">
        <f t="shared" si="0"/>
        <v>50</v>
      </c>
      <c r="K2" s="815">
        <f t="shared" si="0"/>
        <v>310</v>
      </c>
      <c r="L2" s="815">
        <f t="shared" si="0"/>
        <v>3900</v>
      </c>
      <c r="M2" s="815">
        <f t="shared" si="0"/>
        <v>3780</v>
      </c>
      <c r="N2" s="815">
        <f t="shared" si="0"/>
        <v>3490</v>
      </c>
      <c r="O2" s="815">
        <f t="shared" si="0"/>
        <v>4410</v>
      </c>
      <c r="P2" s="815">
        <f t="shared" si="0"/>
        <v>4350</v>
      </c>
      <c r="Q2" s="815">
        <f t="shared" si="0"/>
        <v>4890</v>
      </c>
      <c r="R2" s="815">
        <f t="shared" si="0"/>
        <v>5330</v>
      </c>
      <c r="S2" s="815">
        <f t="shared" si="0"/>
        <v>4750</v>
      </c>
      <c r="T2" s="815">
        <f t="shared" si="0"/>
        <v>6030</v>
      </c>
      <c r="U2" s="815">
        <f t="shared" si="0"/>
        <v>6590</v>
      </c>
      <c r="V2" s="815">
        <f>ROUND(AVERAGE(V11:V41)+2*STDEVP(V11:V41),-1)</f>
        <v>6220</v>
      </c>
      <c r="W2" s="815"/>
      <c r="X2" s="815">
        <f>ROUND(AVERAGE(X11:X41)+2*STDEVP(X11:X41),-1)</f>
        <v>10080</v>
      </c>
      <c r="Y2" s="815"/>
      <c r="Z2" s="815">
        <f>AVERAGE(Z11:Z41)+2*STDEVP(Z11:Z41)</f>
        <v>222.13125870680534</v>
      </c>
      <c r="AA2" s="815">
        <f>AVERAGE(AA11:AA41)+2*STDEVP(AA11:AA41)</f>
        <v>184.96144494355715</v>
      </c>
      <c r="AB2" s="815">
        <f>AVERAGE(AB11:AB41)+2*STDEVP(AB11:AB41)</f>
        <v>106.79418849607612</v>
      </c>
      <c r="AC2" s="815">
        <f>ROUND(AVERAGE(AC11:AC41)+2*STDEVP(AC11:AC41),0)</f>
        <v>173</v>
      </c>
      <c r="AD2" s="815">
        <f>AVERAGE(AD11:AD41)+2*STDEVP(AD11:AD41)</f>
        <v>18.594026863180837</v>
      </c>
      <c r="AE2" s="815">
        <f>AVERAGE(AE11:AE41)+2*STDEVP(AE11:AE41)</f>
        <v>3427.7018468545698</v>
      </c>
      <c r="AF2" s="815">
        <f>ROUND(AVERAGE(AF11:AF41)+2*STDEVP(AF11:AF41),0)</f>
        <v>4</v>
      </c>
      <c r="AI2" s="816">
        <f>AVERAGE(AI11:AI41)+STDEVP(AI11:AI41)</f>
        <v>73.435864726370497</v>
      </c>
      <c r="AJ2" s="816"/>
      <c r="AK2" s="816"/>
      <c r="AL2" s="816" t="e">
        <f>AVERAGE(AL11:AL41)+STDEVP(AL11:AL41)</f>
        <v>#DIV/0!</v>
      </c>
      <c r="BA2" s="1630"/>
      <c r="BQ2" s="816">
        <f>AVERAGE(BQ11:BQ41)+STDEVP(BQ11:BQ41)</f>
        <v>39.880339786693369</v>
      </c>
      <c r="BR2" s="816">
        <f>AVERAGE(BR11:BR41)+STDEVP(BR11:BR41)</f>
        <v>2.83</v>
      </c>
      <c r="BS2" s="816">
        <f>AVERAGE(BS11:BS41)+STDEVP(BS11:BS41)</f>
        <v>4.72</v>
      </c>
      <c r="BT2" s="816">
        <f>AVERAGE(BT11:BT41)+STDEVP(BT11:BT41)</f>
        <v>414</v>
      </c>
      <c r="CV2" s="811">
        <f>AVERAGE(CV11:CV41)+2*STDEVP(CV11:CV41)</f>
        <v>5.8443040831256194</v>
      </c>
      <c r="CZ2" s="811" t="e">
        <f>AVERAGE(CZ11:CZ41)+2*STDEVP(CZ11:CZ41)</f>
        <v>#DIV/0!</v>
      </c>
      <c r="DF2" s="812"/>
    </row>
    <row r="3" spans="2:128" ht="17.100000000000001" customHeight="1">
      <c r="C3" s="814"/>
      <c r="D3" s="815">
        <f>AVERAGE(D11:D41)-2*STDEVP(D11:D41)</f>
        <v>76.325877906933613</v>
      </c>
      <c r="E3" s="815"/>
      <c r="F3" s="815">
        <f>AVERAGE(F11:F41)-2*STDEVP(F11:F41)</f>
        <v>92.352921507150327</v>
      </c>
      <c r="G3" s="815"/>
      <c r="H3" s="815">
        <f>ROUND(AVERAGE(H11:H41)-2*STDEVP(H11:H41),-1)</f>
        <v>30</v>
      </c>
      <c r="I3" s="815">
        <f t="shared" ref="I3:U3" si="1">ROUND(AVERAGE(I11:I41)-2*STDEVP(I11:I41),-1)</f>
        <v>50</v>
      </c>
      <c r="J3" s="815">
        <f t="shared" si="1"/>
        <v>-20</v>
      </c>
      <c r="K3" s="815">
        <f t="shared" si="1"/>
        <v>30</v>
      </c>
      <c r="L3" s="815">
        <f t="shared" si="1"/>
        <v>1260</v>
      </c>
      <c r="M3" s="815">
        <f t="shared" si="1"/>
        <v>1130</v>
      </c>
      <c r="N3" s="815">
        <f t="shared" si="1"/>
        <v>1090</v>
      </c>
      <c r="O3" s="815">
        <f t="shared" si="1"/>
        <v>1630</v>
      </c>
      <c r="P3" s="815">
        <f t="shared" si="1"/>
        <v>1350</v>
      </c>
      <c r="Q3" s="815">
        <f t="shared" si="1"/>
        <v>1270</v>
      </c>
      <c r="R3" s="815">
        <f t="shared" si="1"/>
        <v>1030</v>
      </c>
      <c r="S3" s="815">
        <f t="shared" si="1"/>
        <v>1130</v>
      </c>
      <c r="T3" s="815">
        <f t="shared" si="1"/>
        <v>1840</v>
      </c>
      <c r="U3" s="815">
        <f t="shared" si="1"/>
        <v>1970</v>
      </c>
      <c r="V3" s="815">
        <f>ROUND(AVERAGE(V11:V41)-2*STDEVP(V11:V41),-1)</f>
        <v>2170</v>
      </c>
      <c r="W3" s="815"/>
      <c r="X3" s="815">
        <f>ROUND(AVERAGE(X11:X41)-2*STDEVP(X11:X41),-1)</f>
        <v>3670</v>
      </c>
      <c r="Y3" s="815"/>
      <c r="Z3" s="815">
        <f>AVERAGE(Z11:Z41)-2*STDEVP(Z11:Z41)</f>
        <v>61.35261226093661</v>
      </c>
      <c r="AA3" s="815">
        <f>AVERAGE(AA11:AA41)-2*STDEVP(AA11:AA41)</f>
        <v>86.974038927410589</v>
      </c>
      <c r="AB3" s="815">
        <f>AVERAGE(AB11:AB41)-2*STDEVP(AB11:AB41)</f>
        <v>43.455811503923883</v>
      </c>
      <c r="AC3" s="815">
        <f>ROUND(AVERAGE(AC11:AC41)-2*STDEVP(AC11:AC41),0)</f>
        <v>22</v>
      </c>
      <c r="AD3" s="815">
        <f>AVERAGE(AD11:AD41)-2*STDEVP(AD11:AD41)</f>
        <v>-4.9811236373743863</v>
      </c>
      <c r="AE3" s="815">
        <f>AVERAGE(AE11:AE41)-2*STDEVP(AE11:AE41)</f>
        <v>369.79815314543021</v>
      </c>
      <c r="AF3" s="815">
        <f>ROUND(AVERAGE(AF11:AF41)-2*STDEVP(AF11:AF41),0)</f>
        <v>2</v>
      </c>
      <c r="AI3" s="816">
        <f>AVERAGE(AI11:AI41)-STDEVP(AI11:AI41)</f>
        <v>69.376635273629503</v>
      </c>
      <c r="AJ3" s="816"/>
      <c r="AK3" s="816"/>
      <c r="AL3" s="816" t="e">
        <f>AVERAGE(AL11:AL41)-STDEVP(AL11:AL41)</f>
        <v>#DIV/0!</v>
      </c>
      <c r="BA3" s="1630"/>
      <c r="BQ3" s="816">
        <f>AVERAGE(BQ11:BQ41)-STDEVP(BQ11:BQ41)</f>
        <v>29.726111826209848</v>
      </c>
      <c r="BR3" s="816">
        <f>AVERAGE(BR11:BR41)-STDEVP(BR11:BR41)</f>
        <v>2.6099999999999994</v>
      </c>
      <c r="BS3" s="816">
        <f>AVERAGE(BS11:BS41)-STDEVP(BS11:BS41)</f>
        <v>4.63</v>
      </c>
      <c r="BT3" s="816">
        <f>AVERAGE(BT11:BT41)-STDEVP(BT11:BT41)</f>
        <v>389</v>
      </c>
      <c r="CV3" s="811">
        <f>AVERAGE(CV11:CV41)-2*STDEVP(CV11:CV41)</f>
        <v>5.2023625835410474</v>
      </c>
      <c r="CZ3" s="811" t="e">
        <f>AVERAGE(CZ11:CZ41)-2*STDEVP(CZ11:CZ41)</f>
        <v>#DIV/0!</v>
      </c>
      <c r="DF3" s="812"/>
    </row>
    <row r="4" spans="2:128" ht="16.5" customHeight="1">
      <c r="C4" s="812"/>
      <c r="D4" s="308"/>
      <c r="BQ4" s="816"/>
      <c r="DF4" s="812"/>
    </row>
    <row r="5" spans="2:128" ht="17.100000000000001" customHeight="1" thickBot="1">
      <c r="C5" s="812"/>
      <c r="D5" s="811" t="s">
        <v>580</v>
      </c>
      <c r="F5" s="2819">
        <f>DMREZ!$I$5</f>
        <v>42370</v>
      </c>
      <c r="G5" s="2819"/>
      <c r="H5" s="1619">
        <f>+DMREZ!$J$5</f>
        <v>2016</v>
      </c>
      <c r="Z5" s="1630"/>
      <c r="DF5" s="812"/>
    </row>
    <row r="6" spans="2:128" ht="17.100000000000001" customHeight="1" thickBot="1">
      <c r="B6" s="2851"/>
      <c r="C6" s="817"/>
      <c r="D6" s="818" t="s">
        <v>967</v>
      </c>
      <c r="E6" s="819"/>
      <c r="F6" s="819"/>
      <c r="G6" s="819"/>
      <c r="H6" s="819"/>
      <c r="I6" s="819"/>
      <c r="J6" s="819"/>
      <c r="K6" s="819"/>
      <c r="L6" s="1203"/>
      <c r="M6" s="1202"/>
      <c r="N6" s="1202"/>
      <c r="O6" s="1202"/>
      <c r="P6" s="1202"/>
      <c r="Q6" s="1202"/>
      <c r="R6" s="1202"/>
      <c r="S6" s="1202"/>
      <c r="T6" s="1203"/>
      <c r="U6" s="1202"/>
      <c r="V6" s="1203"/>
      <c r="W6" s="1202"/>
      <c r="X6" s="819"/>
      <c r="Y6" s="819"/>
      <c r="Z6" s="821" t="s">
        <v>382</v>
      </c>
      <c r="AA6" s="822"/>
      <c r="AB6" s="822"/>
      <c r="AC6" s="822"/>
      <c r="AD6" s="822"/>
      <c r="AE6" s="823" t="s">
        <v>972</v>
      </c>
      <c r="AF6" s="819"/>
      <c r="AG6" s="824"/>
      <c r="AH6" s="819"/>
      <c r="AI6" s="819"/>
      <c r="AJ6" s="819"/>
      <c r="AK6" s="819"/>
      <c r="AL6" s="819"/>
      <c r="AM6" s="819"/>
      <c r="AN6" s="819"/>
      <c r="AO6" s="819"/>
      <c r="AP6" s="818" t="s">
        <v>403</v>
      </c>
      <c r="AQ6" s="819"/>
      <c r="AR6" s="819"/>
      <c r="AS6" s="819"/>
      <c r="AT6" s="819"/>
      <c r="AU6" s="820"/>
      <c r="AV6" s="819"/>
      <c r="AW6" s="819"/>
      <c r="AX6" s="819"/>
      <c r="AY6" s="819"/>
      <c r="AZ6" s="819"/>
      <c r="BA6" s="819"/>
      <c r="BB6" s="819"/>
      <c r="BC6" s="819"/>
      <c r="BD6" s="819"/>
      <c r="BE6" s="818" t="s">
        <v>597</v>
      </c>
      <c r="BF6" s="819"/>
      <c r="BG6" s="818" t="s">
        <v>599</v>
      </c>
      <c r="BH6" s="819"/>
      <c r="BI6" s="819"/>
      <c r="BJ6" s="819"/>
      <c r="BK6" s="819"/>
      <c r="BL6" s="819"/>
      <c r="BM6" s="819"/>
      <c r="BN6" s="819"/>
      <c r="BO6" s="819"/>
      <c r="BP6" s="819"/>
      <c r="BQ6" s="819"/>
      <c r="BR6" s="819"/>
      <c r="BS6" s="819"/>
      <c r="BT6" s="819"/>
      <c r="BU6" s="823" t="s">
        <v>600</v>
      </c>
      <c r="BV6" s="819"/>
      <c r="BW6" s="825"/>
      <c r="BX6" s="819"/>
      <c r="BY6" s="819"/>
      <c r="BZ6" s="819"/>
      <c r="CA6" s="819"/>
      <c r="CB6" s="823" t="s">
        <v>601</v>
      </c>
      <c r="CC6" s="819"/>
      <c r="CD6" s="819"/>
      <c r="CE6" s="819"/>
      <c r="CF6" s="819"/>
      <c r="CG6" s="819"/>
      <c r="CH6" s="819"/>
      <c r="CI6" s="818" t="s">
        <v>402</v>
      </c>
      <c r="CJ6" s="819"/>
      <c r="CK6" s="819"/>
      <c r="CL6" s="819"/>
      <c r="CM6" s="823" t="s">
        <v>402</v>
      </c>
      <c r="CN6" s="819"/>
      <c r="CO6" s="819"/>
      <c r="CP6" s="819"/>
      <c r="CQ6" s="818" t="s">
        <v>602</v>
      </c>
      <c r="CR6" s="819"/>
      <c r="CS6" s="819"/>
      <c r="CT6" s="819"/>
      <c r="CU6" s="819"/>
      <c r="CV6" s="819"/>
      <c r="CW6" s="819"/>
      <c r="CX6" s="819"/>
      <c r="CY6" s="1916"/>
      <c r="CZ6" s="819" t="s">
        <v>999</v>
      </c>
      <c r="DA6" s="819"/>
      <c r="DB6" s="819"/>
      <c r="DC6" s="819"/>
      <c r="DD6" s="819"/>
      <c r="DE6" s="819"/>
      <c r="DF6" s="819"/>
      <c r="DG6" s="819"/>
      <c r="DH6" s="819"/>
      <c r="DI6" s="818" t="s">
        <v>604</v>
      </c>
      <c r="DJ6" s="819"/>
      <c r="DK6" s="819"/>
      <c r="DL6" s="819"/>
      <c r="DM6" s="819"/>
      <c r="DN6" s="819"/>
      <c r="DO6" s="819"/>
      <c r="DP6" s="819"/>
      <c r="DQ6" s="819"/>
      <c r="DR6" s="819"/>
      <c r="DS6" s="817"/>
      <c r="DT6" s="826"/>
      <c r="DU6" s="827"/>
      <c r="DV6" s="827"/>
      <c r="DW6" s="828"/>
    </row>
    <row r="7" spans="2:128" ht="17.100000000000001" customHeight="1">
      <c r="B7" s="2851"/>
      <c r="C7" s="829" t="s">
        <v>310</v>
      </c>
      <c r="D7" s="830" t="s">
        <v>345</v>
      </c>
      <c r="E7" s="831"/>
      <c r="F7" s="831"/>
      <c r="G7" s="831"/>
      <c r="H7" s="832" t="s">
        <v>360</v>
      </c>
      <c r="I7" s="832" t="s">
        <v>360</v>
      </c>
      <c r="J7" s="832" t="s">
        <v>364</v>
      </c>
      <c r="K7" s="833" t="s">
        <v>583</v>
      </c>
      <c r="L7" s="1205" t="s">
        <v>584</v>
      </c>
      <c r="M7" s="1184"/>
      <c r="N7" s="1184"/>
      <c r="O7" s="1184"/>
      <c r="P7" s="1189"/>
      <c r="Q7" s="1188" t="s">
        <v>368</v>
      </c>
      <c r="R7" s="1186"/>
      <c r="S7" s="1184"/>
      <c r="T7" s="1186"/>
      <c r="U7" s="1201"/>
      <c r="V7" s="1186" t="s">
        <v>373</v>
      </c>
      <c r="W7" s="1184"/>
      <c r="X7" s="832" t="s">
        <v>373</v>
      </c>
      <c r="Y7" s="831"/>
      <c r="Z7" s="835" t="s">
        <v>383</v>
      </c>
      <c r="AA7" s="320"/>
      <c r="AB7" s="309" t="s">
        <v>387</v>
      </c>
      <c r="AC7" s="310"/>
      <c r="AD7" s="309" t="s">
        <v>359</v>
      </c>
      <c r="AE7" s="836" t="s">
        <v>388</v>
      </c>
      <c r="AF7" s="836" t="s">
        <v>596</v>
      </c>
      <c r="AG7" s="831"/>
      <c r="AH7" s="836" t="s">
        <v>1204</v>
      </c>
      <c r="AI7" s="831"/>
      <c r="AJ7" s="836" t="s">
        <v>1205</v>
      </c>
      <c r="AK7" s="831"/>
      <c r="AL7" s="833" t="s">
        <v>402</v>
      </c>
      <c r="AM7" s="831"/>
      <c r="AN7" s="831"/>
      <c r="AO7" s="831"/>
      <c r="AP7" s="830" t="s">
        <v>404</v>
      </c>
      <c r="AQ7" s="831"/>
      <c r="AR7" s="831"/>
      <c r="AS7" s="831"/>
      <c r="AT7" s="831"/>
      <c r="AU7" s="833" t="s">
        <v>412</v>
      </c>
      <c r="AV7" s="834"/>
      <c r="AW7" s="834"/>
      <c r="AX7" s="831"/>
      <c r="AY7" s="831"/>
      <c r="AZ7" s="833" t="s">
        <v>416</v>
      </c>
      <c r="BA7" s="831"/>
      <c r="BB7" s="831"/>
      <c r="BC7" s="831"/>
      <c r="BD7" s="831"/>
      <c r="BE7" s="837" t="s">
        <v>362</v>
      </c>
      <c r="BF7" s="838"/>
      <c r="BG7" s="830" t="s">
        <v>346</v>
      </c>
      <c r="BH7" s="831"/>
      <c r="BI7" s="831"/>
      <c r="BJ7" s="831"/>
      <c r="BK7" s="831"/>
      <c r="BL7" s="831"/>
      <c r="BM7" s="831"/>
      <c r="BN7" s="833" t="s">
        <v>358</v>
      </c>
      <c r="BO7" s="831"/>
      <c r="BP7" s="831"/>
      <c r="BQ7" s="831"/>
      <c r="BR7" s="831"/>
      <c r="BS7" s="831"/>
      <c r="BT7" s="831"/>
      <c r="BU7" s="839" t="s">
        <v>362</v>
      </c>
      <c r="BV7" s="838"/>
      <c r="BW7" s="838"/>
      <c r="BX7" s="838"/>
      <c r="BY7" s="838"/>
      <c r="BZ7" s="838"/>
      <c r="CA7" s="838"/>
      <c r="CB7" s="839" t="s">
        <v>362</v>
      </c>
      <c r="CC7" s="838"/>
      <c r="CD7" s="838"/>
      <c r="CE7" s="838"/>
      <c r="CF7" s="838"/>
      <c r="CG7" s="838"/>
      <c r="CH7" s="838"/>
      <c r="CI7" s="837" t="s">
        <v>363</v>
      </c>
      <c r="CJ7" s="838"/>
      <c r="CK7" s="838"/>
      <c r="CL7" s="838"/>
      <c r="CM7" s="839" t="s">
        <v>361</v>
      </c>
      <c r="CN7" s="838"/>
      <c r="CO7" s="838"/>
      <c r="CP7" s="838"/>
      <c r="CQ7" s="830" t="s">
        <v>1264</v>
      </c>
      <c r="CR7" s="831"/>
      <c r="CS7" s="831"/>
      <c r="CT7" s="831"/>
      <c r="CU7" s="833"/>
      <c r="CV7" s="831"/>
      <c r="CW7" s="831"/>
      <c r="CX7" s="831"/>
      <c r="CY7" s="830" t="s">
        <v>555</v>
      </c>
      <c r="CZ7" s="831"/>
      <c r="DA7" s="831"/>
      <c r="DB7" s="831"/>
      <c r="DC7" s="833" t="s">
        <v>556</v>
      </c>
      <c r="DD7" s="831"/>
      <c r="DE7" s="831"/>
      <c r="DF7" s="831"/>
      <c r="DG7" s="831"/>
      <c r="DH7" s="831"/>
      <c r="DI7" s="830" t="s">
        <v>972</v>
      </c>
      <c r="DJ7" s="831"/>
      <c r="DK7" s="833" t="s">
        <v>606</v>
      </c>
      <c r="DL7" s="831"/>
      <c r="DM7" s="833" t="s">
        <v>542</v>
      </c>
      <c r="DN7" s="831"/>
      <c r="DO7" s="831" t="s">
        <v>542</v>
      </c>
      <c r="DP7" s="831"/>
      <c r="DQ7" s="831"/>
      <c r="DR7" s="831"/>
      <c r="DS7" s="829" t="s">
        <v>310</v>
      </c>
      <c r="DT7" s="837" t="s">
        <v>610</v>
      </c>
      <c r="DU7" s="840"/>
      <c r="DV7" s="840"/>
      <c r="DW7" s="841" t="s">
        <v>999</v>
      </c>
      <c r="DX7" s="842"/>
    </row>
    <row r="8" spans="2:128" ht="17.100000000000001" customHeight="1">
      <c r="B8" s="2851"/>
      <c r="C8" s="829" t="s">
        <v>311</v>
      </c>
      <c r="D8" s="830" t="s">
        <v>346</v>
      </c>
      <c r="E8" s="831"/>
      <c r="F8" s="833" t="s">
        <v>358</v>
      </c>
      <c r="G8" s="831"/>
      <c r="H8" s="843" t="s">
        <v>361</v>
      </c>
      <c r="I8" s="843" t="s">
        <v>363</v>
      </c>
      <c r="J8" s="843" t="s">
        <v>365</v>
      </c>
      <c r="K8" s="844" t="s">
        <v>365</v>
      </c>
      <c r="L8" s="1188" t="s">
        <v>362</v>
      </c>
      <c r="M8" s="1184"/>
      <c r="N8" s="1184"/>
      <c r="O8" s="1184"/>
      <c r="P8" s="1189"/>
      <c r="Q8" s="1188" t="s">
        <v>362</v>
      </c>
      <c r="R8" s="1184"/>
      <c r="S8" s="1184"/>
      <c r="T8" s="1184"/>
      <c r="U8" s="1189"/>
      <c r="V8" s="1186" t="s">
        <v>361</v>
      </c>
      <c r="W8" s="838"/>
      <c r="X8" s="843" t="s">
        <v>363</v>
      </c>
      <c r="Y8" s="838"/>
      <c r="Z8" s="845" t="s">
        <v>384</v>
      </c>
      <c r="AA8" s="307"/>
      <c r="AB8" s="846" t="s">
        <v>952</v>
      </c>
      <c r="AC8" s="847"/>
      <c r="AD8" s="848" t="s">
        <v>972</v>
      </c>
      <c r="AE8" s="839" t="s">
        <v>1185</v>
      </c>
      <c r="AF8" s="839" t="s">
        <v>389</v>
      </c>
      <c r="AG8" s="838"/>
      <c r="AH8" s="839" t="s">
        <v>389</v>
      </c>
      <c r="AI8" s="838"/>
      <c r="AJ8" s="839" t="s">
        <v>389</v>
      </c>
      <c r="AK8" s="838"/>
      <c r="AL8" s="833" t="s">
        <v>361</v>
      </c>
      <c r="AM8" s="831"/>
      <c r="AN8" s="833" t="s">
        <v>363</v>
      </c>
      <c r="AO8" s="831"/>
      <c r="AP8" s="837" t="s">
        <v>362</v>
      </c>
      <c r="AQ8" s="838"/>
      <c r="AR8" s="838"/>
      <c r="AS8" s="838"/>
      <c r="AT8" s="838"/>
      <c r="AU8" s="839" t="s">
        <v>362</v>
      </c>
      <c r="AV8" s="838"/>
      <c r="AW8" s="838"/>
      <c r="AX8" s="838"/>
      <c r="AY8" s="838"/>
      <c r="AZ8" s="849"/>
      <c r="BE8" s="830" t="s">
        <v>425</v>
      </c>
      <c r="BF8" s="850" t="s">
        <v>598</v>
      </c>
      <c r="BG8" s="830" t="s">
        <v>536</v>
      </c>
      <c r="BH8" s="831"/>
      <c r="BI8" s="831"/>
      <c r="BJ8" s="831"/>
      <c r="BK8" s="833" t="s">
        <v>539</v>
      </c>
      <c r="BL8" s="831"/>
      <c r="BM8" s="850" t="s">
        <v>544</v>
      </c>
      <c r="BN8" s="833" t="s">
        <v>536</v>
      </c>
      <c r="BO8" s="831"/>
      <c r="BP8" s="831"/>
      <c r="BQ8" s="831"/>
      <c r="BR8" s="833" t="s">
        <v>539</v>
      </c>
      <c r="BS8" s="831"/>
      <c r="BT8" s="850" t="s">
        <v>544</v>
      </c>
      <c r="BU8" s="833" t="s">
        <v>554</v>
      </c>
      <c r="BV8" s="831"/>
      <c r="BW8" s="831"/>
      <c r="BX8" s="831"/>
      <c r="BY8" s="833" t="s">
        <v>539</v>
      </c>
      <c r="BZ8" s="831"/>
      <c r="CA8" s="833" t="s">
        <v>544</v>
      </c>
      <c r="CB8" s="833" t="s">
        <v>536</v>
      </c>
      <c r="CC8" s="831"/>
      <c r="CD8" s="831"/>
      <c r="CE8" s="831"/>
      <c r="CF8" s="833" t="s">
        <v>539</v>
      </c>
      <c r="CG8" s="831"/>
      <c r="CH8" s="833" t="s">
        <v>544</v>
      </c>
      <c r="CI8" s="837" t="s">
        <v>362</v>
      </c>
      <c r="CJ8" s="838"/>
      <c r="CK8" s="838"/>
      <c r="CL8" s="838"/>
      <c r="CM8" s="839" t="s">
        <v>362</v>
      </c>
      <c r="CN8" s="838"/>
      <c r="CO8" s="838"/>
      <c r="CP8" s="838"/>
      <c r="CQ8" s="830" t="s">
        <v>536</v>
      </c>
      <c r="CR8" s="831"/>
      <c r="CS8" s="831"/>
      <c r="CT8" s="2849" t="s">
        <v>412</v>
      </c>
      <c r="CU8" s="2852" t="s">
        <v>595</v>
      </c>
      <c r="CV8" s="2849" t="s">
        <v>416</v>
      </c>
      <c r="CW8" s="831"/>
      <c r="CX8" s="833"/>
      <c r="CY8" s="830" t="s">
        <v>416</v>
      </c>
      <c r="CZ8" s="833" t="s">
        <v>536</v>
      </c>
      <c r="DA8" s="831"/>
      <c r="DB8" s="833" t="s">
        <v>539</v>
      </c>
      <c r="DC8" s="833" t="s">
        <v>603</v>
      </c>
      <c r="DD8" s="833" t="s">
        <v>536</v>
      </c>
      <c r="DE8" s="831"/>
      <c r="DF8" s="831"/>
      <c r="DG8" s="831"/>
      <c r="DH8" s="833" t="s">
        <v>539</v>
      </c>
      <c r="DI8" s="830" t="s">
        <v>605</v>
      </c>
      <c r="DJ8" s="831"/>
      <c r="DK8" s="839" t="s">
        <v>972</v>
      </c>
      <c r="DL8" s="839"/>
      <c r="DM8" s="833" t="s">
        <v>396</v>
      </c>
      <c r="DN8" s="833" t="s">
        <v>397</v>
      </c>
      <c r="DO8" s="833" t="s">
        <v>607</v>
      </c>
      <c r="DP8" s="833" t="s">
        <v>608</v>
      </c>
      <c r="DQ8" s="833" t="s">
        <v>424</v>
      </c>
      <c r="DR8" s="833" t="s">
        <v>609</v>
      </c>
      <c r="DS8" s="829" t="s">
        <v>311</v>
      </c>
      <c r="DT8" s="830" t="s">
        <v>424</v>
      </c>
      <c r="DU8" s="833" t="s">
        <v>611</v>
      </c>
      <c r="DV8" s="833" t="s">
        <v>612</v>
      </c>
      <c r="DW8" s="851" t="s">
        <v>1019</v>
      </c>
      <c r="DX8" s="849"/>
    </row>
    <row r="9" spans="2:128" ht="17.100000000000001" customHeight="1">
      <c r="B9" s="2851"/>
      <c r="C9" s="829" t="s">
        <v>312</v>
      </c>
      <c r="D9" s="852" t="s">
        <v>1051</v>
      </c>
      <c r="E9" s="850" t="s">
        <v>397</v>
      </c>
      <c r="F9" s="850" t="s">
        <v>1051</v>
      </c>
      <c r="G9" s="850" t="s">
        <v>397</v>
      </c>
      <c r="H9" s="844" t="s">
        <v>362</v>
      </c>
      <c r="I9" s="844" t="s">
        <v>362</v>
      </c>
      <c r="J9" s="844" t="s">
        <v>362</v>
      </c>
      <c r="K9" s="844" t="s">
        <v>362</v>
      </c>
      <c r="L9" s="1190" t="s">
        <v>585</v>
      </c>
      <c r="M9" s="850" t="s">
        <v>586</v>
      </c>
      <c r="N9" s="850" t="s">
        <v>587</v>
      </c>
      <c r="O9" s="850" t="s">
        <v>588</v>
      </c>
      <c r="P9" s="1191" t="s">
        <v>589</v>
      </c>
      <c r="Q9" s="1190" t="s">
        <v>585</v>
      </c>
      <c r="R9" s="850" t="s">
        <v>586</v>
      </c>
      <c r="S9" s="850" t="s">
        <v>587</v>
      </c>
      <c r="T9" s="850" t="s">
        <v>588</v>
      </c>
      <c r="U9" s="1191" t="s">
        <v>589</v>
      </c>
      <c r="V9" s="1185" t="s">
        <v>1051</v>
      </c>
      <c r="W9" s="850" t="s">
        <v>397</v>
      </c>
      <c r="X9" s="850" t="s">
        <v>1051</v>
      </c>
      <c r="Y9" s="850" t="s">
        <v>397</v>
      </c>
      <c r="Z9" s="853" t="s">
        <v>385</v>
      </c>
      <c r="AA9" s="312" t="s">
        <v>386</v>
      </c>
      <c r="AB9" s="312" t="s">
        <v>361</v>
      </c>
      <c r="AC9" s="312" t="s">
        <v>363</v>
      </c>
      <c r="AD9" s="848" t="s">
        <v>952</v>
      </c>
      <c r="AE9" s="854" t="s">
        <v>595</v>
      </c>
      <c r="AF9" s="854" t="s">
        <v>396</v>
      </c>
      <c r="AG9" s="850" t="s">
        <v>397</v>
      </c>
      <c r="AH9" s="854" t="s">
        <v>396</v>
      </c>
      <c r="AI9" s="850" t="s">
        <v>397</v>
      </c>
      <c r="AJ9" s="854" t="s">
        <v>396</v>
      </c>
      <c r="AK9" s="850" t="s">
        <v>397</v>
      </c>
      <c r="AL9" s="854" t="s">
        <v>396</v>
      </c>
      <c r="AM9" s="850" t="s">
        <v>397</v>
      </c>
      <c r="AN9" s="854" t="s">
        <v>396</v>
      </c>
      <c r="AO9" s="850" t="s">
        <v>397</v>
      </c>
      <c r="AP9" s="852" t="s">
        <v>376</v>
      </c>
      <c r="AQ9" s="850" t="s">
        <v>405</v>
      </c>
      <c r="AR9" s="850" t="s">
        <v>409</v>
      </c>
      <c r="AS9" s="850" t="s">
        <v>410</v>
      </c>
      <c r="AT9" s="850" t="s">
        <v>411</v>
      </c>
      <c r="AU9" s="850" t="s">
        <v>376</v>
      </c>
      <c r="AV9" s="850" t="s">
        <v>405</v>
      </c>
      <c r="AW9" s="850" t="s">
        <v>409</v>
      </c>
      <c r="AX9" s="850" t="s">
        <v>410</v>
      </c>
      <c r="AY9" s="850" t="s">
        <v>411</v>
      </c>
      <c r="AZ9" s="850" t="s">
        <v>376</v>
      </c>
      <c r="BA9" s="850" t="s">
        <v>405</v>
      </c>
      <c r="BB9" s="850" t="s">
        <v>409</v>
      </c>
      <c r="BC9" s="850" t="s">
        <v>410</v>
      </c>
      <c r="BD9" s="850" t="s">
        <v>411</v>
      </c>
      <c r="BE9" s="829" t="s">
        <v>426</v>
      </c>
      <c r="BF9" s="844" t="s">
        <v>426</v>
      </c>
      <c r="BG9" s="855" t="s">
        <v>1002</v>
      </c>
      <c r="BH9" s="854" t="s">
        <v>1005</v>
      </c>
      <c r="BI9" s="854" t="s">
        <v>1007</v>
      </c>
      <c r="BJ9" s="854" t="s">
        <v>1009</v>
      </c>
      <c r="BK9" s="854" t="s">
        <v>540</v>
      </c>
      <c r="BL9" s="854" t="s">
        <v>1051</v>
      </c>
      <c r="BM9" s="856" t="s">
        <v>545</v>
      </c>
      <c r="BN9" s="854" t="s">
        <v>1002</v>
      </c>
      <c r="BO9" s="854" t="s">
        <v>1005</v>
      </c>
      <c r="BP9" s="854" t="s">
        <v>1007</v>
      </c>
      <c r="BQ9" s="854" t="s">
        <v>1009</v>
      </c>
      <c r="BR9" s="854" t="s">
        <v>540</v>
      </c>
      <c r="BS9" s="854" t="s">
        <v>1051</v>
      </c>
      <c r="BT9" s="856" t="s">
        <v>545</v>
      </c>
      <c r="BU9" s="854" t="s">
        <v>1002</v>
      </c>
      <c r="BV9" s="854" t="s">
        <v>1005</v>
      </c>
      <c r="BW9" s="854" t="s">
        <v>1007</v>
      </c>
      <c r="BX9" s="854" t="s">
        <v>1009</v>
      </c>
      <c r="BY9" s="854" t="s">
        <v>540</v>
      </c>
      <c r="BZ9" s="854" t="s">
        <v>1051</v>
      </c>
      <c r="CA9" s="856" t="s">
        <v>545</v>
      </c>
      <c r="CB9" s="854" t="s">
        <v>1002</v>
      </c>
      <c r="CC9" s="854" t="s">
        <v>1005</v>
      </c>
      <c r="CD9" s="854" t="s">
        <v>1007</v>
      </c>
      <c r="CE9" s="854" t="s">
        <v>1009</v>
      </c>
      <c r="CF9" s="854" t="s">
        <v>540</v>
      </c>
      <c r="CG9" s="854" t="s">
        <v>1051</v>
      </c>
      <c r="CH9" s="856" t="s">
        <v>545</v>
      </c>
      <c r="CI9" s="855" t="s">
        <v>1002</v>
      </c>
      <c r="CJ9" s="854" t="s">
        <v>1005</v>
      </c>
      <c r="CK9" s="854" t="s">
        <v>1007</v>
      </c>
      <c r="CL9" s="854" t="s">
        <v>1009</v>
      </c>
      <c r="CM9" s="854" t="s">
        <v>1002</v>
      </c>
      <c r="CN9" s="854" t="s">
        <v>1005</v>
      </c>
      <c r="CO9" s="854" t="s">
        <v>1007</v>
      </c>
      <c r="CP9" s="854" t="s">
        <v>1009</v>
      </c>
      <c r="CQ9" s="855" t="s">
        <v>1002</v>
      </c>
      <c r="CR9" s="854" t="s">
        <v>1005</v>
      </c>
      <c r="CS9" s="854" t="s">
        <v>1007</v>
      </c>
      <c r="CT9" s="2850"/>
      <c r="CU9" s="2853"/>
      <c r="CV9" s="2850"/>
      <c r="CW9" s="1960"/>
      <c r="CX9" s="1917"/>
      <c r="CY9" s="842"/>
      <c r="CZ9" s="854" t="s">
        <v>1007</v>
      </c>
      <c r="DA9" s="854" t="s">
        <v>1265</v>
      </c>
      <c r="DB9" s="854" t="s">
        <v>1051</v>
      </c>
      <c r="DC9" s="849"/>
      <c r="DD9" s="854" t="s">
        <v>1002</v>
      </c>
      <c r="DE9" s="854" t="s">
        <v>1005</v>
      </c>
      <c r="DF9" s="854" t="s">
        <v>1007</v>
      </c>
      <c r="DG9" s="854" t="s">
        <v>1009</v>
      </c>
      <c r="DH9" s="854" t="s">
        <v>1051</v>
      </c>
      <c r="DI9" s="830" t="s">
        <v>396</v>
      </c>
      <c r="DJ9" s="833" t="s">
        <v>397</v>
      </c>
      <c r="DK9" s="833" t="s">
        <v>396</v>
      </c>
      <c r="DL9" s="833" t="s">
        <v>397</v>
      </c>
      <c r="DM9" s="844" t="s">
        <v>1051</v>
      </c>
      <c r="DN9" s="844"/>
      <c r="DO9" s="844" t="s">
        <v>362</v>
      </c>
      <c r="DP9" s="844" t="s">
        <v>453</v>
      </c>
      <c r="DQ9" s="839" t="s">
        <v>362</v>
      </c>
      <c r="DR9" s="839" t="s">
        <v>362</v>
      </c>
      <c r="DS9" s="829" t="s">
        <v>312</v>
      </c>
      <c r="DT9" s="830" t="s">
        <v>362</v>
      </c>
      <c r="DU9" s="130"/>
      <c r="DV9" s="130"/>
      <c r="DW9" s="857" t="s">
        <v>613</v>
      </c>
      <c r="DX9" s="849"/>
    </row>
    <row r="10" spans="2:128" ht="17.100000000000001" customHeight="1" thickBot="1">
      <c r="B10" s="2851"/>
      <c r="C10" s="829"/>
      <c r="D10" s="2438">
        <v>1</v>
      </c>
      <c r="E10" s="854">
        <f t="shared" ref="E10:AJ10" si="2">D10+1</f>
        <v>2</v>
      </c>
      <c r="F10" s="854">
        <f t="shared" si="2"/>
        <v>3</v>
      </c>
      <c r="G10" s="854">
        <f t="shared" si="2"/>
        <v>4</v>
      </c>
      <c r="H10" s="854">
        <f t="shared" si="2"/>
        <v>5</v>
      </c>
      <c r="I10" s="854">
        <f t="shared" si="2"/>
        <v>6</v>
      </c>
      <c r="J10" s="854">
        <f t="shared" si="2"/>
        <v>7</v>
      </c>
      <c r="K10" s="854">
        <f t="shared" si="2"/>
        <v>8</v>
      </c>
      <c r="L10" s="1192">
        <f t="shared" si="2"/>
        <v>9</v>
      </c>
      <c r="M10" s="854">
        <f t="shared" si="2"/>
        <v>10</v>
      </c>
      <c r="N10" s="854">
        <f t="shared" si="2"/>
        <v>11</v>
      </c>
      <c r="O10" s="854">
        <f t="shared" si="2"/>
        <v>12</v>
      </c>
      <c r="P10" s="1193">
        <f t="shared" si="2"/>
        <v>13</v>
      </c>
      <c r="Q10" s="1192">
        <f t="shared" si="2"/>
        <v>14</v>
      </c>
      <c r="R10" s="854">
        <f t="shared" si="2"/>
        <v>15</v>
      </c>
      <c r="S10" s="854">
        <f t="shared" si="2"/>
        <v>16</v>
      </c>
      <c r="T10" s="854">
        <f t="shared" si="2"/>
        <v>17</v>
      </c>
      <c r="U10" s="1193">
        <f t="shared" si="2"/>
        <v>18</v>
      </c>
      <c r="V10" s="1747">
        <f>U10+1</f>
        <v>19</v>
      </c>
      <c r="W10" s="854">
        <f t="shared" si="2"/>
        <v>20</v>
      </c>
      <c r="X10" s="854">
        <f t="shared" si="2"/>
        <v>21</v>
      </c>
      <c r="Y10" s="854">
        <f t="shared" si="2"/>
        <v>22</v>
      </c>
      <c r="Z10" s="1841">
        <f t="shared" si="2"/>
        <v>23</v>
      </c>
      <c r="AA10" s="854">
        <f t="shared" si="2"/>
        <v>24</v>
      </c>
      <c r="AB10" s="854">
        <f t="shared" si="2"/>
        <v>25</v>
      </c>
      <c r="AC10" s="854">
        <f t="shared" si="2"/>
        <v>26</v>
      </c>
      <c r="AD10" s="854">
        <f t="shared" si="2"/>
        <v>27</v>
      </c>
      <c r="AE10" s="854">
        <f t="shared" si="2"/>
        <v>28</v>
      </c>
      <c r="AF10" s="854">
        <f t="shared" si="2"/>
        <v>29</v>
      </c>
      <c r="AG10" s="854">
        <f t="shared" si="2"/>
        <v>30</v>
      </c>
      <c r="AH10" s="854">
        <f t="shared" si="2"/>
        <v>31</v>
      </c>
      <c r="AI10" s="854">
        <f t="shared" si="2"/>
        <v>32</v>
      </c>
      <c r="AJ10" s="854">
        <f t="shared" si="2"/>
        <v>33</v>
      </c>
      <c r="AK10" s="854">
        <f t="shared" ref="AK10:BP10" si="3">AJ10+1</f>
        <v>34</v>
      </c>
      <c r="AL10" s="854">
        <f t="shared" si="3"/>
        <v>35</v>
      </c>
      <c r="AM10" s="854">
        <f t="shared" si="3"/>
        <v>36</v>
      </c>
      <c r="AN10" s="854">
        <f t="shared" si="3"/>
        <v>37</v>
      </c>
      <c r="AO10" s="854">
        <f t="shared" si="3"/>
        <v>38</v>
      </c>
      <c r="AP10" s="855">
        <f t="shared" si="3"/>
        <v>39</v>
      </c>
      <c r="AQ10" s="854">
        <f t="shared" si="3"/>
        <v>40</v>
      </c>
      <c r="AR10" s="854">
        <f t="shared" si="3"/>
        <v>41</v>
      </c>
      <c r="AS10" s="854">
        <f t="shared" si="3"/>
        <v>42</v>
      </c>
      <c r="AT10" s="854">
        <f t="shared" si="3"/>
        <v>43</v>
      </c>
      <c r="AU10" s="854">
        <f t="shared" si="3"/>
        <v>44</v>
      </c>
      <c r="AV10" s="854">
        <f t="shared" si="3"/>
        <v>45</v>
      </c>
      <c r="AW10" s="854">
        <f t="shared" si="3"/>
        <v>46</v>
      </c>
      <c r="AX10" s="854">
        <f t="shared" si="3"/>
        <v>47</v>
      </c>
      <c r="AY10" s="854">
        <f t="shared" si="3"/>
        <v>48</v>
      </c>
      <c r="AZ10" s="854">
        <f t="shared" si="3"/>
        <v>49</v>
      </c>
      <c r="BA10" s="854">
        <f t="shared" si="3"/>
        <v>50</v>
      </c>
      <c r="BB10" s="854">
        <f t="shared" si="3"/>
        <v>51</v>
      </c>
      <c r="BC10" s="854">
        <f t="shared" si="3"/>
        <v>52</v>
      </c>
      <c r="BD10" s="854">
        <f t="shared" si="3"/>
        <v>53</v>
      </c>
      <c r="BE10" s="855">
        <f t="shared" si="3"/>
        <v>54</v>
      </c>
      <c r="BF10" s="854">
        <f t="shared" si="3"/>
        <v>55</v>
      </c>
      <c r="BG10" s="855">
        <f t="shared" si="3"/>
        <v>56</v>
      </c>
      <c r="BH10" s="854">
        <f t="shared" si="3"/>
        <v>57</v>
      </c>
      <c r="BI10" s="1839">
        <f t="shared" si="3"/>
        <v>58</v>
      </c>
      <c r="BJ10" s="1840">
        <f t="shared" si="3"/>
        <v>59</v>
      </c>
      <c r="BK10" s="854">
        <f t="shared" si="3"/>
        <v>60</v>
      </c>
      <c r="BL10" s="854">
        <f t="shared" si="3"/>
        <v>61</v>
      </c>
      <c r="BM10" s="854">
        <f t="shared" si="3"/>
        <v>62</v>
      </c>
      <c r="BN10" s="854">
        <f t="shared" si="3"/>
        <v>63</v>
      </c>
      <c r="BO10" s="854">
        <f t="shared" si="3"/>
        <v>64</v>
      </c>
      <c r="BP10" s="854">
        <f t="shared" si="3"/>
        <v>65</v>
      </c>
      <c r="BQ10" s="854">
        <f t="shared" ref="BQ10:DB10" si="4">BP10+1</f>
        <v>66</v>
      </c>
      <c r="BR10" s="854">
        <f t="shared" si="4"/>
        <v>67</v>
      </c>
      <c r="BS10" s="854">
        <f t="shared" si="4"/>
        <v>68</v>
      </c>
      <c r="BT10" s="854">
        <f t="shared" si="4"/>
        <v>69</v>
      </c>
      <c r="BU10" s="854">
        <f t="shared" si="4"/>
        <v>70</v>
      </c>
      <c r="BV10" s="854">
        <f t="shared" si="4"/>
        <v>71</v>
      </c>
      <c r="BW10" s="854">
        <f t="shared" si="4"/>
        <v>72</v>
      </c>
      <c r="BX10" s="854">
        <f t="shared" si="4"/>
        <v>73</v>
      </c>
      <c r="BY10" s="854">
        <f t="shared" si="4"/>
        <v>74</v>
      </c>
      <c r="BZ10" s="854">
        <f t="shared" si="4"/>
        <v>75</v>
      </c>
      <c r="CA10" s="854">
        <f t="shared" si="4"/>
        <v>76</v>
      </c>
      <c r="CB10" s="854">
        <f t="shared" si="4"/>
        <v>77</v>
      </c>
      <c r="CC10" s="854">
        <f t="shared" si="4"/>
        <v>78</v>
      </c>
      <c r="CD10" s="854">
        <f t="shared" si="4"/>
        <v>79</v>
      </c>
      <c r="CE10" s="854">
        <f t="shared" si="4"/>
        <v>80</v>
      </c>
      <c r="CF10" s="854">
        <f t="shared" si="4"/>
        <v>81</v>
      </c>
      <c r="CG10" s="854">
        <f t="shared" si="4"/>
        <v>82</v>
      </c>
      <c r="CH10" s="854">
        <f t="shared" si="4"/>
        <v>83</v>
      </c>
      <c r="CI10" s="855">
        <f t="shared" si="4"/>
        <v>84</v>
      </c>
      <c r="CJ10" s="854">
        <f t="shared" si="4"/>
        <v>85</v>
      </c>
      <c r="CK10" s="854">
        <f t="shared" si="4"/>
        <v>86</v>
      </c>
      <c r="CL10" s="854">
        <f t="shared" si="4"/>
        <v>87</v>
      </c>
      <c r="CM10" s="854">
        <f t="shared" si="4"/>
        <v>88</v>
      </c>
      <c r="CN10" s="854">
        <f t="shared" si="4"/>
        <v>89</v>
      </c>
      <c r="CO10" s="854">
        <f t="shared" si="4"/>
        <v>90</v>
      </c>
      <c r="CP10" s="854">
        <f t="shared" si="4"/>
        <v>91</v>
      </c>
      <c r="CQ10" s="1918">
        <f t="shared" si="4"/>
        <v>92</v>
      </c>
      <c r="CR10" s="1839">
        <f t="shared" si="4"/>
        <v>93</v>
      </c>
      <c r="CS10" s="1839">
        <f t="shared" si="4"/>
        <v>94</v>
      </c>
      <c r="CT10" s="1839">
        <f t="shared" si="4"/>
        <v>95</v>
      </c>
      <c r="CU10" s="1839">
        <f t="shared" si="4"/>
        <v>96</v>
      </c>
      <c r="CV10" s="1961">
        <f t="shared" si="4"/>
        <v>97</v>
      </c>
      <c r="CW10" s="1839">
        <f t="shared" si="4"/>
        <v>98</v>
      </c>
      <c r="CX10" s="1839">
        <f t="shared" si="4"/>
        <v>99</v>
      </c>
      <c r="CY10" s="1918">
        <f t="shared" si="4"/>
        <v>100</v>
      </c>
      <c r="CZ10" s="1839">
        <f t="shared" si="4"/>
        <v>101</v>
      </c>
      <c r="DA10" s="1839">
        <f t="shared" si="4"/>
        <v>102</v>
      </c>
      <c r="DB10" s="1839">
        <f t="shared" si="4"/>
        <v>103</v>
      </c>
      <c r="DC10" s="854">
        <f t="shared" ref="DC10:DR10" si="5">DB10+1</f>
        <v>104</v>
      </c>
      <c r="DD10" s="854">
        <f t="shared" si="5"/>
        <v>105</v>
      </c>
      <c r="DE10" s="854">
        <f t="shared" si="5"/>
        <v>106</v>
      </c>
      <c r="DF10" s="854">
        <f t="shared" si="5"/>
        <v>107</v>
      </c>
      <c r="DG10" s="854">
        <f t="shared" si="5"/>
        <v>108</v>
      </c>
      <c r="DH10" s="854">
        <f t="shared" si="5"/>
        <v>109</v>
      </c>
      <c r="DI10" s="855">
        <f t="shared" si="5"/>
        <v>110</v>
      </c>
      <c r="DJ10" s="854">
        <f t="shared" si="5"/>
        <v>111</v>
      </c>
      <c r="DK10" s="854">
        <f t="shared" si="5"/>
        <v>112</v>
      </c>
      <c r="DL10" s="854">
        <f t="shared" si="5"/>
        <v>113</v>
      </c>
      <c r="DM10" s="854">
        <f t="shared" si="5"/>
        <v>114</v>
      </c>
      <c r="DN10" s="854">
        <f t="shared" si="5"/>
        <v>115</v>
      </c>
      <c r="DO10" s="854">
        <f t="shared" si="5"/>
        <v>116</v>
      </c>
      <c r="DP10" s="854">
        <f t="shared" si="5"/>
        <v>117</v>
      </c>
      <c r="DQ10" s="854">
        <f t="shared" si="5"/>
        <v>118</v>
      </c>
      <c r="DR10" s="854">
        <f t="shared" si="5"/>
        <v>119</v>
      </c>
      <c r="DS10" s="858"/>
      <c r="DT10" s="855"/>
      <c r="DU10" s="130"/>
      <c r="DV10" s="130"/>
      <c r="DW10" s="859">
        <f>DV10+1</f>
        <v>1</v>
      </c>
      <c r="DX10" s="849"/>
    </row>
    <row r="11" spans="2:128" ht="20.100000000000001" customHeight="1">
      <c r="B11" s="1789"/>
      <c r="C11" s="817">
        <v>1</v>
      </c>
      <c r="D11" s="2439">
        <f>IF(LA_!D11="","",+LA_!D11)</f>
        <v>116</v>
      </c>
      <c r="E11" s="2369" t="str">
        <f>IF(LA_!E11="","",+LA_!E11)</f>
        <v/>
      </c>
      <c r="F11" s="861">
        <f>IF(LA_!F11="","",+LA_!F11)</f>
        <v>120</v>
      </c>
      <c r="G11" s="860" t="str">
        <f>IF(LA_!G11="","",+LA_!G11)</f>
        <v/>
      </c>
      <c r="H11" s="874" t="str">
        <f>IF(LA_!H11="","",+LA_!H11)</f>
        <v/>
      </c>
      <c r="I11" s="874" t="str">
        <f>IF(LA_!I11="","",+LA_!I11)</f>
        <v/>
      </c>
      <c r="J11" s="862">
        <f>IF(LA_!J11="","",+LA_!J11)</f>
        <v>3</v>
      </c>
      <c r="K11" s="1419" t="str">
        <f>IF(LA_!K11="","",+LA_!K11)</f>
        <v/>
      </c>
      <c r="L11" s="1194" t="str">
        <f>IF(LA_!L11="","",+LA_!L11)</f>
        <v/>
      </c>
      <c r="M11" s="862" t="str">
        <f>IF(LA_!M11="","",+LA_!M11)</f>
        <v/>
      </c>
      <c r="N11" s="862" t="str">
        <f>IF(LA_!N11="","",+LA_!N11)</f>
        <v/>
      </c>
      <c r="O11" s="862" t="str">
        <f>IF(LA_!O11="","",+LA_!O11)</f>
        <v/>
      </c>
      <c r="P11" s="1195" t="str">
        <f>IF(LA_!P11="","",+LA_!P11)</f>
        <v/>
      </c>
      <c r="Q11" s="1194" t="str">
        <f>IF(LA_!Q11="","",+LA_!Q11)</f>
        <v/>
      </c>
      <c r="R11" s="862" t="str">
        <f>IF(LA_!R11="","",+LA_!R11)</f>
        <v/>
      </c>
      <c r="S11" s="862" t="str">
        <f>IF(LA_!S11="","",+LA_!S11)</f>
        <v/>
      </c>
      <c r="T11" s="862" t="str">
        <f>IF(LA_!T11="","",+LA_!T11)</f>
        <v/>
      </c>
      <c r="U11" s="1195" t="str">
        <f>IF(LA_!U11="","",+LA_!U11)</f>
        <v/>
      </c>
      <c r="V11" s="2363" t="str">
        <f>IF(LA_!V11="","",+LA_!V11)</f>
        <v/>
      </c>
      <c r="W11" s="860" t="str">
        <f>IF(LA_!W11="","",+LA_!W11)</f>
        <v/>
      </c>
      <c r="X11" s="862" t="str">
        <f>IF(LA_!X11="","",+LA_!X11)</f>
        <v/>
      </c>
      <c r="Y11" s="860" t="str">
        <f>IF(LA_!Y11="","",+LA_!Y11)</f>
        <v/>
      </c>
      <c r="Z11" s="1845">
        <f>IF(LA_!Z11="","",+LA_!Z11)</f>
        <v>138</v>
      </c>
      <c r="AA11" s="863">
        <f>IF(LA_!AA11="","",+LA_!AA11)</f>
        <v>157</v>
      </c>
      <c r="AB11" s="863" t="str">
        <f>IF(LA_!AB11="","",+LA_!AB11)</f>
        <v/>
      </c>
      <c r="AC11" s="863" t="str">
        <f>IF(LA_!AC11="","",+LA_!AC11)</f>
        <v/>
      </c>
      <c r="AD11" s="863">
        <f>IF(LA_!AD11="","",+LA_!AD11)</f>
        <v>2</v>
      </c>
      <c r="AE11" s="862" t="str">
        <f>IF(LA_!AE11="","",+LA_!AE11)</f>
        <v/>
      </c>
      <c r="AF11" s="872" t="str">
        <f>IF(LA_!AF11="","",+LA_!AF11)</f>
        <v/>
      </c>
      <c r="AG11" s="860" t="str">
        <f>IF(LA_!AG11="","",+LA_!AG11)</f>
        <v/>
      </c>
      <c r="AH11" s="860" t="str">
        <f>IF(LA_!AH11="","",+LA_!AH11)</f>
        <v/>
      </c>
      <c r="AI11" s="860" t="str">
        <f>IF(LA_!AI11="","",+LA_!AI11)</f>
        <v/>
      </c>
      <c r="AJ11" s="860" t="str">
        <f>IF(LA_!AJ11="","",+LA_!AJ11)</f>
        <v/>
      </c>
      <c r="AK11" s="860" t="str">
        <f>IF(LA_!AK11="","",+LA_!AK11)</f>
        <v/>
      </c>
      <c r="AL11" s="860" t="str">
        <f>IF(LA_!AL11="","",+LA_!AL11)</f>
        <v/>
      </c>
      <c r="AM11" s="860" t="str">
        <f>IF(LA_!AM11="","",+LA_!AM11)</f>
        <v/>
      </c>
      <c r="AN11" s="863" t="str">
        <f>IF(LA_!AN11="","",+LA_!AN11)</f>
        <v/>
      </c>
      <c r="AO11" s="863" t="str">
        <f>IF(LA_!AO11="","",+LA_!AO11)</f>
        <v/>
      </c>
      <c r="AP11" s="864" t="str">
        <f>IF(LA_!AP11="","",+LA_!AP11)</f>
        <v/>
      </c>
      <c r="AQ11" s="864" t="str">
        <f>IF(LA_!AQ11="","",+LA_!AQ11)</f>
        <v/>
      </c>
      <c r="AR11" s="864" t="str">
        <f>IF(LA_!AR11="","",+LA_!AR11)</f>
        <v/>
      </c>
      <c r="AS11" s="863" t="str">
        <f>IF(LA_!AS11="","",+LA_!AS11)</f>
        <v/>
      </c>
      <c r="AT11" s="863" t="str">
        <f>IF(LA_!AT11="","",+LA_!AT11)</f>
        <v/>
      </c>
      <c r="AU11" s="863" t="str">
        <f>IF(LA_!AU11="","",+LA_!AU11)</f>
        <v/>
      </c>
      <c r="AV11" s="863" t="str">
        <f>IF(LA_!AV11="","",+LA_!AV11)</f>
        <v/>
      </c>
      <c r="AW11" s="863" t="str">
        <f>IF(LA_!AW11="","",+LA_!AW11)</f>
        <v/>
      </c>
      <c r="AX11" s="863" t="str">
        <f>IF(LA_!AX11="","",+LA_!AX11)</f>
        <v/>
      </c>
      <c r="AY11" s="863" t="str">
        <f>IF(LA_!AY11="","",+LA_!AY11)</f>
        <v/>
      </c>
      <c r="AZ11" s="860" t="str">
        <f>IF(LA_!AZ11="","",+LA_!AZ11)</f>
        <v/>
      </c>
      <c r="BA11" s="860" t="str">
        <f>IF(LA_!BA11="","",+LA_!BA11)</f>
        <v/>
      </c>
      <c r="BB11" s="860" t="str">
        <f>IF(LA_!BB11="","",+LA_!BB11)</f>
        <v/>
      </c>
      <c r="BC11" s="860" t="str">
        <f>IF(LA_!BC11="","",+LA_!BC11)</f>
        <v/>
      </c>
      <c r="BD11" s="860" t="str">
        <f>IF(LA_!BD11="","",+LA_!BD11)</f>
        <v/>
      </c>
      <c r="BE11" s="864" t="str">
        <f>IF(LA_!BE11="","",+LA_!BE11)</f>
        <v/>
      </c>
      <c r="BF11" s="863" t="str">
        <f>IF(LA_!BF11="","",+LA_!BF11)</f>
        <v/>
      </c>
      <c r="BG11" s="865">
        <f>+IF(LA_!BG11="","",IF(ISTEXT(LA_!BG11),0,ROUND(LA_!BG11,2)))</f>
        <v>0.04</v>
      </c>
      <c r="BH11" s="866">
        <f>+IF(LA_!BH11="","",IF(ISTEXT(LA_!BH11),0,ROUND(LA_!BH11,2)))</f>
        <v>0</v>
      </c>
      <c r="BI11" s="1848">
        <f>IF(LA_!BI11="","",+LA_!BI11)</f>
        <v>30.5</v>
      </c>
      <c r="BJ11" s="1848">
        <f>IF(LA_!BJ11="","",+LA_!BJ11)</f>
        <v>43.2</v>
      </c>
      <c r="BK11" s="867" t="str">
        <f>IF(LA_!BK11="","",+LA_!BK11)</f>
        <v/>
      </c>
      <c r="BL11" s="867" t="str">
        <f>IF(LA_!BL11="","",+LA_!BL11)</f>
        <v/>
      </c>
      <c r="BM11" s="863" t="str">
        <f>IF(LA_!BM11="","",+LA_!BM11)</f>
        <v/>
      </c>
      <c r="BN11" s="1214">
        <f>+IF(LA_!BN11="","",IF(ISTEXT(LA_!BN11),0,ROUND(LA_!BN11,2)))</f>
        <v>0.04</v>
      </c>
      <c r="BO11" s="866">
        <f>+IF(LA_!BO11="","",IF(ISTEXT(LA_!BO11),0,ROUND(LA_!BO11,2)))</f>
        <v>0</v>
      </c>
      <c r="BP11" s="860">
        <f>IF(LA_!BP11="","",ROUND(+LA_!BP11,1))</f>
        <v>30</v>
      </c>
      <c r="BQ11" s="860">
        <f>IF(LA_!BQ11="","",ROUND(+LA_!BQ11,1))</f>
        <v>40.4</v>
      </c>
      <c r="BR11" s="863" t="str">
        <f>IF(LA_!BR11="","",+LA_!BR11)</f>
        <v/>
      </c>
      <c r="BS11" s="863" t="str">
        <f>IF(LA_!BS11="","",+LA_!BS11)</f>
        <v/>
      </c>
      <c r="BT11" s="863" t="str">
        <f>IF(LA_!BT11="","",+LA_!BT11)</f>
        <v/>
      </c>
      <c r="BU11" s="867" t="str">
        <f>+IF(LA_!BU11="","",IF(ISTEXT(LA_!BU11),0,ROUND(LA_!BU11,2)))</f>
        <v/>
      </c>
      <c r="BV11" s="867" t="str">
        <f>+IF(LA_!BV11="","",IF(ISTEXT(LA_!BV11),0,ROUND(LA_!BV11,2)))</f>
        <v/>
      </c>
      <c r="BW11" s="860" t="str">
        <f>IF(LA_!BW11="","",ROUND(+LA_!BW11,1))</f>
        <v/>
      </c>
      <c r="BX11" s="860" t="str">
        <f>IF(LA_!BX11="","",ROUND(+LA_!BX11,1))</f>
        <v/>
      </c>
      <c r="BY11" s="863" t="str">
        <f>IF(LA_!BY11="","",+LA_!BY11)</f>
        <v/>
      </c>
      <c r="BZ11" s="863" t="str">
        <f>IF(LA_!BZ11="","",+LA_!BZ11)</f>
        <v/>
      </c>
      <c r="CA11" s="863" t="str">
        <f>IF(LA_!CA11="","",+LA_!CA11)</f>
        <v/>
      </c>
      <c r="CB11" s="1214">
        <f>+IF(LA_!CB11="","",IF(ISTEXT(LA_!CB11),0,ROUND(LA_!CB11,2)))</f>
        <v>0.62</v>
      </c>
      <c r="CC11" s="866">
        <f>+IF(LA_!CC11="","",IF(ISTEXT(LA_!CC11),0,ROUND(LA_!CC11,2)))</f>
        <v>3.25</v>
      </c>
      <c r="CD11" s="860">
        <f>IF(LA_!CD11="","",ROUND(+LA_!CD11,1))</f>
        <v>9</v>
      </c>
      <c r="CE11" s="860">
        <f>IF(LA_!CE11="","",ROUND(+LA_!CE11,1))</f>
        <v>9.8000000000000007</v>
      </c>
      <c r="CF11" s="863" t="str">
        <f>IF(LA_!CF11="","",+LA_!CF11)</f>
        <v/>
      </c>
      <c r="CG11" s="863" t="str">
        <f>IF(LA_!CG11="","",+LA_!CG11)</f>
        <v/>
      </c>
      <c r="CH11" s="863" t="str">
        <f>IF(LA_!CH11="","",+LA_!CH11)</f>
        <v/>
      </c>
      <c r="CI11" s="864" t="str">
        <f>IF(LA_!CI11="","",+LA_!CI11)</f>
        <v/>
      </c>
      <c r="CJ11" s="863" t="str">
        <f>IF(LA_!CJ11="","",+LA_!CJ11)</f>
        <v/>
      </c>
      <c r="CK11" s="863" t="str">
        <f>IF(LA_!CK11="","",+LA_!CK11)</f>
        <v/>
      </c>
      <c r="CL11" s="863" t="str">
        <f>IF(LA_!CL11="","",+LA_!CL11)</f>
        <v/>
      </c>
      <c r="CM11" s="863" t="str">
        <f>IF(LA_!CM11="","",+LA_!CM11)</f>
        <v/>
      </c>
      <c r="CN11" s="863" t="str">
        <f>IF(LA_!CN11="","",+LA_!CN11)</f>
        <v/>
      </c>
      <c r="CO11" s="863" t="str">
        <f>IF(LA_!CO11="","",+LA_!CO11)</f>
        <v/>
      </c>
      <c r="CP11" s="863" t="str">
        <f>IF(LA_!CP11="","",+LA_!CP11)</f>
        <v/>
      </c>
      <c r="CQ11" s="1919" t="str">
        <f>IF(LA_!CQ11="","",+LA_!CQ11)</f>
        <v/>
      </c>
      <c r="CR11" s="1920" t="str">
        <f>IF(LA_!CR11="","",+LA_!CR11)</f>
        <v/>
      </c>
      <c r="CS11" s="1920" t="str">
        <f>IF(LA_!CS11="","",+LA_!CS11)</f>
        <v/>
      </c>
      <c r="CT11" s="1920" t="str">
        <f>IF(LA_!CT11="","",+LA_!CT11)</f>
        <v/>
      </c>
      <c r="CU11" s="1921" t="str">
        <f>IF(LA_!CU11="","",+LA_!CU11)</f>
        <v/>
      </c>
      <c r="CV11" s="2055" t="str">
        <f>IF(LA_!CV11="","",+LA_!CV11)</f>
        <v/>
      </c>
      <c r="CW11" s="1921" t="str">
        <f>IF(LA_!CW11="","",+LA_!CW11)</f>
        <v/>
      </c>
      <c r="CX11" s="1924" t="str">
        <f>IF(LA_!CX11="","",+LA_!CX11)</f>
        <v/>
      </c>
      <c r="CY11" s="2369">
        <f>IF(LA_!CY11="","",+LA_!CY11)</f>
        <v>7.57</v>
      </c>
      <c r="CZ11" s="863" t="str">
        <f>IF(LA_!CZ11="","",+LA_!CZ11)</f>
        <v/>
      </c>
      <c r="DA11" s="863" t="str">
        <f>IF(LA_!DA11="","",+LA_!DA11)</f>
        <v/>
      </c>
      <c r="DB11" s="863" t="str">
        <f>IF(LA_!DB11="","",+LA_!DB11)</f>
        <v/>
      </c>
      <c r="DC11" s="863" t="str">
        <f>IF(LA_!DC11="","",+LA_!DC11)</f>
        <v/>
      </c>
      <c r="DD11" s="863" t="str">
        <f>IF(LA_!DD11="","",+LA_!DD11)</f>
        <v/>
      </c>
      <c r="DE11" s="863" t="str">
        <f>IF(LA_!DE11="","",+LA_!DE11)</f>
        <v/>
      </c>
      <c r="DF11" s="863" t="str">
        <f>IF(LA_!DF11="","",+LA_!DF11)</f>
        <v/>
      </c>
      <c r="DG11" s="863" t="str">
        <f>IF(LA_!DG11="","",+LA_!DG11)</f>
        <v/>
      </c>
      <c r="DH11" s="863" t="str">
        <f>IF(LA_!DH11="","",+LA_!DH11)</f>
        <v/>
      </c>
      <c r="DI11" s="868">
        <f>IF(LA_!DI11="","",+LA_!DI11)</f>
        <v>1.69</v>
      </c>
      <c r="DJ11" s="860">
        <f>IF(LA_!DJ11="","",+LA_!DJ11)</f>
        <v>75</v>
      </c>
      <c r="DK11" s="860">
        <f>IF(LA_!DK11="","",+LA_!DK11)</f>
        <v>23.5</v>
      </c>
      <c r="DL11" s="860">
        <f>IF(LA_!DL11="","",+LA_!DL11)</f>
        <v>74.3</v>
      </c>
      <c r="DM11" s="863" t="str">
        <f>IF(LA_!DM11="","",+LA_!DM11)</f>
        <v/>
      </c>
      <c r="DN11" s="863" t="str">
        <f>IF(LA_!DN11="","",+LA_!DN11)</f>
        <v/>
      </c>
      <c r="DO11" s="863">
        <f>IF(LA_!DO11="","",+LA_!DO11)</f>
        <v>2980</v>
      </c>
      <c r="DP11" s="860" t="str">
        <f>IF(LA_!DP11="","",+LA_!DP11)</f>
        <v/>
      </c>
      <c r="DQ11" s="863">
        <f>IF(LA_!DQ11="","",+LA_!DQ11)</f>
        <v>180</v>
      </c>
      <c r="DR11" s="863" t="str">
        <f>IF(LA_!DR11="","",+LA_!DR11)</f>
        <v/>
      </c>
      <c r="DS11" s="864"/>
      <c r="DT11" s="869"/>
      <c r="DU11" s="870"/>
      <c r="DV11" s="870"/>
      <c r="DW11" s="871"/>
      <c r="DX11" s="849"/>
    </row>
    <row r="12" spans="2:128" ht="20.100000000000001" customHeight="1">
      <c r="B12" s="1789"/>
      <c r="C12" s="852">
        <v>2</v>
      </c>
      <c r="D12" s="2439">
        <f>IF(LA_!D12="","",+LA_!D12)</f>
        <v>114</v>
      </c>
      <c r="E12" s="2370" t="str">
        <f>IF(LA_!E12="","",+LA_!E12)</f>
        <v/>
      </c>
      <c r="F12" s="873">
        <f>IF(LA_!F12="","",+LA_!F12)</f>
        <v>116</v>
      </c>
      <c r="G12" s="872" t="str">
        <f>IF(LA_!G12="","",+LA_!G12)</f>
        <v/>
      </c>
      <c r="H12" s="874" t="str">
        <f>IF(LA_!H12="","",+LA_!H12)</f>
        <v/>
      </c>
      <c r="I12" s="874" t="str">
        <f>IF(LA_!I12="","",+LA_!I12)</f>
        <v/>
      </c>
      <c r="J12" s="874">
        <f>IF(LA_!J12="","",+LA_!J12)</f>
        <v>3</v>
      </c>
      <c r="K12" s="874" t="str">
        <f>IF(LA_!K12="","",+LA_!K12)</f>
        <v/>
      </c>
      <c r="L12" s="1292" t="str">
        <f>IF(LA_!L12="","",+LA_!L12)</f>
        <v/>
      </c>
      <c r="M12" s="874" t="str">
        <f>IF(LA_!M12="","",+LA_!M12)</f>
        <v/>
      </c>
      <c r="N12" s="874" t="str">
        <f>IF(LA_!N12="","",+LA_!N12)</f>
        <v/>
      </c>
      <c r="O12" s="874" t="str">
        <f>IF(LA_!O12="","",+LA_!O12)</f>
        <v/>
      </c>
      <c r="P12" s="1197" t="str">
        <f>IF(LA_!P12="","",+LA_!P12)</f>
        <v/>
      </c>
      <c r="Q12" s="1196" t="str">
        <f>IF(LA_!Q12="","",+LA_!Q12)</f>
        <v/>
      </c>
      <c r="R12" s="874" t="str">
        <f>IF(LA_!R12="","",+LA_!R12)</f>
        <v/>
      </c>
      <c r="S12" s="874" t="str">
        <f>IF(LA_!S12="","",+LA_!S12)</f>
        <v/>
      </c>
      <c r="T12" s="874" t="str">
        <f>IF(LA_!T12="","",+LA_!T12)</f>
        <v/>
      </c>
      <c r="U12" s="1197" t="str">
        <f>IF(LA_!U12="","",+LA_!U12)</f>
        <v/>
      </c>
      <c r="V12" s="1183" t="str">
        <f>IF(LA_!V12="","",+LA_!V12)</f>
        <v/>
      </c>
      <c r="W12" s="872" t="str">
        <f>IF(LA_!W12="","",+LA_!W12)</f>
        <v/>
      </c>
      <c r="X12" s="2387" t="str">
        <f>IF(LA_!X12="","",+LA_!X12)</f>
        <v/>
      </c>
      <c r="Y12" s="2370" t="str">
        <f>IF(LA_!Y12="","",+LA_!Y12)</f>
        <v/>
      </c>
      <c r="Z12" s="1843">
        <f>IF(LA_!Z12="","",+LA_!Z12)</f>
        <v>137</v>
      </c>
      <c r="AA12" s="875">
        <f>IF(LA_!AA12="","",+LA_!AA12)</f>
        <v>143</v>
      </c>
      <c r="AB12" s="875" t="str">
        <f>IF(LA_!AB12="","",+LA_!AB12)</f>
        <v/>
      </c>
      <c r="AC12" s="875" t="str">
        <f>IF(LA_!AC12="","",+LA_!AC12)</f>
        <v/>
      </c>
      <c r="AD12" s="875">
        <f>IF(LA_!AD12="","",+LA_!AD12)</f>
        <v>2</v>
      </c>
      <c r="AE12" s="874" t="str">
        <f>IF(LA_!AE12="","",+LA_!AE12)</f>
        <v/>
      </c>
      <c r="AF12" s="872" t="str">
        <f>IF(LA_!AF12="","",+LA_!AF12)</f>
        <v/>
      </c>
      <c r="AG12" s="872" t="str">
        <f>IF(LA_!AG12="","",+LA_!AG12)</f>
        <v/>
      </c>
      <c r="AH12" s="872" t="str">
        <f>IF(LA_!AH12="","",+LA_!AH12)</f>
        <v/>
      </c>
      <c r="AI12" s="872" t="str">
        <f>IF(LA_!AI12="","",+LA_!AI12)</f>
        <v/>
      </c>
      <c r="AJ12" s="872" t="str">
        <f>IF(LA_!AJ12="","",+LA_!AJ12)</f>
        <v/>
      </c>
      <c r="AK12" s="872" t="str">
        <f>IF(LA_!AK12="","",+LA_!AK12)</f>
        <v/>
      </c>
      <c r="AL12" s="872" t="str">
        <f>IF(LA_!AL12="","",+LA_!AL12)</f>
        <v/>
      </c>
      <c r="AM12" s="872" t="str">
        <f>IF(LA_!AM12="","",+LA_!AM12)</f>
        <v/>
      </c>
      <c r="AN12" s="875" t="str">
        <f>IF(LA_!AN12="","",+LA_!AN12)</f>
        <v/>
      </c>
      <c r="AO12" s="875" t="str">
        <f>IF(LA_!AO12="","",+LA_!AO12)</f>
        <v/>
      </c>
      <c r="AP12" s="876" t="str">
        <f>IF(LA_!AP12="","",+LA_!AP12)</f>
        <v/>
      </c>
      <c r="AQ12" s="875" t="str">
        <f>IF(LA_!AQ12="","",+LA_!AQ12)</f>
        <v/>
      </c>
      <c r="AR12" s="875" t="str">
        <f>IF(LA_!AR12="","",+LA_!AR12)</f>
        <v/>
      </c>
      <c r="AS12" s="875" t="str">
        <f>IF(LA_!AS12="","",+LA_!AS12)</f>
        <v/>
      </c>
      <c r="AT12" s="875" t="str">
        <f>IF(LA_!AT12="","",+LA_!AT12)</f>
        <v/>
      </c>
      <c r="AU12" s="875" t="str">
        <f>IF(LA_!AU12="","",+LA_!AU12)</f>
        <v/>
      </c>
      <c r="AV12" s="875" t="str">
        <f>IF(LA_!AV12="","",+LA_!AV12)</f>
        <v/>
      </c>
      <c r="AW12" s="875" t="str">
        <f>IF(LA_!AW12="","",+LA_!AW12)</f>
        <v/>
      </c>
      <c r="AX12" s="875" t="str">
        <f>IF(LA_!AX12="","",+LA_!AX12)</f>
        <v/>
      </c>
      <c r="AY12" s="875" t="str">
        <f>IF(LA_!AY12="","",+LA_!AY12)</f>
        <v/>
      </c>
      <c r="AZ12" s="872" t="str">
        <f>IF(LA_!AZ12="","",+LA_!AZ12)</f>
        <v/>
      </c>
      <c r="BA12" s="872" t="str">
        <f>IF(LA_!BA12="","",+LA_!BA12)</f>
        <v/>
      </c>
      <c r="BB12" s="872" t="str">
        <f>IF(LA_!BB12="","",+LA_!BB12)</f>
        <v/>
      </c>
      <c r="BC12" s="872" t="str">
        <f>IF(LA_!BC12="","",+LA_!BC12)</f>
        <v/>
      </c>
      <c r="BD12" s="872" t="str">
        <f>IF(LA_!BD12="","",+LA_!BD12)</f>
        <v/>
      </c>
      <c r="BE12" s="876" t="str">
        <f>IF(LA_!BE12="","",+LA_!BE12)</f>
        <v/>
      </c>
      <c r="BF12" s="875" t="str">
        <f>IF(LA_!BF12="","",+LA_!BF12)</f>
        <v/>
      </c>
      <c r="BG12" s="877">
        <f>+IF(LA_!BG12="","",IF(ISTEXT(LA_!BG12),0,ROUND(LA_!BG12,2)))</f>
        <v>0.04</v>
      </c>
      <c r="BH12" s="878">
        <f>+IF(LA_!BH12="","",IF(ISTEXT(LA_!BH12),0,ROUND(LA_!BH12,2)))</f>
        <v>0.01</v>
      </c>
      <c r="BI12" s="1844">
        <f>IF(LA_!BI12="","",+LA_!BI12)</f>
        <v>22</v>
      </c>
      <c r="BJ12" s="1844">
        <f>IF(LA_!BJ12="","",+LA_!BJ12)</f>
        <v>36</v>
      </c>
      <c r="BK12" s="878" t="str">
        <f>IF(LA_!BK12="","",+LA_!BK12)</f>
        <v/>
      </c>
      <c r="BL12" s="878" t="str">
        <f>IF(LA_!BL12="","",+LA_!BL12)</f>
        <v/>
      </c>
      <c r="BM12" s="875" t="str">
        <f>IF(LA_!BM12="","",+LA_!BM12)</f>
        <v/>
      </c>
      <c r="BN12" s="878">
        <f>+IF(LA_!BN12="","",IF(ISTEXT(LA_!BN12),0,ROUND(LA_!BN12,2)))</f>
        <v>0.04</v>
      </c>
      <c r="BO12" s="878">
        <f>+IF(LA_!BO12="","",IF(ISTEXT(LA_!BO12),0,ROUND(LA_!BO12,2)))</f>
        <v>0</v>
      </c>
      <c r="BP12" s="872">
        <f>IF(LA_!BP12="","",ROUND(+LA_!BP12,1))</f>
        <v>23.2</v>
      </c>
      <c r="BQ12" s="872">
        <f>IF(LA_!BQ12="","",ROUND(+LA_!BQ12,1))</f>
        <v>35.4</v>
      </c>
      <c r="BR12" s="875" t="str">
        <f>IF(LA_!BR12="","",+LA_!BR12)</f>
        <v/>
      </c>
      <c r="BS12" s="875" t="str">
        <f>IF(LA_!BS12="","",+LA_!BS12)</f>
        <v/>
      </c>
      <c r="BT12" s="875" t="str">
        <f>IF(LA_!BT12="","",+LA_!BT12)</f>
        <v/>
      </c>
      <c r="BU12" s="878" t="str">
        <f>+IF(LA_!BU12="","",IF(ISTEXT(LA_!BU12),0,ROUND(LA_!BU12,2)))</f>
        <v/>
      </c>
      <c r="BV12" s="878" t="str">
        <f>+IF(LA_!BV12="","",IF(ISTEXT(LA_!BV12),0,ROUND(LA_!BV12,2)))</f>
        <v/>
      </c>
      <c r="BW12" s="872" t="str">
        <f>IF(LA_!BW12="","",ROUND(+LA_!BW12,1))</f>
        <v/>
      </c>
      <c r="BX12" s="872" t="str">
        <f>IF(LA_!BX12="","",ROUND(+LA_!BX12,1))</f>
        <v/>
      </c>
      <c r="BY12" s="875" t="str">
        <f>IF(LA_!BY12="","",+LA_!BY12)</f>
        <v/>
      </c>
      <c r="BZ12" s="875" t="str">
        <f>IF(LA_!BZ12="","",+LA_!BZ12)</f>
        <v/>
      </c>
      <c r="CA12" s="875" t="str">
        <f>IF(LA_!CA12="","",+LA_!CA12)</f>
        <v/>
      </c>
      <c r="CB12" s="878">
        <f>+IF(LA_!CB12="","",IF(ISTEXT(LA_!CB12),0,ROUND(LA_!CB12,2)))</f>
        <v>0.74</v>
      </c>
      <c r="CC12" s="878">
        <f>+IF(LA_!CC12="","",IF(ISTEXT(LA_!CC12),0,ROUND(LA_!CC12,2)))</f>
        <v>4.51</v>
      </c>
      <c r="CD12" s="872">
        <f>IF(LA_!CD12="","",ROUND(+LA_!CD12,1))</f>
        <v>8.4</v>
      </c>
      <c r="CE12" s="872">
        <f>IF(LA_!CE12="","",ROUND(+LA_!CE12,1))</f>
        <v>9.8000000000000007</v>
      </c>
      <c r="CF12" s="878" t="str">
        <f>IF(LA_!CF12="","",+LA_!CF12)</f>
        <v/>
      </c>
      <c r="CG12" s="878" t="str">
        <f>IF(LA_!CG12="","",+LA_!CG12)</f>
        <v/>
      </c>
      <c r="CH12" s="875" t="str">
        <f>IF(LA_!CH12="","",+LA_!CH12)</f>
        <v/>
      </c>
      <c r="CI12" s="876" t="str">
        <f>IF(LA_!CI12="","",+LA_!CI12)</f>
        <v/>
      </c>
      <c r="CJ12" s="875" t="str">
        <f>IF(LA_!CJ12="","",+LA_!CJ12)</f>
        <v/>
      </c>
      <c r="CK12" s="875" t="str">
        <f>IF(LA_!CK12="","",+LA_!CK12)</f>
        <v/>
      </c>
      <c r="CL12" s="875" t="str">
        <f>IF(LA_!CL12="","",+LA_!CL12)</f>
        <v/>
      </c>
      <c r="CM12" s="875" t="str">
        <f>IF(LA_!CM12="","",+LA_!CM12)</f>
        <v/>
      </c>
      <c r="CN12" s="875" t="str">
        <f>IF(LA_!CN12="","",+LA_!CN12)</f>
        <v/>
      </c>
      <c r="CO12" s="875" t="str">
        <f>IF(LA_!CO12="","",+LA_!CO12)</f>
        <v/>
      </c>
      <c r="CP12" s="875" t="str">
        <f>IF(LA_!CP12="","",+LA_!CP12)</f>
        <v/>
      </c>
      <c r="CQ12" s="1922" t="str">
        <f>IF(LA_!CQ12="","",+LA_!CQ12)</f>
        <v/>
      </c>
      <c r="CR12" s="875" t="str">
        <f>IF(LA_!CR12="","",+LA_!CR12)</f>
        <v/>
      </c>
      <c r="CS12" s="875" t="str">
        <f>IF(LA_!CS12="","",+LA_!CS12)</f>
        <v/>
      </c>
      <c r="CT12" s="875" t="str">
        <f>IF(LA_!CT12="","",+LA_!CT12)</f>
        <v/>
      </c>
      <c r="CU12" s="874" t="str">
        <f>IF(LA_!CU12="","",+LA_!CU12)</f>
        <v/>
      </c>
      <c r="CV12" s="872" t="str">
        <f>IF(LA_!CV12="","",+LA_!CV12)</f>
        <v/>
      </c>
      <c r="CW12" s="874" t="str">
        <f>IF(LA_!CW12="","",+LA_!CW12)</f>
        <v/>
      </c>
      <c r="CX12" s="1197" t="str">
        <f>IF(LA_!CX12="","",+LA_!CX12)</f>
        <v/>
      </c>
      <c r="CY12" s="2370">
        <f>IF(LA_!CY12="","",+LA_!CY12)</f>
        <v>7.6</v>
      </c>
      <c r="CZ12" s="875" t="str">
        <f>IF(LA_!CZ12="","",+LA_!CZ12)</f>
        <v/>
      </c>
      <c r="DA12" s="875" t="str">
        <f>IF(LA_!DA12="","",+LA_!DA12)</f>
        <v/>
      </c>
      <c r="DB12" s="875" t="str">
        <f>IF(LA_!DB12="","",+LA_!DB12)</f>
        <v/>
      </c>
      <c r="DC12" s="875" t="str">
        <f>IF(LA_!DC12="","",+LA_!DC12)</f>
        <v/>
      </c>
      <c r="DD12" s="875" t="str">
        <f>IF(LA_!DD12="","",+LA_!DD12)</f>
        <v/>
      </c>
      <c r="DE12" s="875" t="str">
        <f>IF(LA_!DE12="","",+LA_!DE12)</f>
        <v/>
      </c>
      <c r="DF12" s="875" t="str">
        <f>IF(LA_!DF12="","",+LA_!DF12)</f>
        <v/>
      </c>
      <c r="DG12" s="875" t="str">
        <f>IF(LA_!DG12="","",+LA_!DG12)</f>
        <v/>
      </c>
      <c r="DH12" s="875" t="str">
        <f>IF(LA_!DH12="","",+LA_!DH12)</f>
        <v/>
      </c>
      <c r="DI12" s="879">
        <f>IF(LA_!DI12="","",+LA_!DI12)</f>
        <v>1.7</v>
      </c>
      <c r="DJ12" s="872">
        <f>IF(LA_!DJ12="","",+LA_!DJ12)</f>
        <v>73.5</v>
      </c>
      <c r="DK12" s="872">
        <f>IF(LA_!DK12="","",+LA_!DK12)</f>
        <v>22.2</v>
      </c>
      <c r="DL12" s="872">
        <f>IF(LA_!DL12="","",+LA_!DL12)</f>
        <v>74.5</v>
      </c>
      <c r="DM12" s="875" t="str">
        <f>IF(LA_!DM12="","",+LA_!DM12)</f>
        <v/>
      </c>
      <c r="DN12" s="875" t="str">
        <f>IF(LA_!DN12="","",+LA_!DN12)</f>
        <v/>
      </c>
      <c r="DO12" s="875">
        <f>IF(LA_!DO12="","",+LA_!DO12)</f>
        <v>3120</v>
      </c>
      <c r="DP12" s="872" t="str">
        <f>IF(LA_!DP12="","",+LA_!DP12)</f>
        <v/>
      </c>
      <c r="DQ12" s="875">
        <f>IF(LA_!DQ12="","",+LA_!DQ12)</f>
        <v>242</v>
      </c>
      <c r="DR12" s="875" t="str">
        <f>IF(LA_!DR12="","",+LA_!DR12)</f>
        <v/>
      </c>
      <c r="DS12" s="876"/>
      <c r="DT12" s="880"/>
      <c r="DU12" s="330"/>
      <c r="DV12" s="330"/>
      <c r="DW12" s="881"/>
      <c r="DX12" s="849"/>
    </row>
    <row r="13" spans="2:128" ht="20.100000000000001" customHeight="1">
      <c r="B13" s="1789"/>
      <c r="C13" s="852">
        <v>3</v>
      </c>
      <c r="D13" s="2439">
        <f>IF(LA_!D13="","",+LA_!D13)</f>
        <v>130</v>
      </c>
      <c r="E13" s="2370" t="str">
        <f>IF(LA_!E13="","",+LA_!E13)</f>
        <v/>
      </c>
      <c r="F13" s="873">
        <f>IF(LA_!F13="","",+LA_!F13)</f>
        <v>132</v>
      </c>
      <c r="G13" s="872" t="str">
        <f>IF(LA_!G13="","",+LA_!G13)</f>
        <v/>
      </c>
      <c r="H13" s="874">
        <f>IF(LA_!H13="","",+LA_!H13)</f>
        <v>72</v>
      </c>
      <c r="I13" s="874">
        <f>IF(LA_!I13="","",+LA_!I13)</f>
        <v>70</v>
      </c>
      <c r="J13" s="874">
        <f>IF(LA_!J13="","",+LA_!J13)</f>
        <v>3</v>
      </c>
      <c r="K13" s="874" t="str">
        <f>IF(LA_!K13="","",+LA_!K13)</f>
        <v/>
      </c>
      <c r="L13" s="1292">
        <f>IF(LA_!L13="","",+LA_!L13)</f>
        <v>2530</v>
      </c>
      <c r="M13" s="874">
        <f>IF(LA_!M13="","",+LA_!M13)</f>
        <v>3130</v>
      </c>
      <c r="N13" s="874">
        <f>IF(LA_!N13="","",+LA_!N13)</f>
        <v>2310</v>
      </c>
      <c r="O13" s="874">
        <f>IF(LA_!O13="","",+LA_!O13)</f>
        <v>2630</v>
      </c>
      <c r="P13" s="1197">
        <f>IF(LA_!P13="","",+LA_!P13)</f>
        <v>2660</v>
      </c>
      <c r="Q13" s="1196">
        <f>IF(LA_!Q13="","",+LA_!Q13)</f>
        <v>3330</v>
      </c>
      <c r="R13" s="874">
        <f>IF(LA_!R13="","",+LA_!R13)</f>
        <v>2610</v>
      </c>
      <c r="S13" s="874">
        <f>IF(LA_!S13="","",+LA_!S13)</f>
        <v>2790</v>
      </c>
      <c r="T13" s="874">
        <f>IF(LA_!T13="","",+LA_!T13)</f>
        <v>2340</v>
      </c>
      <c r="U13" s="1197">
        <f>IF(LA_!U13="","",+LA_!U13)</f>
        <v>2510</v>
      </c>
      <c r="V13" s="1183">
        <f>IF(LA_!V13="","",+LA_!V13)</f>
        <v>5360</v>
      </c>
      <c r="W13" s="872" t="str">
        <f>IF(LA_!W13="","",+LA_!W13)</f>
        <v/>
      </c>
      <c r="X13" s="2387">
        <f>IF(LA_!X13="","",+LA_!X13)</f>
        <v>4340</v>
      </c>
      <c r="Y13" s="2370" t="str">
        <f>IF(LA_!Y13="","",+LA_!Y13)</f>
        <v/>
      </c>
      <c r="Z13" s="2392">
        <f>IF(LA_!Z13="","",+LA_!Z13)</f>
        <v>153</v>
      </c>
      <c r="AA13" s="2389">
        <f>IF(LA_!AA13="","",+LA_!AA13)</f>
        <v>164</v>
      </c>
      <c r="AB13" s="875" t="str">
        <f>IF(LA_!AB13="","",+LA_!AB13)</f>
        <v/>
      </c>
      <c r="AC13" s="875" t="str">
        <f>IF(LA_!AC13="","",+LA_!AC13)</f>
        <v/>
      </c>
      <c r="AD13" s="875">
        <f>IF(LA_!AD13="","",+LA_!AD13)</f>
        <v>2</v>
      </c>
      <c r="AE13" s="874" t="str">
        <f>IF(LA_!AE13="","",+LA_!AE13)</f>
        <v/>
      </c>
      <c r="AF13" s="872" t="str">
        <f>IF(LA_!AF13="","",+LA_!AF13)</f>
        <v/>
      </c>
      <c r="AG13" s="872" t="str">
        <f>IF(LA_!AG13="","",+LA_!AG13)</f>
        <v/>
      </c>
      <c r="AH13" s="872" t="str">
        <f>IF(LA_!AH13="","",+LA_!AH13)</f>
        <v/>
      </c>
      <c r="AI13" s="872" t="str">
        <f>IF(LA_!AI13="","",+LA_!AI13)</f>
        <v/>
      </c>
      <c r="AJ13" s="872" t="str">
        <f>IF(LA_!AJ13="","",+LA_!AJ13)</f>
        <v/>
      </c>
      <c r="AK13" s="872" t="str">
        <f>IF(LA_!AK13="","",+LA_!AK13)</f>
        <v/>
      </c>
      <c r="AL13" s="872" t="str">
        <f>IF(LA_!AL13="","",+LA_!AL13)</f>
        <v/>
      </c>
      <c r="AM13" s="872" t="str">
        <f>IF(LA_!AM13="","",+LA_!AM13)</f>
        <v/>
      </c>
      <c r="AN13" s="875" t="str">
        <f>IF(LA_!AN13="","",+LA_!AN13)</f>
        <v/>
      </c>
      <c r="AO13" s="875" t="str">
        <f>IF(LA_!AO13="","",+LA_!AO13)</f>
        <v/>
      </c>
      <c r="AP13" s="876" t="str">
        <f>IF(LA_!AP13="","",+LA_!AP13)</f>
        <v/>
      </c>
      <c r="AQ13" s="875" t="str">
        <f>IF(LA_!AQ13="","",+LA_!AQ13)</f>
        <v/>
      </c>
      <c r="AR13" s="875" t="str">
        <f>IF(LA_!AR13="","",+LA_!AR13)</f>
        <v/>
      </c>
      <c r="AS13" s="875" t="str">
        <f>IF(LA_!AS13="","",+LA_!AS13)</f>
        <v/>
      </c>
      <c r="AT13" s="875" t="str">
        <f>IF(LA_!AT13="","",+LA_!AT13)</f>
        <v/>
      </c>
      <c r="AU13" s="875" t="str">
        <f>IF(LA_!AU13="","",+LA_!AU13)</f>
        <v/>
      </c>
      <c r="AV13" s="875" t="str">
        <f>IF(LA_!AV13="","",+LA_!AV13)</f>
        <v/>
      </c>
      <c r="AW13" s="875" t="str">
        <f>IF(LA_!AW13="","",+LA_!AW13)</f>
        <v/>
      </c>
      <c r="AX13" s="875" t="str">
        <f>IF(LA_!AX13="","",+LA_!AX13)</f>
        <v/>
      </c>
      <c r="AY13" s="875" t="str">
        <f>IF(LA_!AY13="","",+LA_!AY13)</f>
        <v/>
      </c>
      <c r="AZ13" s="872" t="str">
        <f>IF(LA_!AZ13="","",+LA_!AZ13)</f>
        <v/>
      </c>
      <c r="BA13" s="872" t="str">
        <f>IF(LA_!BA13="","",+LA_!BA13)</f>
        <v/>
      </c>
      <c r="BB13" s="872" t="str">
        <f>IF(LA_!BB13="","",+LA_!BB13)</f>
        <v/>
      </c>
      <c r="BC13" s="872" t="str">
        <f>IF(LA_!BC13="","",+LA_!BC13)</f>
        <v/>
      </c>
      <c r="BD13" s="872" t="str">
        <f>IF(LA_!BD13="","",+LA_!BD13)</f>
        <v/>
      </c>
      <c r="BE13" s="876" t="str">
        <f>IF(LA_!BE13="","",+LA_!BE13)</f>
        <v/>
      </c>
      <c r="BF13" s="875" t="str">
        <f>IF(LA_!BF13="","",+LA_!BF13)</f>
        <v/>
      </c>
      <c r="BG13" s="877">
        <f>+IF(LA_!BG13="","",IF(ISTEXT(LA_!BG13),0,ROUND(LA_!BG13,2)))</f>
        <v>0.05</v>
      </c>
      <c r="BH13" s="878">
        <f>+IF(LA_!BH13="","",IF(ISTEXT(LA_!BH13),0,ROUND(LA_!BH13,2)))</f>
        <v>0.01</v>
      </c>
      <c r="BI13" s="1844">
        <f>IF(LA_!BI13="","",+LA_!BI13)</f>
        <v>25.2</v>
      </c>
      <c r="BJ13" s="1844">
        <f>IF(LA_!BJ13="","",+LA_!BJ13)</f>
        <v>38.200000000000003</v>
      </c>
      <c r="BK13" s="878" t="str">
        <f>IF(LA_!BK13="","",+LA_!BK13)</f>
        <v/>
      </c>
      <c r="BL13" s="878" t="str">
        <f>IF(LA_!BL13="","",+LA_!BL13)</f>
        <v/>
      </c>
      <c r="BM13" s="875" t="str">
        <f>IF(LA_!BM13="","",+LA_!BM13)</f>
        <v/>
      </c>
      <c r="BN13" s="878">
        <f>+IF(LA_!BN13="","",IF(ISTEXT(LA_!BN13),0,ROUND(LA_!BN13,2)))</f>
        <v>0.05</v>
      </c>
      <c r="BO13" s="878">
        <f>+IF(LA_!BO13="","",IF(ISTEXT(LA_!BO13),0,ROUND(LA_!BO13,2)))</f>
        <v>0</v>
      </c>
      <c r="BP13" s="872">
        <f>IF(LA_!BP13="","",ROUND(+LA_!BP13,1))</f>
        <v>24.6</v>
      </c>
      <c r="BQ13" s="872">
        <f>IF(LA_!BQ13="","",ROUND(+LA_!BQ13,1))</f>
        <v>38</v>
      </c>
      <c r="BR13" s="875" t="str">
        <f>IF(LA_!BR13="","",+LA_!BR13)</f>
        <v/>
      </c>
      <c r="BS13" s="875" t="str">
        <f>IF(LA_!BS13="","",+LA_!BS13)</f>
        <v/>
      </c>
      <c r="BT13" s="875" t="str">
        <f>IF(LA_!BT13="","",+LA_!BT13)</f>
        <v/>
      </c>
      <c r="BU13" s="878" t="str">
        <f>+IF(LA_!BU13="","",IF(ISTEXT(LA_!BU13),0,ROUND(LA_!BU13,2)))</f>
        <v/>
      </c>
      <c r="BV13" s="878" t="str">
        <f>+IF(LA_!BV13="","",IF(ISTEXT(LA_!BV13),0,ROUND(LA_!BV13,2)))</f>
        <v/>
      </c>
      <c r="BW13" s="872" t="str">
        <f>IF(LA_!BW13="","",ROUND(+LA_!BW13,1))</f>
        <v/>
      </c>
      <c r="BX13" s="872" t="str">
        <f>IF(LA_!BX13="","",ROUND(+LA_!BX13,1))</f>
        <v/>
      </c>
      <c r="BY13" s="875" t="str">
        <f>IF(LA_!BY13="","",+LA_!BY13)</f>
        <v/>
      </c>
      <c r="BZ13" s="875" t="str">
        <f>IF(LA_!BZ13="","",+LA_!BZ13)</f>
        <v/>
      </c>
      <c r="CA13" s="875" t="str">
        <f>IF(LA_!CA13="","",+LA_!CA13)</f>
        <v/>
      </c>
      <c r="CB13" s="878">
        <f>+IF(LA_!CB13="","",IF(ISTEXT(LA_!CB13),0,ROUND(LA_!CB13,2)))</f>
        <v>0.64</v>
      </c>
      <c r="CC13" s="878">
        <f>+IF(LA_!CC13="","",IF(ISTEXT(LA_!CC13),0,ROUND(LA_!CC13,2)))</f>
        <v>3.37</v>
      </c>
      <c r="CD13" s="872">
        <f>IF(LA_!CD13="","",ROUND(+LA_!CD13,1))</f>
        <v>9.1</v>
      </c>
      <c r="CE13" s="872">
        <f>IF(LA_!CE13="","",ROUND(+LA_!CE13,1))</f>
        <v>10.8</v>
      </c>
      <c r="CF13" s="878" t="str">
        <f>IF(LA_!CF13="","",+LA_!CF13)</f>
        <v/>
      </c>
      <c r="CG13" s="878" t="str">
        <f>IF(LA_!CG13="","",+LA_!CG13)</f>
        <v/>
      </c>
      <c r="CH13" s="875" t="str">
        <f>IF(LA_!CH13="","",+LA_!CH13)</f>
        <v/>
      </c>
      <c r="CI13" s="876" t="str">
        <f>IF(LA_!CI13="","",+LA_!CI13)</f>
        <v/>
      </c>
      <c r="CJ13" s="875" t="str">
        <f>IF(LA_!CJ13="","",+LA_!CJ13)</f>
        <v/>
      </c>
      <c r="CK13" s="875" t="str">
        <f>IF(LA_!CK13="","",+LA_!CK13)</f>
        <v/>
      </c>
      <c r="CL13" s="875" t="str">
        <f>IF(LA_!CL13="","",+LA_!CL13)</f>
        <v/>
      </c>
      <c r="CM13" s="875" t="str">
        <f>IF(LA_!CM13="","",+LA_!CM13)</f>
        <v/>
      </c>
      <c r="CN13" s="875" t="str">
        <f>IF(LA_!CN13="","",+LA_!CN13)</f>
        <v/>
      </c>
      <c r="CO13" s="875" t="str">
        <f>IF(LA_!CO13="","",+LA_!CO13)</f>
        <v/>
      </c>
      <c r="CP13" s="875" t="str">
        <f>IF(LA_!CP13="","",+LA_!CP13)</f>
        <v/>
      </c>
      <c r="CQ13" s="1922" t="str">
        <f>IF(LA_!CQ13="","",+LA_!CQ13)</f>
        <v/>
      </c>
      <c r="CR13" s="875" t="str">
        <f>IF(LA_!CR13="","",+LA_!CR13)</f>
        <v/>
      </c>
      <c r="CS13" s="875" t="str">
        <f>IF(LA_!CS13="","",+LA_!CS13)</f>
        <v/>
      </c>
      <c r="CT13" s="875" t="str">
        <f>IF(LA_!CT13="","",+LA_!CT13)</f>
        <v/>
      </c>
      <c r="CU13" s="874" t="str">
        <f>IF(LA_!CU13="","",+LA_!CU13)</f>
        <v/>
      </c>
      <c r="CV13" s="872" t="str">
        <f>IF(LA_!CV13="","",+LA_!CV13)</f>
        <v/>
      </c>
      <c r="CW13" s="874" t="str">
        <f>IF(LA_!CW13="","",+LA_!CW13)</f>
        <v/>
      </c>
      <c r="CX13" s="1197" t="str">
        <f>IF(LA_!CX13="","",+LA_!CX13)</f>
        <v/>
      </c>
      <c r="CY13" s="2370">
        <f>IF(LA_!CY13="","",+LA_!CY13)</f>
        <v>7.6</v>
      </c>
      <c r="CZ13" s="875" t="str">
        <f>IF(LA_!CZ13="","",+LA_!CZ13)</f>
        <v/>
      </c>
      <c r="DA13" s="875" t="str">
        <f>IF(LA_!DA13="","",+LA_!DA13)</f>
        <v/>
      </c>
      <c r="DB13" s="875" t="str">
        <f>IF(LA_!DB13="","",+LA_!DB13)</f>
        <v/>
      </c>
      <c r="DC13" s="875" t="str">
        <f>IF(LA_!DC13="","",+LA_!DC13)</f>
        <v/>
      </c>
      <c r="DD13" s="875" t="str">
        <f>IF(LA_!DD13="","",+LA_!DD13)</f>
        <v/>
      </c>
      <c r="DE13" s="875" t="str">
        <f>IF(LA_!DE13="","",+LA_!DE13)</f>
        <v/>
      </c>
      <c r="DF13" s="875" t="str">
        <f>IF(LA_!DF13="","",+LA_!DF13)</f>
        <v/>
      </c>
      <c r="DG13" s="875" t="str">
        <f>IF(LA_!DG13="","",+LA_!DG13)</f>
        <v/>
      </c>
      <c r="DH13" s="875" t="str">
        <f>IF(LA_!DH13="","",+LA_!DH13)</f>
        <v/>
      </c>
      <c r="DI13" s="879">
        <f>IF(LA_!DI13="","",+LA_!DI13)</f>
        <v>1.8</v>
      </c>
      <c r="DJ13" s="872">
        <f>IF(LA_!DJ13="","",+LA_!DJ13)</f>
        <v>70.7</v>
      </c>
      <c r="DK13" s="872">
        <f>IF(LA_!DK13="","",+LA_!DK13)</f>
        <v>23.9</v>
      </c>
      <c r="DL13" s="872">
        <f>IF(LA_!DL13="","",+LA_!DL13)</f>
        <v>74.7</v>
      </c>
      <c r="DM13" s="875" t="str">
        <f>IF(LA_!DM13="","",+LA_!DM13)</f>
        <v/>
      </c>
      <c r="DN13" s="875" t="str">
        <f>IF(LA_!DN13="","",+LA_!DN13)</f>
        <v/>
      </c>
      <c r="DO13" s="875">
        <f>IF(LA_!DO13="","",+LA_!DO13)</f>
        <v>3320</v>
      </c>
      <c r="DP13" s="872" t="str">
        <f>IF(LA_!DP13="","",+LA_!DP13)</f>
        <v/>
      </c>
      <c r="DQ13" s="875">
        <f>IF(LA_!DQ13="","",+LA_!DQ13)</f>
        <v>164</v>
      </c>
      <c r="DR13" s="875" t="str">
        <f>IF(LA_!DR13="","",+LA_!DR13)</f>
        <v/>
      </c>
      <c r="DS13" s="876"/>
      <c r="DT13" s="880"/>
      <c r="DU13" s="330"/>
      <c r="DV13" s="330"/>
      <c r="DW13" s="881"/>
      <c r="DX13" s="849"/>
    </row>
    <row r="14" spans="2:128" ht="20.100000000000001" customHeight="1">
      <c r="B14" s="1789"/>
      <c r="C14" s="852">
        <v>4</v>
      </c>
      <c r="D14" s="2439">
        <f>IF(LA_!D14="","",+LA_!D14)</f>
        <v>133</v>
      </c>
      <c r="E14" s="2370">
        <f>IF(LA_!E14="","",+LA_!E14)</f>
        <v>83.5</v>
      </c>
      <c r="F14" s="873">
        <f>IF(LA_!F14="","",+LA_!F14)</f>
        <v>152</v>
      </c>
      <c r="G14" s="872">
        <f>IF(LA_!G14="","",+LA_!G14)</f>
        <v>84.2</v>
      </c>
      <c r="H14" s="874">
        <f>IF(LA_!H14="","",+LA_!H14)</f>
        <v>68</v>
      </c>
      <c r="I14" s="874">
        <f>IF(LA_!I14="","",+LA_!I14)</f>
        <v>86</v>
      </c>
      <c r="J14" s="874">
        <f>IF(LA_!J14="","",+LA_!J14)</f>
        <v>5</v>
      </c>
      <c r="K14" s="874">
        <f>IF(LA_!K14="","",+LA_!K14)</f>
        <v>160</v>
      </c>
      <c r="L14" s="1292">
        <f>IF(LA_!L14="","",+LA_!L14)</f>
        <v>3380</v>
      </c>
      <c r="M14" s="874">
        <f>IF(LA_!M14="","",+LA_!M14)</f>
        <v>3040</v>
      </c>
      <c r="N14" s="874">
        <f>IF(LA_!N14="","",+LA_!N14)</f>
        <v>3130</v>
      </c>
      <c r="O14" s="874">
        <f>IF(LA_!O14="","",+LA_!O14)</f>
        <v>2330</v>
      </c>
      <c r="P14" s="1197">
        <f>IF(LA_!P14="","",+LA_!P14)</f>
        <v>2380</v>
      </c>
      <c r="Q14" s="1196">
        <f>IF(LA_!Q14="","",+LA_!Q14)</f>
        <v>4120</v>
      </c>
      <c r="R14" s="2387">
        <f>IF(LA_!R14="","",+LA_!R14)</f>
        <v>4380</v>
      </c>
      <c r="S14" s="2387">
        <f>IF(LA_!S14="","",+LA_!S14)</f>
        <v>3760</v>
      </c>
      <c r="T14" s="2387">
        <f>IF(LA_!T14="","",+LA_!T14)</f>
        <v>3160</v>
      </c>
      <c r="U14" s="2384">
        <f>IF(LA_!U14="","",+LA_!U14)</f>
        <v>3420</v>
      </c>
      <c r="V14" s="1183">
        <f>IF(LA_!V14="","",+LA_!V14)</f>
        <v>5480</v>
      </c>
      <c r="W14" s="2459">
        <f>IF(LA_!W14="","",+LA_!W14)</f>
        <v>83.6</v>
      </c>
      <c r="X14" s="2387">
        <f>IF(LA_!X14="","",+LA_!X14)</f>
        <v>5980</v>
      </c>
      <c r="Y14" s="2370">
        <f>IF(LA_!Y14="","",+LA_!Y14)</f>
        <v>84.6</v>
      </c>
      <c r="Z14" s="1845">
        <f>IF(LA_!Z14="","",+LA_!Z14)</f>
        <v>327</v>
      </c>
      <c r="AA14" s="875">
        <f>IF(LA_!AA14="","",+LA_!AA14)</f>
        <v>141</v>
      </c>
      <c r="AB14" s="875">
        <f>IF(LA_!AB14="","",+LA_!AB14)</f>
        <v>92</v>
      </c>
      <c r="AC14" s="875">
        <f>IF(LA_!AC14="","",+LA_!AC14)</f>
        <v>93</v>
      </c>
      <c r="AD14" s="875">
        <f>IF(LA_!AD14="","",+LA_!AD14)</f>
        <v>2</v>
      </c>
      <c r="AE14" s="874">
        <f>IF(LA_!AE14="","",+LA_!AE14)</f>
        <v>3940</v>
      </c>
      <c r="AF14" s="872">
        <f>IF(LA_!AF14="","",+LA_!AF14)</f>
        <v>2.84</v>
      </c>
      <c r="AG14" s="872">
        <f>IF(LA_!AG14="","",+LA_!AG14)</f>
        <v>84.7</v>
      </c>
      <c r="AH14" s="872">
        <f>IF(LA_!AH14="","",+LA_!AH14)</f>
        <v>1.88</v>
      </c>
      <c r="AI14" s="872">
        <f>IF(LA_!AI14="","",+LA_!AI14)</f>
        <v>72.3</v>
      </c>
      <c r="AJ14" s="872" t="str">
        <f>IF(LA_!AJ14="","",+LA_!AJ14)</f>
        <v/>
      </c>
      <c r="AK14" s="872" t="str">
        <f>IF(LA_!AK14="","",+LA_!AK14)</f>
        <v/>
      </c>
      <c r="AL14" s="872" t="str">
        <f>IF(LA_!AL14="","",+LA_!AL14)</f>
        <v/>
      </c>
      <c r="AM14" s="872" t="str">
        <f>IF(LA_!AM14="","",+LA_!AM14)</f>
        <v/>
      </c>
      <c r="AN14" s="875" t="str">
        <f>IF(LA_!AN14="","",+LA_!AN14)</f>
        <v/>
      </c>
      <c r="AO14" s="875" t="str">
        <f>IF(LA_!AO14="","",+LA_!AO14)</f>
        <v/>
      </c>
      <c r="AP14" s="876">
        <f>IF(LA_!AP14="","",+LA_!AP14)</f>
        <v>150</v>
      </c>
      <c r="AQ14" s="875" t="str">
        <f>IF(LA_!AQ14="","",+LA_!AQ14)</f>
        <v/>
      </c>
      <c r="AR14" s="875">
        <f>IF(LA_!AR14="","",+LA_!AR14)</f>
        <v>240</v>
      </c>
      <c r="AS14" s="875">
        <f>IF(LA_!AS14="","",+LA_!AS14)</f>
        <v>180</v>
      </c>
      <c r="AT14" s="875">
        <f>IF(LA_!AT14="","",+LA_!AT14)</f>
        <v>100</v>
      </c>
      <c r="AU14" s="875">
        <f>IF(LA_!AU14="","",+LA_!AU14)</f>
        <v>2500</v>
      </c>
      <c r="AV14" s="875" t="str">
        <f>IF(LA_!AV14="","",+LA_!AV14)</f>
        <v/>
      </c>
      <c r="AW14" s="875">
        <f>IF(LA_!AW14="","",+LA_!AW14)</f>
        <v>2400</v>
      </c>
      <c r="AX14" s="875">
        <f>IF(LA_!AX14="","",+LA_!AX14)</f>
        <v>2600</v>
      </c>
      <c r="AY14" s="875">
        <f>IF(LA_!AY14="","",+LA_!AY14)</f>
        <v>2700</v>
      </c>
      <c r="AZ14" s="872">
        <f>IF(LA_!AZ14="","",+LA_!AZ14)</f>
        <v>7</v>
      </c>
      <c r="BA14" s="872" t="str">
        <f>IF(LA_!BA14="","",+LA_!BA14)</f>
        <v/>
      </c>
      <c r="BB14" s="872">
        <f>IF(LA_!BB14="","",+LA_!BB14)</f>
        <v>6.85</v>
      </c>
      <c r="BC14" s="872">
        <f>IF(LA_!BC14="","",+LA_!BC14)</f>
        <v>7</v>
      </c>
      <c r="BD14" s="872">
        <f>IF(LA_!BD14="","",+LA_!BD14)</f>
        <v>7.1</v>
      </c>
      <c r="BE14" s="876" t="str">
        <f>IF(LA_!BE14="","",+LA_!BE14)</f>
        <v/>
      </c>
      <c r="BF14" s="875" t="str">
        <f>IF(LA_!BF14="","",+LA_!BF14)</f>
        <v/>
      </c>
      <c r="BG14" s="877">
        <f>+IF(LA_!BG14="","",IF(ISTEXT(LA_!BG14),0,ROUND(LA_!BG14,2)))</f>
        <v>0.04</v>
      </c>
      <c r="BH14" s="878">
        <f>+IF(LA_!BH14="","",IF(ISTEXT(LA_!BH14),0,ROUND(LA_!BH14,2)))</f>
        <v>0.03</v>
      </c>
      <c r="BI14" s="1844">
        <f>IF(LA_!BI14="","",+LA_!BI14)</f>
        <v>26.4</v>
      </c>
      <c r="BJ14" s="1844">
        <f>IF(LA_!BJ14="","",+LA_!BJ14)</f>
        <v>46.3</v>
      </c>
      <c r="BK14" s="878" t="str">
        <f>IF(LA_!BK14="","",+LA_!BK14)</f>
        <v/>
      </c>
      <c r="BL14" s="878" t="str">
        <f>IF(LA_!BL14="","",+LA_!BL14)</f>
        <v/>
      </c>
      <c r="BM14" s="875" t="str">
        <f>IF(LA_!BM14="","",+LA_!BM14)</f>
        <v/>
      </c>
      <c r="BN14" s="878">
        <f>+IF(LA_!BN14="","",IF(ISTEXT(LA_!BN14),0,ROUND(LA_!BN14,2)))</f>
        <v>0.04</v>
      </c>
      <c r="BO14" s="878">
        <f>+IF(LA_!BO14="","",IF(ISTEXT(LA_!BO14),0,ROUND(LA_!BO14,2)))</f>
        <v>0</v>
      </c>
      <c r="BP14" s="872">
        <f>IF(LA_!BP14="","",ROUND(+LA_!BP14,1))</f>
        <v>26.4</v>
      </c>
      <c r="BQ14" s="872">
        <f>IF(LA_!BQ14="","",ROUND(+LA_!BQ14,1))</f>
        <v>40.799999999999997</v>
      </c>
      <c r="BR14" s="875" t="str">
        <f>IF(LA_!BR14="","",+LA_!BR14)</f>
        <v/>
      </c>
      <c r="BS14" s="875" t="str">
        <f>IF(LA_!BS14="","",+LA_!BS14)</f>
        <v/>
      </c>
      <c r="BT14" s="875" t="str">
        <f>IF(LA_!BT14="","",+LA_!BT14)</f>
        <v/>
      </c>
      <c r="BU14" s="878" t="str">
        <f>+IF(LA_!BU14="","",IF(ISTEXT(LA_!BU14),0,ROUND(LA_!BU14,2)))</f>
        <v/>
      </c>
      <c r="BV14" s="878" t="str">
        <f>+IF(LA_!BV14="","",IF(ISTEXT(LA_!BV14),0,ROUND(LA_!BV14,2)))</f>
        <v/>
      </c>
      <c r="BW14" s="872" t="str">
        <f>IF(LA_!BW14="","",ROUND(+LA_!BW14,1))</f>
        <v/>
      </c>
      <c r="BX14" s="872" t="str">
        <f>IF(LA_!BX14="","",ROUND(+LA_!BX14,1))</f>
        <v/>
      </c>
      <c r="BY14" s="875" t="str">
        <f>IF(LA_!BY14="","",+LA_!BY14)</f>
        <v/>
      </c>
      <c r="BZ14" s="875" t="str">
        <f>IF(LA_!BZ14="","",+LA_!BZ14)</f>
        <v/>
      </c>
      <c r="CA14" s="875" t="str">
        <f>IF(LA_!CA14="","",+LA_!CA14)</f>
        <v/>
      </c>
      <c r="CB14" s="878">
        <f>+IF(LA_!CB14="","",IF(ISTEXT(LA_!CB14),0,ROUND(LA_!CB14,2)))</f>
        <v>0.65</v>
      </c>
      <c r="CC14" s="878">
        <f>+IF(LA_!CC14="","",IF(ISTEXT(LA_!CC14),0,ROUND(LA_!CC14,2)))</f>
        <v>3.47</v>
      </c>
      <c r="CD14" s="872">
        <f>IF(LA_!CD14="","",ROUND(+LA_!CD14,1))</f>
        <v>8.5</v>
      </c>
      <c r="CE14" s="872">
        <f>IF(LA_!CE14="","",ROUND(+LA_!CE14,1))</f>
        <v>10.7</v>
      </c>
      <c r="CF14" s="878" t="str">
        <f>IF(LA_!CF14="","",+LA_!CF14)</f>
        <v/>
      </c>
      <c r="CG14" s="878" t="str">
        <f>IF(LA_!CG14="","",+LA_!CG14)</f>
        <v/>
      </c>
      <c r="CH14" s="875" t="str">
        <f>IF(LA_!CH14="","",+LA_!CH14)</f>
        <v/>
      </c>
      <c r="CI14" s="876" t="str">
        <f>IF(LA_!CI14="","",+LA_!CI14)</f>
        <v/>
      </c>
      <c r="CJ14" s="875" t="str">
        <f>IF(LA_!CJ14="","",+LA_!CJ14)</f>
        <v/>
      </c>
      <c r="CK14" s="875" t="str">
        <f>IF(LA_!CK14="","",+LA_!CK14)</f>
        <v/>
      </c>
      <c r="CL14" s="875" t="str">
        <f>IF(LA_!CL14="","",+LA_!CL14)</f>
        <v/>
      </c>
      <c r="CM14" s="875" t="str">
        <f>IF(LA_!CM14="","",+LA_!CM14)</f>
        <v/>
      </c>
      <c r="CN14" s="875" t="str">
        <f>IF(LA_!CN14="","",+LA_!CN14)</f>
        <v/>
      </c>
      <c r="CO14" s="875" t="str">
        <f>IF(LA_!CO14="","",+LA_!CO14)</f>
        <v/>
      </c>
      <c r="CP14" s="875" t="str">
        <f>IF(LA_!CP14="","",+LA_!CP14)</f>
        <v/>
      </c>
      <c r="CQ14" s="1922">
        <f>IF(LA_!CQ14="","",+LA_!CQ14)</f>
        <v>34.4</v>
      </c>
      <c r="CR14" s="875">
        <f>IF(LA_!CR14="","",+LA_!CR14)</f>
        <v>41.9</v>
      </c>
      <c r="CS14" s="875">
        <f>IF(LA_!CS14="","",+LA_!CS14)</f>
        <v>48</v>
      </c>
      <c r="CT14" s="875">
        <f>IF(LA_!CT14="","",+LA_!CT14)</f>
        <v>34</v>
      </c>
      <c r="CU14" s="874">
        <f>IF(LA_!CU14="","",+LA_!CU14)</f>
        <v>4280</v>
      </c>
      <c r="CV14" s="872">
        <f>IF(LA_!CV14="","",+LA_!CV14)</f>
        <v>5.67</v>
      </c>
      <c r="CW14" s="874" t="str">
        <f>IF(LA_!CW14="","",+LA_!CW14)</f>
        <v/>
      </c>
      <c r="CX14" s="1197" t="str">
        <f>IF(LA_!CX14="","",+LA_!CX14)</f>
        <v/>
      </c>
      <c r="CY14" s="2370" t="str">
        <f>IF(LA_!CY14="","",+LA_!CY14)</f>
        <v/>
      </c>
      <c r="CZ14" s="875" t="str">
        <f>IF(LA_!CZ14="","",+LA_!CZ14)</f>
        <v/>
      </c>
      <c r="DA14" s="875" t="str">
        <f>IF(LA_!DA14="","",+LA_!DA14)</f>
        <v/>
      </c>
      <c r="DB14" s="875" t="str">
        <f>IF(LA_!DB14="","",+LA_!DB14)</f>
        <v/>
      </c>
      <c r="DC14" s="875" t="str">
        <f>IF(LA_!DC14="","",+LA_!DC14)</f>
        <v/>
      </c>
      <c r="DD14" s="875" t="str">
        <f>IF(LA_!DD14="","",+LA_!DD14)</f>
        <v/>
      </c>
      <c r="DE14" s="875" t="str">
        <f>IF(LA_!DE14="","",+LA_!DE14)</f>
        <v/>
      </c>
      <c r="DF14" s="875" t="str">
        <f>IF(LA_!DF14="","",+LA_!DF14)</f>
        <v/>
      </c>
      <c r="DG14" s="875" t="str">
        <f>IF(LA_!DG14="","",+LA_!DG14)</f>
        <v/>
      </c>
      <c r="DH14" s="875" t="str">
        <f>IF(LA_!DH14="","",+LA_!DH14)</f>
        <v/>
      </c>
      <c r="DI14" s="879" t="str">
        <f>IF(LA_!DI14="","",+LA_!DI14)</f>
        <v/>
      </c>
      <c r="DJ14" s="872" t="str">
        <f>IF(LA_!DJ14="","",+LA_!DJ14)</f>
        <v/>
      </c>
      <c r="DK14" s="872" t="str">
        <f>IF(LA_!DK14="","",+LA_!DK14)</f>
        <v/>
      </c>
      <c r="DL14" s="872" t="str">
        <f>IF(LA_!DL14="","",+LA_!DL14)</f>
        <v/>
      </c>
      <c r="DM14" s="875" t="str">
        <f>IF(LA_!DM14="","",+LA_!DM14)</f>
        <v/>
      </c>
      <c r="DN14" s="875" t="str">
        <f>IF(LA_!DN14="","",+LA_!DN14)</f>
        <v/>
      </c>
      <c r="DO14" s="875" t="str">
        <f>IF(LA_!DO14="","",+LA_!DO14)</f>
        <v/>
      </c>
      <c r="DP14" s="872" t="str">
        <f>IF(LA_!DP14="","",+LA_!DP14)</f>
        <v/>
      </c>
      <c r="DQ14" s="875" t="str">
        <f>IF(LA_!DQ14="","",+LA_!DQ14)</f>
        <v/>
      </c>
      <c r="DR14" s="875" t="str">
        <f>IF(LA_!DR14="","",+LA_!DR14)</f>
        <v/>
      </c>
      <c r="DS14" s="876"/>
      <c r="DT14" s="880"/>
      <c r="DU14" s="330"/>
      <c r="DV14" s="330"/>
      <c r="DW14" s="881"/>
      <c r="DX14" s="849"/>
    </row>
    <row r="15" spans="2:128" ht="20.100000000000001" customHeight="1">
      <c r="B15" s="1789"/>
      <c r="C15" s="852">
        <v>5</v>
      </c>
      <c r="D15" s="2439">
        <f>IF(LA_!D15="","",+LA_!D15)</f>
        <v>132</v>
      </c>
      <c r="E15" s="2370" t="str">
        <f>IF(LA_!E15="","",+LA_!E15)</f>
        <v/>
      </c>
      <c r="F15" s="873">
        <f>IF(LA_!F15="","",+LA_!F15)</f>
        <v>126</v>
      </c>
      <c r="G15" s="872" t="str">
        <f>IF(LA_!G15="","",+LA_!G15)</f>
        <v/>
      </c>
      <c r="H15" s="874">
        <f>IF(LA_!H15="","",+LA_!H15)</f>
        <v>48</v>
      </c>
      <c r="I15" s="874">
        <f>IF(LA_!I15="","",+LA_!I15)</f>
        <v>82</v>
      </c>
      <c r="J15" s="874">
        <f>IF(LA_!J15="","",+LA_!J15)</f>
        <v>5</v>
      </c>
      <c r="K15" s="874">
        <f>IF(LA_!K15="","",+LA_!K15)</f>
        <v>210</v>
      </c>
      <c r="L15" s="1292">
        <f>IF(LA_!L15="","",+LA_!L15)</f>
        <v>3360</v>
      </c>
      <c r="M15" s="2387">
        <f>IF(LA_!M15="","",+LA_!M15)</f>
        <v>3330</v>
      </c>
      <c r="N15" s="2387">
        <f>IF(LA_!N15="","",+LA_!N15)</f>
        <v>2680</v>
      </c>
      <c r="O15" s="2387">
        <f>IF(LA_!O15="","",+LA_!O15)</f>
        <v>2430</v>
      </c>
      <c r="P15" s="2384">
        <f>IF(LA_!P15="","",+LA_!P15)</f>
        <v>2560</v>
      </c>
      <c r="Q15" s="1196">
        <f>IF(LA_!Q15="","",+LA_!Q15)</f>
        <v>4210</v>
      </c>
      <c r="R15" s="2387">
        <f>IF(LA_!R15="","",+LA_!R15)</f>
        <v>4730</v>
      </c>
      <c r="S15" s="2387">
        <f>IF(LA_!S15="","",+LA_!S15)</f>
        <v>3990</v>
      </c>
      <c r="T15" s="2387">
        <f>IF(LA_!T15="","",+LA_!T15)</f>
        <v>3360</v>
      </c>
      <c r="U15" s="2384">
        <f>IF(LA_!U15="","",+LA_!U15)</f>
        <v>3530</v>
      </c>
      <c r="V15" s="1183">
        <f>IF(LA_!V15="","",+LA_!V15)</f>
        <v>6160</v>
      </c>
      <c r="W15" s="2459" t="str">
        <f>IF(LA_!W15="","",+LA_!W15)</f>
        <v/>
      </c>
      <c r="X15" s="2387">
        <f>IF(LA_!X15="","",+LA_!X15)</f>
        <v>4740</v>
      </c>
      <c r="Y15" s="2370" t="str">
        <f>IF(LA_!Y15="","",+LA_!Y15)</f>
        <v/>
      </c>
      <c r="Z15" s="1843">
        <f>IF(LA_!Z15="","",+LA_!Z15)</f>
        <v>140</v>
      </c>
      <c r="AA15" s="2387">
        <f>IF(LA_!AA15="","",+LA_!AA15)</f>
        <v>166</v>
      </c>
      <c r="AB15" s="2394">
        <f>IF(LA_!AB15="","",+LA_!AB15)</f>
        <v>72</v>
      </c>
      <c r="AC15" s="2394">
        <f>IF(LA_!AC15="","",+LA_!AC15)</f>
        <v>204</v>
      </c>
      <c r="AD15" s="875">
        <f>IF(LA_!AD15="","",+LA_!AD15)</f>
        <v>3</v>
      </c>
      <c r="AE15" s="2387">
        <f>IF(LA_!AE15="","",+LA_!AE15)</f>
        <v>2200</v>
      </c>
      <c r="AF15" s="2391">
        <f>IF(LA_!AF15="","",+LA_!AF15)</f>
        <v>2.89</v>
      </c>
      <c r="AG15" s="2370">
        <f>IF(LA_!AG15="","",+LA_!AG15)</f>
        <v>84.9</v>
      </c>
      <c r="AH15" s="872">
        <f>IF(LA_!AH15="","",+LA_!AH15)</f>
        <v>1.72</v>
      </c>
      <c r="AI15" s="872">
        <f>IF(LA_!AI15="","",+LA_!AI15)</f>
        <v>73.8</v>
      </c>
      <c r="AJ15" s="872" t="str">
        <f>IF(LA_!AJ15="","",+LA_!AJ15)</f>
        <v/>
      </c>
      <c r="AK15" s="872" t="str">
        <f>IF(LA_!AK15="","",+LA_!AK15)</f>
        <v/>
      </c>
      <c r="AL15" s="872" t="str">
        <f>IF(LA_!AL15="","",+LA_!AL15)</f>
        <v/>
      </c>
      <c r="AM15" s="872" t="str">
        <f>IF(LA_!AM15="","",+LA_!AM15)</f>
        <v/>
      </c>
      <c r="AN15" s="875" t="str">
        <f>IF(LA_!AN15="","",+LA_!AN15)</f>
        <v/>
      </c>
      <c r="AO15" s="875" t="str">
        <f>IF(LA_!AO15="","",+LA_!AO15)</f>
        <v/>
      </c>
      <c r="AP15" s="876" t="str">
        <f>IF(LA_!AP15="","",+LA_!AP15)</f>
        <v/>
      </c>
      <c r="AQ15" s="875" t="str">
        <f>IF(LA_!AQ15="","",+LA_!AQ15)</f>
        <v/>
      </c>
      <c r="AR15" s="875" t="str">
        <f>IF(LA_!AR15="","",+LA_!AR15)</f>
        <v/>
      </c>
      <c r="AS15" s="875" t="str">
        <f>IF(LA_!AS15="","",+LA_!AS15)</f>
        <v/>
      </c>
      <c r="AT15" s="875" t="str">
        <f>IF(LA_!AT15="","",+LA_!AT15)</f>
        <v/>
      </c>
      <c r="AU15" s="875" t="str">
        <f>IF(LA_!AU15="","",+LA_!AU15)</f>
        <v/>
      </c>
      <c r="AV15" s="875" t="str">
        <f>IF(LA_!AV15="","",+LA_!AV15)</f>
        <v/>
      </c>
      <c r="AW15" s="875" t="str">
        <f>IF(LA_!AW15="","",+LA_!AW15)</f>
        <v/>
      </c>
      <c r="AX15" s="875" t="str">
        <f>IF(LA_!AX15="","",+LA_!AX15)</f>
        <v/>
      </c>
      <c r="AY15" s="875" t="str">
        <f>IF(LA_!AY15="","",+LA_!AY15)</f>
        <v/>
      </c>
      <c r="AZ15" s="872" t="str">
        <f>IF(LA_!AZ15="","",+LA_!AZ15)</f>
        <v/>
      </c>
      <c r="BA15" s="872" t="str">
        <f>IF(LA_!BA15="","",+LA_!BA15)</f>
        <v/>
      </c>
      <c r="BB15" s="872" t="str">
        <f>IF(LA_!BB15="","",+LA_!BB15)</f>
        <v/>
      </c>
      <c r="BC15" s="872" t="str">
        <f>IF(LA_!BC15="","",+LA_!BC15)</f>
        <v/>
      </c>
      <c r="BD15" s="872" t="str">
        <f>IF(LA_!BD15="","",+LA_!BD15)</f>
        <v/>
      </c>
      <c r="BE15" s="876">
        <f>IF(LA_!BE15="","",+LA_!BE15)</f>
        <v>92</v>
      </c>
      <c r="BF15" s="875">
        <f>IF(LA_!BF15="","",+LA_!BF15)</f>
        <v>191</v>
      </c>
      <c r="BG15" s="877">
        <f>+IF(LA_!BG15="","",IF(ISTEXT(LA_!BG15),0,ROUND(LA_!BG15,2)))</f>
        <v>0.03</v>
      </c>
      <c r="BH15" s="878">
        <f>+IF(LA_!BH15="","",IF(ISTEXT(LA_!BH15),0,ROUND(LA_!BH15,2)))</f>
        <v>0.02</v>
      </c>
      <c r="BI15" s="1844">
        <f>IF(LA_!BI15="","",+LA_!BI15)</f>
        <v>25.4</v>
      </c>
      <c r="BJ15" s="1844">
        <f>IF(LA_!BJ15="","",+LA_!BJ15)</f>
        <v>40.4</v>
      </c>
      <c r="BK15" s="878" t="str">
        <f>IF(LA_!BK15="","",+LA_!BK15)</f>
        <v/>
      </c>
      <c r="BL15" s="878" t="str">
        <f>IF(LA_!BL15="","",+LA_!BL15)</f>
        <v/>
      </c>
      <c r="BM15" s="875" t="str">
        <f>IF(LA_!BM15="","",+LA_!BM15)</f>
        <v/>
      </c>
      <c r="BN15" s="878">
        <f>+IF(LA_!BN15="","",IF(ISTEXT(LA_!BN15),0,ROUND(LA_!BN15,2)))</f>
        <v>0.03</v>
      </c>
      <c r="BO15" s="878">
        <f>+IF(LA_!BO15="","",IF(ISTEXT(LA_!BO15),0,ROUND(LA_!BO15,2)))</f>
        <v>0</v>
      </c>
      <c r="BP15" s="872">
        <f>IF(LA_!BP15="","",ROUND(+LA_!BP15,1))</f>
        <v>25.7</v>
      </c>
      <c r="BQ15" s="872">
        <f>IF(LA_!BQ15="","",ROUND(+LA_!BQ15,1))</f>
        <v>39.299999999999997</v>
      </c>
      <c r="BR15" s="875" t="str">
        <f>IF(LA_!BR15="","",+LA_!BR15)</f>
        <v/>
      </c>
      <c r="BS15" s="875" t="str">
        <f>IF(LA_!BS15="","",+LA_!BS15)</f>
        <v/>
      </c>
      <c r="BT15" s="875" t="str">
        <f>IF(LA_!BT15="","",+LA_!BT15)</f>
        <v/>
      </c>
      <c r="BU15" s="878" t="str">
        <f>+IF(LA_!BU15="","",IF(ISTEXT(LA_!BU15),0,ROUND(LA_!BU15,2)))</f>
        <v/>
      </c>
      <c r="BV15" s="878" t="str">
        <f>+IF(LA_!BV15="","",IF(ISTEXT(LA_!BV15),0,ROUND(LA_!BV15,2)))</f>
        <v/>
      </c>
      <c r="BW15" s="872" t="str">
        <f>IF(LA_!BW15="","",ROUND(+LA_!BW15,1))</f>
        <v/>
      </c>
      <c r="BX15" s="872" t="str">
        <f>IF(LA_!BX15="","",ROUND(+LA_!BX15,1))</f>
        <v/>
      </c>
      <c r="BY15" s="875" t="str">
        <f>IF(LA_!BY15="","",+LA_!BY15)</f>
        <v/>
      </c>
      <c r="BZ15" s="875" t="str">
        <f>IF(LA_!BZ15="","",+LA_!BZ15)</f>
        <v/>
      </c>
      <c r="CA15" s="875" t="str">
        <f>IF(LA_!CA15="","",+LA_!CA15)</f>
        <v/>
      </c>
      <c r="CB15" s="878">
        <f>+IF(LA_!CB15="","",IF(ISTEXT(LA_!CB15),0,ROUND(LA_!CB15,2)))</f>
        <v>0.72</v>
      </c>
      <c r="CC15" s="878">
        <f>+IF(LA_!CC15="","",IF(ISTEXT(LA_!CC15),0,ROUND(LA_!CC15,2)))</f>
        <v>4.55</v>
      </c>
      <c r="CD15" s="872">
        <f>IF(LA_!CD15="","",ROUND(+LA_!CD15,1))</f>
        <v>6.9</v>
      </c>
      <c r="CE15" s="872">
        <f>IF(LA_!CE15="","",ROUND(+LA_!CE15,1))</f>
        <v>8.6</v>
      </c>
      <c r="CF15" s="878" t="str">
        <f>IF(LA_!CF15="","",+LA_!CF15)</f>
        <v/>
      </c>
      <c r="CG15" s="878" t="str">
        <f>IF(LA_!CG15="","",+LA_!CG15)</f>
        <v/>
      </c>
      <c r="CH15" s="875" t="str">
        <f>IF(LA_!CH15="","",+LA_!CH15)</f>
        <v/>
      </c>
      <c r="CI15" s="876" t="str">
        <f>IF(LA_!CI15="","",+LA_!CI15)</f>
        <v/>
      </c>
      <c r="CJ15" s="875" t="str">
        <f>IF(LA_!CJ15="","",+LA_!CJ15)</f>
        <v/>
      </c>
      <c r="CK15" s="875" t="str">
        <f>IF(LA_!CK15="","",+LA_!CK15)</f>
        <v/>
      </c>
      <c r="CL15" s="875" t="str">
        <f>IF(LA_!CL15="","",+LA_!CL15)</f>
        <v/>
      </c>
      <c r="CM15" s="875" t="str">
        <f>IF(LA_!CM15="","",+LA_!CM15)</f>
        <v/>
      </c>
      <c r="CN15" s="875" t="str">
        <f>IF(LA_!CN15="","",+LA_!CN15)</f>
        <v/>
      </c>
      <c r="CO15" s="875" t="str">
        <f>IF(LA_!CO15="","",+LA_!CO15)</f>
        <v/>
      </c>
      <c r="CP15" s="875" t="str">
        <f>IF(LA_!CP15="","",+LA_!CP15)</f>
        <v/>
      </c>
      <c r="CQ15" s="1922" t="str">
        <f>IF(LA_!CQ15="","",+LA_!CQ15)</f>
        <v/>
      </c>
      <c r="CR15" s="875" t="str">
        <f>IF(LA_!CR15="","",+LA_!CR15)</f>
        <v/>
      </c>
      <c r="CS15" s="875" t="str">
        <f>IF(LA_!CS15="","",+LA_!CS15)</f>
        <v/>
      </c>
      <c r="CT15" s="875" t="str">
        <f>IF(LA_!CT15="","",+LA_!CT15)</f>
        <v/>
      </c>
      <c r="CU15" s="874" t="str">
        <f>IF(LA_!CU15="","",+LA_!CU15)</f>
        <v/>
      </c>
      <c r="CV15" s="872" t="str">
        <f>IF(LA_!CV15="","",+LA_!CV15)</f>
        <v/>
      </c>
      <c r="CW15" s="874" t="str">
        <f>IF(LA_!CW15="","",+LA_!CW15)</f>
        <v/>
      </c>
      <c r="CX15" s="1197" t="str">
        <f>IF(LA_!CX15="","",+LA_!CX15)</f>
        <v/>
      </c>
      <c r="CY15" s="2370" t="str">
        <f>IF(LA_!CY15="","",+LA_!CY15)</f>
        <v/>
      </c>
      <c r="CZ15" s="875" t="str">
        <f>IF(LA_!CZ15="","",+LA_!CZ15)</f>
        <v/>
      </c>
      <c r="DA15" s="875" t="str">
        <f>IF(LA_!DA15="","",+LA_!DA15)</f>
        <v/>
      </c>
      <c r="DB15" s="875" t="str">
        <f>IF(LA_!DB15="","",+LA_!DB15)</f>
        <v/>
      </c>
      <c r="DC15" s="875" t="str">
        <f>IF(LA_!DC15="","",+LA_!DC15)</f>
        <v/>
      </c>
      <c r="DD15" s="875" t="str">
        <f>IF(LA_!DD15="","",+LA_!DD15)</f>
        <v/>
      </c>
      <c r="DE15" s="875" t="str">
        <f>IF(LA_!DE15="","",+LA_!DE15)</f>
        <v/>
      </c>
      <c r="DF15" s="875" t="str">
        <f>IF(LA_!DF15="","",+LA_!DF15)</f>
        <v/>
      </c>
      <c r="DG15" s="875" t="str">
        <f>IF(LA_!DG15="","",+LA_!DG15)</f>
        <v/>
      </c>
      <c r="DH15" s="875" t="str">
        <f>IF(LA_!DH15="","",+LA_!DH15)</f>
        <v/>
      </c>
      <c r="DI15" s="879" t="str">
        <f>IF(LA_!DI15="","",+LA_!DI15)</f>
        <v/>
      </c>
      <c r="DJ15" s="872" t="str">
        <f>IF(LA_!DJ15="","",+LA_!DJ15)</f>
        <v/>
      </c>
      <c r="DK15" s="872" t="str">
        <f>IF(LA_!DK15="","",+LA_!DK15)</f>
        <v/>
      </c>
      <c r="DL15" s="872" t="str">
        <f>IF(LA_!DL15="","",+LA_!DL15)</f>
        <v/>
      </c>
      <c r="DM15" s="875" t="str">
        <f>IF(LA_!DM15="","",+LA_!DM15)</f>
        <v/>
      </c>
      <c r="DN15" s="875" t="str">
        <f>IF(LA_!DN15="","",+LA_!DN15)</f>
        <v/>
      </c>
      <c r="DO15" s="875" t="str">
        <f>IF(LA_!DO15="","",+LA_!DO15)</f>
        <v/>
      </c>
      <c r="DP15" s="872" t="str">
        <f>IF(LA_!DP15="","",+LA_!DP15)</f>
        <v/>
      </c>
      <c r="DQ15" s="875" t="str">
        <f>IF(LA_!DQ15="","",+LA_!DQ15)</f>
        <v/>
      </c>
      <c r="DR15" s="875" t="str">
        <f>IF(LA_!DR15="","",+LA_!DR15)</f>
        <v/>
      </c>
      <c r="DS15" s="876"/>
      <c r="DT15" s="880"/>
      <c r="DU15" s="330"/>
      <c r="DV15" s="330"/>
      <c r="DW15" s="881"/>
      <c r="DX15" s="849"/>
    </row>
    <row r="16" spans="2:128" ht="20.100000000000001" customHeight="1">
      <c r="B16" s="1789"/>
      <c r="C16" s="852">
        <v>6</v>
      </c>
      <c r="D16" s="2439">
        <f>IF(LA_!D16="","",+LA_!D16)</f>
        <v>238</v>
      </c>
      <c r="E16" s="2370">
        <f>IF(LA_!E16="","",+LA_!E16)</f>
        <v>80.7</v>
      </c>
      <c r="F16" s="873">
        <f>IF(LA_!F16="","",+LA_!F16)</f>
        <v>184</v>
      </c>
      <c r="G16" s="872">
        <f>IF(LA_!G16="","",+LA_!G16)</f>
        <v>80.400000000000006</v>
      </c>
      <c r="H16" s="874">
        <f>IF(LA_!H16="","",+LA_!H16)</f>
        <v>48</v>
      </c>
      <c r="I16" s="874">
        <f>IF(LA_!I16="","",+LA_!I16)</f>
        <v>108</v>
      </c>
      <c r="J16" s="874">
        <f>IF(LA_!J16="","",+LA_!J16)</f>
        <v>4</v>
      </c>
      <c r="K16" s="874">
        <f>IF(LA_!K16="","",+LA_!K16)</f>
        <v>102</v>
      </c>
      <c r="L16" s="1292">
        <f>IF(LA_!L16="","",+LA_!L16)</f>
        <v>3290</v>
      </c>
      <c r="M16" s="2388">
        <f>IF(LA_!M16="","",+LA_!M16)</f>
        <v>3260</v>
      </c>
      <c r="N16" s="2388">
        <f>IF(LA_!N16="","",+LA_!N16)</f>
        <v>2680</v>
      </c>
      <c r="O16" s="2388">
        <f>IF(LA_!O16="","",+LA_!O16)</f>
        <v>2780</v>
      </c>
      <c r="P16" s="2385">
        <f>IF(LA_!P16="","",+LA_!P16)</f>
        <v>2880</v>
      </c>
      <c r="Q16" s="1292">
        <f>IF(LA_!Q16="","",+LA_!Q16)</f>
        <v>3890</v>
      </c>
      <c r="R16" s="2388">
        <f>IF(LA_!R16="","",+LA_!R16)</f>
        <v>4120</v>
      </c>
      <c r="S16" s="2388">
        <f>IF(LA_!S16="","",+LA_!S16)</f>
        <v>3490</v>
      </c>
      <c r="T16" s="2388">
        <f>IF(LA_!T16="","",+LA_!T16)</f>
        <v>3660</v>
      </c>
      <c r="U16" s="2384">
        <f>IF(LA_!U16="","",+LA_!U16)</f>
        <v>4130</v>
      </c>
      <c r="V16" s="1183">
        <f>IF(LA_!V16="","",+LA_!V16)</f>
        <v>5500</v>
      </c>
      <c r="W16" s="2460">
        <f>IF(LA_!W16="","",+LA_!W16)</f>
        <v>80</v>
      </c>
      <c r="X16" s="2388">
        <f>IF(LA_!X16="","",+LA_!X16)</f>
        <v>5140</v>
      </c>
      <c r="Y16" s="2385">
        <f>IF(LA_!Y16="","",+LA_!Y16)</f>
        <v>79</v>
      </c>
      <c r="Z16" s="1292">
        <f>IF(LA_!Z16="","",+LA_!Z16)</f>
        <v>177</v>
      </c>
      <c r="AA16" s="2388">
        <f>IF(LA_!AA16="","",+LA_!AA16)</f>
        <v>174</v>
      </c>
      <c r="AB16" s="2388">
        <f>IF(LA_!AB16="","",+LA_!AB16)</f>
        <v>98</v>
      </c>
      <c r="AC16" s="2388">
        <f>IF(LA_!AC16="","",+LA_!AC16)</f>
        <v>171</v>
      </c>
      <c r="AD16" s="875">
        <f>IF(LA_!AD16="","",+LA_!AD16)</f>
        <v>3</v>
      </c>
      <c r="AE16" s="2388">
        <f>IF(LA_!AE16="","",+LA_!AE16)</f>
        <v>1680</v>
      </c>
      <c r="AF16" s="2418">
        <f>IF(LA_!AF16="","",+LA_!AF16)</f>
        <v>2.83</v>
      </c>
      <c r="AG16" s="2370">
        <f>IF(LA_!AG16="","",+LA_!AG16)</f>
        <v>83.8</v>
      </c>
      <c r="AH16" s="872">
        <f>IF(LA_!AH16="","",+LA_!AH16)</f>
        <v>1.8</v>
      </c>
      <c r="AI16" s="872">
        <f>IF(LA_!AI16="","",+LA_!AI16)</f>
        <v>73.5</v>
      </c>
      <c r="AJ16" s="872" t="str">
        <f>IF(LA_!AJ16="","",+LA_!AJ16)</f>
        <v/>
      </c>
      <c r="AK16" s="872" t="str">
        <f>IF(LA_!AK16="","",+LA_!AK16)</f>
        <v/>
      </c>
      <c r="AL16" s="872" t="str">
        <f>IF(LA_!AL16="","",+LA_!AL16)</f>
        <v/>
      </c>
      <c r="AM16" s="872" t="str">
        <f>IF(LA_!AM16="","",+LA_!AM16)</f>
        <v/>
      </c>
      <c r="AN16" s="875" t="str">
        <f>IF(LA_!AN16="","",+LA_!AN16)</f>
        <v/>
      </c>
      <c r="AO16" s="875" t="str">
        <f>IF(LA_!AO16="","",+LA_!AO16)</f>
        <v/>
      </c>
      <c r="AP16" s="876" t="str">
        <f>IF(LA_!AP16="","",+LA_!AP16)</f>
        <v/>
      </c>
      <c r="AQ16" s="875" t="str">
        <f>IF(LA_!AQ16="","",+LA_!AQ16)</f>
        <v/>
      </c>
      <c r="AR16" s="875" t="str">
        <f>IF(LA_!AR16="","",+LA_!AR16)</f>
        <v/>
      </c>
      <c r="AS16" s="875" t="str">
        <f>IF(LA_!AS16="","",+LA_!AS16)</f>
        <v/>
      </c>
      <c r="AT16" s="875" t="str">
        <f>IF(LA_!AT16="","",+LA_!AT16)</f>
        <v/>
      </c>
      <c r="AU16" s="875" t="str">
        <f>IF(LA_!AU16="","",+LA_!AU16)</f>
        <v/>
      </c>
      <c r="AV16" s="875" t="str">
        <f>IF(LA_!AV16="","",+LA_!AV16)</f>
        <v/>
      </c>
      <c r="AW16" s="875" t="str">
        <f>IF(LA_!AW16="","",+LA_!AW16)</f>
        <v/>
      </c>
      <c r="AX16" s="875" t="str">
        <f>IF(LA_!AX16="","",+LA_!AX16)</f>
        <v/>
      </c>
      <c r="AY16" s="875" t="str">
        <f>IF(LA_!AY16="","",+LA_!AY16)</f>
        <v/>
      </c>
      <c r="AZ16" s="872" t="str">
        <f>IF(LA_!AZ16="","",+LA_!AZ16)</f>
        <v/>
      </c>
      <c r="BA16" s="872" t="str">
        <f>IF(LA_!BA16="","",+LA_!BA16)</f>
        <v/>
      </c>
      <c r="BB16" s="872" t="str">
        <f>IF(LA_!BB16="","",+LA_!BB16)</f>
        <v/>
      </c>
      <c r="BC16" s="872" t="str">
        <f>IF(LA_!BC16="","",+LA_!BC16)</f>
        <v/>
      </c>
      <c r="BD16" s="872" t="str">
        <f>IF(LA_!BD16="","",+LA_!BD16)</f>
        <v/>
      </c>
      <c r="BE16" s="876" t="str">
        <f>IF(LA_!BE16="","",+LA_!BE16)</f>
        <v/>
      </c>
      <c r="BF16" s="875" t="str">
        <f>IF(LA_!BF16="","",+LA_!BF16)</f>
        <v/>
      </c>
      <c r="BG16" s="877">
        <f>+IF(LA_!BG16="","",IF(ISTEXT(LA_!BG16),0,ROUND(LA_!BG16,2)))</f>
        <v>0.03</v>
      </c>
      <c r="BH16" s="878">
        <f>+IF(LA_!BH16="","",IF(ISTEXT(LA_!BH16),0,ROUND(LA_!BH16,2)))</f>
        <v>0.06</v>
      </c>
      <c r="BI16" s="1844">
        <f>IF(LA_!BI16="","",+LA_!BI16)</f>
        <v>26.4</v>
      </c>
      <c r="BJ16" s="1844">
        <f>IF(LA_!BJ16="","",+LA_!BJ16)</f>
        <v>39.200000000000003</v>
      </c>
      <c r="BK16" s="878">
        <f>IF(LA_!BK16="","",+LA_!BK16)</f>
        <v>2.87</v>
      </c>
      <c r="BL16" s="878">
        <f>IF(LA_!BL16="","",+LA_!BL16)</f>
        <v>5.08</v>
      </c>
      <c r="BM16" s="875">
        <f>IF(LA_!BM16="","",+LA_!BM16)</f>
        <v>377</v>
      </c>
      <c r="BN16" s="878">
        <f>+IF(LA_!BN16="","",IF(ISTEXT(LA_!BN16),0,ROUND(LA_!BN16,2)))</f>
        <v>0.03</v>
      </c>
      <c r="BO16" s="878">
        <f>+IF(LA_!BO16="","",IF(ISTEXT(LA_!BO16),0,ROUND(LA_!BO16,2)))</f>
        <v>0.04</v>
      </c>
      <c r="BP16" s="872">
        <f>IF(LA_!BP16="","",ROUND(+LA_!BP16,1))</f>
        <v>25.7</v>
      </c>
      <c r="BQ16" s="872">
        <f>IF(LA_!BQ16="","",ROUND(+LA_!BQ16,1))</f>
        <v>36.6</v>
      </c>
      <c r="BR16" s="875">
        <f>IF(LA_!BR16="","",+LA_!BR16)</f>
        <v>2.83</v>
      </c>
      <c r="BS16" s="875">
        <f>IF(LA_!BS16="","",+LA_!BS16)</f>
        <v>4.63</v>
      </c>
      <c r="BT16" s="875">
        <f>IF(LA_!BT16="","",+LA_!BT16)</f>
        <v>389</v>
      </c>
      <c r="BU16" s="878">
        <f>+IF(LA_!BU16="","",IF(ISTEXT(LA_!BU16),0,ROUND(LA_!BU16,2)))</f>
        <v>0.03</v>
      </c>
      <c r="BV16" s="878">
        <f>+IF(LA_!BV16="","",IF(ISTEXT(LA_!BV16),0,ROUND(LA_!BV16,2)))</f>
        <v>0.74</v>
      </c>
      <c r="BW16" s="872">
        <f>IF(LA_!BW16="","",ROUND(+LA_!BW16,1))</f>
        <v>25</v>
      </c>
      <c r="BX16" s="872">
        <f>IF(LA_!BX16="","",ROUND(+LA_!BX16,1))</f>
        <v>34.9</v>
      </c>
      <c r="BY16" s="875">
        <f>IF(LA_!BY16="","",+LA_!BY16)</f>
        <v>3.52</v>
      </c>
      <c r="BZ16" s="875">
        <f>IF(LA_!BZ16="","",+LA_!BZ16)</f>
        <v>5.6</v>
      </c>
      <c r="CA16" s="875">
        <f>IF(LA_!CA16="","",+LA_!CA16)</f>
        <v>346</v>
      </c>
      <c r="CB16" s="878">
        <f>+IF(LA_!CB16="","",IF(ISTEXT(LA_!CB16),0,ROUND(LA_!CB16,2)))</f>
        <v>0.67</v>
      </c>
      <c r="CC16" s="878">
        <f>+IF(LA_!CC16="","",IF(ISTEXT(LA_!CC16),0,ROUND(LA_!CC16,2)))</f>
        <v>4.43</v>
      </c>
      <c r="CD16" s="872">
        <f>IF(LA_!CD16="","",ROUND(+LA_!CD16,1))</f>
        <v>7.1</v>
      </c>
      <c r="CE16" s="872">
        <f>IF(LA_!CE16="","",ROUND(+LA_!CE16,1))</f>
        <v>8.6999999999999993</v>
      </c>
      <c r="CF16" s="878">
        <f>IF(LA_!CF16="","",+LA_!CF16)</f>
        <v>2.56</v>
      </c>
      <c r="CG16" s="878">
        <f>IF(LA_!CG16="","",+LA_!CG16)</f>
        <v>2.75</v>
      </c>
      <c r="CH16" s="875">
        <f>IF(LA_!CH16="","",+LA_!CH16)</f>
        <v>36</v>
      </c>
      <c r="CI16" s="876" t="str">
        <f>IF(LA_!CI16="","",+LA_!CI16)</f>
        <v/>
      </c>
      <c r="CJ16" s="875" t="str">
        <f>IF(LA_!CJ16="","",+LA_!CJ16)</f>
        <v/>
      </c>
      <c r="CK16" s="875" t="str">
        <f>IF(LA_!CK16="","",+LA_!CK16)</f>
        <v/>
      </c>
      <c r="CL16" s="875" t="str">
        <f>IF(LA_!CL16="","",+LA_!CL16)</f>
        <v/>
      </c>
      <c r="CM16" s="875" t="str">
        <f>IF(LA_!CM16="","",+LA_!CM16)</f>
        <v/>
      </c>
      <c r="CN16" s="875" t="str">
        <f>IF(LA_!CN16="","",+LA_!CN16)</f>
        <v/>
      </c>
      <c r="CO16" s="875" t="str">
        <f>IF(LA_!CO16="","",+LA_!CO16)</f>
        <v/>
      </c>
      <c r="CP16" s="875" t="str">
        <f>IF(LA_!CP16="","",+LA_!CP16)</f>
        <v/>
      </c>
      <c r="CQ16" s="1922" t="str">
        <f>IF(LA_!CQ16="","",+LA_!CQ16)</f>
        <v/>
      </c>
      <c r="CR16" s="875" t="str">
        <f>IF(LA_!CR16="","",+LA_!CR16)</f>
        <v/>
      </c>
      <c r="CS16" s="875" t="str">
        <f>IF(LA_!CS16="","",+LA_!CS16)</f>
        <v/>
      </c>
      <c r="CT16" s="875" t="str">
        <f>IF(LA_!CT16="","",+LA_!CT16)</f>
        <v/>
      </c>
      <c r="CU16" s="874" t="str">
        <f>IF(LA_!CU16="","",+LA_!CU16)</f>
        <v/>
      </c>
      <c r="CV16" s="872" t="str">
        <f>IF(LA_!CV16="","",+LA_!CV16)</f>
        <v/>
      </c>
      <c r="CW16" s="874" t="str">
        <f>IF(LA_!CW16="","",+LA_!CW16)</f>
        <v/>
      </c>
      <c r="CX16" s="1197" t="str">
        <f>IF(LA_!CX16="","",+LA_!CX16)</f>
        <v/>
      </c>
      <c r="CY16" s="2370" t="str">
        <f>IF(LA_!CY16="","",+LA_!CY16)</f>
        <v/>
      </c>
      <c r="CZ16" s="875" t="str">
        <f>IF(LA_!CZ16="","",+LA_!CZ16)</f>
        <v/>
      </c>
      <c r="DA16" s="875" t="str">
        <f>IF(LA_!DA16="","",+LA_!DA16)</f>
        <v/>
      </c>
      <c r="DB16" s="875" t="str">
        <f>IF(LA_!DB16="","",+LA_!DB16)</f>
        <v/>
      </c>
      <c r="DC16" s="875" t="str">
        <f>IF(LA_!DC16="","",+LA_!DC16)</f>
        <v/>
      </c>
      <c r="DD16" s="875" t="str">
        <f>IF(LA_!DD16="","",+LA_!DD16)</f>
        <v/>
      </c>
      <c r="DE16" s="875" t="str">
        <f>IF(LA_!DE16="","",+LA_!DE16)</f>
        <v/>
      </c>
      <c r="DF16" s="875" t="str">
        <f>IF(LA_!DF16="","",+LA_!DF16)</f>
        <v/>
      </c>
      <c r="DG16" s="875" t="str">
        <f>IF(LA_!DG16="","",+LA_!DG16)</f>
        <v/>
      </c>
      <c r="DH16" s="875" t="str">
        <f>IF(LA_!DH16="","",+LA_!DH16)</f>
        <v/>
      </c>
      <c r="DI16" s="879" t="str">
        <f>IF(LA_!DI16="","",+LA_!DI16)</f>
        <v/>
      </c>
      <c r="DJ16" s="872" t="str">
        <f>IF(LA_!DJ16="","",+LA_!DJ16)</f>
        <v/>
      </c>
      <c r="DK16" s="872" t="str">
        <f>IF(LA_!DK16="","",+LA_!DK16)</f>
        <v/>
      </c>
      <c r="DL16" s="872" t="str">
        <f>IF(LA_!DL16="","",+LA_!DL16)</f>
        <v/>
      </c>
      <c r="DM16" s="875" t="str">
        <f>IF(LA_!DM16="","",+LA_!DM16)</f>
        <v/>
      </c>
      <c r="DN16" s="875" t="str">
        <f>IF(LA_!DN16="","",+LA_!DN16)</f>
        <v/>
      </c>
      <c r="DO16" s="875" t="str">
        <f>IF(LA_!DO16="","",+LA_!DO16)</f>
        <v/>
      </c>
      <c r="DP16" s="872" t="str">
        <f>IF(LA_!DP16="","",+LA_!DP16)</f>
        <v/>
      </c>
      <c r="DQ16" s="875" t="str">
        <f>IF(LA_!DQ16="","",+LA_!DQ16)</f>
        <v/>
      </c>
      <c r="DR16" s="875" t="str">
        <f>IF(LA_!DR16="","",+LA_!DR16)</f>
        <v/>
      </c>
      <c r="DS16" s="876"/>
      <c r="DT16" s="880"/>
      <c r="DU16" s="330"/>
      <c r="DV16" s="330"/>
      <c r="DW16" s="882"/>
      <c r="DX16" s="849"/>
    </row>
    <row r="17" spans="2:128" ht="20.100000000000001" customHeight="1">
      <c r="B17" s="1789"/>
      <c r="C17" s="852">
        <v>7</v>
      </c>
      <c r="D17" s="2439">
        <f>IF(LA_!D17="","",+LA_!D17)</f>
        <v>152</v>
      </c>
      <c r="E17" s="2370" t="str">
        <f>IF(LA_!E17="","",+LA_!E17)</f>
        <v/>
      </c>
      <c r="F17" s="873">
        <f>IF(LA_!F17="","",+LA_!F17)</f>
        <v>148</v>
      </c>
      <c r="G17" s="872" t="str">
        <f>IF(LA_!G17="","",+LA_!G17)</f>
        <v/>
      </c>
      <c r="H17" s="874">
        <f>IF(LA_!H17="","",+LA_!H17)</f>
        <v>63</v>
      </c>
      <c r="I17" s="874">
        <f>IF(LA_!I17="","",+LA_!I17)</f>
        <v>60</v>
      </c>
      <c r="J17" s="874">
        <f>IF(LA_!J17="","",+LA_!J17)</f>
        <v>4</v>
      </c>
      <c r="K17" s="874">
        <f>IF(LA_!K17="","",+LA_!K17)</f>
        <v>90</v>
      </c>
      <c r="L17" s="1292">
        <f>IF(LA_!L17="","",+LA_!L17)</f>
        <v>3300</v>
      </c>
      <c r="M17" s="2387">
        <f>IF(LA_!M17="","",+LA_!M17)</f>
        <v>3300</v>
      </c>
      <c r="N17" s="2387">
        <f>IF(LA_!N17="","",+LA_!N17)</f>
        <v>3620</v>
      </c>
      <c r="O17" s="2387">
        <f>IF(LA_!O17="","",+LA_!O17)</f>
        <v>2660</v>
      </c>
      <c r="P17" s="2384">
        <f>IF(LA_!P17="","",+LA_!P17)</f>
        <v>1340</v>
      </c>
      <c r="Q17" s="1196">
        <f>IF(LA_!Q17="","",+LA_!Q17)</f>
        <v>1810</v>
      </c>
      <c r="R17" s="2387">
        <f>IF(LA_!R17="","",+LA_!R17)</f>
        <v>1860</v>
      </c>
      <c r="S17" s="2387">
        <f>IF(LA_!S17="","",+LA_!S17)</f>
        <v>1700</v>
      </c>
      <c r="T17" s="2387">
        <f>IF(LA_!T17="","",+LA_!T17)</f>
        <v>2010</v>
      </c>
      <c r="U17" s="2384">
        <f>IF(LA_!U17="","",+LA_!U17)</f>
        <v>4170</v>
      </c>
      <c r="V17" s="1183">
        <f>IF(LA_!V17="","",+LA_!V17)</f>
        <v>3920</v>
      </c>
      <c r="W17" s="2459" t="str">
        <f>IF(LA_!W17="","",+LA_!W17)</f>
        <v/>
      </c>
      <c r="X17" s="2388">
        <f>IF(LA_!X17="","",+LA_!X17)</f>
        <v>7750</v>
      </c>
      <c r="Y17" s="2370" t="str">
        <f>IF(LA_!Y17="","",+LA_!Y17)</f>
        <v/>
      </c>
      <c r="Z17" s="1843">
        <f>IF(LA_!Z17="","",+LA_!Z17)</f>
        <v>167</v>
      </c>
      <c r="AA17" s="2394">
        <f>IF(LA_!AA17="","",+LA_!AA17)</f>
        <v>143</v>
      </c>
      <c r="AB17" s="2394">
        <f>IF(LA_!AB17="","",+LA_!AB17)</f>
        <v>106</v>
      </c>
      <c r="AC17" s="2394">
        <f>IF(LA_!AC17="","",+LA_!AC17)</f>
        <v>106</v>
      </c>
      <c r="AD17" s="875">
        <f>IF(LA_!AD17="","",+LA_!AD17)</f>
        <v>2</v>
      </c>
      <c r="AE17" s="2387">
        <f>IF(LA_!AE17="","",+LA_!AE17)</f>
        <v>1150</v>
      </c>
      <c r="AF17" s="2418">
        <f>IF(LA_!AF17="","",+LA_!AF17)</f>
        <v>2.88</v>
      </c>
      <c r="AG17" s="2370">
        <f>IF(LA_!AG17="","",+LA_!AG17)</f>
        <v>85.9</v>
      </c>
      <c r="AH17" s="872">
        <f>IF(LA_!AH17="","",+LA_!AH17)</f>
        <v>1.8</v>
      </c>
      <c r="AI17" s="872">
        <f>IF(LA_!AI17="","",+LA_!AI17)</f>
        <v>73.3</v>
      </c>
      <c r="AJ17" s="872" t="str">
        <f>IF(LA_!AJ17="","",+LA_!AJ17)</f>
        <v/>
      </c>
      <c r="AK17" s="872" t="str">
        <f>IF(LA_!AK17="","",+LA_!AK17)</f>
        <v/>
      </c>
      <c r="AL17" s="872" t="str">
        <f>IF(LA_!AL17="","",+LA_!AL17)</f>
        <v/>
      </c>
      <c r="AM17" s="872" t="str">
        <f>IF(LA_!AM17="","",+LA_!AM17)</f>
        <v/>
      </c>
      <c r="AN17" s="875" t="str">
        <f>IF(LA_!AN17="","",+LA_!AN17)</f>
        <v/>
      </c>
      <c r="AO17" s="875" t="str">
        <f>IF(LA_!AO17="","",+LA_!AO17)</f>
        <v/>
      </c>
      <c r="AP17" s="876">
        <f>IF(LA_!AP17="","",+LA_!AP17)</f>
        <v>190</v>
      </c>
      <c r="AQ17" s="875" t="str">
        <f>IF(LA_!AQ17="","",+LA_!AQ17)</f>
        <v/>
      </c>
      <c r="AR17" s="875">
        <f>IF(LA_!AR17="","",+LA_!AR17)</f>
        <v>180</v>
      </c>
      <c r="AS17" s="875">
        <f>IF(LA_!AS17="","",+LA_!AS17)</f>
        <v>200</v>
      </c>
      <c r="AT17" s="875">
        <f>IF(LA_!AT17="","",+LA_!AT17)</f>
        <v>110</v>
      </c>
      <c r="AU17" s="875">
        <f>IF(LA_!AU17="","",+LA_!AU17)</f>
        <v>2600</v>
      </c>
      <c r="AV17" s="875" t="str">
        <f>IF(LA_!AV17="","",+LA_!AV17)</f>
        <v/>
      </c>
      <c r="AW17" s="875">
        <f>IF(LA_!AW17="","",+LA_!AW17)</f>
        <v>2600</v>
      </c>
      <c r="AX17" s="875">
        <f>IF(LA_!AX17="","",+LA_!AX17)</f>
        <v>2700</v>
      </c>
      <c r="AY17" s="875">
        <f>IF(LA_!AY17="","",+LA_!AY17)</f>
        <v>2800</v>
      </c>
      <c r="AZ17" s="872">
        <f>IF(LA_!AZ17="","",+LA_!AZ17)</f>
        <v>7.1</v>
      </c>
      <c r="BA17" s="872" t="str">
        <f>IF(LA_!BA17="","",+LA_!BA17)</f>
        <v/>
      </c>
      <c r="BB17" s="872">
        <f>IF(LA_!BB17="","",+LA_!BB17)</f>
        <v>6.88</v>
      </c>
      <c r="BC17" s="872">
        <f>IF(LA_!BC17="","",+LA_!BC17)</f>
        <v>7</v>
      </c>
      <c r="BD17" s="872">
        <f>IF(LA_!BD17="","",+LA_!BD17)</f>
        <v>7.1</v>
      </c>
      <c r="BE17" s="876" t="str">
        <f>IF(LA_!BE17="","",+LA_!BE17)</f>
        <v/>
      </c>
      <c r="BF17" s="875" t="str">
        <f>IF(LA_!BF17="","",+LA_!BF17)</f>
        <v/>
      </c>
      <c r="BG17" s="877">
        <f>+IF(LA_!BG17="","",IF(ISTEXT(LA_!BG17),0,ROUND(LA_!BG17,2)))</f>
        <v>0.03</v>
      </c>
      <c r="BH17" s="878">
        <f>+IF(LA_!BH17="","",IF(ISTEXT(LA_!BH17),0,ROUND(LA_!BH17,2)))</f>
        <v>0.06</v>
      </c>
      <c r="BI17" s="1844">
        <f>IF(LA_!BI17="","",+LA_!BI17)</f>
        <v>25.4</v>
      </c>
      <c r="BJ17" s="1844">
        <f>IF(LA_!BJ17="","",+LA_!BJ17)</f>
        <v>39.5</v>
      </c>
      <c r="BK17" s="878" t="str">
        <f>IF(LA_!BK17="","",+LA_!BK17)</f>
        <v/>
      </c>
      <c r="BL17" s="878" t="str">
        <f>IF(LA_!BL17="","",+LA_!BL17)</f>
        <v/>
      </c>
      <c r="BM17" s="875" t="str">
        <f>IF(LA_!BM17="","",+LA_!BM17)</f>
        <v/>
      </c>
      <c r="BN17" s="878">
        <f>+IF(LA_!BN17="","",IF(ISTEXT(LA_!BN17),0,ROUND(LA_!BN17,2)))</f>
        <v>0.03</v>
      </c>
      <c r="BO17" s="878">
        <f>+IF(LA_!BO17="","",IF(ISTEXT(LA_!BO17),0,ROUND(LA_!BO17,2)))</f>
        <v>0.04</v>
      </c>
      <c r="BP17" s="872">
        <f>IF(LA_!BP17="","",ROUND(+LA_!BP17,1))</f>
        <v>25.5</v>
      </c>
      <c r="BQ17" s="872">
        <f>IF(LA_!BQ17="","",ROUND(+LA_!BQ17,1))</f>
        <v>39.299999999999997</v>
      </c>
      <c r="BR17" s="875" t="str">
        <f>IF(LA_!BR17="","",+LA_!BR17)</f>
        <v/>
      </c>
      <c r="BS17" s="875" t="str">
        <f>IF(LA_!BS17="","",+LA_!BS17)</f>
        <v/>
      </c>
      <c r="BT17" s="875" t="str">
        <f>IF(LA_!BT17="","",+LA_!BT17)</f>
        <v/>
      </c>
      <c r="BU17" s="878" t="str">
        <f>+IF(LA_!BU17="","",IF(ISTEXT(LA_!BU17),0,ROUND(LA_!BU17,2)))</f>
        <v/>
      </c>
      <c r="BV17" s="878" t="str">
        <f>+IF(LA_!BV17="","",IF(ISTEXT(LA_!BV17),0,ROUND(LA_!BV17,2)))</f>
        <v/>
      </c>
      <c r="BW17" s="872" t="str">
        <f>IF(LA_!BW17="","",ROUND(+LA_!BW17,1))</f>
        <v/>
      </c>
      <c r="BX17" s="872" t="str">
        <f>IF(LA_!BX17="","",ROUND(+LA_!BX17,1))</f>
        <v/>
      </c>
      <c r="BY17" s="875" t="str">
        <f>IF(LA_!BY17="","",+LA_!BY17)</f>
        <v/>
      </c>
      <c r="BZ17" s="875" t="str">
        <f>IF(LA_!BZ17="","",+LA_!BZ17)</f>
        <v/>
      </c>
      <c r="CA17" s="875" t="str">
        <f>IF(LA_!CA17="","",+LA_!CA17)</f>
        <v/>
      </c>
      <c r="CB17" s="878">
        <f>+IF(LA_!CB17="","",IF(ISTEXT(LA_!CB17),0,ROUND(LA_!CB17,2)))</f>
        <v>0.65</v>
      </c>
      <c r="CC17" s="878">
        <f>+IF(LA_!CC17="","",IF(ISTEXT(LA_!CC17),0,ROUND(LA_!CC17,2)))</f>
        <v>3.33</v>
      </c>
      <c r="CD17" s="872">
        <f>IF(LA_!CD17="","",ROUND(+LA_!CD17,1))</f>
        <v>9.3000000000000007</v>
      </c>
      <c r="CE17" s="872">
        <f>IF(LA_!CE17="","",ROUND(+LA_!CE17,1))</f>
        <v>10.7</v>
      </c>
      <c r="CF17" s="878" t="str">
        <f>IF(LA_!CF17="","",+LA_!CF17)</f>
        <v/>
      </c>
      <c r="CG17" s="878" t="str">
        <f>IF(LA_!CG17="","",+LA_!CG17)</f>
        <v/>
      </c>
      <c r="CH17" s="875" t="str">
        <f>IF(LA_!CH17="","",+LA_!CH17)</f>
        <v/>
      </c>
      <c r="CI17" s="876" t="str">
        <f>IF(LA_!CI17="","",+LA_!CI17)</f>
        <v/>
      </c>
      <c r="CJ17" s="875" t="str">
        <f>IF(LA_!CJ17="","",+LA_!CJ17)</f>
        <v/>
      </c>
      <c r="CK17" s="875" t="str">
        <f>IF(LA_!CK17="","",+LA_!CK17)</f>
        <v/>
      </c>
      <c r="CL17" s="875" t="str">
        <f>IF(LA_!CL17="","",+LA_!CL17)</f>
        <v/>
      </c>
      <c r="CM17" s="875" t="str">
        <f>IF(LA_!CM17="","",+LA_!CM17)</f>
        <v/>
      </c>
      <c r="CN17" s="875" t="str">
        <f>IF(LA_!CN17="","",+LA_!CN17)</f>
        <v/>
      </c>
      <c r="CO17" s="875" t="str">
        <f>IF(LA_!CO17="","",+LA_!CO17)</f>
        <v/>
      </c>
      <c r="CP17" s="875" t="str">
        <f>IF(LA_!CP17="","",+LA_!CP17)</f>
        <v/>
      </c>
      <c r="CQ17" s="1922" t="str">
        <f>IF(LA_!CQ17="","",+LA_!CQ17)</f>
        <v/>
      </c>
      <c r="CR17" s="875" t="str">
        <f>IF(LA_!CR17="","",+LA_!CR17)</f>
        <v/>
      </c>
      <c r="CS17" s="875">
        <f>IF(LA_!CS17="","",+LA_!CS17)</f>
        <v>17</v>
      </c>
      <c r="CT17" s="875">
        <f>IF(LA_!CT17="","",+LA_!CT17)</f>
        <v>14</v>
      </c>
      <c r="CU17" s="874">
        <f>IF(LA_!CU17="","",+LA_!CU17)</f>
        <v>3020</v>
      </c>
      <c r="CV17" s="872">
        <f>IF(LA_!CV17="","",+LA_!CV17)</f>
        <v>5.6</v>
      </c>
      <c r="CW17" s="874" t="str">
        <f>IF(LA_!CW17="","",+LA_!CW17)</f>
        <v/>
      </c>
      <c r="CX17" s="1197" t="str">
        <f>IF(LA_!CX17="","",+LA_!CX17)</f>
        <v/>
      </c>
      <c r="CY17" s="2370" t="str">
        <f>IF(LA_!CY17="","",+LA_!CY17)</f>
        <v/>
      </c>
      <c r="CZ17" s="875" t="str">
        <f>IF(LA_!CZ17="","",+LA_!CZ17)</f>
        <v/>
      </c>
      <c r="DA17" s="875" t="str">
        <f>IF(LA_!DA17="","",+LA_!DA17)</f>
        <v/>
      </c>
      <c r="DB17" s="875" t="str">
        <f>IF(LA_!DB17="","",+LA_!DB17)</f>
        <v/>
      </c>
      <c r="DC17" s="875" t="str">
        <f>IF(LA_!DC17="","",+LA_!DC17)</f>
        <v/>
      </c>
      <c r="DD17" s="875" t="str">
        <f>IF(LA_!DD17="","",+LA_!DD17)</f>
        <v/>
      </c>
      <c r="DE17" s="875" t="str">
        <f>IF(LA_!DE17="","",+LA_!DE17)</f>
        <v/>
      </c>
      <c r="DF17" s="875" t="str">
        <f>IF(LA_!DF17="","",+LA_!DF17)</f>
        <v/>
      </c>
      <c r="DG17" s="875" t="str">
        <f>IF(LA_!DG17="","",+LA_!DG17)</f>
        <v/>
      </c>
      <c r="DH17" s="875" t="str">
        <f>IF(LA_!DH17="","",+LA_!DH17)</f>
        <v/>
      </c>
      <c r="DI17" s="879" t="str">
        <f>IF(LA_!DI17="","",+LA_!DI17)</f>
        <v/>
      </c>
      <c r="DJ17" s="872" t="str">
        <f>IF(LA_!DJ17="","",+LA_!DJ17)</f>
        <v/>
      </c>
      <c r="DK17" s="872" t="str">
        <f>IF(LA_!DK17="","",+LA_!DK17)</f>
        <v/>
      </c>
      <c r="DL17" s="872" t="str">
        <f>IF(LA_!DL17="","",+LA_!DL17)</f>
        <v/>
      </c>
      <c r="DM17" s="875" t="str">
        <f>IF(LA_!DM17="","",+LA_!DM17)</f>
        <v/>
      </c>
      <c r="DN17" s="875" t="str">
        <f>IF(LA_!DN17="","",+LA_!DN17)</f>
        <v/>
      </c>
      <c r="DO17" s="875" t="str">
        <f>IF(LA_!DO17="","",+LA_!DO17)</f>
        <v/>
      </c>
      <c r="DP17" s="872" t="str">
        <f>IF(LA_!DP17="","",+LA_!DP17)</f>
        <v/>
      </c>
      <c r="DQ17" s="875" t="str">
        <f>IF(LA_!DQ17="","",+LA_!DQ17)</f>
        <v/>
      </c>
      <c r="DR17" s="875" t="str">
        <f>IF(LA_!DR17="","",+LA_!DR17)</f>
        <v/>
      </c>
      <c r="DS17" s="876"/>
      <c r="DT17" s="880"/>
      <c r="DU17" s="330"/>
      <c r="DV17" s="330"/>
      <c r="DW17" s="881"/>
      <c r="DX17" s="849"/>
    </row>
    <row r="18" spans="2:128" ht="20.100000000000001" customHeight="1">
      <c r="B18" s="1789"/>
      <c r="C18" s="852">
        <v>8</v>
      </c>
      <c r="D18" s="2439">
        <f>IF(LA_!D18="","",+LA_!D18)</f>
        <v>166</v>
      </c>
      <c r="E18" s="2370" t="str">
        <f>IF(LA_!E18="","",+LA_!E18)</f>
        <v/>
      </c>
      <c r="F18" s="873">
        <f>IF(LA_!F18="","",+LA_!F18)</f>
        <v>136</v>
      </c>
      <c r="G18" s="872" t="str">
        <f>IF(LA_!G18="","",+LA_!G18)</f>
        <v/>
      </c>
      <c r="H18" s="874" t="str">
        <f>IF(LA_!H18="","",+LA_!H18)</f>
        <v/>
      </c>
      <c r="I18" s="874" t="str">
        <f>IF(LA_!I18="","",+LA_!I18)</f>
        <v/>
      </c>
      <c r="J18" s="874">
        <f>IF(LA_!J18="","",+LA_!J18)</f>
        <v>4</v>
      </c>
      <c r="K18" s="874" t="str">
        <f>IF(LA_!K18="","",+LA_!K18)</f>
        <v/>
      </c>
      <c r="L18" s="1292" t="str">
        <f>IF(LA_!L18="","",+LA_!L18)</f>
        <v/>
      </c>
      <c r="M18" s="2387" t="str">
        <f>IF(LA_!M18="","",+LA_!M18)</f>
        <v/>
      </c>
      <c r="N18" s="2387" t="str">
        <f>IF(LA_!N18="","",+LA_!N18)</f>
        <v/>
      </c>
      <c r="O18" s="2387" t="str">
        <f>IF(LA_!O18="","",+LA_!O18)</f>
        <v/>
      </c>
      <c r="P18" s="2384" t="str">
        <f>IF(LA_!P18="","",+LA_!P18)</f>
        <v/>
      </c>
      <c r="Q18" s="1196" t="str">
        <f>IF(LA_!Q18="","",+LA_!Q18)</f>
        <v/>
      </c>
      <c r="R18" s="2387" t="str">
        <f>IF(LA_!R18="","",+LA_!R18)</f>
        <v/>
      </c>
      <c r="S18" s="2387" t="str">
        <f>IF(LA_!S18="","",+LA_!S18)</f>
        <v/>
      </c>
      <c r="T18" s="2387" t="str">
        <f>IF(LA_!T18="","",+LA_!T18)</f>
        <v/>
      </c>
      <c r="U18" s="2384" t="str">
        <f>IF(LA_!U18="","",+LA_!U18)</f>
        <v/>
      </c>
      <c r="V18" s="1183" t="str">
        <f>IF(LA_!V18="","",+LA_!V18)</f>
        <v/>
      </c>
      <c r="W18" s="2391" t="str">
        <f>IF(LA_!W18="","",+LA_!W18)</f>
        <v/>
      </c>
      <c r="X18" s="2388" t="str">
        <f>IF(LA_!X18="","",+LA_!X18)</f>
        <v/>
      </c>
      <c r="Y18" s="2370" t="str">
        <f>IF(LA_!Y18="","",+LA_!Y18)</f>
        <v/>
      </c>
      <c r="Z18" s="1843">
        <f>IF(LA_!Z18="","",+LA_!Z18)</f>
        <v>135</v>
      </c>
      <c r="AA18" s="2394">
        <f>IF(LA_!AA18="","",+LA_!AA18)</f>
        <v>133</v>
      </c>
      <c r="AB18" s="2394" t="str">
        <f>IF(LA_!AB18="","",+LA_!AB18)</f>
        <v/>
      </c>
      <c r="AC18" s="2394" t="str">
        <f>IF(LA_!AC18="","",+LA_!AC18)</f>
        <v/>
      </c>
      <c r="AD18" s="875">
        <f>IF(LA_!AD18="","",+LA_!AD18)</f>
        <v>3</v>
      </c>
      <c r="AE18" s="2387" t="str">
        <f>IF(LA_!AE18="","",+LA_!AE18)</f>
        <v/>
      </c>
      <c r="AF18" s="2418" t="str">
        <f>IF(LA_!AF18="","",+LA_!AF18)</f>
        <v/>
      </c>
      <c r="AG18" s="2370" t="str">
        <f>IF(LA_!AG18="","",+LA_!AG18)</f>
        <v/>
      </c>
      <c r="AH18" s="872" t="str">
        <f>IF(LA_!AH18="","",+LA_!AH18)</f>
        <v/>
      </c>
      <c r="AI18" s="872" t="str">
        <f>IF(LA_!AI18="","",+LA_!AI18)</f>
        <v/>
      </c>
      <c r="AJ18" s="872" t="str">
        <f>IF(LA_!AJ18="","",+LA_!AJ18)</f>
        <v/>
      </c>
      <c r="AK18" s="872" t="str">
        <f>IF(LA_!AK18="","",+LA_!AK18)</f>
        <v/>
      </c>
      <c r="AL18" s="872" t="str">
        <f>IF(LA_!AL18="","",+LA_!AL18)</f>
        <v/>
      </c>
      <c r="AM18" s="872" t="str">
        <f>IF(LA_!AM18="","",+LA_!AM18)</f>
        <v/>
      </c>
      <c r="AN18" s="875" t="str">
        <f>IF(LA_!AN18="","",+LA_!AN18)</f>
        <v/>
      </c>
      <c r="AO18" s="875" t="str">
        <f>IF(LA_!AO18="","",+LA_!AO18)</f>
        <v/>
      </c>
      <c r="AP18" s="876" t="str">
        <f>IF(LA_!AP18="","",+LA_!AP18)</f>
        <v/>
      </c>
      <c r="AQ18" s="875" t="str">
        <f>IF(LA_!AQ18="","",+LA_!AQ18)</f>
        <v/>
      </c>
      <c r="AR18" s="875" t="str">
        <f>IF(LA_!AR18="","",+LA_!AR18)</f>
        <v/>
      </c>
      <c r="AS18" s="875" t="str">
        <f>IF(LA_!AS18="","",+LA_!AS18)</f>
        <v/>
      </c>
      <c r="AT18" s="875" t="str">
        <f>IF(LA_!AT18="","",+LA_!AT18)</f>
        <v/>
      </c>
      <c r="AU18" s="875" t="str">
        <f>IF(LA_!AU18="","",+LA_!AU18)</f>
        <v/>
      </c>
      <c r="AV18" s="875" t="str">
        <f>IF(LA_!AV18="","",+LA_!AV18)</f>
        <v/>
      </c>
      <c r="AW18" s="875" t="str">
        <f>IF(LA_!AW18="","",+LA_!AW18)</f>
        <v/>
      </c>
      <c r="AX18" s="875" t="str">
        <f>IF(LA_!AX18="","",+LA_!AX18)</f>
        <v/>
      </c>
      <c r="AY18" s="875" t="str">
        <f>IF(LA_!AY18="","",+LA_!AY18)</f>
        <v/>
      </c>
      <c r="AZ18" s="872" t="str">
        <f>IF(LA_!AZ18="","",+LA_!AZ18)</f>
        <v/>
      </c>
      <c r="BA18" s="872" t="str">
        <f>IF(LA_!BA18="","",+LA_!BA18)</f>
        <v/>
      </c>
      <c r="BB18" s="872" t="str">
        <f>IF(LA_!BB18="","",+LA_!BB18)</f>
        <v/>
      </c>
      <c r="BC18" s="872" t="str">
        <f>IF(LA_!BC18="","",+LA_!BC18)</f>
        <v/>
      </c>
      <c r="BD18" s="872" t="str">
        <f>IF(LA_!BD18="","",+LA_!BD18)</f>
        <v/>
      </c>
      <c r="BE18" s="876" t="str">
        <f>IF(LA_!BE18="","",+LA_!BE18)</f>
        <v/>
      </c>
      <c r="BF18" s="875" t="str">
        <f>IF(LA_!BF18="","",+LA_!BF18)</f>
        <v/>
      </c>
      <c r="BG18" s="877">
        <f>+IF(LA_!BG18="","",IF(ISTEXT(LA_!BG18),0,ROUND(LA_!BG18,2)))</f>
        <v>0.04</v>
      </c>
      <c r="BH18" s="878">
        <f>+IF(LA_!BH18="","",IF(ISTEXT(LA_!BH18),0,ROUND(LA_!BH18,2)))</f>
        <v>0.03</v>
      </c>
      <c r="BI18" s="1844">
        <f>IF(LA_!BI18="","",+LA_!BI18)</f>
        <v>26.4</v>
      </c>
      <c r="BJ18" s="1844">
        <f>IF(LA_!BJ18="","",+LA_!BJ18)</f>
        <v>41.6</v>
      </c>
      <c r="BK18" s="878" t="str">
        <f>IF(LA_!BK18="","",+LA_!BK18)</f>
        <v/>
      </c>
      <c r="BL18" s="878" t="str">
        <f>IF(LA_!BL18="","",+LA_!BL18)</f>
        <v/>
      </c>
      <c r="BM18" s="875" t="str">
        <f>IF(LA_!BM18="","",+LA_!BM18)</f>
        <v/>
      </c>
      <c r="BN18" s="878">
        <f>+IF(LA_!BN18="","",IF(ISTEXT(LA_!BN18),0,ROUND(LA_!BN18,2)))</f>
        <v>0.04</v>
      </c>
      <c r="BO18" s="878">
        <f>+IF(LA_!BO18="","",IF(ISTEXT(LA_!BO18),0,ROUND(LA_!BO18,2)))</f>
        <v>0.03</v>
      </c>
      <c r="BP18" s="872">
        <f>IF(LA_!BP18="","",ROUND(+LA_!BP18,1))</f>
        <v>24.8</v>
      </c>
      <c r="BQ18" s="872">
        <f>IF(LA_!BQ18="","",ROUND(+LA_!BQ18,1))</f>
        <v>37.9</v>
      </c>
      <c r="BR18" s="875" t="str">
        <f>IF(LA_!BR18="","",+LA_!BR18)</f>
        <v/>
      </c>
      <c r="BS18" s="875" t="str">
        <f>IF(LA_!BS18="","",+LA_!BS18)</f>
        <v/>
      </c>
      <c r="BT18" s="875" t="str">
        <f>IF(LA_!BT18="","",+LA_!BT18)</f>
        <v/>
      </c>
      <c r="BU18" s="878" t="str">
        <f>+IF(LA_!BU18="","",IF(ISTEXT(LA_!BU18),0,ROUND(LA_!BU18,2)))</f>
        <v/>
      </c>
      <c r="BV18" s="878" t="str">
        <f>+IF(LA_!BV18="","",IF(ISTEXT(LA_!BV18),0,ROUND(LA_!BV18,2)))</f>
        <v/>
      </c>
      <c r="BW18" s="872" t="str">
        <f>IF(LA_!BW18="","",ROUND(+LA_!BW18,1))</f>
        <v/>
      </c>
      <c r="BX18" s="872" t="str">
        <f>IF(LA_!BX18="","",ROUND(+LA_!BX18,1))</f>
        <v/>
      </c>
      <c r="BY18" s="875" t="str">
        <f>IF(LA_!BY18="","",+LA_!BY18)</f>
        <v/>
      </c>
      <c r="BZ18" s="875" t="str">
        <f>IF(LA_!BZ18="","",+LA_!BZ18)</f>
        <v/>
      </c>
      <c r="CA18" s="875" t="str">
        <f>IF(LA_!CA18="","",+LA_!CA18)</f>
        <v/>
      </c>
      <c r="CB18" s="878">
        <f>+IF(LA_!CB18="","",IF(ISTEXT(LA_!CB18),0,ROUND(LA_!CB18,2)))</f>
        <v>0.62</v>
      </c>
      <c r="CC18" s="878">
        <f>+IF(LA_!CC18="","",IF(ISTEXT(LA_!CC18),0,ROUND(LA_!CC18,2)))</f>
        <v>3.61</v>
      </c>
      <c r="CD18" s="872">
        <f>IF(LA_!CD18="","",ROUND(+LA_!CD18,1))</f>
        <v>8.6</v>
      </c>
      <c r="CE18" s="872">
        <f>IF(LA_!CE18="","",ROUND(+LA_!CE18,1))</f>
        <v>9.8000000000000007</v>
      </c>
      <c r="CF18" s="878" t="str">
        <f>IF(LA_!CF18="","",+LA_!CF18)</f>
        <v/>
      </c>
      <c r="CG18" s="878" t="str">
        <f>IF(LA_!CG18="","",+LA_!CG18)</f>
        <v/>
      </c>
      <c r="CH18" s="875" t="str">
        <f>IF(LA_!CH18="","",+LA_!CH18)</f>
        <v/>
      </c>
      <c r="CI18" s="876" t="str">
        <f>IF(LA_!CI18="","",+LA_!CI18)</f>
        <v/>
      </c>
      <c r="CJ18" s="875" t="str">
        <f>IF(LA_!CJ18="","",+LA_!CJ18)</f>
        <v/>
      </c>
      <c r="CK18" s="875" t="str">
        <f>IF(LA_!CK18="","",+LA_!CK18)</f>
        <v/>
      </c>
      <c r="CL18" s="875" t="str">
        <f>IF(LA_!CL18="","",+LA_!CL18)</f>
        <v/>
      </c>
      <c r="CM18" s="875" t="str">
        <f>IF(LA_!CM18="","",+LA_!CM18)</f>
        <v/>
      </c>
      <c r="CN18" s="875" t="str">
        <f>IF(LA_!CN18="","",+LA_!CN18)</f>
        <v/>
      </c>
      <c r="CO18" s="875" t="str">
        <f>IF(LA_!CO18="","",+LA_!CO18)</f>
        <v/>
      </c>
      <c r="CP18" s="875" t="str">
        <f>IF(LA_!CP18="","",+LA_!CP18)</f>
        <v/>
      </c>
      <c r="CQ18" s="1922" t="str">
        <f>IF(LA_!CQ18="","",+LA_!CQ18)</f>
        <v/>
      </c>
      <c r="CR18" s="875" t="str">
        <f>IF(LA_!CR18="","",+LA_!CR18)</f>
        <v/>
      </c>
      <c r="CS18" s="875" t="str">
        <f>IF(LA_!CS18="","",+LA_!CS18)</f>
        <v/>
      </c>
      <c r="CT18" s="875" t="str">
        <f>IF(LA_!CT18="","",+LA_!CT18)</f>
        <v/>
      </c>
      <c r="CU18" s="874" t="str">
        <f>IF(LA_!CU18="","",+LA_!CU18)</f>
        <v/>
      </c>
      <c r="CV18" s="872" t="str">
        <f>IF(LA_!CV18="","",+LA_!CV18)</f>
        <v/>
      </c>
      <c r="CW18" s="874" t="str">
        <f>IF(LA_!CW18="","",+LA_!CW18)</f>
        <v/>
      </c>
      <c r="CX18" s="1197" t="str">
        <f>IF(LA_!CX18="","",+LA_!CX18)</f>
        <v/>
      </c>
      <c r="CY18" s="2370" t="str">
        <f>IF(LA_!CY18="","",+LA_!CY18)</f>
        <v/>
      </c>
      <c r="CZ18" s="875" t="str">
        <f>IF(LA_!CZ18="","",+LA_!CZ18)</f>
        <v/>
      </c>
      <c r="DA18" s="875" t="str">
        <f>IF(LA_!DA18="","",+LA_!DA18)</f>
        <v/>
      </c>
      <c r="DB18" s="875" t="str">
        <f>IF(LA_!DB18="","",+LA_!DB18)</f>
        <v/>
      </c>
      <c r="DC18" s="875" t="str">
        <f>IF(LA_!DC18="","",+LA_!DC18)</f>
        <v/>
      </c>
      <c r="DD18" s="875" t="str">
        <f>IF(LA_!DD18="","",+LA_!DD18)</f>
        <v/>
      </c>
      <c r="DE18" s="875" t="str">
        <f>IF(LA_!DE18="","",+LA_!DE18)</f>
        <v/>
      </c>
      <c r="DF18" s="875" t="str">
        <f>IF(LA_!DF18="","",+LA_!DF18)</f>
        <v/>
      </c>
      <c r="DG18" s="875" t="str">
        <f>IF(LA_!DG18="","",+LA_!DG18)</f>
        <v/>
      </c>
      <c r="DH18" s="875" t="str">
        <f>IF(LA_!DH18="","",+LA_!DH18)</f>
        <v/>
      </c>
      <c r="DI18" s="879" t="str">
        <f>IF(LA_!DI18="","",+LA_!DI18)</f>
        <v/>
      </c>
      <c r="DJ18" s="872" t="str">
        <f>IF(LA_!DJ18="","",+LA_!DJ18)</f>
        <v/>
      </c>
      <c r="DK18" s="872" t="str">
        <f>IF(LA_!DK18="","",+LA_!DK18)</f>
        <v/>
      </c>
      <c r="DL18" s="872" t="str">
        <f>IF(LA_!DL18="","",+LA_!DL18)</f>
        <v/>
      </c>
      <c r="DM18" s="875" t="str">
        <f>IF(LA_!DM18="","",+LA_!DM18)</f>
        <v/>
      </c>
      <c r="DN18" s="875" t="str">
        <f>IF(LA_!DN18="","",+LA_!DN18)</f>
        <v/>
      </c>
      <c r="DO18" s="875" t="str">
        <f>IF(LA_!DO18="","",+LA_!DO18)</f>
        <v/>
      </c>
      <c r="DP18" s="872" t="str">
        <f>IF(LA_!DP18="","",+LA_!DP18)</f>
        <v/>
      </c>
      <c r="DQ18" s="875" t="str">
        <f>IF(LA_!DQ18="","",+LA_!DQ18)</f>
        <v/>
      </c>
      <c r="DR18" s="875" t="str">
        <f>IF(LA_!DR18="","",+LA_!DR18)</f>
        <v/>
      </c>
      <c r="DS18" s="876"/>
      <c r="DT18" s="880"/>
      <c r="DU18" s="330"/>
      <c r="DV18" s="330"/>
      <c r="DW18" s="881"/>
      <c r="DX18" s="849"/>
    </row>
    <row r="19" spans="2:128" ht="20.100000000000001" customHeight="1">
      <c r="B19" s="1789"/>
      <c r="C19" s="852">
        <v>9</v>
      </c>
      <c r="D19" s="2439">
        <f>IF(LA_!D19="","",+LA_!D19)</f>
        <v>192</v>
      </c>
      <c r="E19" s="2370" t="str">
        <f>IF(LA_!E19="","",+LA_!E19)</f>
        <v/>
      </c>
      <c r="F19" s="873">
        <f>IF(LA_!F19="","",+LA_!F19)</f>
        <v>140</v>
      </c>
      <c r="G19" s="872" t="str">
        <f>IF(LA_!G19="","",+LA_!G19)</f>
        <v/>
      </c>
      <c r="H19" s="874" t="str">
        <f>IF(LA_!H19="","",+LA_!H19)</f>
        <v/>
      </c>
      <c r="I19" s="874" t="str">
        <f>IF(LA_!I19="","",+LA_!I19)</f>
        <v/>
      </c>
      <c r="J19" s="874">
        <f>IF(LA_!J19="","",+LA_!J19)</f>
        <v>8</v>
      </c>
      <c r="K19" s="874" t="str">
        <f>IF(LA_!K19="","",+LA_!K19)</f>
        <v/>
      </c>
      <c r="L19" s="1292" t="str">
        <f>IF(LA_!L19="","",+LA_!L19)</f>
        <v/>
      </c>
      <c r="M19" s="2387" t="str">
        <f>IF(LA_!M19="","",+LA_!M19)</f>
        <v/>
      </c>
      <c r="N19" s="2387" t="str">
        <f>IF(LA_!N19="","",+LA_!N19)</f>
        <v/>
      </c>
      <c r="O19" s="2387" t="str">
        <f>IF(LA_!O19="","",+LA_!O19)</f>
        <v/>
      </c>
      <c r="P19" s="2384" t="str">
        <f>IF(LA_!P19="","",+LA_!P19)</f>
        <v/>
      </c>
      <c r="Q19" s="1196" t="str">
        <f>IF(LA_!Q19="","",+LA_!Q19)</f>
        <v/>
      </c>
      <c r="R19" s="2387" t="str">
        <f>IF(LA_!R19="","",+LA_!R19)</f>
        <v/>
      </c>
      <c r="S19" s="2387" t="str">
        <f>IF(LA_!S19="","",+LA_!S19)</f>
        <v/>
      </c>
      <c r="T19" s="2387" t="str">
        <f>IF(LA_!T19="","",+LA_!T19)</f>
        <v/>
      </c>
      <c r="U19" s="2384" t="str">
        <f>IF(LA_!U19="","",+LA_!U19)</f>
        <v/>
      </c>
      <c r="V19" s="1183" t="str">
        <f>IF(LA_!V19="","",+LA_!V19)</f>
        <v/>
      </c>
      <c r="W19" s="2391" t="str">
        <f>IF(LA_!W19="","",+LA_!W19)</f>
        <v/>
      </c>
      <c r="X19" s="2388" t="str">
        <f>IF(LA_!X19="","",+LA_!X19)</f>
        <v/>
      </c>
      <c r="Y19" s="2370" t="str">
        <f>IF(LA_!Y19="","",+LA_!Y19)</f>
        <v/>
      </c>
      <c r="Z19" s="1843">
        <f>IF(LA_!Z19="","",+LA_!Z19)</f>
        <v>165</v>
      </c>
      <c r="AA19" s="2394">
        <f>IF(LA_!AA19="","",+LA_!AA19)</f>
        <v>149</v>
      </c>
      <c r="AB19" s="2394" t="str">
        <f>IF(LA_!AB19="","",+LA_!AB19)</f>
        <v/>
      </c>
      <c r="AC19" s="2394" t="str">
        <f>IF(LA_!AC19="","",+LA_!AC19)</f>
        <v/>
      </c>
      <c r="AD19" s="875">
        <f>IF(LA_!AD19="","",+LA_!AD19)</f>
        <v>4</v>
      </c>
      <c r="AE19" s="2387" t="str">
        <f>IF(LA_!AE19="","",+LA_!AE19)</f>
        <v/>
      </c>
      <c r="AF19" s="2388" t="str">
        <f>IF(LA_!AF19="","",+LA_!AF19)</f>
        <v/>
      </c>
      <c r="AG19" s="2370" t="str">
        <f>IF(LA_!AG19="","",+LA_!AG19)</f>
        <v/>
      </c>
      <c r="AH19" s="872" t="str">
        <f>IF(LA_!AH19="","",+LA_!AH19)</f>
        <v/>
      </c>
      <c r="AI19" s="872" t="str">
        <f>IF(LA_!AI19="","",+LA_!AI19)</f>
        <v/>
      </c>
      <c r="AJ19" s="872" t="str">
        <f>IF(LA_!AJ19="","",+LA_!AJ19)</f>
        <v/>
      </c>
      <c r="AK19" s="872" t="str">
        <f>IF(LA_!AK19="","",+LA_!AK19)</f>
        <v/>
      </c>
      <c r="AL19" s="872" t="str">
        <f>IF(LA_!AL19="","",+LA_!AL19)</f>
        <v/>
      </c>
      <c r="AM19" s="872" t="str">
        <f>IF(LA_!AM19="","",+LA_!AM19)</f>
        <v/>
      </c>
      <c r="AN19" s="875" t="str">
        <f>IF(LA_!AN19="","",+LA_!AN19)</f>
        <v/>
      </c>
      <c r="AO19" s="875" t="str">
        <f>IF(LA_!AO19="","",+LA_!AO19)</f>
        <v/>
      </c>
      <c r="AP19" s="876" t="str">
        <f>IF(LA_!AP19="","",+LA_!AP19)</f>
        <v/>
      </c>
      <c r="AQ19" s="875" t="str">
        <f>IF(LA_!AQ19="","",+LA_!AQ19)</f>
        <v/>
      </c>
      <c r="AR19" s="875" t="str">
        <f>IF(LA_!AR19="","",+LA_!AR19)</f>
        <v/>
      </c>
      <c r="AS19" s="875" t="str">
        <f>IF(LA_!AS19="","",+LA_!AS19)</f>
        <v/>
      </c>
      <c r="AT19" s="875" t="str">
        <f>IF(LA_!AT19="","",+LA_!AT19)</f>
        <v/>
      </c>
      <c r="AU19" s="875" t="str">
        <f>IF(LA_!AU19="","",+LA_!AU19)</f>
        <v/>
      </c>
      <c r="AV19" s="875" t="str">
        <f>IF(LA_!AV19="","",+LA_!AV19)</f>
        <v/>
      </c>
      <c r="AW19" s="875" t="str">
        <f>IF(LA_!AW19="","",+LA_!AW19)</f>
        <v/>
      </c>
      <c r="AX19" s="875" t="str">
        <f>IF(LA_!AX19="","",+LA_!AX19)</f>
        <v/>
      </c>
      <c r="AY19" s="875" t="str">
        <f>IF(LA_!AY19="","",+LA_!AY19)</f>
        <v/>
      </c>
      <c r="AZ19" s="872" t="str">
        <f>IF(LA_!AZ19="","",+LA_!AZ19)</f>
        <v/>
      </c>
      <c r="BA19" s="872" t="str">
        <f>IF(LA_!BA19="","",+LA_!BA19)</f>
        <v/>
      </c>
      <c r="BB19" s="872" t="str">
        <f>IF(LA_!BB19="","",+LA_!BB19)</f>
        <v/>
      </c>
      <c r="BC19" s="872" t="str">
        <f>IF(LA_!BC19="","",+LA_!BC19)</f>
        <v/>
      </c>
      <c r="BD19" s="872" t="str">
        <f>IF(LA_!BD19="","",+LA_!BD19)</f>
        <v/>
      </c>
      <c r="BE19" s="876" t="str">
        <f>IF(LA_!BE19="","",+LA_!BE19)</f>
        <v/>
      </c>
      <c r="BF19" s="875" t="str">
        <f>IF(LA_!BF19="","",+LA_!BF19)</f>
        <v/>
      </c>
      <c r="BG19" s="877">
        <f>+IF(LA_!BG19="","",IF(ISTEXT(LA_!BG19),0,ROUND(LA_!BG19,2)))</f>
        <v>0.05</v>
      </c>
      <c r="BH19" s="878">
        <f>+IF(LA_!BH19="","",IF(ISTEXT(LA_!BH19),0,ROUND(LA_!BH19,2)))</f>
        <v>0.09</v>
      </c>
      <c r="BI19" s="1844">
        <f>IF(LA_!BI19="","",+LA_!BI19)</f>
        <v>26.7</v>
      </c>
      <c r="BJ19" s="1844">
        <f>IF(LA_!BJ19="","",+LA_!BJ19)</f>
        <v>49.4</v>
      </c>
      <c r="BK19" s="878" t="str">
        <f>IF(LA_!BK19="","",+LA_!BK19)</f>
        <v/>
      </c>
      <c r="BL19" s="878" t="str">
        <f>IF(LA_!BL19="","",+LA_!BL19)</f>
        <v/>
      </c>
      <c r="BM19" s="875" t="str">
        <f>IF(LA_!BM19="","",+LA_!BM19)</f>
        <v/>
      </c>
      <c r="BN19" s="878">
        <f>+IF(LA_!BN19="","",IF(ISTEXT(LA_!BN19),0,ROUND(LA_!BN19,2)))</f>
        <v>0.04</v>
      </c>
      <c r="BO19" s="878">
        <f>+IF(LA_!BO19="","",IF(ISTEXT(LA_!BO19),0,ROUND(LA_!BO19,2)))</f>
        <v>7.0000000000000007E-2</v>
      </c>
      <c r="BP19" s="872">
        <f>IF(LA_!BP19="","",ROUND(+LA_!BP19,1))</f>
        <v>23.9</v>
      </c>
      <c r="BQ19" s="872">
        <f>IF(LA_!BQ19="","",ROUND(+LA_!BQ19,1))</f>
        <v>38.9</v>
      </c>
      <c r="BR19" s="875" t="str">
        <f>IF(LA_!BR19="","",+LA_!BR19)</f>
        <v/>
      </c>
      <c r="BS19" s="875" t="str">
        <f>IF(LA_!BS19="","",+LA_!BS19)</f>
        <v/>
      </c>
      <c r="BT19" s="875" t="str">
        <f>IF(LA_!BT19="","",+LA_!BT19)</f>
        <v/>
      </c>
      <c r="BU19" s="878" t="str">
        <f>+IF(LA_!BU19="","",IF(ISTEXT(LA_!BU19),0,ROUND(LA_!BU19,2)))</f>
        <v/>
      </c>
      <c r="BV19" s="878" t="str">
        <f>+IF(LA_!BV19="","",IF(ISTEXT(LA_!BV19),0,ROUND(LA_!BV19,2)))</f>
        <v/>
      </c>
      <c r="BW19" s="872" t="str">
        <f>IF(LA_!BW19="","",ROUND(+LA_!BW19,1))</f>
        <v/>
      </c>
      <c r="BX19" s="872" t="str">
        <f>IF(LA_!BX19="","",ROUND(+LA_!BX19,1))</f>
        <v/>
      </c>
      <c r="BY19" s="875" t="str">
        <f>IF(LA_!BY19="","",+LA_!BY19)</f>
        <v/>
      </c>
      <c r="BZ19" s="875" t="str">
        <f>IF(LA_!BZ19="","",+LA_!BZ19)</f>
        <v/>
      </c>
      <c r="CA19" s="875" t="str">
        <f>IF(LA_!CA19="","",+LA_!CA19)</f>
        <v/>
      </c>
      <c r="CB19" s="878">
        <f>+IF(LA_!CB19="","",IF(ISTEXT(LA_!CB19),0,ROUND(LA_!CB19,2)))</f>
        <v>0.54</v>
      </c>
      <c r="CC19" s="878">
        <f>+IF(LA_!CC19="","",IF(ISTEXT(LA_!CC19),0,ROUND(LA_!CC19,2)))</f>
        <v>3.24</v>
      </c>
      <c r="CD19" s="872">
        <f>IF(LA_!CD19="","",ROUND(+LA_!CD19,1))</f>
        <v>10.199999999999999</v>
      </c>
      <c r="CE19" s="872">
        <f>IF(LA_!CE19="","",ROUND(+LA_!CE19,1))</f>
        <v>12.3</v>
      </c>
      <c r="CF19" s="878" t="str">
        <f>IF(LA_!CF19="","",+LA_!CF19)</f>
        <v/>
      </c>
      <c r="CG19" s="878" t="str">
        <f>IF(LA_!CG19="","",+LA_!CG19)</f>
        <v/>
      </c>
      <c r="CH19" s="875" t="str">
        <f>IF(LA_!CH19="","",+LA_!CH19)</f>
        <v/>
      </c>
      <c r="CI19" s="876" t="str">
        <f>IF(LA_!CI19="","",+LA_!CI19)</f>
        <v/>
      </c>
      <c r="CJ19" s="875" t="str">
        <f>IF(LA_!CJ19="","",+LA_!CJ19)</f>
        <v/>
      </c>
      <c r="CK19" s="875" t="str">
        <f>IF(LA_!CK19="","",+LA_!CK19)</f>
        <v/>
      </c>
      <c r="CL19" s="875" t="str">
        <f>IF(LA_!CL19="","",+LA_!CL19)</f>
        <v/>
      </c>
      <c r="CM19" s="875" t="str">
        <f>IF(LA_!CM19="","",+LA_!CM19)</f>
        <v/>
      </c>
      <c r="CN19" s="875" t="str">
        <f>IF(LA_!CN19="","",+LA_!CN19)</f>
        <v/>
      </c>
      <c r="CO19" s="875" t="str">
        <f>IF(LA_!CO19="","",+LA_!CO19)</f>
        <v/>
      </c>
      <c r="CP19" s="875" t="str">
        <f>IF(LA_!CP19="","",+LA_!CP19)</f>
        <v/>
      </c>
      <c r="CQ19" s="1922" t="str">
        <f>IF(LA_!CQ19="","",+LA_!CQ19)</f>
        <v/>
      </c>
      <c r="CR19" s="875" t="str">
        <f>IF(LA_!CR19="","",+LA_!CR19)</f>
        <v/>
      </c>
      <c r="CS19" s="875" t="str">
        <f>IF(LA_!CS19="","",+LA_!CS19)</f>
        <v/>
      </c>
      <c r="CT19" s="875" t="str">
        <f>IF(LA_!CT19="","",+LA_!CT19)</f>
        <v/>
      </c>
      <c r="CU19" s="874" t="str">
        <f>IF(LA_!CU19="","",+LA_!CU19)</f>
        <v/>
      </c>
      <c r="CV19" s="872" t="str">
        <f>IF(LA_!CV19="","",+LA_!CV19)</f>
        <v/>
      </c>
      <c r="CW19" s="874" t="str">
        <f>IF(LA_!CW19="","",+LA_!CW19)</f>
        <v/>
      </c>
      <c r="CX19" s="1197" t="str">
        <f>IF(LA_!CX19="","",+LA_!CX19)</f>
        <v/>
      </c>
      <c r="CY19" s="2370" t="str">
        <f>IF(LA_!CY19="","",+LA_!CY19)</f>
        <v/>
      </c>
      <c r="CZ19" s="875" t="str">
        <f>IF(LA_!CZ19="","",+LA_!CZ19)</f>
        <v/>
      </c>
      <c r="DA19" s="875" t="str">
        <f>IF(LA_!DA19="","",+LA_!DA19)</f>
        <v/>
      </c>
      <c r="DB19" s="875" t="str">
        <f>IF(LA_!DB19="","",+LA_!DB19)</f>
        <v/>
      </c>
      <c r="DC19" s="875" t="str">
        <f>IF(LA_!DC19="","",+LA_!DC19)</f>
        <v/>
      </c>
      <c r="DD19" s="875" t="str">
        <f>IF(LA_!DD19="","",+LA_!DD19)</f>
        <v/>
      </c>
      <c r="DE19" s="875" t="str">
        <f>IF(LA_!DE19="","",+LA_!DE19)</f>
        <v/>
      </c>
      <c r="DF19" s="875" t="str">
        <f>IF(LA_!DF19="","",+LA_!DF19)</f>
        <v/>
      </c>
      <c r="DG19" s="875" t="str">
        <f>IF(LA_!DG19="","",+LA_!DG19)</f>
        <v/>
      </c>
      <c r="DH19" s="875" t="str">
        <f>IF(LA_!DH19="","",+LA_!DH19)</f>
        <v/>
      </c>
      <c r="DI19" s="879" t="str">
        <f>IF(LA_!DI19="","",+LA_!DI19)</f>
        <v/>
      </c>
      <c r="DJ19" s="872" t="str">
        <f>IF(LA_!DJ19="","",+LA_!DJ19)</f>
        <v/>
      </c>
      <c r="DK19" s="872" t="str">
        <f>IF(LA_!DK19="","",+LA_!DK19)</f>
        <v/>
      </c>
      <c r="DL19" s="872" t="str">
        <f>IF(LA_!DL19="","",+LA_!DL19)</f>
        <v/>
      </c>
      <c r="DM19" s="875" t="str">
        <f>IF(LA_!DM19="","",+LA_!DM19)</f>
        <v/>
      </c>
      <c r="DN19" s="875" t="str">
        <f>IF(LA_!DN19="","",+LA_!DN19)</f>
        <v/>
      </c>
      <c r="DO19" s="875" t="str">
        <f>IF(LA_!DO19="","",+LA_!DO19)</f>
        <v/>
      </c>
      <c r="DP19" s="872" t="str">
        <f>IF(LA_!DP19="","",+LA_!DP19)</f>
        <v/>
      </c>
      <c r="DQ19" s="875" t="str">
        <f>IF(LA_!DQ19="","",+LA_!DQ19)</f>
        <v/>
      </c>
      <c r="DR19" s="875" t="str">
        <f>IF(LA_!DR19="","",+LA_!DR19)</f>
        <v/>
      </c>
      <c r="DS19" s="876"/>
      <c r="DT19" s="880"/>
      <c r="DU19" s="330"/>
      <c r="DV19" s="330"/>
      <c r="DW19" s="881"/>
      <c r="DX19" s="849"/>
    </row>
    <row r="20" spans="2:128" ht="20.100000000000001" customHeight="1">
      <c r="B20" s="1789"/>
      <c r="C20" s="852">
        <v>10</v>
      </c>
      <c r="D20" s="2439">
        <f>IF(LA_!D20="","",+LA_!D20)</f>
        <v>120</v>
      </c>
      <c r="E20" s="2370" t="str">
        <f>IF(LA_!E20="","",+LA_!E20)</f>
        <v/>
      </c>
      <c r="F20" s="873">
        <f>IF(LA_!F20="","",+LA_!F20)</f>
        <v>84</v>
      </c>
      <c r="G20" s="872" t="str">
        <f>IF(LA_!G20="","",+LA_!G20)</f>
        <v/>
      </c>
      <c r="H20" s="874">
        <f>IF(LA_!H20="","",+LA_!H20)</f>
        <v>122</v>
      </c>
      <c r="I20" s="874">
        <f>IF(LA_!I20="","",+LA_!I20)</f>
        <v>114</v>
      </c>
      <c r="J20" s="874">
        <f>IF(LA_!J20="","",+LA_!J20)</f>
        <v>18</v>
      </c>
      <c r="K20" s="874" t="str">
        <f>IF(LA_!K20="","",+LA_!K20)</f>
        <v/>
      </c>
      <c r="L20" s="1292">
        <f>IF(LA_!L20="","",+LA_!L20)</f>
        <v>1690</v>
      </c>
      <c r="M20" s="2387">
        <f>IF(LA_!M20="","",+LA_!M20)</f>
        <v>1420</v>
      </c>
      <c r="N20" s="2387">
        <f>IF(LA_!N20="","",+LA_!N20)</f>
        <v>1480</v>
      </c>
      <c r="O20" s="2387">
        <f>IF(LA_!O20="","",+LA_!O20)</f>
        <v>2160</v>
      </c>
      <c r="P20" s="2384">
        <f>IF(LA_!P20="","",+LA_!P20)</f>
        <v>2180</v>
      </c>
      <c r="Q20" s="1196">
        <f>IF(LA_!Q20="","",+LA_!Q20)</f>
        <v>4330</v>
      </c>
      <c r="R20" s="2387">
        <f>IF(LA_!R20="","",+LA_!R20)</f>
        <v>1470</v>
      </c>
      <c r="S20" s="2387">
        <f>IF(LA_!S20="","",+LA_!S20)</f>
        <v>1510</v>
      </c>
      <c r="T20" s="2387">
        <f>IF(LA_!T20="","",+LA_!T20)</f>
        <v>3080</v>
      </c>
      <c r="U20" s="2384">
        <f>IF(LA_!U20="","",+LA_!U20)</f>
        <v>2810</v>
      </c>
      <c r="V20" s="1183">
        <f>IF(LA_!V20="","",+LA_!V20)</f>
        <v>5600</v>
      </c>
      <c r="W20" s="2391" t="str">
        <f>IF(LA_!W20="","",+LA_!W20)</f>
        <v/>
      </c>
      <c r="X20" s="2388">
        <f>IF(LA_!X20="","",+LA_!X20)</f>
        <v>10100</v>
      </c>
      <c r="Y20" s="2370" t="str">
        <f>IF(LA_!Y20="","",+LA_!Y20)</f>
        <v/>
      </c>
      <c r="Z20" s="1843">
        <f>IF(LA_!Z20="","",+LA_!Z20)</f>
        <v>79</v>
      </c>
      <c r="AA20" s="2394">
        <f>IF(LA_!AA20="","",+LA_!AA20)</f>
        <v>69</v>
      </c>
      <c r="AB20" s="2394" t="str">
        <f>IF(LA_!AB20="","",+LA_!AB20)</f>
        <v/>
      </c>
      <c r="AC20" s="2394" t="str">
        <f>IF(LA_!AC20="","",+LA_!AC20)</f>
        <v/>
      </c>
      <c r="AD20" s="875">
        <f>IF(LA_!AD20="","",+LA_!AD20)</f>
        <v>12</v>
      </c>
      <c r="AE20" s="2387" t="str">
        <f>IF(LA_!AE20="","",+LA_!AE20)</f>
        <v/>
      </c>
      <c r="AF20" s="2418" t="str">
        <f>IF(LA_!AF20="","",+LA_!AF20)</f>
        <v/>
      </c>
      <c r="AG20" s="2370" t="str">
        <f>IF(LA_!AG20="","",+LA_!AG20)</f>
        <v/>
      </c>
      <c r="AH20" s="872" t="str">
        <f>IF(LA_!AH20="","",+LA_!AH20)</f>
        <v/>
      </c>
      <c r="AI20" s="872" t="str">
        <f>IF(LA_!AI20="","",+LA_!AI20)</f>
        <v/>
      </c>
      <c r="AJ20" s="872" t="str">
        <f>IF(LA_!AJ20="","",+LA_!AJ20)</f>
        <v/>
      </c>
      <c r="AK20" s="872" t="str">
        <f>IF(LA_!AK20="","",+LA_!AK20)</f>
        <v/>
      </c>
      <c r="AL20" s="872" t="str">
        <f>IF(LA_!AL20="","",+LA_!AL20)</f>
        <v/>
      </c>
      <c r="AM20" s="872" t="str">
        <f>IF(LA_!AM20="","",+LA_!AM20)</f>
        <v/>
      </c>
      <c r="AN20" s="875" t="str">
        <f>IF(LA_!AN20="","",+LA_!AN20)</f>
        <v/>
      </c>
      <c r="AO20" s="875" t="str">
        <f>IF(LA_!AO20="","",+LA_!AO20)</f>
        <v/>
      </c>
      <c r="AP20" s="876" t="str">
        <f>IF(LA_!AP20="","",+LA_!AP20)</f>
        <v/>
      </c>
      <c r="AQ20" s="875" t="str">
        <f>IF(LA_!AQ20="","",+LA_!AQ20)</f>
        <v/>
      </c>
      <c r="AR20" s="875" t="str">
        <f>IF(LA_!AR20="","",+LA_!AR20)</f>
        <v/>
      </c>
      <c r="AS20" s="875" t="str">
        <f>IF(LA_!AS20="","",+LA_!AS20)</f>
        <v/>
      </c>
      <c r="AT20" s="875" t="str">
        <f>IF(LA_!AT20="","",+LA_!AT20)</f>
        <v/>
      </c>
      <c r="AU20" s="875" t="str">
        <f>IF(LA_!AU20="","",+LA_!AU20)</f>
        <v/>
      </c>
      <c r="AV20" s="875" t="str">
        <f>IF(LA_!AV20="","",+LA_!AV20)</f>
        <v/>
      </c>
      <c r="AW20" s="875" t="str">
        <f>IF(LA_!AW20="","",+LA_!AW20)</f>
        <v/>
      </c>
      <c r="AX20" s="875" t="str">
        <f>IF(LA_!AX20="","",+LA_!AX20)</f>
        <v/>
      </c>
      <c r="AY20" s="875" t="str">
        <f>IF(LA_!AY20="","",+LA_!AY20)</f>
        <v/>
      </c>
      <c r="AZ20" s="872" t="str">
        <f>IF(LA_!AZ20="","",+LA_!AZ20)</f>
        <v/>
      </c>
      <c r="BA20" s="872" t="str">
        <f>IF(LA_!BA20="","",+LA_!BA20)</f>
        <v/>
      </c>
      <c r="BB20" s="872" t="str">
        <f>IF(LA_!BB20="","",+LA_!BB20)</f>
        <v/>
      </c>
      <c r="BC20" s="872" t="str">
        <f>IF(LA_!BC20="","",+LA_!BC20)</f>
        <v/>
      </c>
      <c r="BD20" s="872" t="str">
        <f>IF(LA_!BD20="","",+LA_!BD20)</f>
        <v/>
      </c>
      <c r="BE20" s="876" t="str">
        <f>IF(LA_!BE20="","",+LA_!BE20)</f>
        <v/>
      </c>
      <c r="BF20" s="875" t="str">
        <f>IF(LA_!BF20="","",+LA_!BF20)</f>
        <v/>
      </c>
      <c r="BG20" s="877">
        <f>+IF(LA_!BG20="","",IF(ISTEXT(LA_!BG20),0,ROUND(LA_!BG20,2)))</f>
        <v>0.06</v>
      </c>
      <c r="BH20" s="878">
        <f>+IF(LA_!BH20="","",IF(ISTEXT(LA_!BH20),0,ROUND(LA_!BH20,2)))</f>
        <v>0.36</v>
      </c>
      <c r="BI20" s="1844">
        <f>IF(LA_!BI20="","",+LA_!BI20)</f>
        <v>7.6</v>
      </c>
      <c r="BJ20" s="1844">
        <f>IF(LA_!BJ20="","",+LA_!BJ20)</f>
        <v>18.5</v>
      </c>
      <c r="BK20" s="878" t="str">
        <f>IF(LA_!BK20="","",+LA_!BK20)</f>
        <v/>
      </c>
      <c r="BL20" s="878" t="str">
        <f>IF(LA_!BL20="","",+LA_!BL20)</f>
        <v/>
      </c>
      <c r="BM20" s="875" t="str">
        <f>IF(LA_!BM20="","",+LA_!BM20)</f>
        <v/>
      </c>
      <c r="BN20" s="878">
        <f>+IF(LA_!BN20="","",IF(ISTEXT(LA_!BN20),0,ROUND(LA_!BN20,2)))</f>
        <v>7.0000000000000007E-2</v>
      </c>
      <c r="BO20" s="878">
        <f>+IF(LA_!BO20="","",IF(ISTEXT(LA_!BO20),0,ROUND(LA_!BO20,2)))</f>
        <v>0.33</v>
      </c>
      <c r="BP20" s="872">
        <f>IF(LA_!BP20="","",ROUND(+LA_!BP20,1))</f>
        <v>8.9</v>
      </c>
      <c r="BQ20" s="872">
        <f>IF(LA_!BQ20="","",ROUND(+LA_!BQ20,1))</f>
        <v>18.8</v>
      </c>
      <c r="BR20" s="875" t="str">
        <f>IF(LA_!BR20="","",+LA_!BR20)</f>
        <v/>
      </c>
      <c r="BS20" s="875" t="str">
        <f>IF(LA_!BS20="","",+LA_!BS20)</f>
        <v/>
      </c>
      <c r="BT20" s="875" t="str">
        <f>IF(LA_!BT20="","",+LA_!BT20)</f>
        <v/>
      </c>
      <c r="BU20" s="878" t="str">
        <f>+IF(LA_!BU20="","",IF(ISTEXT(LA_!BU20),0,ROUND(LA_!BU20,2)))</f>
        <v/>
      </c>
      <c r="BV20" s="878" t="str">
        <f>+IF(LA_!BV20="","",IF(ISTEXT(LA_!BV20),0,ROUND(LA_!BV20,2)))</f>
        <v/>
      </c>
      <c r="BW20" s="872" t="str">
        <f>IF(LA_!BW20="","",ROUND(+LA_!BW20,1))</f>
        <v/>
      </c>
      <c r="BX20" s="872" t="str">
        <f>IF(LA_!BX20="","",ROUND(+LA_!BX20,1))</f>
        <v/>
      </c>
      <c r="BY20" s="875" t="str">
        <f>IF(LA_!BY20="","",+LA_!BY20)</f>
        <v/>
      </c>
      <c r="BZ20" s="875" t="str">
        <f>IF(LA_!BZ20="","",+LA_!BZ20)</f>
        <v/>
      </c>
      <c r="CA20" s="875" t="str">
        <f>IF(LA_!CA20="","",+LA_!CA20)</f>
        <v/>
      </c>
      <c r="CB20" s="878">
        <f>+IF(LA_!CB20="","",IF(ISTEXT(LA_!CB20),0,ROUND(LA_!CB20,2)))</f>
        <v>0.39</v>
      </c>
      <c r="CC20" s="878">
        <f>+IF(LA_!CC20="","",IF(ISTEXT(LA_!CC20),0,ROUND(LA_!CC20,2)))</f>
        <v>2.7</v>
      </c>
      <c r="CD20" s="872">
        <f>IF(LA_!CD20="","",ROUND(+LA_!CD20,1))</f>
        <v>5.5</v>
      </c>
      <c r="CE20" s="872">
        <f>IF(LA_!CE20="","",ROUND(+LA_!CE20,1))</f>
        <v>8.1999999999999993</v>
      </c>
      <c r="CF20" s="878" t="str">
        <f>IF(LA_!CF20="","",+LA_!CF20)</f>
        <v/>
      </c>
      <c r="CG20" s="878" t="str">
        <f>IF(LA_!CG20="","",+LA_!CG20)</f>
        <v/>
      </c>
      <c r="CH20" s="875" t="str">
        <f>IF(LA_!CH20="","",+LA_!CH20)</f>
        <v/>
      </c>
      <c r="CI20" s="876" t="str">
        <f>IF(LA_!CI20="","",+LA_!CI20)</f>
        <v/>
      </c>
      <c r="CJ20" s="875" t="str">
        <f>IF(LA_!CJ20="","",+LA_!CJ20)</f>
        <v/>
      </c>
      <c r="CK20" s="875" t="str">
        <f>IF(LA_!CK20="","",+LA_!CK20)</f>
        <v/>
      </c>
      <c r="CL20" s="875" t="str">
        <f>IF(LA_!CL20="","",+LA_!CL20)</f>
        <v/>
      </c>
      <c r="CM20" s="875" t="str">
        <f>IF(LA_!CM20="","",+LA_!CM20)</f>
        <v/>
      </c>
      <c r="CN20" s="875" t="str">
        <f>IF(LA_!CN20="","",+LA_!CN20)</f>
        <v/>
      </c>
      <c r="CO20" s="875" t="str">
        <f>IF(LA_!CO20="","",+LA_!CO20)</f>
        <v/>
      </c>
      <c r="CP20" s="875" t="str">
        <f>IF(LA_!CP20="","",+LA_!CP20)</f>
        <v/>
      </c>
      <c r="CQ20" s="1922" t="str">
        <f>IF(LA_!CQ20="","",+LA_!CQ20)</f>
        <v/>
      </c>
      <c r="CR20" s="875" t="str">
        <f>IF(LA_!CR20="","",+LA_!CR20)</f>
        <v/>
      </c>
      <c r="CS20" s="875" t="str">
        <f>IF(LA_!CS20="","",+LA_!CS20)</f>
        <v/>
      </c>
      <c r="CT20" s="875" t="str">
        <f>IF(LA_!CT20="","",+LA_!CT20)</f>
        <v/>
      </c>
      <c r="CU20" s="874" t="str">
        <f>IF(LA_!CU20="","",+LA_!CU20)</f>
        <v/>
      </c>
      <c r="CV20" s="872" t="str">
        <f>IF(LA_!CV20="","",+LA_!CV20)</f>
        <v/>
      </c>
      <c r="CW20" s="874" t="str">
        <f>IF(LA_!CW20="","",+LA_!CW20)</f>
        <v/>
      </c>
      <c r="CX20" s="1197" t="str">
        <f>IF(LA_!CX20="","",+LA_!CX20)</f>
        <v/>
      </c>
      <c r="CY20" s="2370" t="str">
        <f>IF(LA_!CY20="","",+LA_!CY20)</f>
        <v/>
      </c>
      <c r="CZ20" s="875" t="str">
        <f>IF(LA_!CZ20="","",+LA_!CZ20)</f>
        <v/>
      </c>
      <c r="DA20" s="875" t="str">
        <f>IF(LA_!DA20="","",+LA_!DA20)</f>
        <v/>
      </c>
      <c r="DB20" s="875" t="str">
        <f>IF(LA_!DB20="","",+LA_!DB20)</f>
        <v/>
      </c>
      <c r="DC20" s="875" t="str">
        <f>IF(LA_!DC20="","",+LA_!DC20)</f>
        <v/>
      </c>
      <c r="DD20" s="875" t="str">
        <f>IF(LA_!DD20="","",+LA_!DD20)</f>
        <v/>
      </c>
      <c r="DE20" s="875" t="str">
        <f>IF(LA_!DE20="","",+LA_!DE20)</f>
        <v/>
      </c>
      <c r="DF20" s="875" t="str">
        <f>IF(LA_!DF20="","",+LA_!DF20)</f>
        <v/>
      </c>
      <c r="DG20" s="875" t="str">
        <f>IF(LA_!DG20="","",+LA_!DG20)</f>
        <v/>
      </c>
      <c r="DH20" s="875" t="str">
        <f>IF(LA_!DH20="","",+LA_!DH20)</f>
        <v/>
      </c>
      <c r="DI20" s="879" t="str">
        <f>IF(LA_!DI20="","",+LA_!DI20)</f>
        <v/>
      </c>
      <c r="DJ20" s="872" t="str">
        <f>IF(LA_!DJ20="","",+LA_!DJ20)</f>
        <v/>
      </c>
      <c r="DK20" s="872" t="str">
        <f>IF(LA_!DK20="","",+LA_!DK20)</f>
        <v/>
      </c>
      <c r="DL20" s="872" t="str">
        <f>IF(LA_!DL20="","",+LA_!DL20)</f>
        <v/>
      </c>
      <c r="DM20" s="875" t="str">
        <f>IF(LA_!DM20="","",+LA_!DM20)</f>
        <v/>
      </c>
      <c r="DN20" s="875" t="str">
        <f>IF(LA_!DN20="","",+LA_!DN20)</f>
        <v/>
      </c>
      <c r="DO20" s="875" t="str">
        <f>IF(LA_!DO20="","",+LA_!DO20)</f>
        <v/>
      </c>
      <c r="DP20" s="872" t="str">
        <f>IF(LA_!DP20="","",+LA_!DP20)</f>
        <v/>
      </c>
      <c r="DQ20" s="875" t="str">
        <f>IF(LA_!DQ20="","",+LA_!DQ20)</f>
        <v/>
      </c>
      <c r="DR20" s="875" t="str">
        <f>IF(LA_!DR20="","",+LA_!DR20)</f>
        <v/>
      </c>
      <c r="DS20" s="876"/>
      <c r="DT20" s="880"/>
      <c r="DU20" s="330"/>
      <c r="DV20" s="330"/>
      <c r="DW20" s="881"/>
      <c r="DX20" s="849"/>
    </row>
    <row r="21" spans="2:128" ht="19.5" customHeight="1">
      <c r="B21" s="1789"/>
      <c r="C21" s="852">
        <v>11</v>
      </c>
      <c r="D21" s="2439">
        <f>IF(LA_!D21="","",+LA_!D21)</f>
        <v>116</v>
      </c>
      <c r="E21" s="2370">
        <f>IF(LA_!E21="","",+LA_!E21)</f>
        <v>77.599999999999994</v>
      </c>
      <c r="F21" s="873">
        <f>IF(LA_!F21="","",+LA_!F21)</f>
        <v>115</v>
      </c>
      <c r="G21" s="872">
        <f>IF(LA_!G21="","",+LA_!G21)</f>
        <v>82.7</v>
      </c>
      <c r="H21" s="874">
        <f>IF(LA_!H21="","",+LA_!H21)</f>
        <v>64</v>
      </c>
      <c r="I21" s="874">
        <f>IF(LA_!I21="","",+LA_!I21)</f>
        <v>80</v>
      </c>
      <c r="J21" s="874">
        <f>IF(LA_!J21="","",+LA_!J21)</f>
        <v>6</v>
      </c>
      <c r="K21" s="874">
        <f>IF(LA_!K21="","",+LA_!K21)</f>
        <v>240</v>
      </c>
      <c r="L21" s="1292">
        <f>IF(LA_!L21="","",+LA_!L21)</f>
        <v>2310</v>
      </c>
      <c r="M21" s="2387">
        <f>IF(LA_!M21="","",+LA_!M21)</f>
        <v>2180</v>
      </c>
      <c r="N21" s="2387">
        <f>IF(LA_!N21="","",+LA_!N21)</f>
        <v>1710</v>
      </c>
      <c r="O21" s="2387">
        <f>IF(LA_!O21="","",+LA_!O21)</f>
        <v>3130</v>
      </c>
      <c r="P21" s="2384">
        <f>IF(LA_!P21="","",+LA_!P21)</f>
        <v>3200</v>
      </c>
      <c r="Q21" s="1196">
        <f>IF(LA_!Q21="","",+LA_!Q21)</f>
        <v>4280</v>
      </c>
      <c r="R21" s="2387">
        <f>IF(LA_!R21="","",+LA_!R21)</f>
        <v>3910</v>
      </c>
      <c r="S21" s="2387">
        <f>IF(LA_!S21="","",+LA_!S21)</f>
        <v>4190</v>
      </c>
      <c r="T21" s="2387">
        <f>IF(LA_!T21="","",+LA_!T21)</f>
        <v>3890</v>
      </c>
      <c r="U21" s="2384">
        <f>IF(LA_!U21="","",+LA_!U21)</f>
        <v>4750</v>
      </c>
      <c r="V21" s="1183">
        <f>IF(LA_!V21="","",+LA_!V21)</f>
        <v>3280</v>
      </c>
      <c r="W21" s="2391">
        <f>IF(LA_!W21="","",+LA_!W21)</f>
        <v>80.5</v>
      </c>
      <c r="X21" s="2388">
        <f>IF(LA_!X21="","",+LA_!X21)</f>
        <v>5860</v>
      </c>
      <c r="Y21" s="2370">
        <f>IF(LA_!Y21="","",+LA_!Y21)</f>
        <v>80.900000000000006</v>
      </c>
      <c r="Z21" s="1843">
        <f>IF(LA_!Z21="","",+LA_!Z21)</f>
        <v>114</v>
      </c>
      <c r="AA21" s="2394">
        <f>IF(LA_!AA21="","",+LA_!AA21)</f>
        <v>111</v>
      </c>
      <c r="AB21" s="2394">
        <f>IF(LA_!AB21="","",+LA_!AB21)</f>
        <v>54</v>
      </c>
      <c r="AC21" s="2394">
        <f>IF(LA_!AC21="","",+LA_!AC21)</f>
        <v>72</v>
      </c>
      <c r="AD21" s="2394">
        <f>IF(LA_!AD21="","",+LA_!AD21)</f>
        <v>3</v>
      </c>
      <c r="AE21" s="2387">
        <f>IF(LA_!AE21="","",+LA_!AE21)</f>
        <v>840</v>
      </c>
      <c r="AF21" s="2418">
        <f>IF(LA_!AF21="","",+LA_!AF21)</f>
        <v>3.46</v>
      </c>
      <c r="AG21" s="2370">
        <f>IF(LA_!AG21="","",+LA_!AG21)</f>
        <v>80.400000000000006</v>
      </c>
      <c r="AH21" s="872">
        <f>IF(LA_!AH21="","",+LA_!AH21)</f>
        <v>1.68</v>
      </c>
      <c r="AI21" s="872">
        <f>IF(LA_!AI21="","",+LA_!AI21)</f>
        <v>71.3</v>
      </c>
      <c r="AJ21" s="872" t="str">
        <f>IF(LA_!AJ21="","",+LA_!AJ21)</f>
        <v/>
      </c>
      <c r="AK21" s="872" t="str">
        <f>IF(LA_!AK21="","",+LA_!AK21)</f>
        <v/>
      </c>
      <c r="AL21" s="872" t="str">
        <f>IF(LA_!AL21="","",+LA_!AL21)</f>
        <v/>
      </c>
      <c r="AM21" s="872" t="str">
        <f>IF(LA_!AM21="","",+LA_!AM21)</f>
        <v/>
      </c>
      <c r="AN21" s="875" t="str">
        <f>IF(LA_!AN21="","",+LA_!AN21)</f>
        <v/>
      </c>
      <c r="AO21" s="875" t="str">
        <f>IF(LA_!AO21="","",+LA_!AO21)</f>
        <v/>
      </c>
      <c r="AP21" s="876">
        <f>IF(LA_!AP21="","",+LA_!AP21)</f>
        <v>130</v>
      </c>
      <c r="AQ21" s="875" t="str">
        <f>IF(LA_!AQ21="","",+LA_!AQ21)</f>
        <v/>
      </c>
      <c r="AR21" s="875">
        <f>IF(LA_!AR21="","",+LA_!AR21)</f>
        <v>180</v>
      </c>
      <c r="AS21" s="875">
        <f>IF(LA_!AS21="","",+LA_!AS21)</f>
        <v>110</v>
      </c>
      <c r="AT21" s="875">
        <f>IF(LA_!AT21="","",+LA_!AT21)</f>
        <v>140</v>
      </c>
      <c r="AU21" s="875">
        <f>IF(LA_!AU21="","",+LA_!AU21)</f>
        <v>2700</v>
      </c>
      <c r="AV21" s="875" t="str">
        <f>IF(LA_!AV21="","",+LA_!AV21)</f>
        <v/>
      </c>
      <c r="AW21" s="875">
        <f>IF(LA_!AW21="","",+LA_!AW21)</f>
        <v>2400</v>
      </c>
      <c r="AX21" s="875">
        <f>IF(LA_!AX21="","",+LA_!AX21)</f>
        <v>2800</v>
      </c>
      <c r="AY21" s="875">
        <f>IF(LA_!AY21="","",+LA_!AY21)</f>
        <v>2900</v>
      </c>
      <c r="AZ21" s="872">
        <f>IF(LA_!AZ21="","",+LA_!AZ21)</f>
        <v>7.1</v>
      </c>
      <c r="BA21" s="872" t="str">
        <f>IF(LA_!BA21="","",+LA_!BA21)</f>
        <v/>
      </c>
      <c r="BB21" s="872">
        <f>IF(LA_!BB21="","",+LA_!BB21)</f>
        <v>6.9</v>
      </c>
      <c r="BC21" s="872">
        <f>IF(LA_!BC21="","",+LA_!BC21)</f>
        <v>7.1</v>
      </c>
      <c r="BD21" s="872">
        <f>IF(LA_!BD21="","",+LA_!BD21)</f>
        <v>7.1</v>
      </c>
      <c r="BE21" s="876" t="str">
        <f>IF(LA_!BE21="","",+LA_!BE21)</f>
        <v/>
      </c>
      <c r="BF21" s="875" t="str">
        <f>IF(LA_!BF21="","",+LA_!BF21)</f>
        <v/>
      </c>
      <c r="BG21" s="877">
        <f>+IF(LA_!BG21="","",IF(ISTEXT(LA_!BG21),0,ROUND(LA_!BG21,2)))</f>
        <v>0.13</v>
      </c>
      <c r="BH21" s="878">
        <f>+IF(LA_!BH21="","",IF(ISTEXT(LA_!BH21),0,ROUND(LA_!BH21,2)))</f>
        <v>0.27</v>
      </c>
      <c r="BI21" s="1844">
        <f>IF(LA_!BI21="","",+LA_!BI21)</f>
        <v>18.5</v>
      </c>
      <c r="BJ21" s="1844">
        <f>IF(LA_!BJ21="","",+LA_!BJ21)</f>
        <v>36.200000000000003</v>
      </c>
      <c r="BK21" s="878" t="str">
        <f>IF(LA_!BK21="","",+LA_!BK21)</f>
        <v/>
      </c>
      <c r="BL21" s="878" t="str">
        <f>IF(LA_!BL21="","",+LA_!BL21)</f>
        <v/>
      </c>
      <c r="BM21" s="875" t="str">
        <f>IF(LA_!BM21="","",+LA_!BM21)</f>
        <v/>
      </c>
      <c r="BN21" s="878">
        <f>+IF(LA_!BN21="","",IF(ISTEXT(LA_!BN21),0,ROUND(LA_!BN21,2)))</f>
        <v>0.1</v>
      </c>
      <c r="BO21" s="878">
        <f>+IF(LA_!BO21="","",IF(ISTEXT(LA_!BO21),0,ROUND(LA_!BO21,2)))</f>
        <v>0.22</v>
      </c>
      <c r="BP21" s="872">
        <f>IF(LA_!BP21="","",ROUND(+LA_!BP21,1))</f>
        <v>17.399999999999999</v>
      </c>
      <c r="BQ21" s="872">
        <f>IF(LA_!BQ21="","",ROUND(+LA_!BQ21,1))</f>
        <v>36.299999999999997</v>
      </c>
      <c r="BR21" s="875" t="str">
        <f>IF(LA_!BR21="","",+LA_!BR21)</f>
        <v/>
      </c>
      <c r="BS21" s="875" t="str">
        <f>IF(LA_!BS21="","",+LA_!BS21)</f>
        <v/>
      </c>
      <c r="BT21" s="875" t="str">
        <f>IF(LA_!BT21="","",+LA_!BT21)</f>
        <v/>
      </c>
      <c r="BU21" s="878" t="str">
        <f>+IF(LA_!BU21="","",IF(ISTEXT(LA_!BU21),0,ROUND(LA_!BU21,2)))</f>
        <v/>
      </c>
      <c r="BV21" s="878" t="str">
        <f>+IF(LA_!BV21="","",IF(ISTEXT(LA_!BV21),0,ROUND(LA_!BV21,2)))</f>
        <v/>
      </c>
      <c r="BW21" s="872" t="str">
        <f>IF(LA_!BW21="","",ROUND(+LA_!BW21,1))</f>
        <v/>
      </c>
      <c r="BX21" s="872" t="str">
        <f>IF(LA_!BX21="","",ROUND(+LA_!BX21,1))</f>
        <v/>
      </c>
      <c r="BY21" s="875" t="str">
        <f>IF(LA_!BY21="","",+LA_!BY21)</f>
        <v/>
      </c>
      <c r="BZ21" s="875" t="str">
        <f>IF(LA_!BZ21="","",+LA_!BZ21)</f>
        <v/>
      </c>
      <c r="CA21" s="875" t="str">
        <f>IF(LA_!CA21="","",+LA_!CA21)</f>
        <v/>
      </c>
      <c r="CB21" s="878">
        <f>+IF(LA_!CB21="","",IF(ISTEXT(LA_!CB21),0,ROUND(LA_!CB21,2)))</f>
        <v>0.51</v>
      </c>
      <c r="CC21" s="878">
        <f>+IF(LA_!CC21="","",IF(ISTEXT(LA_!CC21),0,ROUND(LA_!CC21,2)))</f>
        <v>3.35</v>
      </c>
      <c r="CD21" s="872">
        <f>IF(LA_!CD21="","",ROUND(+LA_!CD21,1))</f>
        <v>7.9</v>
      </c>
      <c r="CE21" s="872">
        <f>IF(LA_!CE21="","",ROUND(+LA_!CE21,1))</f>
        <v>9.4</v>
      </c>
      <c r="CF21" s="878" t="str">
        <f>IF(LA_!CF21="","",+LA_!CF21)</f>
        <v/>
      </c>
      <c r="CG21" s="878" t="str">
        <f>IF(LA_!CG21="","",+LA_!CG21)</f>
        <v/>
      </c>
      <c r="CH21" s="875" t="str">
        <f>IF(LA_!CH21="","",+LA_!CH21)</f>
        <v/>
      </c>
      <c r="CI21" s="876" t="str">
        <f>IF(LA_!CI21="","",+LA_!CI21)</f>
        <v/>
      </c>
      <c r="CJ21" s="875" t="str">
        <f>IF(LA_!CJ21="","",+LA_!CJ21)</f>
        <v/>
      </c>
      <c r="CK21" s="875" t="str">
        <f>IF(LA_!CK21="","",+LA_!CK21)</f>
        <v/>
      </c>
      <c r="CL21" s="875" t="str">
        <f>IF(LA_!CL21="","",+LA_!CL21)</f>
        <v/>
      </c>
      <c r="CM21" s="875" t="str">
        <f>IF(LA_!CM21="","",+LA_!CM21)</f>
        <v/>
      </c>
      <c r="CN21" s="875" t="str">
        <f>IF(LA_!CN21="","",+LA_!CN21)</f>
        <v/>
      </c>
      <c r="CO21" s="875" t="str">
        <f>IF(LA_!CO21="","",+LA_!CO21)</f>
        <v/>
      </c>
      <c r="CP21" s="875" t="str">
        <f>IF(LA_!CP21="","",+LA_!CP21)</f>
        <v/>
      </c>
      <c r="CQ21" s="1922" t="str">
        <f>IF(LA_!CQ21="","",+LA_!CQ21)</f>
        <v/>
      </c>
      <c r="CR21" s="875" t="str">
        <f>IF(LA_!CR21="","",+LA_!CR21)</f>
        <v/>
      </c>
      <c r="CS21" s="875" t="str">
        <f>IF(LA_!CS21="","",+LA_!CS21)</f>
        <v/>
      </c>
      <c r="CT21" s="875" t="str">
        <f>IF(LA_!CT21="","",+LA_!CT21)</f>
        <v/>
      </c>
      <c r="CU21" s="874" t="str">
        <f>IF(LA_!CU21="","",+LA_!CU21)</f>
        <v/>
      </c>
      <c r="CV21" s="872" t="str">
        <f>IF(LA_!CV21="","",+LA_!CV21)</f>
        <v/>
      </c>
      <c r="CW21" s="874" t="str">
        <f>IF(LA_!CW21="","",+LA_!CW21)</f>
        <v/>
      </c>
      <c r="CX21" s="1197" t="str">
        <f>IF(LA_!CX21="","",+LA_!CX21)</f>
        <v/>
      </c>
      <c r="CY21" s="2370" t="str">
        <f>IF(LA_!CY21="","",+LA_!CY21)</f>
        <v/>
      </c>
      <c r="CZ21" s="875" t="str">
        <f>IF(LA_!CZ21="","",+LA_!CZ21)</f>
        <v/>
      </c>
      <c r="DA21" s="875" t="str">
        <f>IF(LA_!DA21="","",+LA_!DA21)</f>
        <v/>
      </c>
      <c r="DB21" s="875" t="str">
        <f>IF(LA_!DB21="","",+LA_!DB21)</f>
        <v/>
      </c>
      <c r="DC21" s="875" t="str">
        <f>IF(LA_!DC21="","",+LA_!DC21)</f>
        <v/>
      </c>
      <c r="DD21" s="875" t="str">
        <f>IF(LA_!DD21="","",+LA_!DD21)</f>
        <v/>
      </c>
      <c r="DE21" s="875" t="str">
        <f>IF(LA_!DE21="","",+LA_!DE21)</f>
        <v/>
      </c>
      <c r="DF21" s="875" t="str">
        <f>IF(LA_!DF21="","",+LA_!DF21)</f>
        <v/>
      </c>
      <c r="DG21" s="875" t="str">
        <f>IF(LA_!DG21="","",+LA_!DG21)</f>
        <v/>
      </c>
      <c r="DH21" s="875" t="str">
        <f>IF(LA_!DH21="","",+LA_!DH21)</f>
        <v/>
      </c>
      <c r="DI21" s="879" t="str">
        <f>IF(LA_!DI21="","",+LA_!DI21)</f>
        <v/>
      </c>
      <c r="DJ21" s="872" t="str">
        <f>IF(LA_!DJ21="","",+LA_!DJ21)</f>
        <v/>
      </c>
      <c r="DK21" s="872" t="str">
        <f>IF(LA_!DK21="","",+LA_!DK21)</f>
        <v/>
      </c>
      <c r="DL21" s="872" t="str">
        <f>IF(LA_!DL21="","",+LA_!DL21)</f>
        <v/>
      </c>
      <c r="DM21" s="875" t="str">
        <f>IF(LA_!DM21="","",+LA_!DM21)</f>
        <v/>
      </c>
      <c r="DN21" s="875" t="str">
        <f>IF(LA_!DN21="","",+LA_!DN21)</f>
        <v/>
      </c>
      <c r="DO21" s="875" t="str">
        <f>IF(LA_!DO21="","",+LA_!DO21)</f>
        <v/>
      </c>
      <c r="DP21" s="872" t="str">
        <f>IF(LA_!DP21="","",+LA_!DP21)</f>
        <v/>
      </c>
      <c r="DQ21" s="875" t="str">
        <f>IF(LA_!DQ21="","",+LA_!DQ21)</f>
        <v/>
      </c>
      <c r="DR21" s="875" t="str">
        <f>IF(LA_!DR21="","",+LA_!DR21)</f>
        <v/>
      </c>
      <c r="DS21" s="876"/>
      <c r="DT21" s="880"/>
      <c r="DU21" s="330"/>
      <c r="DV21" s="330"/>
      <c r="DW21" s="882"/>
      <c r="DX21" s="849"/>
    </row>
    <row r="22" spans="2:128" ht="20.100000000000001" customHeight="1">
      <c r="B22" s="1789"/>
      <c r="C22" s="852">
        <v>12</v>
      </c>
      <c r="D22" s="2439">
        <f>IF(LA_!D22="","",+LA_!D22)</f>
        <v>106</v>
      </c>
      <c r="E22" s="2370" t="str">
        <f>IF(LA_!E22="","",+LA_!E22)</f>
        <v/>
      </c>
      <c r="F22" s="873">
        <f>IF(LA_!F22="","",+LA_!F22)</f>
        <v>116</v>
      </c>
      <c r="G22" s="872" t="str">
        <f>IF(LA_!G22="","",+LA_!G22)</f>
        <v/>
      </c>
      <c r="H22" s="874">
        <f>IF(LA_!H22="","",+LA_!H22)</f>
        <v>80</v>
      </c>
      <c r="I22" s="874">
        <f>IF(LA_!I22="","",+LA_!I22)</f>
        <v>82</v>
      </c>
      <c r="J22" s="874">
        <f>IF(LA_!J22="","",+LA_!J22)</f>
        <v>5</v>
      </c>
      <c r="K22" s="874">
        <f>IF(LA_!K22="","",+LA_!K22)</f>
        <v>250</v>
      </c>
      <c r="L22" s="1292">
        <f>IF(LA_!L22="","",+LA_!L22)</f>
        <v>2300</v>
      </c>
      <c r="M22" s="2388">
        <f>IF(LA_!M22="","",+LA_!M22)</f>
        <v>2140</v>
      </c>
      <c r="N22" s="2388">
        <f>IF(LA_!N22="","",+LA_!N22)</f>
        <v>1950</v>
      </c>
      <c r="O22" s="2388">
        <f>IF(LA_!O22="","",+LA_!O22)</f>
        <v>3270</v>
      </c>
      <c r="P22" s="2384">
        <f>IF(LA_!P22="","",+LA_!P22)</f>
        <v>3610</v>
      </c>
      <c r="Q22" s="1292">
        <f>IF(LA_!Q22="","",+LA_!Q22)</f>
        <v>3310</v>
      </c>
      <c r="R22" s="2387">
        <f>IF(LA_!R22="","",+LA_!R22)</f>
        <v>4710</v>
      </c>
      <c r="S22" s="2388">
        <f>IF(LA_!S22="","",+LA_!S22)</f>
        <v>4570</v>
      </c>
      <c r="T22" s="2388">
        <f>IF(LA_!T22="","",+LA_!T22)</f>
        <v>4360</v>
      </c>
      <c r="U22" s="2384">
        <f>IF(LA_!U22="","",+LA_!U22)</f>
        <v>5760</v>
      </c>
      <c r="V22" s="1183">
        <f>IF(LA_!V22="","",+LA_!V22)</f>
        <v>3600</v>
      </c>
      <c r="W22" s="2388" t="str">
        <f>IF(LA_!W22="","",+LA_!W22)</f>
        <v/>
      </c>
      <c r="X22" s="2388">
        <f>IF(LA_!X22="","",+LA_!X22)</f>
        <v>8000</v>
      </c>
      <c r="Y22" s="2385" t="str">
        <f>IF(LA_!Y22="","",+LA_!Y22)</f>
        <v/>
      </c>
      <c r="Z22" s="1292">
        <f>IF(LA_!Z22="","",+LA_!Z22)</f>
        <v>117</v>
      </c>
      <c r="AA22" s="2388">
        <f>IF(LA_!AA22="","",+LA_!AA22)</f>
        <v>116</v>
      </c>
      <c r="AB22" s="2388">
        <f>IF(LA_!AB22="","",+LA_!AB22)</f>
        <v>81</v>
      </c>
      <c r="AC22" s="2388">
        <f>IF(LA_!AC22="","",+LA_!AC22)</f>
        <v>74</v>
      </c>
      <c r="AD22" s="2394">
        <f>IF(LA_!AD22="","",+LA_!AD22)</f>
        <v>2</v>
      </c>
      <c r="AE22" s="2387">
        <f>IF(LA_!AE22="","",+LA_!AE22)</f>
        <v>1060</v>
      </c>
      <c r="AF22" s="2391">
        <f>IF(LA_!AF22="","",+LA_!AF22)</f>
        <v>3.51</v>
      </c>
      <c r="AG22" s="2370">
        <f>IF(LA_!AG22="","",+LA_!AG22)</f>
        <v>81.400000000000006</v>
      </c>
      <c r="AH22" s="872">
        <f>IF(LA_!AH22="","",+LA_!AH22)</f>
        <v>1.71</v>
      </c>
      <c r="AI22" s="872">
        <f>IF(LA_!AI22="","",+LA_!AI22)</f>
        <v>70.8</v>
      </c>
      <c r="AJ22" s="872" t="str">
        <f>IF(LA_!AJ22="","",+LA_!AJ22)</f>
        <v/>
      </c>
      <c r="AK22" s="872" t="str">
        <f>IF(LA_!AK22="","",+LA_!AK22)</f>
        <v/>
      </c>
      <c r="AL22" s="872" t="str">
        <f>IF(LA_!AL22="","",+LA_!AL22)</f>
        <v/>
      </c>
      <c r="AM22" s="872" t="str">
        <f>IF(LA_!AM22="","",+LA_!AM22)</f>
        <v/>
      </c>
      <c r="AN22" s="875" t="str">
        <f>IF(LA_!AN22="","",+LA_!AN22)</f>
        <v/>
      </c>
      <c r="AO22" s="875" t="str">
        <f>IF(LA_!AO22="","",+LA_!AO22)</f>
        <v/>
      </c>
      <c r="AP22" s="876" t="str">
        <f>IF(LA_!AP22="","",+LA_!AP22)</f>
        <v/>
      </c>
      <c r="AQ22" s="875" t="str">
        <f>IF(LA_!AQ22="","",+LA_!AQ22)</f>
        <v/>
      </c>
      <c r="AR22" s="875" t="str">
        <f>IF(LA_!AR22="","",+LA_!AR22)</f>
        <v/>
      </c>
      <c r="AS22" s="875" t="str">
        <f>IF(LA_!AS22="","",+LA_!AS22)</f>
        <v/>
      </c>
      <c r="AT22" s="875" t="str">
        <f>IF(LA_!AT22="","",+LA_!AT22)</f>
        <v/>
      </c>
      <c r="AU22" s="875" t="str">
        <f>IF(LA_!AU22="","",+LA_!AU22)</f>
        <v/>
      </c>
      <c r="AV22" s="875" t="str">
        <f>IF(LA_!AV22="","",+LA_!AV22)</f>
        <v/>
      </c>
      <c r="AW22" s="875" t="str">
        <f>IF(LA_!AW22="","",+LA_!AW22)</f>
        <v/>
      </c>
      <c r="AX22" s="875" t="str">
        <f>IF(LA_!AX22="","",+LA_!AX22)</f>
        <v/>
      </c>
      <c r="AY22" s="875" t="str">
        <f>IF(LA_!AY22="","",+LA_!AY22)</f>
        <v/>
      </c>
      <c r="AZ22" s="872" t="str">
        <f>IF(LA_!AZ22="","",+LA_!AZ22)</f>
        <v/>
      </c>
      <c r="BA22" s="872" t="str">
        <f>IF(LA_!BA22="","",+LA_!BA22)</f>
        <v/>
      </c>
      <c r="BB22" s="872" t="str">
        <f>IF(LA_!BB22="","",+LA_!BB22)</f>
        <v/>
      </c>
      <c r="BC22" s="872" t="str">
        <f>IF(LA_!BC22="","",+LA_!BC22)</f>
        <v/>
      </c>
      <c r="BD22" s="872" t="str">
        <f>IF(LA_!BD22="","",+LA_!BD22)</f>
        <v/>
      </c>
      <c r="BE22" s="876">
        <f>IF(LA_!BE22="","",+LA_!BE22)</f>
        <v>312</v>
      </c>
      <c r="BF22" s="875">
        <f>IF(LA_!BF22="","",+LA_!BF22)</f>
        <v>389</v>
      </c>
      <c r="BG22" s="877">
        <f>+IF(LA_!BG22="","",IF(ISTEXT(LA_!BG22),0,ROUND(LA_!BG22,2)))</f>
        <v>0.08</v>
      </c>
      <c r="BH22" s="878">
        <f>+IF(LA_!BH22="","",IF(ISTEXT(LA_!BH22),0,ROUND(LA_!BH22,2)))</f>
        <v>0.11</v>
      </c>
      <c r="BI22" s="1844">
        <f>IF(LA_!BI22="","",+LA_!BI22)</f>
        <v>19.8</v>
      </c>
      <c r="BJ22" s="1844">
        <f>IF(LA_!BJ22="","",+LA_!BJ22)</f>
        <v>35.200000000000003</v>
      </c>
      <c r="BK22" s="878" t="str">
        <f>IF(LA_!BK22="","",+LA_!BK22)</f>
        <v/>
      </c>
      <c r="BL22" s="878" t="str">
        <f>IF(LA_!BL22="","",+LA_!BL22)</f>
        <v/>
      </c>
      <c r="BM22" s="875" t="str">
        <f>IF(LA_!BM22="","",+LA_!BM22)</f>
        <v/>
      </c>
      <c r="BN22" s="878">
        <f>+IF(LA_!BN22="","",IF(ISTEXT(LA_!BN22),0,ROUND(LA_!BN22,2)))</f>
        <v>7.0000000000000007E-2</v>
      </c>
      <c r="BO22" s="878">
        <f>+IF(LA_!BO22="","",IF(ISTEXT(LA_!BO22),0,ROUND(LA_!BO22,2)))</f>
        <v>0.09</v>
      </c>
      <c r="BP22" s="872">
        <f>IF(LA_!BP22="","",ROUND(+LA_!BP22,1))</f>
        <v>19.8</v>
      </c>
      <c r="BQ22" s="872">
        <f>IF(LA_!BQ22="","",ROUND(+LA_!BQ22,1))</f>
        <v>34.6</v>
      </c>
      <c r="BR22" s="875" t="str">
        <f>IF(LA_!BR22="","",+LA_!BR22)</f>
        <v/>
      </c>
      <c r="BS22" s="875" t="str">
        <f>IF(LA_!BS22="","",+LA_!BS22)</f>
        <v/>
      </c>
      <c r="BT22" s="875" t="str">
        <f>IF(LA_!BT22="","",+LA_!BT22)</f>
        <v/>
      </c>
      <c r="BU22" s="878">
        <f>+IF(LA_!BU22="","",IF(ISTEXT(LA_!BU22),0,ROUND(LA_!BU22,2)))</f>
        <v>0.05</v>
      </c>
      <c r="BV22" s="878">
        <f>+IF(LA_!BV22="","",IF(ISTEXT(LA_!BV22),0,ROUND(LA_!BV22,2)))</f>
        <v>0.01</v>
      </c>
      <c r="BW22" s="872">
        <f>IF(LA_!BW22="","",ROUND(+LA_!BW22,1))</f>
        <v>21.9</v>
      </c>
      <c r="BX22" s="872" t="str">
        <f>IF(LA_!BX22="","",ROUND(+LA_!BX22,1))</f>
        <v/>
      </c>
      <c r="BY22" s="875" t="str">
        <f>IF(LA_!BY22="","",+LA_!BY22)</f>
        <v/>
      </c>
      <c r="BZ22" s="875" t="str">
        <f>IF(LA_!BZ22="","",+LA_!BZ22)</f>
        <v/>
      </c>
      <c r="CA22" s="875" t="str">
        <f>IF(LA_!CA22="","",+LA_!CA22)</f>
        <v/>
      </c>
      <c r="CB22" s="878">
        <f>+IF(LA_!CB22="","",IF(ISTEXT(LA_!CB22),0,ROUND(LA_!CB22,2)))</f>
        <v>0.56000000000000005</v>
      </c>
      <c r="CC22" s="878">
        <f>+IF(LA_!CC22="","",IF(ISTEXT(LA_!CC22),0,ROUND(LA_!CC22,2)))</f>
        <v>3.61</v>
      </c>
      <c r="CD22" s="872">
        <f>IF(LA_!CD22="","",ROUND(+LA_!CD22,1))</f>
        <v>10.7</v>
      </c>
      <c r="CE22" s="872">
        <f>IF(LA_!CE22="","",ROUND(+LA_!CE22,1))</f>
        <v>12.9</v>
      </c>
      <c r="CF22" s="878" t="str">
        <f>IF(LA_!CF22="","",+LA_!CF22)</f>
        <v/>
      </c>
      <c r="CG22" s="878" t="str">
        <f>IF(LA_!CG22="","",+LA_!CG22)</f>
        <v/>
      </c>
      <c r="CH22" s="875" t="str">
        <f>IF(LA_!CH22="","",+LA_!CH22)</f>
        <v/>
      </c>
      <c r="CI22" s="876" t="str">
        <f>IF(LA_!CI22="","",+LA_!CI22)</f>
        <v/>
      </c>
      <c r="CJ22" s="875" t="str">
        <f>IF(LA_!CJ22="","",+LA_!CJ22)</f>
        <v/>
      </c>
      <c r="CK22" s="875" t="str">
        <f>IF(LA_!CK22="","",+LA_!CK22)</f>
        <v/>
      </c>
      <c r="CL22" s="875" t="str">
        <f>IF(LA_!CL22="","",+LA_!CL22)</f>
        <v/>
      </c>
      <c r="CM22" s="875" t="str">
        <f>IF(LA_!CM22="","",+LA_!CM22)</f>
        <v/>
      </c>
      <c r="CN22" s="875" t="str">
        <f>IF(LA_!CN22="","",+LA_!CN22)</f>
        <v/>
      </c>
      <c r="CO22" s="875" t="str">
        <f>IF(LA_!CO22="","",+LA_!CO22)</f>
        <v/>
      </c>
      <c r="CP22" s="875" t="str">
        <f>IF(LA_!CP22="","",+LA_!CP22)</f>
        <v/>
      </c>
      <c r="CQ22" s="1922" t="str">
        <f>IF(LA_!CQ22="","",+LA_!CQ22)</f>
        <v/>
      </c>
      <c r="CR22" s="875" t="str">
        <f>IF(LA_!CR22="","",+LA_!CR22)</f>
        <v/>
      </c>
      <c r="CS22" s="875" t="str">
        <f>IF(LA_!CS22="","",+LA_!CS22)</f>
        <v/>
      </c>
      <c r="CT22" s="875" t="str">
        <f>IF(LA_!CT22="","",+LA_!CT22)</f>
        <v/>
      </c>
      <c r="CU22" s="874" t="str">
        <f>IF(LA_!CU22="","",+LA_!CU22)</f>
        <v/>
      </c>
      <c r="CV22" s="872" t="str">
        <f>IF(LA_!CV22="","",+LA_!CV22)</f>
        <v/>
      </c>
      <c r="CW22" s="874" t="str">
        <f>IF(LA_!CW22="","",+LA_!CW22)</f>
        <v/>
      </c>
      <c r="CX22" s="1197" t="str">
        <f>IF(LA_!CX22="","",+LA_!CX22)</f>
        <v/>
      </c>
      <c r="CY22" s="2370" t="str">
        <f>IF(LA_!CY22="","",+LA_!CY22)</f>
        <v/>
      </c>
      <c r="CZ22" s="875" t="str">
        <f>IF(LA_!CZ22="","",+LA_!CZ22)</f>
        <v/>
      </c>
      <c r="DA22" s="875" t="str">
        <f>IF(LA_!DA22="","",+LA_!DA22)</f>
        <v/>
      </c>
      <c r="DB22" s="875" t="str">
        <f>IF(LA_!DB22="","",+LA_!DB22)</f>
        <v/>
      </c>
      <c r="DC22" s="875" t="str">
        <f>IF(LA_!DC22="","",+LA_!DC22)</f>
        <v/>
      </c>
      <c r="DD22" s="875" t="str">
        <f>IF(LA_!DD22="","",+LA_!DD22)</f>
        <v/>
      </c>
      <c r="DE22" s="875" t="str">
        <f>IF(LA_!DE22="","",+LA_!DE22)</f>
        <v/>
      </c>
      <c r="DF22" s="875" t="str">
        <f>IF(LA_!DF22="","",+LA_!DF22)</f>
        <v/>
      </c>
      <c r="DG22" s="875" t="str">
        <f>IF(LA_!DG22="","",+LA_!DG22)</f>
        <v/>
      </c>
      <c r="DH22" s="875" t="str">
        <f>IF(LA_!DH22="","",+LA_!DH22)</f>
        <v/>
      </c>
      <c r="DI22" s="879" t="str">
        <f>IF(LA_!DI22="","",+LA_!DI22)</f>
        <v/>
      </c>
      <c r="DJ22" s="872" t="str">
        <f>IF(LA_!DJ22="","",+LA_!DJ22)</f>
        <v/>
      </c>
      <c r="DK22" s="872" t="str">
        <f>IF(LA_!DK22="","",+LA_!DK22)</f>
        <v/>
      </c>
      <c r="DL22" s="872" t="str">
        <f>IF(LA_!DL22="","",+LA_!DL22)</f>
        <v/>
      </c>
      <c r="DM22" s="875" t="str">
        <f>IF(LA_!DM22="","",+LA_!DM22)</f>
        <v/>
      </c>
      <c r="DN22" s="875" t="str">
        <f>IF(LA_!DN22="","",+LA_!DN22)</f>
        <v/>
      </c>
      <c r="DO22" s="875" t="str">
        <f>IF(LA_!DO22="","",+LA_!DO22)</f>
        <v/>
      </c>
      <c r="DP22" s="872" t="str">
        <f>IF(LA_!DP22="","",+LA_!DP22)</f>
        <v/>
      </c>
      <c r="DQ22" s="875" t="str">
        <f>IF(LA_!DQ22="","",+LA_!DQ22)</f>
        <v/>
      </c>
      <c r="DR22" s="875" t="str">
        <f>IF(LA_!DR22="","",+LA_!DR22)</f>
        <v/>
      </c>
      <c r="DS22" s="876"/>
      <c r="DT22" s="880"/>
      <c r="DU22" s="330"/>
      <c r="DV22" s="330"/>
      <c r="DW22" s="881"/>
      <c r="DX22" s="849"/>
    </row>
    <row r="23" spans="2:128" ht="20.100000000000001" customHeight="1">
      <c r="B23" s="1789"/>
      <c r="C23" s="852">
        <v>13</v>
      </c>
      <c r="D23" s="2439">
        <f>IF(LA_!D23="","",+LA_!D23)</f>
        <v>130</v>
      </c>
      <c r="E23" s="2370">
        <f>IF(LA_!E23="","",+LA_!E23)</f>
        <v>78.5</v>
      </c>
      <c r="F23" s="873">
        <f>IF(LA_!F23="","",+LA_!F23)</f>
        <v>148</v>
      </c>
      <c r="G23" s="872">
        <f>IF(LA_!G23="","",+LA_!G23)</f>
        <v>83.8</v>
      </c>
      <c r="H23" s="874">
        <f>IF(LA_!H23="","",+LA_!H23)</f>
        <v>54</v>
      </c>
      <c r="I23" s="874">
        <f>IF(LA_!I23="","",+LA_!I23)</f>
        <v>62</v>
      </c>
      <c r="J23" s="874">
        <f>IF(LA_!J23="","",+LA_!J23)</f>
        <v>21</v>
      </c>
      <c r="K23" s="874">
        <f>IF(LA_!K23="","",+LA_!K23)</f>
        <v>80</v>
      </c>
      <c r="L23" s="1292">
        <f>IF(LA_!L23="","",+LA_!L23)</f>
        <v>2180</v>
      </c>
      <c r="M23" s="2387">
        <f>IF(LA_!M23="","",+LA_!M23)</f>
        <v>2520</v>
      </c>
      <c r="N23" s="2387">
        <f>IF(LA_!N23="","",+LA_!N23)</f>
        <v>1750</v>
      </c>
      <c r="O23" s="2387">
        <f>IF(LA_!O23="","",+LA_!O23)</f>
        <v>3250</v>
      </c>
      <c r="P23" s="2384">
        <f>IF(LA_!P23="","",+LA_!P23)</f>
        <v>3520</v>
      </c>
      <c r="Q23" s="1196">
        <f>IF(LA_!Q23="","",+LA_!Q23)</f>
        <v>2230</v>
      </c>
      <c r="R23" s="2387">
        <f>IF(LA_!R23="","",+LA_!R23)</f>
        <v>2160</v>
      </c>
      <c r="S23" s="2387">
        <f>IF(LA_!S23="","",+LA_!S23)</f>
        <v>1800</v>
      </c>
      <c r="T23" s="2387">
        <f>IF(LA_!T23="","",+LA_!T23)</f>
        <v>3280</v>
      </c>
      <c r="U23" s="2384">
        <f>IF(LA_!U23="","",+LA_!U23)</f>
        <v>3550</v>
      </c>
      <c r="V23" s="1183">
        <f>IF(LA_!V23="","",+LA_!V23)</f>
        <v>4300</v>
      </c>
      <c r="W23" s="2391">
        <f>IF(LA_!W23="","",+LA_!W23)</f>
        <v>80.599999999999994</v>
      </c>
      <c r="X23" s="2387">
        <f>IF(LA_!X23="","",+LA_!X23)</f>
        <v>9550</v>
      </c>
      <c r="Y23" s="2370">
        <f>IF(LA_!Y23="","",+LA_!Y23)</f>
        <v>81.7</v>
      </c>
      <c r="Z23" s="1843">
        <f>IF(LA_!Z23="","",+LA_!Z23)</f>
        <v>128</v>
      </c>
      <c r="AA23" s="2394">
        <f>IF(LA_!AA23="","",+LA_!AA23)</f>
        <v>146</v>
      </c>
      <c r="AB23" s="2394">
        <f>IF(LA_!AB23="","",+LA_!AB23)</f>
        <v>60</v>
      </c>
      <c r="AC23" s="2394">
        <f>IF(LA_!AC23="","",+LA_!AC23)</f>
        <v>69</v>
      </c>
      <c r="AD23" s="2394">
        <f>IF(LA_!AD23="","",+LA_!AD23)</f>
        <v>6</v>
      </c>
      <c r="AE23" s="2387">
        <f>IF(LA_!AE23="","",+LA_!AE23)</f>
        <v>1850</v>
      </c>
      <c r="AF23" s="2391">
        <f>IF(LA_!AF23="","",+LA_!AF23)</f>
        <v>3.14</v>
      </c>
      <c r="AG23" s="2370">
        <f>IF(LA_!AG23="","",+LA_!AG23)</f>
        <v>81.7</v>
      </c>
      <c r="AH23" s="872">
        <f>IF(LA_!AH23="","",+LA_!AH23)</f>
        <v>1.72</v>
      </c>
      <c r="AI23" s="872">
        <f>IF(LA_!AI23="","",+LA_!AI23)</f>
        <v>74.400000000000006</v>
      </c>
      <c r="AJ23" s="872" t="str">
        <f>IF(LA_!AJ23="","",+LA_!AJ23)</f>
        <v/>
      </c>
      <c r="AK23" s="872" t="str">
        <f>IF(LA_!AK23="","",+LA_!AK23)</f>
        <v/>
      </c>
      <c r="AL23" s="872" t="str">
        <f>IF(LA_!AL23="","",+LA_!AL23)</f>
        <v/>
      </c>
      <c r="AM23" s="872" t="str">
        <f>IF(LA_!AM23="","",+LA_!AM23)</f>
        <v/>
      </c>
      <c r="AN23" s="875" t="str">
        <f>IF(LA_!AN23="","",+LA_!AN23)</f>
        <v/>
      </c>
      <c r="AO23" s="875" t="str">
        <f>IF(LA_!AO23="","",+LA_!AO23)</f>
        <v/>
      </c>
      <c r="AP23" s="876" t="str">
        <f>IF(LA_!AP23="","",+LA_!AP23)</f>
        <v/>
      </c>
      <c r="AQ23" s="875" t="str">
        <f>IF(LA_!AQ23="","",+LA_!AQ23)</f>
        <v/>
      </c>
      <c r="AR23" s="875" t="str">
        <f>IF(LA_!AR23="","",+LA_!AR23)</f>
        <v/>
      </c>
      <c r="AS23" s="875" t="str">
        <f>IF(LA_!AS23="","",+LA_!AS23)</f>
        <v/>
      </c>
      <c r="AT23" s="875" t="str">
        <f>IF(LA_!AT23="","",+LA_!AT23)</f>
        <v/>
      </c>
      <c r="AU23" s="875" t="str">
        <f>IF(LA_!AU23="","",+LA_!AU23)</f>
        <v/>
      </c>
      <c r="AV23" s="875" t="str">
        <f>IF(LA_!AV23="","",+LA_!AV23)</f>
        <v/>
      </c>
      <c r="AW23" s="875" t="str">
        <f>IF(LA_!AW23="","",+LA_!AW23)</f>
        <v/>
      </c>
      <c r="AX23" s="875" t="str">
        <f>IF(LA_!AX23="","",+LA_!AX23)</f>
        <v/>
      </c>
      <c r="AY23" s="875" t="str">
        <f>IF(LA_!AY23="","",+LA_!AY23)</f>
        <v/>
      </c>
      <c r="AZ23" s="872" t="str">
        <f>IF(LA_!AZ23="","",+LA_!AZ23)</f>
        <v/>
      </c>
      <c r="BA23" s="872" t="str">
        <f>IF(LA_!BA23="","",+LA_!BA23)</f>
        <v/>
      </c>
      <c r="BB23" s="872" t="str">
        <f>IF(LA_!BB23="","",+LA_!BB23)</f>
        <v/>
      </c>
      <c r="BC23" s="872" t="str">
        <f>IF(LA_!BC23="","",+LA_!BC23)</f>
        <v/>
      </c>
      <c r="BD23" s="872" t="str">
        <f>IF(LA_!BD23="","",+LA_!BD23)</f>
        <v/>
      </c>
      <c r="BE23" s="876" t="str">
        <f>IF(LA_!BE23="","",+LA_!BE23)</f>
        <v/>
      </c>
      <c r="BF23" s="875" t="str">
        <f>IF(LA_!BF23="","",+LA_!BF23)</f>
        <v/>
      </c>
      <c r="BG23" s="877">
        <f>+IF(LA_!BG23="","",IF(ISTEXT(LA_!BG23),0,ROUND(LA_!BG23,2)))</f>
        <v>7.0000000000000007E-2</v>
      </c>
      <c r="BH23" s="878">
        <f>+IF(LA_!BH23="","",IF(ISTEXT(LA_!BH23),0,ROUND(LA_!BH23,2)))</f>
        <v>0.09</v>
      </c>
      <c r="BI23" s="1844">
        <f>IF(LA_!BI23="","",+LA_!BI23)</f>
        <v>22.4</v>
      </c>
      <c r="BJ23" s="1844">
        <f>IF(LA_!BJ23="","",+LA_!BJ23)</f>
        <v>34.700000000000003</v>
      </c>
      <c r="BK23" s="878" t="str">
        <f>IF(LA_!BK23="","",+LA_!BK23)</f>
        <v/>
      </c>
      <c r="BL23" s="878" t="str">
        <f>IF(LA_!BL23="","",+LA_!BL23)</f>
        <v/>
      </c>
      <c r="BM23" s="875" t="str">
        <f>IF(LA_!BM23="","",+LA_!BM23)</f>
        <v/>
      </c>
      <c r="BN23" s="878">
        <f>+IF(LA_!BN23="","",IF(ISTEXT(LA_!BN23),0,ROUND(LA_!BN23,2)))</f>
        <v>0.06</v>
      </c>
      <c r="BO23" s="878">
        <f>+IF(LA_!BO23="","",IF(ISTEXT(LA_!BO23),0,ROUND(LA_!BO23,2)))</f>
        <v>0.06</v>
      </c>
      <c r="BP23" s="872">
        <f>IF(LA_!BP23="","",ROUND(+LA_!BP23,1))</f>
        <v>23.9</v>
      </c>
      <c r="BQ23" s="872">
        <f>IF(LA_!BQ23="","",ROUND(+LA_!BQ23,1))</f>
        <v>36.799999999999997</v>
      </c>
      <c r="BR23" s="875" t="str">
        <f>IF(LA_!BR23="","",+LA_!BR23)</f>
        <v/>
      </c>
      <c r="BS23" s="875" t="str">
        <f>IF(LA_!BS23="","",+LA_!BS23)</f>
        <v/>
      </c>
      <c r="BT23" s="875" t="str">
        <f>IF(LA_!BT23="","",+LA_!BT23)</f>
        <v/>
      </c>
      <c r="BU23" s="878" t="str">
        <f>+IF(LA_!BU23="","",IF(ISTEXT(LA_!BU23),0,ROUND(LA_!BU23,2)))</f>
        <v/>
      </c>
      <c r="BV23" s="878" t="str">
        <f>+IF(LA_!BV23="","",IF(ISTEXT(LA_!BV23),0,ROUND(LA_!BV23,2)))</f>
        <v/>
      </c>
      <c r="BW23" s="872" t="str">
        <f>IF(LA_!BW23="","",ROUND(+LA_!BW23,1))</f>
        <v/>
      </c>
      <c r="BX23" s="872" t="str">
        <f>IF(LA_!BX23="","",ROUND(+LA_!BX23,1))</f>
        <v/>
      </c>
      <c r="BY23" s="875" t="str">
        <f>IF(LA_!BY23="","",+LA_!BY23)</f>
        <v/>
      </c>
      <c r="BZ23" s="875" t="str">
        <f>IF(LA_!BZ23="","",+LA_!BZ23)</f>
        <v/>
      </c>
      <c r="CA23" s="875" t="str">
        <f>IF(LA_!CA23="","",+LA_!CA23)</f>
        <v/>
      </c>
      <c r="CB23" s="878">
        <f>+IF(LA_!CB23="","",IF(ISTEXT(LA_!CB23),0,ROUND(LA_!CB23,2)))</f>
        <v>0.56999999999999995</v>
      </c>
      <c r="CC23" s="878">
        <f>+IF(LA_!CC23="","",IF(ISTEXT(LA_!CC23),0,ROUND(LA_!CC23,2)))</f>
        <v>3.65</v>
      </c>
      <c r="CD23" s="872">
        <f>IF(LA_!CD23="","",ROUND(+LA_!CD23,1))</f>
        <v>13.3</v>
      </c>
      <c r="CE23" s="872">
        <f>IF(LA_!CE23="","",ROUND(+LA_!CE23,1))</f>
        <v>16.100000000000001</v>
      </c>
      <c r="CF23" s="878" t="str">
        <f>IF(LA_!CF23="","",+LA_!CF23)</f>
        <v/>
      </c>
      <c r="CG23" s="878" t="str">
        <f>IF(LA_!CG23="","",+LA_!CG23)</f>
        <v/>
      </c>
      <c r="CH23" s="875" t="str">
        <f>IF(LA_!CH23="","",+LA_!CH23)</f>
        <v/>
      </c>
      <c r="CI23" s="876" t="str">
        <f>IF(LA_!CI23="","",+LA_!CI23)</f>
        <v/>
      </c>
      <c r="CJ23" s="875" t="str">
        <f>IF(LA_!CJ23="","",+LA_!CJ23)</f>
        <v/>
      </c>
      <c r="CK23" s="875" t="str">
        <f>IF(LA_!CK23="","",+LA_!CK23)</f>
        <v/>
      </c>
      <c r="CL23" s="875" t="str">
        <f>IF(LA_!CL23="","",+LA_!CL23)</f>
        <v/>
      </c>
      <c r="CM23" s="875" t="str">
        <f>IF(LA_!CM23="","",+LA_!CM23)</f>
        <v/>
      </c>
      <c r="CN23" s="875" t="str">
        <f>IF(LA_!CN23="","",+LA_!CN23)</f>
        <v/>
      </c>
      <c r="CO23" s="875" t="str">
        <f>IF(LA_!CO23="","",+LA_!CO23)</f>
        <v/>
      </c>
      <c r="CP23" s="875" t="str">
        <f>IF(LA_!CP23="","",+LA_!CP23)</f>
        <v/>
      </c>
      <c r="CQ23" s="1922" t="str">
        <f>IF(LA_!CQ23="","",+LA_!CQ23)</f>
        <v/>
      </c>
      <c r="CR23" s="875" t="str">
        <f>IF(LA_!CR23="","",+LA_!CR23)</f>
        <v/>
      </c>
      <c r="CS23" s="875" t="str">
        <f>IF(LA_!CS23="","",+LA_!CS23)</f>
        <v/>
      </c>
      <c r="CT23" s="875" t="str">
        <f>IF(LA_!CT23="","",+LA_!CT23)</f>
        <v/>
      </c>
      <c r="CU23" s="874" t="str">
        <f>IF(LA_!CU23="","",+LA_!CU23)</f>
        <v/>
      </c>
      <c r="CV23" s="872" t="str">
        <f>IF(LA_!CV23="","",+LA_!CV23)</f>
        <v/>
      </c>
      <c r="CW23" s="874" t="str">
        <f>IF(LA_!CW23="","",+LA_!CW23)</f>
        <v/>
      </c>
      <c r="CX23" s="1197" t="str">
        <f>IF(LA_!CX23="","",+LA_!CX23)</f>
        <v/>
      </c>
      <c r="CY23" s="2370" t="str">
        <f>IF(LA_!CY23="","",+LA_!CY23)</f>
        <v/>
      </c>
      <c r="CZ23" s="875" t="str">
        <f>IF(LA_!CZ23="","",+LA_!CZ23)</f>
        <v/>
      </c>
      <c r="DA23" s="875" t="str">
        <f>IF(LA_!DA23="","",+LA_!DA23)</f>
        <v/>
      </c>
      <c r="DB23" s="875" t="str">
        <f>IF(LA_!DB23="","",+LA_!DB23)</f>
        <v/>
      </c>
      <c r="DC23" s="875" t="str">
        <f>IF(LA_!DC23="","",+LA_!DC23)</f>
        <v/>
      </c>
      <c r="DD23" s="875" t="str">
        <f>IF(LA_!DD23="","",+LA_!DD23)</f>
        <v/>
      </c>
      <c r="DE23" s="875" t="str">
        <f>IF(LA_!DE23="","",+LA_!DE23)</f>
        <v/>
      </c>
      <c r="DF23" s="875" t="str">
        <f>IF(LA_!DF23="","",+LA_!DF23)</f>
        <v/>
      </c>
      <c r="DG23" s="875" t="str">
        <f>IF(LA_!DG23="","",+LA_!DG23)</f>
        <v/>
      </c>
      <c r="DH23" s="875" t="str">
        <f>IF(LA_!DH23="","",+LA_!DH23)</f>
        <v/>
      </c>
      <c r="DI23" s="879" t="str">
        <f>IF(LA_!DI23="","",+LA_!DI23)</f>
        <v/>
      </c>
      <c r="DJ23" s="872" t="str">
        <f>IF(LA_!DJ23="","",+LA_!DJ23)</f>
        <v/>
      </c>
      <c r="DK23" s="872" t="str">
        <f>IF(LA_!DK23="","",+LA_!DK23)</f>
        <v/>
      </c>
      <c r="DL23" s="872" t="str">
        <f>IF(LA_!DL23="","",+LA_!DL23)</f>
        <v/>
      </c>
      <c r="DM23" s="875" t="str">
        <f>IF(LA_!DM23="","",+LA_!DM23)</f>
        <v/>
      </c>
      <c r="DN23" s="875" t="str">
        <f>IF(LA_!DN23="","",+LA_!DN23)</f>
        <v/>
      </c>
      <c r="DO23" s="875" t="str">
        <f>IF(LA_!DO23="","",+LA_!DO23)</f>
        <v/>
      </c>
      <c r="DP23" s="872" t="str">
        <f>IF(LA_!DP23="","",+LA_!DP23)</f>
        <v/>
      </c>
      <c r="DQ23" s="875" t="str">
        <f>IF(LA_!DQ23="","",+LA_!DQ23)</f>
        <v/>
      </c>
      <c r="DR23" s="875" t="str">
        <f>IF(LA_!DR23="","",+LA_!DR23)</f>
        <v/>
      </c>
      <c r="DS23" s="876"/>
      <c r="DT23" s="880"/>
      <c r="DU23" s="330"/>
      <c r="DV23" s="330"/>
      <c r="DW23" s="881"/>
      <c r="DX23" s="849"/>
    </row>
    <row r="24" spans="2:128" ht="20.100000000000001" customHeight="1">
      <c r="B24" s="1789"/>
      <c r="C24" s="852">
        <v>14</v>
      </c>
      <c r="D24" s="2439">
        <f>IF(LA_!D24="","",+LA_!D24)</f>
        <v>120</v>
      </c>
      <c r="E24" s="2370" t="str">
        <f>IF(LA_!E24="","",+LA_!E24)</f>
        <v/>
      </c>
      <c r="F24" s="873">
        <f>IF(LA_!F24="","",+LA_!F24)</f>
        <v>116</v>
      </c>
      <c r="G24" s="872" t="str">
        <f>IF(LA_!G24="","",+LA_!G24)</f>
        <v/>
      </c>
      <c r="H24" s="874">
        <f>IF(LA_!H24="","",+LA_!H24)</f>
        <v>64</v>
      </c>
      <c r="I24" s="874">
        <f>IF(LA_!I24="","",+LA_!I24)</f>
        <v>76</v>
      </c>
      <c r="J24" s="874">
        <f>IF(LA_!J24="","",+LA_!J24)</f>
        <v>24</v>
      </c>
      <c r="K24" s="874">
        <f>IF(LA_!K24="","",+LA_!K24)</f>
        <v>100</v>
      </c>
      <c r="L24" s="1292">
        <f>IF(LA_!L24="","",+LA_!L24)</f>
        <v>1930</v>
      </c>
      <c r="M24" s="2386">
        <f>IF(LA_!M24="","",+LA_!M24)</f>
        <v>1800</v>
      </c>
      <c r="N24" s="2386">
        <f>IF(LA_!N24="","",+LA_!N24)</f>
        <v>1690</v>
      </c>
      <c r="O24" s="2386">
        <f>IF(LA_!O24="","",+LA_!O24)</f>
        <v>3150</v>
      </c>
      <c r="P24" s="1197">
        <f>IF(LA_!P24="","",+LA_!P24)</f>
        <v>3720</v>
      </c>
      <c r="Q24" s="1196">
        <f>IF(LA_!Q24="","",+LA_!Q24)</f>
        <v>1940</v>
      </c>
      <c r="R24" s="2386">
        <f>IF(LA_!R24="","",+LA_!R24)</f>
        <v>1790</v>
      </c>
      <c r="S24" s="2386">
        <f>IF(LA_!S24="","",+LA_!S24)</f>
        <v>1580</v>
      </c>
      <c r="T24" s="2387">
        <f>IF(LA_!T24="","",+LA_!T24)</f>
        <v>3500</v>
      </c>
      <c r="U24" s="2384">
        <f>IF(LA_!U24="","",+LA_!U24)</f>
        <v>3610</v>
      </c>
      <c r="V24" s="1183">
        <f>IF(LA_!V24="","",+LA_!V24)</f>
        <v>3160</v>
      </c>
      <c r="W24" s="2390" t="str">
        <f>IF(LA_!W24="","",+LA_!W24)</f>
        <v/>
      </c>
      <c r="X24" s="2387">
        <f>IF(LA_!X24="","",+LA_!X24)</f>
        <v>8520</v>
      </c>
      <c r="Y24" s="872" t="str">
        <f>IF(LA_!Y24="","",+LA_!Y24)</f>
        <v/>
      </c>
      <c r="Z24" s="1843">
        <f>IF(LA_!Z24="","",+LA_!Z24)</f>
        <v>129</v>
      </c>
      <c r="AA24" s="2393">
        <f>IF(LA_!AA24="","",+LA_!AA24)</f>
        <v>130</v>
      </c>
      <c r="AB24" s="2393">
        <f>IF(LA_!AB24="","",+LA_!AB24)</f>
        <v>63</v>
      </c>
      <c r="AC24" s="2393">
        <f>IF(LA_!AC24="","",+LA_!AC24)</f>
        <v>74</v>
      </c>
      <c r="AD24" s="2393">
        <f>IF(LA_!AD24="","",+LA_!AD24)</f>
        <v>8</v>
      </c>
      <c r="AE24" s="2386">
        <f>IF(LA_!AE24="","",+LA_!AE24)</f>
        <v>1930</v>
      </c>
      <c r="AF24" s="2390">
        <f>IF(LA_!AF24="","",+LA_!AF24)</f>
        <v>3.05</v>
      </c>
      <c r="AG24" s="872">
        <f>IF(LA_!AG24="","",+LA_!AG24)</f>
        <v>83.7</v>
      </c>
      <c r="AH24" s="872">
        <f>IF(LA_!AH24="","",+LA_!AH24)</f>
        <v>1.83</v>
      </c>
      <c r="AI24" s="872">
        <f>IF(LA_!AI24="","",+LA_!AI24)</f>
        <v>69.599999999999994</v>
      </c>
      <c r="AJ24" s="872" t="str">
        <f>IF(LA_!AJ24="","",+LA_!AJ24)</f>
        <v/>
      </c>
      <c r="AK24" s="872" t="str">
        <f>IF(LA_!AK24="","",+LA_!AK24)</f>
        <v/>
      </c>
      <c r="AL24" s="872" t="str">
        <f>IF(LA_!AL24="","",+LA_!AL24)</f>
        <v/>
      </c>
      <c r="AM24" s="872" t="str">
        <f>IF(LA_!AM24="","",+LA_!AM24)</f>
        <v/>
      </c>
      <c r="AN24" s="875" t="str">
        <f>IF(LA_!AN24="","",+LA_!AN24)</f>
        <v/>
      </c>
      <c r="AO24" s="875" t="str">
        <f>IF(LA_!AO24="","",+LA_!AO24)</f>
        <v/>
      </c>
      <c r="AP24" s="876">
        <f>IF(LA_!AP24="","",+LA_!AP24)</f>
        <v>120</v>
      </c>
      <c r="AQ24" s="875" t="str">
        <f>IF(LA_!AQ24="","",+LA_!AQ24)</f>
        <v/>
      </c>
      <c r="AR24" s="875">
        <f>IF(LA_!AR24="","",+LA_!AR24)</f>
        <v>170</v>
      </c>
      <c r="AS24" s="875">
        <f>IF(LA_!AS24="","",+LA_!AS24)</f>
        <v>210</v>
      </c>
      <c r="AT24" s="875">
        <f>IF(LA_!AT24="","",+LA_!AT24)</f>
        <v>110</v>
      </c>
      <c r="AU24" s="875">
        <f>IF(LA_!AU24="","",+LA_!AU24)</f>
        <v>2700</v>
      </c>
      <c r="AV24" s="875" t="str">
        <f>IF(LA_!AV24="","",+LA_!AV24)</f>
        <v/>
      </c>
      <c r="AW24" s="875">
        <f>IF(LA_!AW24="","",+LA_!AW24)</f>
        <v>2700</v>
      </c>
      <c r="AX24" s="875">
        <f>IF(LA_!AX24="","",+LA_!AX24)</f>
        <v>2800</v>
      </c>
      <c r="AY24" s="875">
        <f>IF(LA_!AY24="","",+LA_!AY24)</f>
        <v>2900</v>
      </c>
      <c r="AZ24" s="872">
        <f>IF(LA_!AZ24="","",+LA_!AZ24)</f>
        <v>7.06</v>
      </c>
      <c r="BA24" s="872" t="str">
        <f>IF(LA_!BA24="","",+LA_!BA24)</f>
        <v/>
      </c>
      <c r="BB24" s="872">
        <f>IF(LA_!BB24="","",+LA_!BB24)</f>
        <v>7</v>
      </c>
      <c r="BC24" s="872">
        <f>IF(LA_!BC24="","",+LA_!BC24)</f>
        <v>6.99</v>
      </c>
      <c r="BD24" s="872">
        <f>IF(LA_!BD24="","",+LA_!BD24)</f>
        <v>6.9</v>
      </c>
      <c r="BE24" s="876" t="str">
        <f>IF(LA_!BE24="","",+LA_!BE24)</f>
        <v/>
      </c>
      <c r="BF24" s="875" t="str">
        <f>IF(LA_!BF24="","",+LA_!BF24)</f>
        <v/>
      </c>
      <c r="BG24" s="877">
        <f>+IF(LA_!BG24="","",IF(ISTEXT(LA_!BG24),0,ROUND(LA_!BG24,2)))</f>
        <v>0.04</v>
      </c>
      <c r="BH24" s="878">
        <f>+IF(LA_!BH24="","",IF(ISTEXT(LA_!BH24),0,ROUND(LA_!BH24,2)))</f>
        <v>0.14000000000000001</v>
      </c>
      <c r="BI24" s="1844">
        <f>IF(LA_!BI24="","",+LA_!BI24)</f>
        <v>24.5</v>
      </c>
      <c r="BJ24" s="1844">
        <f>IF(LA_!BJ24="","",+LA_!BJ24)</f>
        <v>37.299999999999997</v>
      </c>
      <c r="BK24" s="878" t="str">
        <f>IF(LA_!BK24="","",+LA_!BK24)</f>
        <v/>
      </c>
      <c r="BL24" s="878" t="str">
        <f>IF(LA_!BL24="","",+LA_!BL24)</f>
        <v/>
      </c>
      <c r="BM24" s="875" t="str">
        <f>IF(LA_!BM24="","",+LA_!BM24)</f>
        <v/>
      </c>
      <c r="BN24" s="878">
        <f>+IF(LA_!BN24="","",IF(ISTEXT(LA_!BN24),0,ROUND(LA_!BN24,2)))</f>
        <v>0.03</v>
      </c>
      <c r="BO24" s="878">
        <f>+IF(LA_!BO24="","",IF(ISTEXT(LA_!BO24),0,ROUND(LA_!BO24,2)))</f>
        <v>0.09</v>
      </c>
      <c r="BP24" s="872">
        <f>IF(LA_!BP24="","",ROUND(+LA_!BP24,1))</f>
        <v>23.8</v>
      </c>
      <c r="BQ24" s="872">
        <f>IF(LA_!BQ24="","",ROUND(+LA_!BQ24,1))</f>
        <v>36.700000000000003</v>
      </c>
      <c r="BR24" s="875" t="str">
        <f>IF(LA_!BR24="","",+LA_!BR24)</f>
        <v/>
      </c>
      <c r="BS24" s="875" t="str">
        <f>IF(LA_!BS24="","",+LA_!BS24)</f>
        <v/>
      </c>
      <c r="BT24" s="875" t="str">
        <f>IF(LA_!BT24="","",+LA_!BT24)</f>
        <v/>
      </c>
      <c r="BU24" s="878" t="str">
        <f>+IF(LA_!BU24="","",IF(ISTEXT(LA_!BU24),0,ROUND(LA_!BU24,2)))</f>
        <v/>
      </c>
      <c r="BV24" s="878" t="str">
        <f>+IF(LA_!BV24="","",IF(ISTEXT(LA_!BV24),0,ROUND(LA_!BV24,2)))</f>
        <v/>
      </c>
      <c r="BW24" s="872" t="str">
        <f>IF(LA_!BW24="","",ROUND(+LA_!BW24,1))</f>
        <v/>
      </c>
      <c r="BX24" s="872" t="str">
        <f>IF(LA_!BX24="","",ROUND(+LA_!BX24,1))</f>
        <v/>
      </c>
      <c r="BY24" s="875" t="str">
        <f>IF(LA_!BY24="","",+LA_!BY24)</f>
        <v/>
      </c>
      <c r="BZ24" s="875" t="str">
        <f>IF(LA_!BZ24="","",+LA_!BZ24)</f>
        <v/>
      </c>
      <c r="CA24" s="875" t="str">
        <f>IF(LA_!CA24="","",+LA_!CA24)</f>
        <v/>
      </c>
      <c r="CB24" s="878">
        <f>+IF(LA_!CB24="","",IF(ISTEXT(LA_!CB24),0,ROUND(LA_!CB24,2)))</f>
        <v>0.61</v>
      </c>
      <c r="CC24" s="878">
        <f>+IF(LA_!CC24="","",IF(ISTEXT(LA_!CC24),0,ROUND(LA_!CC24,2)))</f>
        <v>4.29</v>
      </c>
      <c r="CD24" s="872">
        <f>IF(LA_!CD24="","",ROUND(+LA_!CD24,1))</f>
        <v>12.4</v>
      </c>
      <c r="CE24" s="872">
        <f>IF(LA_!CE24="","",ROUND(+LA_!CE24,1))</f>
        <v>16.899999999999999</v>
      </c>
      <c r="CF24" s="878" t="str">
        <f>IF(LA_!CF24="","",+LA_!CF24)</f>
        <v/>
      </c>
      <c r="CG24" s="878" t="str">
        <f>IF(LA_!CG24="","",+LA_!CG24)</f>
        <v/>
      </c>
      <c r="CH24" s="875" t="str">
        <f>IF(LA_!CH24="","",+LA_!CH24)</f>
        <v/>
      </c>
      <c r="CI24" s="876" t="str">
        <f>IF(LA_!CI24="","",+LA_!CI24)</f>
        <v/>
      </c>
      <c r="CJ24" s="875" t="str">
        <f>IF(LA_!CJ24="","",+LA_!CJ24)</f>
        <v/>
      </c>
      <c r="CK24" s="875" t="str">
        <f>IF(LA_!CK24="","",+LA_!CK24)</f>
        <v/>
      </c>
      <c r="CL24" s="875" t="str">
        <f>IF(LA_!CL24="","",+LA_!CL24)</f>
        <v/>
      </c>
      <c r="CM24" s="875" t="str">
        <f>IF(LA_!CM24="","",+LA_!CM24)</f>
        <v/>
      </c>
      <c r="CN24" s="875" t="str">
        <f>IF(LA_!CN24="","",+LA_!CN24)</f>
        <v/>
      </c>
      <c r="CO24" s="875" t="str">
        <f>IF(LA_!CO24="","",+LA_!CO24)</f>
        <v/>
      </c>
      <c r="CP24" s="875" t="str">
        <f>IF(LA_!CP24="","",+LA_!CP24)</f>
        <v/>
      </c>
      <c r="CQ24" s="1922" t="str">
        <f>IF(LA_!CQ24="","",+LA_!CQ24)</f>
        <v/>
      </c>
      <c r="CR24" s="875" t="str">
        <f>IF(LA_!CR24="","",+LA_!CR24)</f>
        <v/>
      </c>
      <c r="CS24" s="875" t="str">
        <f>IF(LA_!CS24="","",+LA_!CS24)</f>
        <v/>
      </c>
      <c r="CT24" s="875" t="str">
        <f>IF(LA_!CT24="","",+LA_!CT24)</f>
        <v/>
      </c>
      <c r="CU24" s="874" t="str">
        <f>IF(LA_!CU24="","",+LA_!CU24)</f>
        <v/>
      </c>
      <c r="CV24" s="872" t="str">
        <f>IF(LA_!CV24="","",+LA_!CV24)</f>
        <v/>
      </c>
      <c r="CW24" s="874" t="str">
        <f>IF(LA_!CW24="","",+LA_!CW24)</f>
        <v/>
      </c>
      <c r="CX24" s="1197" t="str">
        <f>IF(LA_!CX24="","",+LA_!CX24)</f>
        <v/>
      </c>
      <c r="CY24" s="2370" t="str">
        <f>IF(LA_!CY24="","",+LA_!CY24)</f>
        <v/>
      </c>
      <c r="CZ24" s="875" t="str">
        <f>IF(LA_!CZ24="","",+LA_!CZ24)</f>
        <v/>
      </c>
      <c r="DA24" s="875" t="str">
        <f>IF(LA_!DA24="","",+LA_!DA24)</f>
        <v/>
      </c>
      <c r="DB24" s="875" t="str">
        <f>IF(LA_!DB24="","",+LA_!DB24)</f>
        <v/>
      </c>
      <c r="DC24" s="875" t="str">
        <f>IF(LA_!DC24="","",+LA_!DC24)</f>
        <v/>
      </c>
      <c r="DD24" s="875" t="str">
        <f>IF(LA_!DD24="","",+LA_!DD24)</f>
        <v/>
      </c>
      <c r="DE24" s="875" t="str">
        <f>IF(LA_!DE24="","",+LA_!DE24)</f>
        <v/>
      </c>
      <c r="DF24" s="875" t="str">
        <f>IF(LA_!DF24="","",+LA_!DF24)</f>
        <v/>
      </c>
      <c r="DG24" s="875" t="str">
        <f>IF(LA_!DG24="","",+LA_!DG24)</f>
        <v/>
      </c>
      <c r="DH24" s="875" t="str">
        <f>IF(LA_!DH24="","",+LA_!DH24)</f>
        <v/>
      </c>
      <c r="DI24" s="879" t="str">
        <f>IF(LA_!DI24="","",+LA_!DI24)</f>
        <v/>
      </c>
      <c r="DJ24" s="872" t="str">
        <f>IF(LA_!DJ24="","",+LA_!DJ24)</f>
        <v/>
      </c>
      <c r="DK24" s="872" t="str">
        <f>IF(LA_!DK24="","",+LA_!DK24)</f>
        <v/>
      </c>
      <c r="DL24" s="872" t="str">
        <f>IF(LA_!DL24="","",+LA_!DL24)</f>
        <v/>
      </c>
      <c r="DM24" s="875" t="str">
        <f>IF(LA_!DM24="","",+LA_!DM24)</f>
        <v/>
      </c>
      <c r="DN24" s="875" t="str">
        <f>IF(LA_!DN24="","",+LA_!DN24)</f>
        <v/>
      </c>
      <c r="DO24" s="875" t="str">
        <f>IF(LA_!DO24="","",+LA_!DO24)</f>
        <v/>
      </c>
      <c r="DP24" s="872" t="str">
        <f>IF(LA_!DP24="","",+LA_!DP24)</f>
        <v/>
      </c>
      <c r="DQ24" s="875" t="str">
        <f>IF(LA_!DQ24="","",+LA_!DQ24)</f>
        <v/>
      </c>
      <c r="DR24" s="875" t="str">
        <f>IF(LA_!DR24="","",+LA_!DR24)</f>
        <v/>
      </c>
      <c r="DS24" s="876"/>
      <c r="DT24" s="880"/>
      <c r="DU24" s="330"/>
      <c r="DV24" s="330"/>
      <c r="DW24" s="881"/>
      <c r="DX24" s="849"/>
    </row>
    <row r="25" spans="2:128" ht="20.100000000000001" customHeight="1">
      <c r="B25" s="1789"/>
      <c r="C25" s="852">
        <v>15</v>
      </c>
      <c r="D25" s="1846">
        <f>IF(LA_!D25="","",+LA_!D25)</f>
        <v>140</v>
      </c>
      <c r="E25" s="872" t="str">
        <f>IF(LA_!E25="","",+LA_!E25)</f>
        <v/>
      </c>
      <c r="F25" s="873">
        <f>IF(LA_!F25="","",+LA_!F25)</f>
        <v>162</v>
      </c>
      <c r="G25" s="872" t="str">
        <f>IF(LA_!G25="","",+LA_!G25)</f>
        <v/>
      </c>
      <c r="H25" s="874" t="str">
        <f>IF(LA_!H25="","",+LA_!H25)</f>
        <v/>
      </c>
      <c r="I25" s="874" t="str">
        <f>IF(LA_!I25="","",+LA_!I25)</f>
        <v/>
      </c>
      <c r="J25" s="874">
        <f>IF(LA_!J25="","",+LA_!J25)</f>
        <v>19</v>
      </c>
      <c r="K25" s="874" t="str">
        <f>IF(LA_!K25="","",+LA_!K25)</f>
        <v/>
      </c>
      <c r="L25" s="1292" t="str">
        <f>IF(LA_!L25="","",+LA_!L25)</f>
        <v/>
      </c>
      <c r="M25" s="874" t="str">
        <f>IF(LA_!M25="","",+LA_!M25)</f>
        <v/>
      </c>
      <c r="N25" s="874" t="str">
        <f>IF(LA_!N25="","",+LA_!N25)</f>
        <v/>
      </c>
      <c r="O25" s="874" t="str">
        <f>IF(LA_!O25="","",+LA_!O25)</f>
        <v/>
      </c>
      <c r="P25" s="1197" t="str">
        <f>IF(LA_!P25="","",+LA_!P25)</f>
        <v/>
      </c>
      <c r="Q25" s="1196" t="str">
        <f>IF(LA_!Q25="","",+LA_!Q25)</f>
        <v/>
      </c>
      <c r="R25" s="874" t="str">
        <f>IF(LA_!R25="","",+LA_!R25)</f>
        <v/>
      </c>
      <c r="S25" s="874" t="str">
        <f>IF(LA_!S25="","",+LA_!S25)</f>
        <v/>
      </c>
      <c r="T25" s="2387" t="str">
        <f>IF(LA_!T25="","",+LA_!T25)</f>
        <v/>
      </c>
      <c r="U25" s="2384" t="str">
        <f>IF(LA_!U25="","",+LA_!U25)</f>
        <v/>
      </c>
      <c r="V25" s="1183" t="str">
        <f>IF(LA_!V25="","",+LA_!V25)</f>
        <v/>
      </c>
      <c r="W25" s="872" t="str">
        <f>IF(LA_!W25="","",+LA_!W25)</f>
        <v/>
      </c>
      <c r="X25" s="2387" t="str">
        <f>IF(LA_!X25="","",+LA_!X25)</f>
        <v/>
      </c>
      <c r="Y25" s="872" t="str">
        <f>IF(LA_!Y25="","",+LA_!Y25)</f>
        <v/>
      </c>
      <c r="Z25" s="1843">
        <f>IF(LA_!Z25="","",+LA_!Z25)</f>
        <v>128</v>
      </c>
      <c r="AA25" s="875">
        <f>IF(LA_!AA25="","",+LA_!AA25)</f>
        <v>150</v>
      </c>
      <c r="AB25" s="875" t="str">
        <f>IF(LA_!AB25="","",+LA_!AB25)</f>
        <v/>
      </c>
      <c r="AC25" s="875" t="str">
        <f>IF(LA_!AC25="","",+LA_!AC25)</f>
        <v/>
      </c>
      <c r="AD25" s="875">
        <f>IF(LA_!AD25="","",+LA_!AD25)</f>
        <v>6</v>
      </c>
      <c r="AE25" s="874" t="str">
        <f>IF(LA_!AE25="","",+LA_!AE25)</f>
        <v/>
      </c>
      <c r="AF25" s="872" t="str">
        <f>IF(LA_!AF25="","",+LA_!AF25)</f>
        <v/>
      </c>
      <c r="AG25" s="872" t="str">
        <f>IF(LA_!AG25="","",+LA_!AG25)</f>
        <v/>
      </c>
      <c r="AH25" s="872" t="str">
        <f>IF(LA_!AH25="","",+LA_!AH25)</f>
        <v/>
      </c>
      <c r="AI25" s="872" t="str">
        <f>IF(LA_!AI25="","",+LA_!AI25)</f>
        <v/>
      </c>
      <c r="AJ25" s="872" t="str">
        <f>IF(LA_!AJ25="","",+LA_!AJ25)</f>
        <v/>
      </c>
      <c r="AK25" s="872" t="str">
        <f>IF(LA_!AK25="","",+LA_!AK25)</f>
        <v/>
      </c>
      <c r="AL25" s="872" t="str">
        <f>IF(LA_!AL25="","",+LA_!AL25)</f>
        <v/>
      </c>
      <c r="AM25" s="872" t="str">
        <f>IF(LA_!AM25="","",+LA_!AM25)</f>
        <v/>
      </c>
      <c r="AN25" s="875" t="str">
        <f>IF(LA_!AN25="","",+LA_!AN25)</f>
        <v/>
      </c>
      <c r="AO25" s="875" t="str">
        <f>IF(LA_!AO25="","",+LA_!AO25)</f>
        <v/>
      </c>
      <c r="AP25" s="876" t="str">
        <f>IF(LA_!AP25="","",+LA_!AP25)</f>
        <v/>
      </c>
      <c r="AQ25" s="875" t="str">
        <f>IF(LA_!AQ25="","",+LA_!AQ25)</f>
        <v/>
      </c>
      <c r="AR25" s="875" t="str">
        <f>IF(LA_!AR25="","",+LA_!AR25)</f>
        <v/>
      </c>
      <c r="AS25" s="875" t="str">
        <f>IF(LA_!AS25="","",+LA_!AS25)</f>
        <v/>
      </c>
      <c r="AT25" s="875" t="str">
        <f>IF(LA_!AT25="","",+LA_!AT25)</f>
        <v/>
      </c>
      <c r="AU25" s="875" t="str">
        <f>IF(LA_!AU25="","",+LA_!AU25)</f>
        <v/>
      </c>
      <c r="AV25" s="875" t="str">
        <f>IF(LA_!AV25="","",+LA_!AV25)</f>
        <v/>
      </c>
      <c r="AW25" s="875" t="str">
        <f>IF(LA_!AW25="","",+LA_!AW25)</f>
        <v/>
      </c>
      <c r="AX25" s="875" t="str">
        <f>IF(LA_!AX25="","",+LA_!AX25)</f>
        <v/>
      </c>
      <c r="AY25" s="875" t="str">
        <f>IF(LA_!AY25="","",+LA_!AY25)</f>
        <v/>
      </c>
      <c r="AZ25" s="872" t="str">
        <f>IF(LA_!AZ25="","",+LA_!AZ25)</f>
        <v/>
      </c>
      <c r="BA25" s="872" t="str">
        <f>IF(LA_!BA25="","",+LA_!BA25)</f>
        <v/>
      </c>
      <c r="BB25" s="872" t="str">
        <f>IF(LA_!BB25="","",+LA_!BB25)</f>
        <v/>
      </c>
      <c r="BC25" s="872" t="str">
        <f>IF(LA_!BC25="","",+LA_!BC25)</f>
        <v/>
      </c>
      <c r="BD25" s="872" t="str">
        <f>IF(LA_!BD25="","",+LA_!BD25)</f>
        <v/>
      </c>
      <c r="BE25" s="876" t="str">
        <f>IF(LA_!BE25="","",+LA_!BE25)</f>
        <v/>
      </c>
      <c r="BF25" s="875" t="str">
        <f>IF(LA_!BF25="","",+LA_!BF25)</f>
        <v/>
      </c>
      <c r="BG25" s="877">
        <f>+IF(LA_!BG25="","",IF(ISTEXT(LA_!BG25),0,ROUND(LA_!BG25,2)))</f>
        <v>0.03</v>
      </c>
      <c r="BH25" s="878">
        <f>+IF(LA_!BH25="","",IF(ISTEXT(LA_!BH25),0,ROUND(LA_!BH25,2)))</f>
        <v>0.19</v>
      </c>
      <c r="BI25" s="1844">
        <f>IF(LA_!BI25="","",+LA_!BI25)</f>
        <v>20.7</v>
      </c>
      <c r="BJ25" s="1844">
        <f>IF(LA_!BJ25="","",+LA_!BJ25)</f>
        <v>35.299999999999997</v>
      </c>
      <c r="BK25" s="878" t="str">
        <f>IF(LA_!BK25="","",+LA_!BK25)</f>
        <v/>
      </c>
      <c r="BL25" s="878" t="str">
        <f>IF(LA_!BL25="","",+LA_!BL25)</f>
        <v/>
      </c>
      <c r="BM25" s="875" t="str">
        <f>IF(LA_!BM25="","",+LA_!BM25)</f>
        <v/>
      </c>
      <c r="BN25" s="878">
        <f>+IF(LA_!BN25="","",IF(ISTEXT(LA_!BN25),0,ROUND(LA_!BN25,2)))</f>
        <v>0.04</v>
      </c>
      <c r="BO25" s="878">
        <f>+IF(LA_!BO25="","",IF(ISTEXT(LA_!BO25),0,ROUND(LA_!BO25,2)))</f>
        <v>0.14000000000000001</v>
      </c>
      <c r="BP25" s="872">
        <f>IF(LA_!BP25="","",ROUND(+LA_!BP25,1))</f>
        <v>20.8</v>
      </c>
      <c r="BQ25" s="872">
        <f>IF(LA_!BQ25="","",ROUND(+LA_!BQ25,1))</f>
        <v>34.9</v>
      </c>
      <c r="BR25" s="875" t="str">
        <f>IF(LA_!BR25="","",+LA_!BR25)</f>
        <v/>
      </c>
      <c r="BS25" s="875" t="str">
        <f>IF(LA_!BS25="","",+LA_!BS25)</f>
        <v/>
      </c>
      <c r="BT25" s="875" t="str">
        <f>IF(LA_!BT25="","",+LA_!BT25)</f>
        <v/>
      </c>
      <c r="BU25" s="878" t="str">
        <f>+IF(LA_!BU25="","",IF(ISTEXT(LA_!BU25),0,ROUND(LA_!BU25,2)))</f>
        <v/>
      </c>
      <c r="BV25" s="878" t="str">
        <f>+IF(LA_!BV25="","",IF(ISTEXT(LA_!BV25),0,ROUND(LA_!BV25,2)))</f>
        <v/>
      </c>
      <c r="BW25" s="872" t="str">
        <f>IF(LA_!BW25="","",ROUND(+LA_!BW25,1))</f>
        <v/>
      </c>
      <c r="BX25" s="872" t="str">
        <f>IF(LA_!BX25="","",ROUND(+LA_!BX25,1))</f>
        <v/>
      </c>
      <c r="BY25" s="875" t="str">
        <f>IF(LA_!BY25="","",+LA_!BY25)</f>
        <v/>
      </c>
      <c r="BZ25" s="875" t="str">
        <f>IF(LA_!BZ25="","",+LA_!BZ25)</f>
        <v/>
      </c>
      <c r="CA25" s="875" t="str">
        <f>IF(LA_!CA25="","",+LA_!CA25)</f>
        <v/>
      </c>
      <c r="CB25" s="878">
        <f>+IF(LA_!CB25="","",IF(ISTEXT(LA_!CB25),0,ROUND(LA_!CB25,2)))</f>
        <v>0.63</v>
      </c>
      <c r="CC25" s="878">
        <f>+IF(LA_!CC25="","",IF(ISTEXT(LA_!CC25),0,ROUND(LA_!CC25,2)))</f>
        <v>4.09</v>
      </c>
      <c r="CD25" s="872">
        <f>IF(LA_!CD25="","",ROUND(+LA_!CD25,1))</f>
        <v>13.3</v>
      </c>
      <c r="CE25" s="872">
        <f>IF(LA_!CE25="","",ROUND(+LA_!CE25,1))</f>
        <v>17</v>
      </c>
      <c r="CF25" s="878" t="str">
        <f>IF(LA_!CF25="","",+LA_!CF25)</f>
        <v/>
      </c>
      <c r="CG25" s="878" t="str">
        <f>IF(LA_!CG25="","",+LA_!CG25)</f>
        <v/>
      </c>
      <c r="CH25" s="875" t="str">
        <f>IF(LA_!CH25="","",+LA_!CH25)</f>
        <v/>
      </c>
      <c r="CI25" s="876" t="str">
        <f>IF(LA_!CI25="","",+LA_!CI25)</f>
        <v/>
      </c>
      <c r="CJ25" s="875" t="str">
        <f>IF(LA_!CJ25="","",+LA_!CJ25)</f>
        <v/>
      </c>
      <c r="CK25" s="875" t="str">
        <f>IF(LA_!CK25="","",+LA_!CK25)</f>
        <v/>
      </c>
      <c r="CL25" s="875" t="str">
        <f>IF(LA_!CL25="","",+LA_!CL25)</f>
        <v/>
      </c>
      <c r="CM25" s="875" t="str">
        <f>IF(LA_!CM25="","",+LA_!CM25)</f>
        <v/>
      </c>
      <c r="CN25" s="875" t="str">
        <f>IF(LA_!CN25="","",+LA_!CN25)</f>
        <v/>
      </c>
      <c r="CO25" s="875" t="str">
        <f>IF(LA_!CO25="","",+LA_!CO25)</f>
        <v/>
      </c>
      <c r="CP25" s="875" t="str">
        <f>IF(LA_!CP25="","",+LA_!CP25)</f>
        <v/>
      </c>
      <c r="CQ25" s="1922" t="str">
        <f>IF(LA_!CQ25="","",+LA_!CQ25)</f>
        <v/>
      </c>
      <c r="CR25" s="875" t="str">
        <f>IF(LA_!CR25="","",+LA_!CR25)</f>
        <v/>
      </c>
      <c r="CS25" s="875" t="str">
        <f>IF(LA_!CS25="","",+LA_!CS25)</f>
        <v/>
      </c>
      <c r="CT25" s="875" t="str">
        <f>IF(LA_!CT25="","",+LA_!CT25)</f>
        <v/>
      </c>
      <c r="CU25" s="874" t="str">
        <f>IF(LA_!CU25="","",+LA_!CU25)</f>
        <v/>
      </c>
      <c r="CV25" s="872" t="str">
        <f>IF(LA_!CV25="","",+LA_!CV25)</f>
        <v/>
      </c>
      <c r="CW25" s="874" t="str">
        <f>IF(LA_!CW25="","",+LA_!CW25)</f>
        <v/>
      </c>
      <c r="CX25" s="1197" t="str">
        <f>IF(LA_!CX25="","",+LA_!CX25)</f>
        <v/>
      </c>
      <c r="CY25" s="2370" t="str">
        <f>IF(LA_!CY25="","",+LA_!CY25)</f>
        <v/>
      </c>
      <c r="CZ25" s="875" t="str">
        <f>IF(LA_!CZ25="","",+LA_!CZ25)</f>
        <v/>
      </c>
      <c r="DA25" s="875" t="str">
        <f>IF(LA_!DA25="","",+LA_!DA25)</f>
        <v/>
      </c>
      <c r="DB25" s="875" t="str">
        <f>IF(LA_!DB25="","",+LA_!DB25)</f>
        <v/>
      </c>
      <c r="DC25" s="875" t="str">
        <f>IF(LA_!DC25="","",+LA_!DC25)</f>
        <v/>
      </c>
      <c r="DD25" s="875" t="str">
        <f>IF(LA_!DD25="","",+LA_!DD25)</f>
        <v/>
      </c>
      <c r="DE25" s="875" t="str">
        <f>IF(LA_!DE25="","",+LA_!DE25)</f>
        <v/>
      </c>
      <c r="DF25" s="875" t="str">
        <f>IF(LA_!DF25="","",+LA_!DF25)</f>
        <v/>
      </c>
      <c r="DG25" s="875" t="str">
        <f>IF(LA_!DG25="","",+LA_!DG25)</f>
        <v/>
      </c>
      <c r="DH25" s="875" t="str">
        <f>IF(LA_!DH25="","",+LA_!DH25)</f>
        <v/>
      </c>
      <c r="DI25" s="879" t="str">
        <f>IF(LA_!DI25="","",+LA_!DI25)</f>
        <v/>
      </c>
      <c r="DJ25" s="872" t="str">
        <f>IF(LA_!DJ25="","",+LA_!DJ25)</f>
        <v/>
      </c>
      <c r="DK25" s="872" t="str">
        <f>IF(LA_!DK25="","",+LA_!DK25)</f>
        <v/>
      </c>
      <c r="DL25" s="872" t="str">
        <f>IF(LA_!DL25="","",+LA_!DL25)</f>
        <v/>
      </c>
      <c r="DM25" s="875" t="str">
        <f>IF(LA_!DM25="","",+LA_!DM25)</f>
        <v/>
      </c>
      <c r="DN25" s="875" t="str">
        <f>IF(LA_!DN25="","",+LA_!DN25)</f>
        <v/>
      </c>
      <c r="DO25" s="875" t="str">
        <f>IF(LA_!DO25="","",+LA_!DO25)</f>
        <v/>
      </c>
      <c r="DP25" s="872" t="str">
        <f>IF(LA_!DP25="","",+LA_!DP25)</f>
        <v/>
      </c>
      <c r="DQ25" s="875" t="str">
        <f>IF(LA_!DQ25="","",+LA_!DQ25)</f>
        <v/>
      </c>
      <c r="DR25" s="875" t="str">
        <f>IF(LA_!DR25="","",+LA_!DR25)</f>
        <v/>
      </c>
      <c r="DS25" s="876"/>
      <c r="DT25" s="880"/>
      <c r="DU25" s="330"/>
      <c r="DV25" s="330"/>
      <c r="DW25" s="881"/>
      <c r="DX25" s="849"/>
    </row>
    <row r="26" spans="2:128" ht="20.100000000000001" customHeight="1">
      <c r="B26" s="1789"/>
      <c r="C26" s="852">
        <v>16</v>
      </c>
      <c r="D26" s="1842">
        <f>IF(LA_!D26="","",+LA_!D26)</f>
        <v>128</v>
      </c>
      <c r="E26" s="872" t="str">
        <f>IF(LA_!E26="","",+LA_!E26)</f>
        <v/>
      </c>
      <c r="F26" s="873">
        <f>IF(LA_!F26="","",+LA_!F26)</f>
        <v>120</v>
      </c>
      <c r="G26" s="872" t="str">
        <f>IF(LA_!G26="","",+LA_!G26)</f>
        <v/>
      </c>
      <c r="H26" s="874" t="str">
        <f>IF(LA_!H26="","",+LA_!H26)</f>
        <v/>
      </c>
      <c r="I26" s="874" t="str">
        <f>IF(LA_!I26="","",+LA_!I26)</f>
        <v/>
      </c>
      <c r="J26" s="874">
        <f>IF(LA_!J26="","",+LA_!J26)</f>
        <v>52</v>
      </c>
      <c r="K26" s="874" t="str">
        <f>IF(LA_!K26="","",+LA_!K26)</f>
        <v/>
      </c>
      <c r="L26" s="1292" t="str">
        <f>IF(LA_!L26="","",+LA_!L26)</f>
        <v/>
      </c>
      <c r="M26" s="874" t="str">
        <f>IF(LA_!M26="","",+LA_!M26)</f>
        <v/>
      </c>
      <c r="N26" s="874" t="str">
        <f>IF(LA_!N26="","",+LA_!N26)</f>
        <v/>
      </c>
      <c r="O26" s="874" t="str">
        <f>IF(LA_!O26="","",+LA_!O26)</f>
        <v/>
      </c>
      <c r="P26" s="1197" t="str">
        <f>IF(LA_!P26="","",+LA_!P26)</f>
        <v/>
      </c>
      <c r="Q26" s="1196" t="str">
        <f>IF(LA_!Q26="","",+LA_!Q26)</f>
        <v/>
      </c>
      <c r="R26" s="874" t="str">
        <f>IF(LA_!R26="","",+LA_!R26)</f>
        <v/>
      </c>
      <c r="S26" s="874" t="str">
        <f>IF(LA_!S26="","",+LA_!S26)</f>
        <v/>
      </c>
      <c r="T26" s="2387" t="str">
        <f>IF(LA_!T26="","",+LA_!T26)</f>
        <v/>
      </c>
      <c r="U26" s="2384" t="str">
        <f>IF(LA_!U26="","",+LA_!U26)</f>
        <v/>
      </c>
      <c r="V26" s="1183" t="str">
        <f>IF(LA_!V26="","",+LA_!V26)</f>
        <v/>
      </c>
      <c r="W26" s="872" t="str">
        <f>IF(LA_!W26="","",+LA_!W26)</f>
        <v/>
      </c>
      <c r="X26" s="2387" t="str">
        <f>IF(LA_!X26="","",+LA_!X26)</f>
        <v/>
      </c>
      <c r="Y26" s="872" t="str">
        <f>IF(LA_!Y26="","",+LA_!Y26)</f>
        <v/>
      </c>
      <c r="Z26" s="1843">
        <f>IF(LA_!Z26="","",+LA_!Z26)</f>
        <v>122</v>
      </c>
      <c r="AA26" s="875">
        <f>IF(LA_!AA26="","",+LA_!AA26)</f>
        <v>122</v>
      </c>
      <c r="AB26" s="875" t="str">
        <f>IF(LA_!AB26="","",+LA_!AB26)</f>
        <v/>
      </c>
      <c r="AC26" s="875" t="str">
        <f>IF(LA_!AC26="","",+LA_!AC26)</f>
        <v/>
      </c>
      <c r="AD26" s="875">
        <f>IF(LA_!AD26="","",+LA_!AD26)</f>
        <v>12</v>
      </c>
      <c r="AE26" s="874" t="str">
        <f>IF(LA_!AE26="","",+LA_!AE26)</f>
        <v/>
      </c>
      <c r="AF26" s="872" t="str">
        <f>IF(LA_!AF26="","",+LA_!AF26)</f>
        <v/>
      </c>
      <c r="AG26" s="872" t="str">
        <f>IF(LA_!AG26="","",+LA_!AG26)</f>
        <v/>
      </c>
      <c r="AH26" s="872" t="str">
        <f>IF(LA_!AH26="","",+LA_!AH26)</f>
        <v/>
      </c>
      <c r="AI26" s="872" t="str">
        <f>IF(LA_!AI26="","",+LA_!AI26)</f>
        <v/>
      </c>
      <c r="AJ26" s="872" t="str">
        <f>IF(LA_!AJ26="","",+LA_!AJ26)</f>
        <v/>
      </c>
      <c r="AK26" s="872" t="str">
        <f>IF(LA_!AK26="","",+LA_!AK26)</f>
        <v/>
      </c>
      <c r="AL26" s="872" t="str">
        <f>IF(LA_!AL26="","",+LA_!AL26)</f>
        <v/>
      </c>
      <c r="AM26" s="872" t="str">
        <f>IF(LA_!AM26="","",+LA_!AM26)</f>
        <v/>
      </c>
      <c r="AN26" s="875" t="str">
        <f>IF(LA_!AN26="","",+LA_!AN26)</f>
        <v/>
      </c>
      <c r="AO26" s="875" t="str">
        <f>IF(LA_!AO26="","",+LA_!AO26)</f>
        <v/>
      </c>
      <c r="AP26" s="876" t="str">
        <f>IF(LA_!AP26="","",+LA_!AP26)</f>
        <v/>
      </c>
      <c r="AQ26" s="875" t="str">
        <f>IF(LA_!AQ26="","",+LA_!AQ26)</f>
        <v/>
      </c>
      <c r="AR26" s="875" t="str">
        <f>IF(LA_!AR26="","",+LA_!AR26)</f>
        <v/>
      </c>
      <c r="AS26" s="875" t="str">
        <f>IF(LA_!AS26="","",+LA_!AS26)</f>
        <v/>
      </c>
      <c r="AT26" s="875" t="str">
        <f>IF(LA_!AT26="","",+LA_!AT26)</f>
        <v/>
      </c>
      <c r="AU26" s="875" t="str">
        <f>IF(LA_!AU26="","",+LA_!AU26)</f>
        <v/>
      </c>
      <c r="AV26" s="875" t="str">
        <f>IF(LA_!AV26="","",+LA_!AV26)</f>
        <v/>
      </c>
      <c r="AW26" s="875" t="str">
        <f>IF(LA_!AW26="","",+LA_!AW26)</f>
        <v/>
      </c>
      <c r="AX26" s="875" t="str">
        <f>IF(LA_!AX26="","",+LA_!AX26)</f>
        <v/>
      </c>
      <c r="AY26" s="875" t="str">
        <f>IF(LA_!AY26="","",+LA_!AY26)</f>
        <v/>
      </c>
      <c r="AZ26" s="872" t="str">
        <f>IF(LA_!AZ26="","",+LA_!AZ26)</f>
        <v/>
      </c>
      <c r="BA26" s="872" t="str">
        <f>IF(LA_!BA26="","",+LA_!BA26)</f>
        <v/>
      </c>
      <c r="BB26" s="872" t="str">
        <f>IF(LA_!BB26="","",+LA_!BB26)</f>
        <v/>
      </c>
      <c r="BC26" s="872" t="str">
        <f>IF(LA_!BC26="","",+LA_!BC26)</f>
        <v/>
      </c>
      <c r="BD26" s="872" t="str">
        <f>IF(LA_!BD26="","",+LA_!BD26)</f>
        <v/>
      </c>
      <c r="BE26" s="876" t="str">
        <f>IF(LA_!BE26="","",+LA_!BE26)</f>
        <v/>
      </c>
      <c r="BF26" s="875" t="str">
        <f>IF(LA_!BF26="","",+LA_!BF26)</f>
        <v/>
      </c>
      <c r="BG26" s="877">
        <f>+IF(LA_!BG26="","",IF(ISTEXT(LA_!BG26),0,ROUND(LA_!BG26,2)))</f>
        <v>0.04</v>
      </c>
      <c r="BH26" s="878">
        <f>+IF(LA_!BH26="","",IF(ISTEXT(LA_!BH26),0,ROUND(LA_!BH26,2)))</f>
        <v>0.32</v>
      </c>
      <c r="BI26" s="1844">
        <f>IF(LA_!BI26="","",+LA_!BI26)</f>
        <v>14.5</v>
      </c>
      <c r="BJ26" s="1844">
        <f>IF(LA_!BJ26="","",+LA_!BJ26)</f>
        <v>26.4</v>
      </c>
      <c r="BK26" s="878" t="str">
        <f>IF(LA_!BK26="","",+LA_!BK26)</f>
        <v/>
      </c>
      <c r="BL26" s="878" t="str">
        <f>IF(LA_!BL26="","",+LA_!BL26)</f>
        <v/>
      </c>
      <c r="BM26" s="875" t="str">
        <f>IF(LA_!BM26="","",+LA_!BM26)</f>
        <v/>
      </c>
      <c r="BN26" s="878">
        <f>+IF(LA_!BN26="","",IF(ISTEXT(LA_!BN26),0,ROUND(LA_!BN26,2)))</f>
        <v>0.04</v>
      </c>
      <c r="BO26" s="878">
        <f>+IF(LA_!BO26="","",IF(ISTEXT(LA_!BO26),0,ROUND(LA_!BO26,2)))</f>
        <v>0.28999999999999998</v>
      </c>
      <c r="BP26" s="872">
        <f>IF(LA_!BP26="","",ROUND(+LA_!BP26,1))</f>
        <v>17</v>
      </c>
      <c r="BQ26" s="872">
        <f>IF(LA_!BQ26="","",ROUND(+LA_!BQ26,1))</f>
        <v>28.8</v>
      </c>
      <c r="BR26" s="875" t="str">
        <f>IF(LA_!BR26="","",+LA_!BR26)</f>
        <v/>
      </c>
      <c r="BS26" s="875" t="str">
        <f>IF(LA_!BS26="","",+LA_!BS26)</f>
        <v/>
      </c>
      <c r="BT26" s="875" t="str">
        <f>IF(LA_!BT26="","",+LA_!BT26)</f>
        <v/>
      </c>
      <c r="BU26" s="878" t="str">
        <f>+IF(LA_!BU26="","",IF(ISTEXT(LA_!BU26),0,ROUND(LA_!BU26,2)))</f>
        <v/>
      </c>
      <c r="BV26" s="878" t="str">
        <f>+IF(LA_!BV26="","",IF(ISTEXT(LA_!BV26),0,ROUND(LA_!BV26,2)))</f>
        <v/>
      </c>
      <c r="BW26" s="872" t="str">
        <f>IF(LA_!BW26="","",ROUND(+LA_!BW26,1))</f>
        <v/>
      </c>
      <c r="BX26" s="872" t="str">
        <f>IF(LA_!BX26="","",ROUND(+LA_!BX26,1))</f>
        <v/>
      </c>
      <c r="BY26" s="875" t="str">
        <f>IF(LA_!BY26="","",+LA_!BY26)</f>
        <v/>
      </c>
      <c r="BZ26" s="875" t="str">
        <f>IF(LA_!BZ26="","",+LA_!BZ26)</f>
        <v/>
      </c>
      <c r="CA26" s="875" t="str">
        <f>IF(LA_!CA26="","",+LA_!CA26)</f>
        <v/>
      </c>
      <c r="CB26" s="878">
        <f>+IF(LA_!CB26="","",IF(ISTEXT(LA_!CB26),0,ROUND(LA_!CB26,2)))</f>
        <v>0.39</v>
      </c>
      <c r="CC26" s="878">
        <f>+IF(LA_!CC26="","",IF(ISTEXT(LA_!CC26),0,ROUND(LA_!CC26,2)))</f>
        <v>2.4300000000000002</v>
      </c>
      <c r="CD26" s="872">
        <f>IF(LA_!CD26="","",ROUND(+LA_!CD26,1))</f>
        <v>11.9</v>
      </c>
      <c r="CE26" s="872">
        <f>IF(LA_!CE26="","",ROUND(+LA_!CE26,1))</f>
        <v>18.100000000000001</v>
      </c>
      <c r="CF26" s="878" t="str">
        <f>IF(LA_!CF26="","",+LA_!CF26)</f>
        <v/>
      </c>
      <c r="CG26" s="878" t="str">
        <f>IF(LA_!CG26="","",+LA_!CG26)</f>
        <v/>
      </c>
      <c r="CH26" s="875" t="str">
        <f>IF(LA_!CH26="","",+LA_!CH26)</f>
        <v/>
      </c>
      <c r="CI26" s="876" t="str">
        <f>IF(LA_!CI26="","",+LA_!CI26)</f>
        <v/>
      </c>
      <c r="CJ26" s="875" t="str">
        <f>IF(LA_!CJ26="","",+LA_!CJ26)</f>
        <v/>
      </c>
      <c r="CK26" s="875" t="str">
        <f>IF(LA_!CK26="","",+LA_!CK26)</f>
        <v/>
      </c>
      <c r="CL26" s="875" t="str">
        <f>IF(LA_!CL26="","",+LA_!CL26)</f>
        <v/>
      </c>
      <c r="CM26" s="875" t="str">
        <f>IF(LA_!CM26="","",+LA_!CM26)</f>
        <v/>
      </c>
      <c r="CN26" s="875" t="str">
        <f>IF(LA_!CN26="","",+LA_!CN26)</f>
        <v/>
      </c>
      <c r="CO26" s="875" t="str">
        <f>IF(LA_!CO26="","",+LA_!CO26)</f>
        <v/>
      </c>
      <c r="CP26" s="875" t="str">
        <f>IF(LA_!CP26="","",+LA_!CP26)</f>
        <v/>
      </c>
      <c r="CQ26" s="1922" t="str">
        <f>IF(LA_!CQ26="","",+LA_!CQ26)</f>
        <v/>
      </c>
      <c r="CR26" s="875" t="str">
        <f>IF(LA_!CR26="","",+LA_!CR26)</f>
        <v/>
      </c>
      <c r="CS26" s="875" t="str">
        <f>IF(LA_!CS26="","",+LA_!CS26)</f>
        <v/>
      </c>
      <c r="CT26" s="875" t="str">
        <f>IF(LA_!CT26="","",+LA_!CT26)</f>
        <v/>
      </c>
      <c r="CU26" s="874" t="str">
        <f>IF(LA_!CU26="","",+LA_!CU26)</f>
        <v/>
      </c>
      <c r="CV26" s="872" t="str">
        <f>IF(LA_!CV26="","",+LA_!CV26)</f>
        <v/>
      </c>
      <c r="CW26" s="874" t="str">
        <f>IF(LA_!CW26="","",+LA_!CW26)</f>
        <v/>
      </c>
      <c r="CX26" s="1197" t="str">
        <f>IF(LA_!CX26="","",+LA_!CX26)</f>
        <v/>
      </c>
      <c r="CY26" s="2370" t="str">
        <f>IF(LA_!CY26="","",+LA_!CY26)</f>
        <v/>
      </c>
      <c r="CZ26" s="875" t="str">
        <f>IF(LA_!CZ26="","",+LA_!CZ26)</f>
        <v/>
      </c>
      <c r="DA26" s="875" t="str">
        <f>IF(LA_!DA26="","",+LA_!DA26)</f>
        <v/>
      </c>
      <c r="DB26" s="875" t="str">
        <f>IF(LA_!DB26="","",+LA_!DB26)</f>
        <v/>
      </c>
      <c r="DC26" s="875" t="str">
        <f>IF(LA_!DC26="","",+LA_!DC26)</f>
        <v/>
      </c>
      <c r="DD26" s="875" t="str">
        <f>IF(LA_!DD26="","",+LA_!DD26)</f>
        <v/>
      </c>
      <c r="DE26" s="875" t="str">
        <f>IF(LA_!DE26="","",+LA_!DE26)</f>
        <v/>
      </c>
      <c r="DF26" s="875" t="str">
        <f>IF(LA_!DF26="","",+LA_!DF26)</f>
        <v/>
      </c>
      <c r="DG26" s="875" t="str">
        <f>IF(LA_!DG26="","",+LA_!DG26)</f>
        <v/>
      </c>
      <c r="DH26" s="875" t="str">
        <f>IF(LA_!DH26="","",+LA_!DH26)</f>
        <v/>
      </c>
      <c r="DI26" s="879" t="str">
        <f>IF(LA_!DI26="","",+LA_!DI26)</f>
        <v/>
      </c>
      <c r="DJ26" s="872" t="str">
        <f>IF(LA_!DJ26="","",+LA_!DJ26)</f>
        <v/>
      </c>
      <c r="DK26" s="872" t="str">
        <f>IF(LA_!DK26="","",+LA_!DK26)</f>
        <v/>
      </c>
      <c r="DL26" s="872" t="str">
        <f>IF(LA_!DL26="","",+LA_!DL26)</f>
        <v/>
      </c>
      <c r="DM26" s="875" t="str">
        <f>IF(LA_!DM26="","",+LA_!DM26)</f>
        <v/>
      </c>
      <c r="DN26" s="875" t="str">
        <f>IF(LA_!DN26="","",+LA_!DN26)</f>
        <v/>
      </c>
      <c r="DO26" s="875" t="str">
        <f>IF(LA_!DO26="","",+LA_!DO26)</f>
        <v/>
      </c>
      <c r="DP26" s="872" t="str">
        <f>IF(LA_!DP26="","",+LA_!DP26)</f>
        <v/>
      </c>
      <c r="DQ26" s="875" t="str">
        <f>IF(LA_!DQ26="","",+LA_!DQ26)</f>
        <v/>
      </c>
      <c r="DR26" s="875" t="str">
        <f>IF(LA_!DR26="","",+LA_!DR26)</f>
        <v/>
      </c>
      <c r="DS26" s="876"/>
      <c r="DT26" s="880"/>
      <c r="DU26" s="330"/>
      <c r="DV26" s="330"/>
      <c r="DW26" s="882"/>
      <c r="DX26" s="849"/>
    </row>
    <row r="27" spans="2:128" ht="20.100000000000001" customHeight="1">
      <c r="B27" s="1789"/>
      <c r="C27" s="852">
        <v>17</v>
      </c>
      <c r="D27" s="1842">
        <f>IF(LA_!D27="","",+LA_!D27)</f>
        <v>136</v>
      </c>
      <c r="E27" s="872" t="str">
        <f>IF(LA_!E27="","",+LA_!E27)</f>
        <v/>
      </c>
      <c r="F27" s="873">
        <f>IF(LA_!F27="","",+LA_!F27)</f>
        <v>144</v>
      </c>
      <c r="G27" s="872" t="str">
        <f>IF(LA_!G27="","",+LA_!G27)</f>
        <v/>
      </c>
      <c r="H27" s="874" t="str">
        <f>IF(LA_!H27="","",+LA_!H27)</f>
        <v/>
      </c>
      <c r="I27" s="874" t="str">
        <f>IF(LA_!I27="","",+LA_!I27)</f>
        <v/>
      </c>
      <c r="J27" s="874">
        <f>IF(LA_!J27="","",+LA_!J27)</f>
        <v>17</v>
      </c>
      <c r="K27" s="874" t="str">
        <f>IF(LA_!K27="","",+LA_!K27)</f>
        <v/>
      </c>
      <c r="L27" s="1292" t="str">
        <f>IF(LA_!L27="","",+LA_!L27)</f>
        <v/>
      </c>
      <c r="M27" s="874" t="str">
        <f>IF(LA_!M27="","",+LA_!M27)</f>
        <v/>
      </c>
      <c r="N27" s="874" t="str">
        <f>IF(LA_!N27="","",+LA_!N27)</f>
        <v/>
      </c>
      <c r="O27" s="874" t="str">
        <f>IF(LA_!O27="","",+LA_!O27)</f>
        <v/>
      </c>
      <c r="P27" s="1197" t="str">
        <f>IF(LA_!P27="","",+LA_!P27)</f>
        <v/>
      </c>
      <c r="Q27" s="1196" t="str">
        <f>IF(LA_!Q27="","",+LA_!Q27)</f>
        <v/>
      </c>
      <c r="R27" s="874" t="str">
        <f>IF(LA_!R27="","",+LA_!R27)</f>
        <v/>
      </c>
      <c r="S27" s="874" t="str">
        <f>IF(LA_!S27="","",+LA_!S27)</f>
        <v/>
      </c>
      <c r="T27" s="2387" t="str">
        <f>IF(LA_!T27="","",+LA_!T27)</f>
        <v/>
      </c>
      <c r="U27" s="2384" t="str">
        <f>IF(LA_!U27="","",+LA_!U27)</f>
        <v/>
      </c>
      <c r="V27" s="1183" t="str">
        <f>IF(LA_!V27="","",+LA_!V27)</f>
        <v/>
      </c>
      <c r="W27" s="872" t="str">
        <f>IF(LA_!W27="","",+LA_!W27)</f>
        <v/>
      </c>
      <c r="X27" s="2387" t="str">
        <f>IF(LA_!X27="","",+LA_!X27)</f>
        <v/>
      </c>
      <c r="Y27" s="872" t="str">
        <f>IF(LA_!Y27="","",+LA_!Y27)</f>
        <v/>
      </c>
      <c r="Z27" s="1843">
        <f>IF(LA_!Z27="","",+LA_!Z27)</f>
        <v>119</v>
      </c>
      <c r="AA27" s="875">
        <f>IF(LA_!AA27="","",+LA_!AA27)</f>
        <v>114</v>
      </c>
      <c r="AB27" s="875" t="str">
        <f>IF(LA_!AB27="","",+LA_!AB27)</f>
        <v/>
      </c>
      <c r="AC27" s="875" t="str">
        <f>IF(LA_!AC27="","",+LA_!AC27)</f>
        <v/>
      </c>
      <c r="AD27" s="875">
        <f>IF(LA_!AD27="","",+LA_!AD27)</f>
        <v>7</v>
      </c>
      <c r="AE27" s="874" t="str">
        <f>IF(LA_!AE27="","",+LA_!AE27)</f>
        <v/>
      </c>
      <c r="AF27" s="872" t="str">
        <f>IF(LA_!AF27="","",+LA_!AF27)</f>
        <v/>
      </c>
      <c r="AG27" s="872" t="str">
        <f>IF(LA_!AG27="","",+LA_!AG27)</f>
        <v/>
      </c>
      <c r="AH27" s="872" t="str">
        <f>IF(LA_!AH27="","",+LA_!AH27)</f>
        <v/>
      </c>
      <c r="AI27" s="872" t="str">
        <f>IF(LA_!AI27="","",+LA_!AI27)</f>
        <v/>
      </c>
      <c r="AJ27" s="872" t="str">
        <f>IF(LA_!AJ27="","",+LA_!AJ27)</f>
        <v/>
      </c>
      <c r="AK27" s="872" t="str">
        <f>IF(LA_!AK27="","",+LA_!AK27)</f>
        <v/>
      </c>
      <c r="AL27" s="872" t="str">
        <f>IF(LA_!AL27="","",+LA_!AL27)</f>
        <v/>
      </c>
      <c r="AM27" s="872" t="str">
        <f>IF(LA_!AM27="","",+LA_!AM27)</f>
        <v/>
      </c>
      <c r="AN27" s="875" t="str">
        <f>IF(LA_!AN27="","",+LA_!AN27)</f>
        <v/>
      </c>
      <c r="AO27" s="875" t="str">
        <f>IF(LA_!AO27="","",+LA_!AO27)</f>
        <v/>
      </c>
      <c r="AP27" s="876" t="str">
        <f>IF(LA_!AP27="","",+LA_!AP27)</f>
        <v/>
      </c>
      <c r="AQ27" s="875" t="str">
        <f>IF(LA_!AQ27="","",+LA_!AQ27)</f>
        <v/>
      </c>
      <c r="AR27" s="875" t="str">
        <f>IF(LA_!AR27="","",+LA_!AR27)</f>
        <v/>
      </c>
      <c r="AS27" s="875" t="str">
        <f>IF(LA_!AS27="","",+LA_!AS27)</f>
        <v/>
      </c>
      <c r="AT27" s="875" t="str">
        <f>IF(LA_!AT27="","",+LA_!AT27)</f>
        <v/>
      </c>
      <c r="AU27" s="875" t="str">
        <f>IF(LA_!AU27="","",+LA_!AU27)</f>
        <v/>
      </c>
      <c r="AV27" s="875" t="str">
        <f>IF(LA_!AV27="","",+LA_!AV27)</f>
        <v/>
      </c>
      <c r="AW27" s="875" t="str">
        <f>IF(LA_!AW27="","",+LA_!AW27)</f>
        <v/>
      </c>
      <c r="AX27" s="875" t="str">
        <f>IF(LA_!AX27="","",+LA_!AX27)</f>
        <v/>
      </c>
      <c r="AY27" s="875" t="str">
        <f>IF(LA_!AY27="","",+LA_!AY27)</f>
        <v/>
      </c>
      <c r="AZ27" s="872" t="str">
        <f>IF(LA_!AZ27="","",+LA_!AZ27)</f>
        <v/>
      </c>
      <c r="BA27" s="872" t="str">
        <f>IF(LA_!BA27="","",+LA_!BA27)</f>
        <v/>
      </c>
      <c r="BB27" s="872" t="str">
        <f>IF(LA_!BB27="","",+LA_!BB27)</f>
        <v/>
      </c>
      <c r="BC27" s="872" t="str">
        <f>IF(LA_!BC27="","",+LA_!BC27)</f>
        <v/>
      </c>
      <c r="BD27" s="872" t="str">
        <f>IF(LA_!BD27="","",+LA_!BD27)</f>
        <v/>
      </c>
      <c r="BE27" s="876" t="str">
        <f>IF(LA_!BE27="","",+LA_!BE27)</f>
        <v/>
      </c>
      <c r="BF27" s="875" t="str">
        <f>IF(LA_!BF27="","",+LA_!BF27)</f>
        <v/>
      </c>
      <c r="BG27" s="877">
        <f>+IF(LA_!BG27="","",IF(ISTEXT(LA_!BG27),0,ROUND(LA_!BG27,2)))</f>
        <v>0.03</v>
      </c>
      <c r="BH27" s="878">
        <f>+IF(LA_!BH27="","",IF(ISTEXT(LA_!BH27),0,ROUND(LA_!BH27,2)))</f>
        <v>0.16</v>
      </c>
      <c r="BI27" s="1844">
        <f>IF(LA_!BI27="","",+LA_!BI27)</f>
        <v>21.3</v>
      </c>
      <c r="BJ27" s="1844">
        <f>IF(LA_!BJ27="","",+LA_!BJ27)</f>
        <v>37.9</v>
      </c>
      <c r="BK27" s="878" t="str">
        <f>IF(LA_!BK27="","",+LA_!BK27)</f>
        <v/>
      </c>
      <c r="BL27" s="878" t="str">
        <f>IF(LA_!BL27="","",+LA_!BL27)</f>
        <v/>
      </c>
      <c r="BM27" s="875" t="str">
        <f>IF(LA_!BM27="","",+LA_!BM27)</f>
        <v/>
      </c>
      <c r="BN27" s="878">
        <f>+IF(LA_!BN27="","",IF(ISTEXT(LA_!BN27),0,ROUND(LA_!BN27,2)))</f>
        <v>0.04</v>
      </c>
      <c r="BO27" s="878">
        <f>+IF(LA_!BO27="","",IF(ISTEXT(LA_!BO27),0,ROUND(LA_!BO27,2)))</f>
        <v>0.11</v>
      </c>
      <c r="BP27" s="872">
        <f>IF(LA_!BP27="","",ROUND(+LA_!BP27,1))</f>
        <v>21.2</v>
      </c>
      <c r="BQ27" s="872">
        <f>IF(LA_!BQ27="","",ROUND(+LA_!BQ27,1))</f>
        <v>35.299999999999997</v>
      </c>
      <c r="BR27" s="875" t="str">
        <f>IF(LA_!BR27="","",+LA_!BR27)</f>
        <v/>
      </c>
      <c r="BS27" s="875" t="str">
        <f>IF(LA_!BS27="","",+LA_!BS27)</f>
        <v/>
      </c>
      <c r="BT27" s="875" t="str">
        <f>IF(LA_!BT27="","",+LA_!BT27)</f>
        <v/>
      </c>
      <c r="BU27" s="878" t="str">
        <f>+IF(LA_!BU27="","",IF(ISTEXT(LA_!BU27),0,ROUND(LA_!BU27,2)))</f>
        <v/>
      </c>
      <c r="BV27" s="878" t="str">
        <f>+IF(LA_!BV27="","",IF(ISTEXT(LA_!BV27),0,ROUND(LA_!BV27,2)))</f>
        <v/>
      </c>
      <c r="BW27" s="872" t="str">
        <f>IF(LA_!BW27="","",ROUND(+LA_!BW27,1))</f>
        <v/>
      </c>
      <c r="BX27" s="872" t="str">
        <f>IF(LA_!BX27="","",ROUND(+LA_!BX27,1))</f>
        <v/>
      </c>
      <c r="BY27" s="875" t="str">
        <f>IF(LA_!BY27="","",+LA_!BY27)</f>
        <v/>
      </c>
      <c r="BZ27" s="875" t="str">
        <f>IF(LA_!BZ27="","",+LA_!BZ27)</f>
        <v/>
      </c>
      <c r="CA27" s="875" t="str">
        <f>IF(LA_!CA27="","",+LA_!CA27)</f>
        <v/>
      </c>
      <c r="CB27" s="878">
        <f>+IF(LA_!CB27="","",IF(ISTEXT(LA_!CB27),0,ROUND(LA_!CB27,2)))</f>
        <v>0.51</v>
      </c>
      <c r="CC27" s="878">
        <f>+IF(LA_!CC27="","",IF(ISTEXT(LA_!CC27),0,ROUND(LA_!CC27,2)))</f>
        <v>2.94</v>
      </c>
      <c r="CD27" s="872">
        <f>IF(LA_!CD27="","",ROUND(+LA_!CD27,1))</f>
        <v>13.6</v>
      </c>
      <c r="CE27" s="872">
        <f>IF(LA_!CE27="","",ROUND(+LA_!CE27,1))</f>
        <v>16.399999999999999</v>
      </c>
      <c r="CF27" s="878" t="str">
        <f>IF(LA_!CF27="","",+LA_!CF27)</f>
        <v/>
      </c>
      <c r="CG27" s="878" t="str">
        <f>IF(LA_!CG27="","",+LA_!CG27)</f>
        <v/>
      </c>
      <c r="CH27" s="875" t="str">
        <f>IF(LA_!CH27="","",+LA_!CH27)</f>
        <v/>
      </c>
      <c r="CI27" s="876" t="str">
        <f>IF(LA_!CI27="","",+LA_!CI27)</f>
        <v/>
      </c>
      <c r="CJ27" s="875" t="str">
        <f>IF(LA_!CJ27="","",+LA_!CJ27)</f>
        <v/>
      </c>
      <c r="CK27" s="875" t="str">
        <f>IF(LA_!CK27="","",+LA_!CK27)</f>
        <v/>
      </c>
      <c r="CL27" s="875" t="str">
        <f>IF(LA_!CL27="","",+LA_!CL27)</f>
        <v/>
      </c>
      <c r="CM27" s="875" t="str">
        <f>IF(LA_!CM27="","",+LA_!CM27)</f>
        <v/>
      </c>
      <c r="CN27" s="875" t="str">
        <f>IF(LA_!CN27="","",+LA_!CN27)</f>
        <v/>
      </c>
      <c r="CO27" s="875" t="str">
        <f>IF(LA_!CO27="","",+LA_!CO27)</f>
        <v/>
      </c>
      <c r="CP27" s="875" t="str">
        <f>IF(LA_!CP27="","",+LA_!CP27)</f>
        <v/>
      </c>
      <c r="CQ27" s="1922" t="str">
        <f>IF(LA_!CQ27="","",+LA_!CQ27)</f>
        <v/>
      </c>
      <c r="CR27" s="875" t="str">
        <f>IF(LA_!CR27="","",+LA_!CR27)</f>
        <v/>
      </c>
      <c r="CS27" s="875" t="str">
        <f>IF(LA_!CS27="","",+LA_!CS27)</f>
        <v/>
      </c>
      <c r="CT27" s="875" t="str">
        <f>IF(LA_!CT27="","",+LA_!CT27)</f>
        <v/>
      </c>
      <c r="CU27" s="874" t="str">
        <f>IF(LA_!CU27="","",+LA_!CU27)</f>
        <v/>
      </c>
      <c r="CV27" s="872" t="str">
        <f>IF(LA_!CV27="","",+LA_!CV27)</f>
        <v/>
      </c>
      <c r="CW27" s="874" t="str">
        <f>IF(LA_!CW27="","",+LA_!CW27)</f>
        <v/>
      </c>
      <c r="CX27" s="1197" t="str">
        <f>IF(LA_!CX27="","",+LA_!CX27)</f>
        <v/>
      </c>
      <c r="CY27" s="2370" t="str">
        <f>IF(LA_!CY27="","",+LA_!CY27)</f>
        <v/>
      </c>
      <c r="CZ27" s="875" t="str">
        <f>IF(LA_!CZ27="","",+LA_!CZ27)</f>
        <v/>
      </c>
      <c r="DA27" s="875" t="str">
        <f>IF(LA_!DA27="","",+LA_!DA27)</f>
        <v/>
      </c>
      <c r="DB27" s="875" t="str">
        <f>IF(LA_!DB27="","",+LA_!DB27)</f>
        <v/>
      </c>
      <c r="DC27" s="875" t="str">
        <f>IF(LA_!DC27="","",+LA_!DC27)</f>
        <v/>
      </c>
      <c r="DD27" s="875" t="str">
        <f>IF(LA_!DD27="","",+LA_!DD27)</f>
        <v/>
      </c>
      <c r="DE27" s="875" t="str">
        <f>IF(LA_!DE27="","",+LA_!DE27)</f>
        <v/>
      </c>
      <c r="DF27" s="875" t="str">
        <f>IF(LA_!DF27="","",+LA_!DF27)</f>
        <v/>
      </c>
      <c r="DG27" s="875" t="str">
        <f>IF(LA_!DG27="","",+LA_!DG27)</f>
        <v/>
      </c>
      <c r="DH27" s="875" t="str">
        <f>IF(LA_!DH27="","",+LA_!DH27)</f>
        <v/>
      </c>
      <c r="DI27" s="879" t="str">
        <f>IF(LA_!DI27="","",+LA_!DI27)</f>
        <v/>
      </c>
      <c r="DJ27" s="872" t="str">
        <f>IF(LA_!DJ27="","",+LA_!DJ27)</f>
        <v/>
      </c>
      <c r="DK27" s="872" t="str">
        <f>IF(LA_!DK27="","",+LA_!DK27)</f>
        <v/>
      </c>
      <c r="DL27" s="872" t="str">
        <f>IF(LA_!DL27="","",+LA_!DL27)</f>
        <v/>
      </c>
      <c r="DM27" s="875" t="str">
        <f>IF(LA_!DM27="","",+LA_!DM27)</f>
        <v/>
      </c>
      <c r="DN27" s="875" t="str">
        <f>IF(LA_!DN27="","",+LA_!DN27)</f>
        <v/>
      </c>
      <c r="DO27" s="875" t="str">
        <f>IF(LA_!DO27="","",+LA_!DO27)</f>
        <v/>
      </c>
      <c r="DP27" s="872" t="str">
        <f>IF(LA_!DP27="","",+LA_!DP27)</f>
        <v/>
      </c>
      <c r="DQ27" s="875" t="str">
        <f>IF(LA_!DQ27="","",+LA_!DQ27)</f>
        <v/>
      </c>
      <c r="DR27" s="875" t="str">
        <f>IF(LA_!DR27="","",+LA_!DR27)</f>
        <v/>
      </c>
      <c r="DS27" s="876"/>
      <c r="DT27" s="880"/>
      <c r="DU27" s="330"/>
      <c r="DV27" s="330"/>
      <c r="DW27" s="881"/>
      <c r="DX27" s="849"/>
    </row>
    <row r="28" spans="2:128" ht="20.100000000000001" customHeight="1">
      <c r="B28" s="1789"/>
      <c r="C28" s="852">
        <v>18</v>
      </c>
      <c r="D28" s="1842">
        <f>IF(LA_!D28="","",+LA_!D28)</f>
        <v>148</v>
      </c>
      <c r="E28" s="872">
        <f>IF(LA_!E28="","",+LA_!E28)</f>
        <v>83.8</v>
      </c>
      <c r="F28" s="873">
        <f>IF(LA_!F28="","",+LA_!F28)</f>
        <v>132</v>
      </c>
      <c r="G28" s="872">
        <f>IF(LA_!G28="","",+LA_!G28)</f>
        <v>81.8</v>
      </c>
      <c r="H28" s="874">
        <f>IF(LA_!H28="","",+LA_!H28)</f>
        <v>72</v>
      </c>
      <c r="I28" s="874">
        <f>IF(LA_!I28="","",+LA_!I28)</f>
        <v>76</v>
      </c>
      <c r="J28" s="874">
        <f>IF(LA_!J28="","",+LA_!J28)</f>
        <v>28</v>
      </c>
      <c r="K28" s="874">
        <f>IF(LA_!K28="","",+LA_!K28)</f>
        <v>260</v>
      </c>
      <c r="L28" s="1292">
        <f>IF(LA_!L28="","",+LA_!L28)</f>
        <v>2550</v>
      </c>
      <c r="M28" s="874">
        <f>IF(LA_!M28="","",+LA_!M28)</f>
        <v>2240</v>
      </c>
      <c r="N28" s="874">
        <f>IF(LA_!N28="","",+LA_!N28)</f>
        <v>1720</v>
      </c>
      <c r="O28" s="874">
        <f>IF(LA_!O28="","",+LA_!O28)</f>
        <v>4560</v>
      </c>
      <c r="P28" s="1197">
        <f>IF(LA_!P28="","",+LA_!P28)</f>
        <v>3650</v>
      </c>
      <c r="Q28" s="1196">
        <f>IF(LA_!Q28="","",+LA_!Q28)</f>
        <v>2760</v>
      </c>
      <c r="R28" s="874">
        <f>IF(LA_!R28="","",+LA_!R28)</f>
        <v>4110</v>
      </c>
      <c r="S28" s="874">
        <f>IF(LA_!S28="","",+LA_!S28)</f>
        <v>3790</v>
      </c>
      <c r="T28" s="2387">
        <f>IF(LA_!T28="","",+LA_!T28)</f>
        <v>5730</v>
      </c>
      <c r="U28" s="2384">
        <f>IF(LA_!U28="","",+LA_!U28)</f>
        <v>6550</v>
      </c>
      <c r="V28" s="1183">
        <f>IF(LA_!V28="","",+LA_!V28)</f>
        <v>2980</v>
      </c>
      <c r="W28" s="872">
        <f>IF(LA_!W28="","",+LA_!W28)</f>
        <v>81.2</v>
      </c>
      <c r="X28" s="2387">
        <f>IF(LA_!X28="","",+LA_!X28)</f>
        <v>8940</v>
      </c>
      <c r="Y28" s="872">
        <f>IF(LA_!Y28="","",+LA_!Y28)</f>
        <v>84.3</v>
      </c>
      <c r="Z28" s="1843">
        <f>IF(LA_!Z28="","",+LA_!Z28)</f>
        <v>141</v>
      </c>
      <c r="AA28" s="875">
        <f>IF(LA_!AA28="","",+LA_!AA28)</f>
        <v>135</v>
      </c>
      <c r="AB28" s="875">
        <f>IF(LA_!AB28="","",+LA_!AB28)</f>
        <v>81</v>
      </c>
      <c r="AC28" s="875">
        <f>IF(LA_!AC28="","",+LA_!AC28)</f>
        <v>93</v>
      </c>
      <c r="AD28" s="875">
        <f>IF(LA_!AD28="","",+LA_!AD28)</f>
        <v>9</v>
      </c>
      <c r="AE28" s="874">
        <f>IF(LA_!AE28="","",+LA_!AE28)</f>
        <v>920</v>
      </c>
      <c r="AF28" s="872">
        <f>IF(LA_!AF28="","",+LA_!AF28)</f>
        <v>3.4</v>
      </c>
      <c r="AG28" s="872">
        <f>IF(LA_!AG28="","",+LA_!AG28)</f>
        <v>84.9</v>
      </c>
      <c r="AH28" s="872">
        <f>IF(LA_!AH28="","",+LA_!AH28)</f>
        <v>1.9</v>
      </c>
      <c r="AI28" s="872">
        <f>IF(LA_!AI28="","",+LA_!AI28)</f>
        <v>70.8</v>
      </c>
      <c r="AJ28" s="872" t="str">
        <f>IF(LA_!AJ28="","",+LA_!AJ28)</f>
        <v/>
      </c>
      <c r="AK28" s="872" t="str">
        <f>IF(LA_!AK28="","",+LA_!AK28)</f>
        <v/>
      </c>
      <c r="AL28" s="872" t="str">
        <f>IF(LA_!AL28="","",+LA_!AL28)</f>
        <v/>
      </c>
      <c r="AM28" s="872" t="str">
        <f>IF(LA_!AM28="","",+LA_!AM28)</f>
        <v/>
      </c>
      <c r="AN28" s="875" t="str">
        <f>IF(LA_!AN28="","",+LA_!AN28)</f>
        <v/>
      </c>
      <c r="AO28" s="875" t="str">
        <f>IF(LA_!AO28="","",+LA_!AO28)</f>
        <v/>
      </c>
      <c r="AP28" s="876">
        <f>IF(LA_!AP28="","",+LA_!AP28)</f>
        <v>520</v>
      </c>
      <c r="AQ28" s="875" t="str">
        <f>IF(LA_!AQ28="","",+LA_!AQ28)</f>
        <v/>
      </c>
      <c r="AR28" s="875">
        <f>IF(LA_!AR28="","",+LA_!AR28)</f>
        <v>130</v>
      </c>
      <c r="AS28" s="875">
        <f>IF(LA_!AS28="","",+LA_!AS28)</f>
        <v>110</v>
      </c>
      <c r="AT28" s="875">
        <f>IF(LA_!AT28="","",+LA_!AT28)</f>
        <v>150</v>
      </c>
      <c r="AU28" s="875">
        <f>IF(LA_!AU28="","",+LA_!AU28)</f>
        <v>2500</v>
      </c>
      <c r="AV28" s="875" t="str">
        <f>IF(LA_!AV28="","",+LA_!AV28)</f>
        <v/>
      </c>
      <c r="AW28" s="875">
        <f>IF(LA_!AW28="","",+LA_!AW28)</f>
        <v>3000</v>
      </c>
      <c r="AX28" s="875">
        <f>IF(LA_!AX28="","",+LA_!AX28)</f>
        <v>3100</v>
      </c>
      <c r="AY28" s="875">
        <f>IF(LA_!AY28="","",+LA_!AY28)</f>
        <v>2900</v>
      </c>
      <c r="AZ28" s="872">
        <f>IF(LA_!AZ28="","",+LA_!AZ28)</f>
        <v>7.1</v>
      </c>
      <c r="BA28" s="872" t="str">
        <f>IF(LA_!BA28="","",+LA_!BA28)</f>
        <v/>
      </c>
      <c r="BB28" s="872">
        <f>IF(LA_!BB28="","",+LA_!BB28)</f>
        <v>7.1</v>
      </c>
      <c r="BC28" s="872">
        <f>IF(LA_!BC28="","",+LA_!BC28)</f>
        <v>7.1</v>
      </c>
      <c r="BD28" s="872">
        <f>IF(LA_!BD28="","",+LA_!BD28)</f>
        <v>7.1</v>
      </c>
      <c r="BE28" s="876" t="str">
        <f>IF(LA_!BE28="","",+LA_!BE28)</f>
        <v/>
      </c>
      <c r="BF28" s="875" t="str">
        <f>IF(LA_!BF28="","",+LA_!BF28)</f>
        <v/>
      </c>
      <c r="BG28" s="877">
        <f>+IF(LA_!BG28="","",IF(ISTEXT(LA_!BG28),0,ROUND(LA_!BG28,2)))</f>
        <v>0.05</v>
      </c>
      <c r="BH28" s="878">
        <f>+IF(LA_!BH28="","",IF(ISTEXT(LA_!BH28),0,ROUND(LA_!BH28,2)))</f>
        <v>0.08</v>
      </c>
      <c r="BI28" s="1844">
        <f>IF(LA_!BI28="","",+LA_!BI28)</f>
        <v>24.1</v>
      </c>
      <c r="BJ28" s="1844">
        <f>IF(LA_!BJ28="","",+LA_!BJ28)</f>
        <v>37.799999999999997</v>
      </c>
      <c r="BK28" s="878" t="str">
        <f>IF(LA_!BK28="","",+LA_!BK28)</f>
        <v/>
      </c>
      <c r="BL28" s="878" t="str">
        <f>IF(LA_!BL28="","",+LA_!BL28)</f>
        <v/>
      </c>
      <c r="BM28" s="875" t="str">
        <f>IF(LA_!BM28="","",+LA_!BM28)</f>
        <v/>
      </c>
      <c r="BN28" s="878">
        <f>+IF(LA_!BN28="","",IF(ISTEXT(LA_!BN28),0,ROUND(LA_!BN28,2)))</f>
        <v>0.04</v>
      </c>
      <c r="BO28" s="878">
        <f>+IF(LA_!BO28="","",IF(ISTEXT(LA_!BO28),0,ROUND(LA_!BO28,2)))</f>
        <v>7.0000000000000007E-2</v>
      </c>
      <c r="BP28" s="872">
        <f>IF(LA_!BP28="","",ROUND(+LA_!BP28,1))</f>
        <v>24.2</v>
      </c>
      <c r="BQ28" s="872">
        <f>IF(LA_!BQ28="","",ROUND(+LA_!BQ28,1))</f>
        <v>38.6</v>
      </c>
      <c r="BR28" s="875" t="str">
        <f>IF(LA_!BR28="","",+LA_!BR28)</f>
        <v/>
      </c>
      <c r="BS28" s="875" t="str">
        <f>IF(LA_!BS28="","",+LA_!BS28)</f>
        <v/>
      </c>
      <c r="BT28" s="875" t="str">
        <f>IF(LA_!BT28="","",+LA_!BT28)</f>
        <v/>
      </c>
      <c r="BU28" s="878" t="str">
        <f>+IF(LA_!BU28="","",IF(ISTEXT(LA_!BU28),0,ROUND(LA_!BU28,2)))</f>
        <v/>
      </c>
      <c r="BV28" s="878" t="str">
        <f>+IF(LA_!BV28="","",IF(ISTEXT(LA_!BV28),0,ROUND(LA_!BV28,2)))</f>
        <v/>
      </c>
      <c r="BW28" s="872" t="str">
        <f>IF(LA_!BW28="","",ROUND(+LA_!BW28,1))</f>
        <v/>
      </c>
      <c r="BX28" s="872" t="str">
        <f>IF(LA_!BX28="","",ROUND(+LA_!BX28,1))</f>
        <v/>
      </c>
      <c r="BY28" s="875" t="str">
        <f>IF(LA_!BY28="","",+LA_!BY28)</f>
        <v/>
      </c>
      <c r="BZ28" s="875" t="str">
        <f>IF(LA_!BZ28="","",+LA_!BZ28)</f>
        <v/>
      </c>
      <c r="CA28" s="875" t="str">
        <f>IF(LA_!CA28="","",+LA_!CA28)</f>
        <v/>
      </c>
      <c r="CB28" s="878">
        <f>+IF(LA_!CB28="","",IF(ISTEXT(LA_!CB28),0,ROUND(LA_!CB28,2)))</f>
        <v>0.5</v>
      </c>
      <c r="CC28" s="878">
        <f>+IF(LA_!CC28="","",IF(ISTEXT(LA_!CC28),0,ROUND(LA_!CC28,2)))</f>
        <v>3.03</v>
      </c>
      <c r="CD28" s="872">
        <f>IF(LA_!CD28="","",ROUND(+LA_!CD28,1))</f>
        <v>15.1</v>
      </c>
      <c r="CE28" s="872">
        <f>IF(LA_!CE28="","",ROUND(+LA_!CE28,1))</f>
        <v>17.600000000000001</v>
      </c>
      <c r="CF28" s="878" t="str">
        <f>IF(LA_!CF28="","",+LA_!CF28)</f>
        <v/>
      </c>
      <c r="CG28" s="878" t="str">
        <f>IF(LA_!CG28="","",+LA_!CG28)</f>
        <v/>
      </c>
      <c r="CH28" s="875" t="str">
        <f>IF(LA_!CH28="","",+LA_!CH28)</f>
        <v/>
      </c>
      <c r="CI28" s="876" t="str">
        <f>IF(LA_!CI28="","",+LA_!CI28)</f>
        <v/>
      </c>
      <c r="CJ28" s="875" t="str">
        <f>IF(LA_!CJ28="","",+LA_!CJ28)</f>
        <v/>
      </c>
      <c r="CK28" s="875" t="str">
        <f>IF(LA_!CK28="","",+LA_!CK28)</f>
        <v/>
      </c>
      <c r="CL28" s="875" t="str">
        <f>IF(LA_!CL28="","",+LA_!CL28)</f>
        <v/>
      </c>
      <c r="CM28" s="875" t="str">
        <f>IF(LA_!CM28="","",+LA_!CM28)</f>
        <v/>
      </c>
      <c r="CN28" s="875" t="str">
        <f>IF(LA_!CN28="","",+LA_!CN28)</f>
        <v/>
      </c>
      <c r="CO28" s="875" t="str">
        <f>IF(LA_!CO28="","",+LA_!CO28)</f>
        <v/>
      </c>
      <c r="CP28" s="875" t="str">
        <f>IF(LA_!CP28="","",+LA_!CP28)</f>
        <v/>
      </c>
      <c r="CQ28" s="1922" t="str">
        <f>IF(LA_!CQ28="","",+LA_!CQ28)</f>
        <v/>
      </c>
      <c r="CR28" s="875" t="str">
        <f>IF(LA_!CR28="","",+LA_!CR28)</f>
        <v/>
      </c>
      <c r="CS28" s="875" t="str">
        <f>IF(LA_!CS28="","",+LA_!CS28)</f>
        <v/>
      </c>
      <c r="CT28" s="875" t="str">
        <f>IF(LA_!CT28="","",+LA_!CT28)</f>
        <v/>
      </c>
      <c r="CU28" s="874" t="str">
        <f>IF(LA_!CU28="","",+LA_!CU28)</f>
        <v/>
      </c>
      <c r="CV28" s="872" t="str">
        <f>IF(LA_!CV28="","",+LA_!CV28)</f>
        <v/>
      </c>
      <c r="CW28" s="874" t="str">
        <f>IF(LA_!CW28="","",+LA_!CW28)</f>
        <v/>
      </c>
      <c r="CX28" s="1197" t="str">
        <f>IF(LA_!CX28="","",+LA_!CX28)</f>
        <v/>
      </c>
      <c r="CY28" s="2370" t="str">
        <f>IF(LA_!CY28="","",+LA_!CY28)</f>
        <v/>
      </c>
      <c r="CZ28" s="875" t="str">
        <f>IF(LA_!CZ28="","",+LA_!CZ28)</f>
        <v/>
      </c>
      <c r="DA28" s="875" t="str">
        <f>IF(LA_!DA28="","",+LA_!DA28)</f>
        <v/>
      </c>
      <c r="DB28" s="875" t="str">
        <f>IF(LA_!DB28="","",+LA_!DB28)</f>
        <v/>
      </c>
      <c r="DC28" s="875" t="str">
        <f>IF(LA_!DC28="","",+LA_!DC28)</f>
        <v/>
      </c>
      <c r="DD28" s="875" t="str">
        <f>IF(LA_!DD28="","",+LA_!DD28)</f>
        <v/>
      </c>
      <c r="DE28" s="875" t="str">
        <f>IF(LA_!DE28="","",+LA_!DE28)</f>
        <v/>
      </c>
      <c r="DF28" s="875" t="str">
        <f>IF(LA_!DF28="","",+LA_!DF28)</f>
        <v/>
      </c>
      <c r="DG28" s="875" t="str">
        <f>IF(LA_!DG28="","",+LA_!DG28)</f>
        <v/>
      </c>
      <c r="DH28" s="875" t="str">
        <f>IF(LA_!DH28="","",+LA_!DH28)</f>
        <v/>
      </c>
      <c r="DI28" s="879" t="str">
        <f>IF(LA_!DI28="","",+LA_!DI28)</f>
        <v/>
      </c>
      <c r="DJ28" s="872" t="str">
        <f>IF(LA_!DJ28="","",+LA_!DJ28)</f>
        <v/>
      </c>
      <c r="DK28" s="872" t="str">
        <f>IF(LA_!DK28="","",+LA_!DK28)</f>
        <v/>
      </c>
      <c r="DL28" s="872" t="str">
        <f>IF(LA_!DL28="","",+LA_!DL28)</f>
        <v/>
      </c>
      <c r="DM28" s="875" t="str">
        <f>IF(LA_!DM28="","",+LA_!DM28)</f>
        <v/>
      </c>
      <c r="DN28" s="875" t="str">
        <f>IF(LA_!DN28="","",+LA_!DN28)</f>
        <v/>
      </c>
      <c r="DO28" s="875" t="str">
        <f>IF(LA_!DO28="","",+LA_!DO28)</f>
        <v/>
      </c>
      <c r="DP28" s="872" t="str">
        <f>IF(LA_!DP28="","",+LA_!DP28)</f>
        <v/>
      </c>
      <c r="DQ28" s="875" t="str">
        <f>IF(LA_!DQ28="","",+LA_!DQ28)</f>
        <v/>
      </c>
      <c r="DR28" s="875" t="str">
        <f>IF(LA_!DR28="","",+LA_!DR28)</f>
        <v/>
      </c>
      <c r="DS28" s="876"/>
      <c r="DT28" s="880"/>
      <c r="DU28" s="330"/>
      <c r="DV28" s="330"/>
      <c r="DW28" s="881"/>
      <c r="DX28" s="849"/>
    </row>
    <row r="29" spans="2:128" ht="20.100000000000001" customHeight="1">
      <c r="B29" s="1789"/>
      <c r="C29" s="852">
        <v>19</v>
      </c>
      <c r="D29" s="1842">
        <f>IF(LA_!D29="","",+LA_!D29)</f>
        <v>120</v>
      </c>
      <c r="E29" s="872" t="str">
        <f>IF(LA_!E29="","",+LA_!E29)</f>
        <v/>
      </c>
      <c r="F29" s="873">
        <f>IF(LA_!F29="","",+LA_!F29)</f>
        <v>124</v>
      </c>
      <c r="G29" s="872" t="str">
        <f>IF(LA_!G29="","",+LA_!G29)</f>
        <v/>
      </c>
      <c r="H29" s="874">
        <f>IF(LA_!H29="","",+LA_!H29)</f>
        <v>46</v>
      </c>
      <c r="I29" s="874">
        <f>IF(LA_!I29="","",+LA_!I29)</f>
        <v>84</v>
      </c>
      <c r="J29" s="874">
        <f>IF(LA_!J29="","",+LA_!J29)</f>
        <v>17</v>
      </c>
      <c r="K29" s="874">
        <f>IF(LA_!K29="","",+LA_!K29)</f>
        <v>128</v>
      </c>
      <c r="L29" s="1292">
        <f>IF(LA_!L29="","",+LA_!L29)</f>
        <v>1930</v>
      </c>
      <c r="M29" s="874">
        <f>IF(LA_!M29="","",+LA_!M29)</f>
        <v>1490</v>
      </c>
      <c r="N29" s="874">
        <f>IF(LA_!N29="","",+LA_!N29)</f>
        <v>1660</v>
      </c>
      <c r="O29" s="874">
        <f>IF(LA_!O29="","",+LA_!O29)</f>
        <v>3660</v>
      </c>
      <c r="P29" s="1197">
        <f>IF(LA_!P29="","",+LA_!P29)</f>
        <v>3900</v>
      </c>
      <c r="Q29" s="1196">
        <f>IF(LA_!Q29="","",+LA_!Q29)</f>
        <v>2460</v>
      </c>
      <c r="R29" s="874">
        <f>IF(LA_!R29="","",+LA_!R29)</f>
        <v>2260</v>
      </c>
      <c r="S29" s="874">
        <f>IF(LA_!S29="","",+LA_!S29)</f>
        <v>2210</v>
      </c>
      <c r="T29" s="2386">
        <f>IF(LA_!T29="","",+LA_!T29)</f>
        <v>5660</v>
      </c>
      <c r="U29" s="1197">
        <f>IF(LA_!U29="","",+LA_!U29)</f>
        <v>5830</v>
      </c>
      <c r="V29" s="1183">
        <f>IF(LA_!V29="","",+LA_!V29)</f>
        <v>3160</v>
      </c>
      <c r="W29" s="872" t="str">
        <f>IF(LA_!W29="","",+LA_!W29)</f>
        <v/>
      </c>
      <c r="X29" s="2387">
        <f>IF(LA_!X29="","",+LA_!X29)</f>
        <v>7180</v>
      </c>
      <c r="Y29" s="872" t="str">
        <f>IF(LA_!Y29="","",+LA_!Y29)</f>
        <v/>
      </c>
      <c r="Z29" s="1843">
        <f>IF(LA_!Z29="","",+LA_!Z29)</f>
        <v>146</v>
      </c>
      <c r="AA29" s="875">
        <f>IF(LA_!AA29="","",+LA_!AA29)</f>
        <v>166</v>
      </c>
      <c r="AB29" s="875">
        <f>IF(LA_!AB29="","",+LA_!AB29)</f>
        <v>73</v>
      </c>
      <c r="AC29" s="875">
        <f>IF(LA_!AC29="","",+LA_!AC29)</f>
        <v>104</v>
      </c>
      <c r="AD29" s="875">
        <f>IF(LA_!AD29="","",+LA_!AD29)</f>
        <v>8</v>
      </c>
      <c r="AE29" s="874">
        <f>IF(LA_!AE29="","",+LA_!AE29)</f>
        <v>1720</v>
      </c>
      <c r="AF29" s="872">
        <f>IF(LA_!AF29="","",+LA_!AF29)</f>
        <v>3.28</v>
      </c>
      <c r="AG29" s="872">
        <f>IF(LA_!AG29="","",+LA_!AG29)</f>
        <v>85.2</v>
      </c>
      <c r="AH29" s="872">
        <f>IF(LA_!AH29="","",+LA_!AH29)</f>
        <v>1.7</v>
      </c>
      <c r="AI29" s="872">
        <f>IF(LA_!AI29="","",+LA_!AI29)</f>
        <v>72.099999999999994</v>
      </c>
      <c r="AJ29" s="872" t="str">
        <f>IF(LA_!AJ29="","",+LA_!AJ29)</f>
        <v/>
      </c>
      <c r="AK29" s="872" t="str">
        <f>IF(LA_!AK29="","",+LA_!AK29)</f>
        <v/>
      </c>
      <c r="AL29" s="872" t="str">
        <f>IF(LA_!AL29="","",+LA_!AL29)</f>
        <v/>
      </c>
      <c r="AM29" s="872" t="str">
        <f>IF(LA_!AM29="","",+LA_!AM29)</f>
        <v/>
      </c>
      <c r="AN29" s="875" t="str">
        <f>IF(LA_!AN29="","",+LA_!AN29)</f>
        <v/>
      </c>
      <c r="AO29" s="875" t="str">
        <f>IF(LA_!AO29="","",+LA_!AO29)</f>
        <v/>
      </c>
      <c r="AP29" s="876" t="str">
        <f>IF(LA_!AP29="","",+LA_!AP29)</f>
        <v/>
      </c>
      <c r="AQ29" s="875" t="str">
        <f>IF(LA_!AQ29="","",+LA_!AQ29)</f>
        <v/>
      </c>
      <c r="AR29" s="875" t="str">
        <f>IF(LA_!AR29="","",+LA_!AR29)</f>
        <v/>
      </c>
      <c r="AS29" s="875" t="str">
        <f>IF(LA_!AS29="","",+LA_!AS29)</f>
        <v/>
      </c>
      <c r="AT29" s="875" t="str">
        <f>IF(LA_!AT29="","",+LA_!AT29)</f>
        <v/>
      </c>
      <c r="AU29" s="875" t="str">
        <f>IF(LA_!AU29="","",+LA_!AU29)</f>
        <v/>
      </c>
      <c r="AV29" s="875" t="str">
        <f>IF(LA_!AV29="","",+LA_!AV29)</f>
        <v/>
      </c>
      <c r="AW29" s="875" t="str">
        <f>IF(LA_!AW29="","",+LA_!AW29)</f>
        <v/>
      </c>
      <c r="AX29" s="875" t="str">
        <f>IF(LA_!AX29="","",+LA_!AX29)</f>
        <v/>
      </c>
      <c r="AY29" s="875" t="str">
        <f>IF(LA_!AY29="","",+LA_!AY29)</f>
        <v/>
      </c>
      <c r="AZ29" s="872" t="str">
        <f>IF(LA_!AZ29="","",+LA_!AZ29)</f>
        <v/>
      </c>
      <c r="BA29" s="872" t="str">
        <f>IF(LA_!BA29="","",+LA_!BA29)</f>
        <v/>
      </c>
      <c r="BB29" s="872" t="str">
        <f>IF(LA_!BB29="","",+LA_!BB29)</f>
        <v/>
      </c>
      <c r="BC29" s="872" t="str">
        <f>IF(LA_!BC29="","",+LA_!BC29)</f>
        <v/>
      </c>
      <c r="BD29" s="872" t="str">
        <f>IF(LA_!BD29="","",+LA_!BD29)</f>
        <v/>
      </c>
      <c r="BE29" s="876">
        <f>IF(LA_!BE29="","",+LA_!BE29)</f>
        <v>94</v>
      </c>
      <c r="BF29" s="875">
        <f>IF(LA_!BF29="","",+LA_!BF29)</f>
        <v>122</v>
      </c>
      <c r="BG29" s="877">
        <f>+IF(LA_!BG29="","",IF(ISTEXT(LA_!BG29),0,ROUND(LA_!BG29,2)))</f>
        <v>0</v>
      </c>
      <c r="BH29" s="878">
        <f>+IF(LA_!BH29="","",IF(ISTEXT(LA_!BH29),0,ROUND(LA_!BH29,2)))</f>
        <v>0.1</v>
      </c>
      <c r="BI29" s="1844">
        <f>IF(LA_!BI29="","",+LA_!BI29)</f>
        <v>23.6</v>
      </c>
      <c r="BJ29" s="1844">
        <f>IF(LA_!BJ29="","",+LA_!BJ29)</f>
        <v>38.4</v>
      </c>
      <c r="BK29" s="878">
        <f>IF(LA_!BK29="","",+LA_!BK29)</f>
        <v>2.82</v>
      </c>
      <c r="BL29" s="878">
        <f>IF(LA_!BL29="","",+LA_!BL29)</f>
        <v>4.53</v>
      </c>
      <c r="BM29" s="875">
        <f>IF(LA_!BM29="","",+LA_!BM29)</f>
        <v>393</v>
      </c>
      <c r="BN29" s="878">
        <f>+IF(LA_!BN29="","",IF(ISTEXT(LA_!BN29),0,ROUND(LA_!BN29,2)))</f>
        <v>0</v>
      </c>
      <c r="BO29" s="878">
        <f>+IF(LA_!BO29="","",IF(ISTEXT(LA_!BO29),0,ROUND(LA_!BO29,2)))</f>
        <v>0.08</v>
      </c>
      <c r="BP29" s="872">
        <f>IF(LA_!BP29="","",ROUND(+LA_!BP29,1))</f>
        <v>23.5</v>
      </c>
      <c r="BQ29" s="872">
        <f>IF(LA_!BQ29="","",ROUND(+LA_!BQ29,1))</f>
        <v>37.6</v>
      </c>
      <c r="BR29" s="875">
        <f>IF(LA_!BR29="","",+LA_!BR29)</f>
        <v>2.61</v>
      </c>
      <c r="BS29" s="875">
        <f>IF(LA_!BS29="","",+LA_!BS29)</f>
        <v>4.72</v>
      </c>
      <c r="BT29" s="875">
        <f>IF(LA_!BT29="","",+LA_!BT29)</f>
        <v>414</v>
      </c>
      <c r="BU29" s="878">
        <f>+IF(LA_!BU29="","",IF(ISTEXT(LA_!BU29),0,ROUND(LA_!BU29,2)))</f>
        <v>0</v>
      </c>
      <c r="BV29" s="878">
        <f>+IF(LA_!BV29="","",IF(ISTEXT(LA_!BV29),0,ROUND(LA_!BV29,2)))</f>
        <v>0.08</v>
      </c>
      <c r="BW29" s="872">
        <f>IF(LA_!BW29="","",ROUND(+LA_!BW29,1))</f>
        <v>23.5</v>
      </c>
      <c r="BX29" s="872">
        <f>IF(LA_!BX29="","",ROUND(+LA_!BX29,1))</f>
        <v>31.2</v>
      </c>
      <c r="BY29" s="875">
        <f>IF(LA_!BY29="","",+LA_!BY29)</f>
        <v>2.48</v>
      </c>
      <c r="BZ29" s="875">
        <f>IF(LA_!BZ29="","",+LA_!BZ29)</f>
        <v>4.4000000000000004</v>
      </c>
      <c r="CA29" s="875">
        <f>IF(LA_!CA29="","",+LA_!CA29)</f>
        <v>205</v>
      </c>
      <c r="CB29" s="878">
        <f>+IF(LA_!CB29="","",IF(ISTEXT(LA_!CB29),0,ROUND(LA_!CB29,2)))</f>
        <v>0.57999999999999996</v>
      </c>
      <c r="CC29" s="878">
        <f>+IF(LA_!CC29="","",IF(ISTEXT(LA_!CC29),0,ROUND(LA_!CC29,2)))</f>
        <v>3.57</v>
      </c>
      <c r="CD29" s="872">
        <f>IF(LA_!CD29="","",ROUND(+LA_!CD29,1))</f>
        <v>12.8</v>
      </c>
      <c r="CE29" s="872">
        <f>IF(LA_!CE29="","",ROUND(+LA_!CE29,1))</f>
        <v>16</v>
      </c>
      <c r="CF29" s="878">
        <f>IF(LA_!CF29="","",+LA_!CF29)</f>
        <v>1.66</v>
      </c>
      <c r="CG29" s="878">
        <f>IF(LA_!CG29="","",+LA_!CG29)</f>
        <v>2.37</v>
      </c>
      <c r="CH29" s="875">
        <f>IF(LA_!CH29="","",+LA_!CH29)</f>
        <v>52</v>
      </c>
      <c r="CI29" s="876" t="str">
        <f>IF(LA_!CI29="","",+LA_!CI29)</f>
        <v/>
      </c>
      <c r="CJ29" s="875" t="str">
        <f>IF(LA_!CJ29="","",+LA_!CJ29)</f>
        <v/>
      </c>
      <c r="CK29" s="875" t="str">
        <f>IF(LA_!CK29="","",+LA_!CK29)</f>
        <v/>
      </c>
      <c r="CL29" s="875" t="str">
        <f>IF(LA_!CL29="","",+LA_!CL29)</f>
        <v/>
      </c>
      <c r="CM29" s="875" t="str">
        <f>IF(LA_!CM29="","",+LA_!CM29)</f>
        <v/>
      </c>
      <c r="CN29" s="875" t="str">
        <f>IF(LA_!CN29="","",+LA_!CN29)</f>
        <v/>
      </c>
      <c r="CO29" s="875" t="str">
        <f>IF(LA_!CO29="","",+LA_!CO29)</f>
        <v/>
      </c>
      <c r="CP29" s="875" t="str">
        <f>IF(LA_!CP29="","",+LA_!CP29)</f>
        <v/>
      </c>
      <c r="CQ29" s="1922" t="str">
        <f>IF(LA_!CQ29="","",+LA_!CQ29)</f>
        <v/>
      </c>
      <c r="CR29" s="875" t="str">
        <f>IF(LA_!CR29="","",+LA_!CR29)</f>
        <v/>
      </c>
      <c r="CS29" s="875" t="str">
        <f>IF(LA_!CS29="","",+LA_!CS29)</f>
        <v/>
      </c>
      <c r="CT29" s="875" t="str">
        <f>IF(LA_!CT29="","",+LA_!CT29)</f>
        <v/>
      </c>
      <c r="CU29" s="874" t="str">
        <f>IF(LA_!CU29="","",+LA_!CU29)</f>
        <v/>
      </c>
      <c r="CV29" s="872" t="str">
        <f>IF(LA_!CV29="","",+LA_!CV29)</f>
        <v/>
      </c>
      <c r="CW29" s="874" t="str">
        <f>IF(LA_!CW29="","",+LA_!CW29)</f>
        <v/>
      </c>
      <c r="CX29" s="1197" t="str">
        <f>IF(LA_!CX29="","",+LA_!CX29)</f>
        <v/>
      </c>
      <c r="CY29" s="2370" t="str">
        <f>IF(LA_!CY29="","",+LA_!CY29)</f>
        <v/>
      </c>
      <c r="CZ29" s="875" t="str">
        <f>IF(LA_!CZ29="","",+LA_!CZ29)</f>
        <v/>
      </c>
      <c r="DA29" s="875" t="str">
        <f>IF(LA_!DA29="","",+LA_!DA29)</f>
        <v/>
      </c>
      <c r="DB29" s="875" t="str">
        <f>IF(LA_!DB29="","",+LA_!DB29)</f>
        <v/>
      </c>
      <c r="DC29" s="875" t="str">
        <f>IF(LA_!DC29="","",+LA_!DC29)</f>
        <v/>
      </c>
      <c r="DD29" s="875" t="str">
        <f>IF(LA_!DD29="","",+LA_!DD29)</f>
        <v/>
      </c>
      <c r="DE29" s="875" t="str">
        <f>IF(LA_!DE29="","",+LA_!DE29)</f>
        <v/>
      </c>
      <c r="DF29" s="875" t="str">
        <f>IF(LA_!DF29="","",+LA_!DF29)</f>
        <v/>
      </c>
      <c r="DG29" s="875" t="str">
        <f>IF(LA_!DG29="","",+LA_!DG29)</f>
        <v/>
      </c>
      <c r="DH29" s="875" t="str">
        <f>IF(LA_!DH29="","",+LA_!DH29)</f>
        <v/>
      </c>
      <c r="DI29" s="879" t="str">
        <f>IF(LA_!DI29="","",+LA_!DI29)</f>
        <v/>
      </c>
      <c r="DJ29" s="872" t="str">
        <f>IF(LA_!DJ29="","",+LA_!DJ29)</f>
        <v/>
      </c>
      <c r="DK29" s="872" t="str">
        <f>IF(LA_!DK29="","",+LA_!DK29)</f>
        <v/>
      </c>
      <c r="DL29" s="872" t="str">
        <f>IF(LA_!DL29="","",+LA_!DL29)</f>
        <v/>
      </c>
      <c r="DM29" s="875" t="str">
        <f>IF(LA_!DM29="","",+LA_!DM29)</f>
        <v/>
      </c>
      <c r="DN29" s="875" t="str">
        <f>IF(LA_!DN29="","",+LA_!DN29)</f>
        <v/>
      </c>
      <c r="DO29" s="875" t="str">
        <f>IF(LA_!DO29="","",+LA_!DO29)</f>
        <v/>
      </c>
      <c r="DP29" s="872" t="str">
        <f>IF(LA_!DP29="","",+LA_!DP29)</f>
        <v/>
      </c>
      <c r="DQ29" s="875" t="str">
        <f>IF(LA_!DQ29="","",+LA_!DQ29)</f>
        <v/>
      </c>
      <c r="DR29" s="875" t="str">
        <f>IF(LA_!DR29="","",+LA_!DR29)</f>
        <v/>
      </c>
      <c r="DS29" s="876"/>
      <c r="DT29" s="880"/>
      <c r="DU29" s="330"/>
      <c r="DV29" s="330"/>
      <c r="DW29" s="881"/>
      <c r="DX29" s="849"/>
    </row>
    <row r="30" spans="2:128" ht="20.100000000000001" customHeight="1">
      <c r="B30" s="1789"/>
      <c r="C30" s="852">
        <v>20</v>
      </c>
      <c r="D30" s="1842">
        <f>IF(LA_!D30="","",+LA_!D30)</f>
        <v>122</v>
      </c>
      <c r="E30" s="872">
        <f>IF(LA_!E30="","",+LA_!E30)</f>
        <v>78.7</v>
      </c>
      <c r="F30" s="873">
        <f>IF(LA_!F30="","",+LA_!F30)</f>
        <v>116</v>
      </c>
      <c r="G30" s="872">
        <f>IF(LA_!G30="","",+LA_!G30)</f>
        <v>82.8</v>
      </c>
      <c r="H30" s="874">
        <f>IF(LA_!H30="","",+LA_!H30)</f>
        <v>50</v>
      </c>
      <c r="I30" s="874">
        <f>IF(LA_!I30="","",+LA_!I30)</f>
        <v>82</v>
      </c>
      <c r="J30" s="874">
        <f>IF(LA_!J30="","",+LA_!J30)</f>
        <v>16</v>
      </c>
      <c r="K30" s="874">
        <f>IF(LA_!K30="","",+LA_!K30)</f>
        <v>132</v>
      </c>
      <c r="L30" s="1292">
        <f>IF(LA_!L30="","",+LA_!L30)</f>
        <v>3910</v>
      </c>
      <c r="M30" s="874">
        <f>IF(LA_!M30="","",+LA_!M30)</f>
        <v>3920</v>
      </c>
      <c r="N30" s="874">
        <f>IF(LA_!N30="","",+LA_!N30)</f>
        <v>2290</v>
      </c>
      <c r="O30" s="874">
        <f>IF(LA_!O30="","",+LA_!O30)</f>
        <v>3450</v>
      </c>
      <c r="P30" s="1197">
        <f>IF(LA_!P30="","",+LA_!P30)</f>
        <v>3940</v>
      </c>
      <c r="Q30" s="1196">
        <f>IF(LA_!Q30="","",+LA_!Q30)</f>
        <v>2930</v>
      </c>
      <c r="R30" s="874">
        <f>IF(LA_!R30="","",+LA_!R30)</f>
        <v>3860</v>
      </c>
      <c r="S30" s="874">
        <f>IF(LA_!S30="","",+LA_!S30)</f>
        <v>3120</v>
      </c>
      <c r="T30" s="874">
        <f>IF(LA_!T30="","",+LA_!T30)</f>
        <v>4880</v>
      </c>
      <c r="U30" s="1197">
        <f>IF(LA_!U30="","",+LA_!U30)</f>
        <v>5250</v>
      </c>
      <c r="V30" s="1183">
        <f>IF(LA_!V30="","",+LA_!V30)</f>
        <v>3020</v>
      </c>
      <c r="W30" s="872">
        <f>IF(LA_!W30="","",+LA_!W30)</f>
        <v>77.5</v>
      </c>
      <c r="X30" s="874">
        <f>IF(LA_!X30="","",+LA_!X30)</f>
        <v>7460</v>
      </c>
      <c r="Y30" s="872">
        <f>IF(LA_!Y30="","",+LA_!Y30)</f>
        <v>80.400000000000006</v>
      </c>
      <c r="Z30" s="1843">
        <f>IF(LA_!Z30="","",+LA_!Z30)</f>
        <v>138</v>
      </c>
      <c r="AA30" s="875">
        <f>IF(LA_!AA30="","",+LA_!AA30)</f>
        <v>200</v>
      </c>
      <c r="AB30" s="875">
        <f>IF(LA_!AB30="","",+LA_!AB30)</f>
        <v>75</v>
      </c>
      <c r="AC30" s="875">
        <f>IF(LA_!AC30="","",+LA_!AC30)</f>
        <v>103</v>
      </c>
      <c r="AD30" s="875">
        <f>IF(LA_!AD30="","",+LA_!AD30)</f>
        <v>8</v>
      </c>
      <c r="AE30" s="874">
        <f>IF(LA_!AE30="","",+LA_!AE30)</f>
        <v>1600</v>
      </c>
      <c r="AF30" s="872">
        <f>IF(LA_!AF30="","",+LA_!AF30)</f>
        <v>2.8</v>
      </c>
      <c r="AG30" s="872">
        <f>IF(LA_!AG30="","",+LA_!AG30)</f>
        <v>85.9</v>
      </c>
      <c r="AH30" s="872">
        <f>IF(LA_!AH30="","",+LA_!AH30)</f>
        <v>1.7</v>
      </c>
      <c r="AI30" s="872">
        <f>IF(LA_!AI30="","",+LA_!AI30)</f>
        <v>72.099999999999994</v>
      </c>
      <c r="AJ30" s="872" t="str">
        <f>IF(LA_!AJ30="","",+LA_!AJ30)</f>
        <v/>
      </c>
      <c r="AK30" s="872" t="str">
        <f>IF(LA_!AK30="","",+LA_!AK30)</f>
        <v/>
      </c>
      <c r="AL30" s="872" t="str">
        <f>IF(LA_!AL30="","",+LA_!AL30)</f>
        <v/>
      </c>
      <c r="AM30" s="872" t="str">
        <f>IF(LA_!AM30="","",+LA_!AM30)</f>
        <v/>
      </c>
      <c r="AN30" s="875" t="str">
        <f>IF(LA_!AN30="","",+LA_!AN30)</f>
        <v/>
      </c>
      <c r="AO30" s="875" t="str">
        <f>IF(LA_!AO30="","",+LA_!AO30)</f>
        <v/>
      </c>
      <c r="AP30" s="876" t="str">
        <f>IF(LA_!AP30="","",+LA_!AP30)</f>
        <v/>
      </c>
      <c r="AQ30" s="875" t="str">
        <f>IF(LA_!AQ30="","",+LA_!AQ30)</f>
        <v/>
      </c>
      <c r="AR30" s="875" t="str">
        <f>IF(LA_!AR30="","",+LA_!AR30)</f>
        <v/>
      </c>
      <c r="AS30" s="875" t="str">
        <f>IF(LA_!AS30="","",+LA_!AS30)</f>
        <v/>
      </c>
      <c r="AT30" s="875" t="str">
        <f>IF(LA_!AT30="","",+LA_!AT30)</f>
        <v/>
      </c>
      <c r="AU30" s="875" t="str">
        <f>IF(LA_!AU30="","",+LA_!AU30)</f>
        <v/>
      </c>
      <c r="AV30" s="875" t="str">
        <f>IF(LA_!AV30="","",+LA_!AV30)</f>
        <v/>
      </c>
      <c r="AW30" s="875" t="str">
        <f>IF(LA_!AW30="","",+LA_!AW30)</f>
        <v/>
      </c>
      <c r="AX30" s="875" t="str">
        <f>IF(LA_!AX30="","",+LA_!AX30)</f>
        <v/>
      </c>
      <c r="AY30" s="875" t="str">
        <f>IF(LA_!AY30="","",+LA_!AY30)</f>
        <v/>
      </c>
      <c r="AZ30" s="872" t="str">
        <f>IF(LA_!AZ30="","",+LA_!AZ30)</f>
        <v/>
      </c>
      <c r="BA30" s="872" t="str">
        <f>IF(LA_!BA30="","",+LA_!BA30)</f>
        <v/>
      </c>
      <c r="BB30" s="872" t="str">
        <f>IF(LA_!BB30="","",+LA_!BB30)</f>
        <v/>
      </c>
      <c r="BC30" s="872" t="str">
        <f>IF(LA_!BC30="","",+LA_!BC30)</f>
        <v/>
      </c>
      <c r="BD30" s="872" t="str">
        <f>IF(LA_!BD30="","",+LA_!BD30)</f>
        <v/>
      </c>
      <c r="BE30" s="876" t="str">
        <f>IF(LA_!BE30="","",+LA_!BE30)</f>
        <v/>
      </c>
      <c r="BF30" s="875" t="str">
        <f>IF(LA_!BF30="","",+LA_!BF30)</f>
        <v/>
      </c>
      <c r="BG30" s="877">
        <f>+IF(LA_!BG30="","",IF(ISTEXT(LA_!BG30),0,ROUND(LA_!BG30,2)))</f>
        <v>0.06</v>
      </c>
      <c r="BH30" s="878">
        <f>+IF(LA_!BH30="","",IF(ISTEXT(LA_!BH30),0,ROUND(LA_!BH30,2)))</f>
        <v>0.08</v>
      </c>
      <c r="BI30" s="1844">
        <f>IF(LA_!BI30="","",+LA_!BI30)</f>
        <v>22.9</v>
      </c>
      <c r="BJ30" s="1844">
        <f>IF(LA_!BJ30="","",+LA_!BJ30)</f>
        <v>38</v>
      </c>
      <c r="BK30" s="878" t="str">
        <f>IF(LA_!BK30="","",+LA_!BK30)</f>
        <v/>
      </c>
      <c r="BL30" s="878" t="str">
        <f>IF(LA_!BL30="","",+LA_!BL30)</f>
        <v/>
      </c>
      <c r="BM30" s="875" t="str">
        <f>IF(LA_!BM30="","",+LA_!BM30)</f>
        <v/>
      </c>
      <c r="BN30" s="878">
        <f>+IF(LA_!BN30="","",IF(ISTEXT(LA_!BN30),0,ROUND(LA_!BN30,2)))</f>
        <v>0.02</v>
      </c>
      <c r="BO30" s="878">
        <f>+IF(LA_!BO30="","",IF(ISTEXT(LA_!BO30),0,ROUND(LA_!BO30,2)))</f>
        <v>0.08</v>
      </c>
      <c r="BP30" s="872">
        <f>IF(LA_!BP30="","",ROUND(+LA_!BP30,1))</f>
        <v>24.3</v>
      </c>
      <c r="BQ30" s="872">
        <f>IF(LA_!BQ30="","",ROUND(+LA_!BQ30,1))</f>
        <v>38.700000000000003</v>
      </c>
      <c r="BR30" s="875" t="str">
        <f>IF(LA_!BR30="","",+LA_!BR30)</f>
        <v/>
      </c>
      <c r="BS30" s="875" t="str">
        <f>IF(LA_!BS30="","",+LA_!BS30)</f>
        <v/>
      </c>
      <c r="BT30" s="875" t="str">
        <f>IF(LA_!BT30="","",+LA_!BT30)</f>
        <v/>
      </c>
      <c r="BU30" s="878" t="str">
        <f>+IF(LA_!BU30="","",IF(ISTEXT(LA_!BU30),0,ROUND(LA_!BU30,2)))</f>
        <v/>
      </c>
      <c r="BV30" s="878" t="str">
        <f>+IF(LA_!BV30="","",IF(ISTEXT(LA_!BV30),0,ROUND(LA_!BV30,2)))</f>
        <v/>
      </c>
      <c r="BW30" s="872" t="str">
        <f>IF(LA_!BW30="","",ROUND(+LA_!BW30,1))</f>
        <v/>
      </c>
      <c r="BX30" s="872" t="str">
        <f>IF(LA_!BX30="","",ROUND(+LA_!BX30,1))</f>
        <v/>
      </c>
      <c r="BY30" s="875" t="str">
        <f>IF(LA_!BY30="","",+LA_!BY30)</f>
        <v/>
      </c>
      <c r="BZ30" s="875" t="str">
        <f>IF(LA_!BZ30="","",+LA_!BZ30)</f>
        <v/>
      </c>
      <c r="CA30" s="875" t="str">
        <f>IF(LA_!CA30="","",+LA_!CA30)</f>
        <v/>
      </c>
      <c r="CB30" s="878">
        <f>+IF(LA_!CB30="","",IF(ISTEXT(LA_!CB30),0,ROUND(LA_!CB30,2)))</f>
        <v>0.68</v>
      </c>
      <c r="CC30" s="878">
        <f>+IF(LA_!CC30="","",IF(ISTEXT(LA_!CC30),0,ROUND(LA_!CC30,2)))</f>
        <v>3.48</v>
      </c>
      <c r="CD30" s="872">
        <f>IF(LA_!CD30="","",ROUND(+LA_!CD30,1))</f>
        <v>14.5</v>
      </c>
      <c r="CE30" s="872">
        <f>IF(LA_!CE30="","",ROUND(+LA_!CE30,1))</f>
        <v>17.3</v>
      </c>
      <c r="CF30" s="878" t="str">
        <f>IF(LA_!CF30="","",+LA_!CF30)</f>
        <v/>
      </c>
      <c r="CG30" s="878" t="str">
        <f>IF(LA_!CG30="","",+LA_!CG30)</f>
        <v/>
      </c>
      <c r="CH30" s="875" t="str">
        <f>IF(LA_!CH30="","",+LA_!CH30)</f>
        <v/>
      </c>
      <c r="CI30" s="876" t="str">
        <f>IF(LA_!CI30="","",+LA_!CI30)</f>
        <v/>
      </c>
      <c r="CJ30" s="875" t="str">
        <f>IF(LA_!CJ30="","",+LA_!CJ30)</f>
        <v/>
      </c>
      <c r="CK30" s="875" t="str">
        <f>IF(LA_!CK30="","",+LA_!CK30)</f>
        <v/>
      </c>
      <c r="CL30" s="875" t="str">
        <f>IF(LA_!CL30="","",+LA_!CL30)</f>
        <v/>
      </c>
      <c r="CM30" s="875" t="str">
        <f>IF(LA_!CM30="","",+LA_!CM30)</f>
        <v/>
      </c>
      <c r="CN30" s="875" t="str">
        <f>IF(LA_!CN30="","",+LA_!CN30)</f>
        <v/>
      </c>
      <c r="CO30" s="875" t="str">
        <f>IF(LA_!CO30="","",+LA_!CO30)</f>
        <v/>
      </c>
      <c r="CP30" s="875" t="str">
        <f>IF(LA_!CP30="","",+LA_!CP30)</f>
        <v/>
      </c>
      <c r="CQ30" s="1922" t="str">
        <f>IF(LA_!CQ30="","",+LA_!CQ30)</f>
        <v/>
      </c>
      <c r="CR30" s="875" t="str">
        <f>IF(LA_!CR30="","",+LA_!CR30)</f>
        <v/>
      </c>
      <c r="CS30" s="875" t="str">
        <f>IF(LA_!CS30="","",+LA_!CS30)</f>
        <v/>
      </c>
      <c r="CT30" s="875" t="str">
        <f>IF(LA_!CT30="","",+LA_!CT30)</f>
        <v/>
      </c>
      <c r="CU30" s="874" t="str">
        <f>IF(LA_!CU30="","",+LA_!CU30)</f>
        <v/>
      </c>
      <c r="CV30" s="872" t="str">
        <f>IF(LA_!CV30="","",+LA_!CV30)</f>
        <v/>
      </c>
      <c r="CW30" s="874" t="str">
        <f>IF(LA_!CW30="","",+LA_!CW30)</f>
        <v/>
      </c>
      <c r="CX30" s="1197" t="str">
        <f>IF(LA_!CX30="","",+LA_!CX30)</f>
        <v/>
      </c>
      <c r="CY30" s="2370" t="str">
        <f>IF(LA_!CY30="","",+LA_!CY30)</f>
        <v/>
      </c>
      <c r="CZ30" s="875" t="str">
        <f>IF(LA_!CZ30="","",+LA_!CZ30)</f>
        <v/>
      </c>
      <c r="DA30" s="875" t="str">
        <f>IF(LA_!DA30="","",+LA_!DA30)</f>
        <v/>
      </c>
      <c r="DB30" s="875" t="str">
        <f>IF(LA_!DB30="","",+LA_!DB30)</f>
        <v/>
      </c>
      <c r="DC30" s="875" t="str">
        <f>IF(LA_!DC30="","",+LA_!DC30)</f>
        <v/>
      </c>
      <c r="DD30" s="875" t="str">
        <f>IF(LA_!DD30="","",+LA_!DD30)</f>
        <v/>
      </c>
      <c r="DE30" s="875" t="str">
        <f>IF(LA_!DE30="","",+LA_!DE30)</f>
        <v/>
      </c>
      <c r="DF30" s="875" t="str">
        <f>IF(LA_!DF30="","",+LA_!DF30)</f>
        <v/>
      </c>
      <c r="DG30" s="875" t="str">
        <f>IF(LA_!DG30="","",+LA_!DG30)</f>
        <v/>
      </c>
      <c r="DH30" s="875" t="str">
        <f>IF(LA_!DH30="","",+LA_!DH30)</f>
        <v/>
      </c>
      <c r="DI30" s="879" t="str">
        <f>IF(LA_!DI30="","",+LA_!DI30)</f>
        <v/>
      </c>
      <c r="DJ30" s="872" t="str">
        <f>IF(LA_!DJ30="","",+LA_!DJ30)</f>
        <v/>
      </c>
      <c r="DK30" s="872" t="str">
        <f>IF(LA_!DK30="","",+LA_!DK30)</f>
        <v/>
      </c>
      <c r="DL30" s="872" t="str">
        <f>IF(LA_!DL30="","",+LA_!DL30)</f>
        <v/>
      </c>
      <c r="DM30" s="875" t="str">
        <f>IF(LA_!DM30="","",+LA_!DM30)</f>
        <v/>
      </c>
      <c r="DN30" s="875" t="str">
        <f>IF(LA_!DN30="","",+LA_!DN30)</f>
        <v/>
      </c>
      <c r="DO30" s="875" t="str">
        <f>IF(LA_!DO30="","",+LA_!DO30)</f>
        <v/>
      </c>
      <c r="DP30" s="872" t="str">
        <f>IF(LA_!DP30="","",+LA_!DP30)</f>
        <v/>
      </c>
      <c r="DQ30" s="875" t="str">
        <f>IF(LA_!DQ30="","",+LA_!DQ30)</f>
        <v/>
      </c>
      <c r="DR30" s="875" t="str">
        <f>IF(LA_!DR30="","",+LA_!DR30)</f>
        <v/>
      </c>
      <c r="DS30" s="876"/>
      <c r="DT30" s="880"/>
      <c r="DU30" s="330"/>
      <c r="DV30" s="330"/>
      <c r="DW30" s="881"/>
      <c r="DX30" s="849"/>
    </row>
    <row r="31" spans="2:128" ht="20.100000000000001" customHeight="1">
      <c r="B31" s="1789"/>
      <c r="C31" s="852">
        <v>21</v>
      </c>
      <c r="D31" s="1842">
        <f>IF(LA_!D31="","",+LA_!D31)</f>
        <v>156</v>
      </c>
      <c r="E31" s="872" t="str">
        <f>IF(LA_!E31="","",+LA_!E31)</f>
        <v/>
      </c>
      <c r="F31" s="873">
        <f>IF(LA_!F31="","",+LA_!F31)</f>
        <v>160</v>
      </c>
      <c r="G31" s="872" t="str">
        <f>IF(LA_!G31="","",+LA_!G31)</f>
        <v/>
      </c>
      <c r="H31" s="874">
        <f>IF(LA_!H31="","",+LA_!H31)</f>
        <v>52</v>
      </c>
      <c r="I31" s="874">
        <f>IF(LA_!I31="","",+LA_!I31)</f>
        <v>88</v>
      </c>
      <c r="J31" s="874">
        <f>IF(LA_!J31="","",+LA_!J31)</f>
        <v>10</v>
      </c>
      <c r="K31" s="874">
        <f>IF(LA_!K31="","",+LA_!K31)</f>
        <v>272</v>
      </c>
      <c r="L31" s="1292">
        <f>IF(LA_!L31="","",+LA_!L31)</f>
        <v>2440</v>
      </c>
      <c r="M31" s="874">
        <f>IF(LA_!M31="","",+LA_!M31)</f>
        <v>2470</v>
      </c>
      <c r="N31" s="874">
        <f>IF(LA_!N31="","",+LA_!N31)</f>
        <v>1870</v>
      </c>
      <c r="O31" s="874">
        <f>IF(LA_!O31="","",+LA_!O31)</f>
        <v>4810</v>
      </c>
      <c r="P31" s="1197">
        <f>IF(LA_!P31="","",+LA_!P31)</f>
        <v>3680</v>
      </c>
      <c r="Q31" s="1196">
        <f>IF(LA_!Q31="","",+LA_!Q31)</f>
        <v>2680</v>
      </c>
      <c r="R31" s="874">
        <f>IF(LA_!R31="","",+LA_!R31)</f>
        <v>2530</v>
      </c>
      <c r="S31" s="874">
        <f>IF(LA_!S31="","",+LA_!S31)</f>
        <v>2460</v>
      </c>
      <c r="T31" s="874">
        <f>IF(LA_!T31="","",+LA_!T31)</f>
        <v>5340</v>
      </c>
      <c r="U31" s="1197">
        <f>IF(LA_!U31="","",+LA_!U31)</f>
        <v>4810</v>
      </c>
      <c r="V31" s="1183">
        <f>IF(LA_!V31="","",+LA_!V31)</f>
        <v>3040</v>
      </c>
      <c r="W31" s="872" t="str">
        <f>IF(LA_!W31="","",+LA_!W31)</f>
        <v/>
      </c>
      <c r="X31" s="874">
        <f>IF(LA_!X31="","",+LA_!X31)</f>
        <v>8400</v>
      </c>
      <c r="Y31" s="872" t="str">
        <f>IF(LA_!Y31="","",+LA_!Y31)</f>
        <v/>
      </c>
      <c r="Z31" s="1843">
        <f>IF(LA_!Z31="","",+LA_!Z31)</f>
        <v>158</v>
      </c>
      <c r="AA31" s="875">
        <f>IF(LA_!AA31="","",+LA_!AA31)</f>
        <v>165</v>
      </c>
      <c r="AB31" s="875">
        <f>IF(LA_!AB31="","",+LA_!AB31)</f>
        <v>90</v>
      </c>
      <c r="AC31" s="875">
        <f>IF(LA_!AC31="","",+LA_!AC31)</f>
        <v>114</v>
      </c>
      <c r="AD31" s="875">
        <f>IF(LA_!AD31="","",+LA_!AD31)</f>
        <v>5</v>
      </c>
      <c r="AE31" s="874">
        <f>IF(LA_!AE31="","",+LA_!AE31)</f>
        <v>1850</v>
      </c>
      <c r="AF31" s="872">
        <f>IF(LA_!AF31="","",+LA_!AF31)</f>
        <v>2.95</v>
      </c>
      <c r="AG31" s="872">
        <f>IF(LA_!AG31="","",+LA_!AG31)</f>
        <v>85.1</v>
      </c>
      <c r="AH31" s="872">
        <f>IF(LA_!AH31="","",+LA_!AH31)</f>
        <v>1.59</v>
      </c>
      <c r="AI31" s="872">
        <f>IF(LA_!AI31="","",+LA_!AI31)</f>
        <v>72.5</v>
      </c>
      <c r="AJ31" s="872" t="str">
        <f>IF(LA_!AJ31="","",+LA_!AJ31)</f>
        <v/>
      </c>
      <c r="AK31" s="872" t="str">
        <f>IF(LA_!AK31="","",+LA_!AK31)</f>
        <v/>
      </c>
      <c r="AL31" s="872" t="str">
        <f>IF(LA_!AL31="","",+LA_!AL31)</f>
        <v/>
      </c>
      <c r="AM31" s="872" t="str">
        <f>IF(LA_!AM31="","",+LA_!AM31)</f>
        <v/>
      </c>
      <c r="AN31" s="875" t="str">
        <f>IF(LA_!AN31="","",+LA_!AN31)</f>
        <v/>
      </c>
      <c r="AO31" s="875" t="str">
        <f>IF(LA_!AO31="","",+LA_!AO31)</f>
        <v/>
      </c>
      <c r="AP31" s="876">
        <f>IF(LA_!AP31="","",+LA_!AP31)</f>
        <v>160</v>
      </c>
      <c r="AQ31" s="875" t="str">
        <f>IF(LA_!AQ31="","",+LA_!AQ31)</f>
        <v/>
      </c>
      <c r="AR31" s="875">
        <f>IF(LA_!AR31="","",+LA_!AR31)</f>
        <v>130</v>
      </c>
      <c r="AS31" s="875">
        <f>IF(LA_!AS31="","",+LA_!AS31)</f>
        <v>150</v>
      </c>
      <c r="AT31" s="875">
        <f>IF(LA_!AT31="","",+LA_!AT31)</f>
        <v>200</v>
      </c>
      <c r="AU31" s="875">
        <f>IF(LA_!AU31="","",+LA_!AU31)</f>
        <v>2900</v>
      </c>
      <c r="AV31" s="875" t="str">
        <f>IF(LA_!AV31="","",+LA_!AV31)</f>
        <v/>
      </c>
      <c r="AW31" s="875">
        <f>IF(LA_!AW31="","",+LA_!AW31)</f>
        <v>3000</v>
      </c>
      <c r="AX31" s="875">
        <f>IF(LA_!AX31="","",+LA_!AX31)</f>
        <v>3100</v>
      </c>
      <c r="AY31" s="875">
        <f>IF(LA_!AY31="","",+LA_!AY31)</f>
        <v>2800</v>
      </c>
      <c r="AZ31" s="872">
        <f>IF(LA_!AZ31="","",+LA_!AZ31)</f>
        <v>7.2</v>
      </c>
      <c r="BA31" s="872" t="str">
        <f>IF(LA_!BA31="","",+LA_!BA31)</f>
        <v/>
      </c>
      <c r="BB31" s="872">
        <f>IF(LA_!BB31="","",+LA_!BB31)</f>
        <v>7.1</v>
      </c>
      <c r="BC31" s="872">
        <f>IF(LA_!BC31="","",+LA_!BC31)</f>
        <v>7.1</v>
      </c>
      <c r="BD31" s="872">
        <f>IF(LA_!BD31="","",+LA_!BD31)</f>
        <v>7.1</v>
      </c>
      <c r="BE31" s="876" t="str">
        <f>IF(LA_!BE31="","",+LA_!BE31)</f>
        <v/>
      </c>
      <c r="BF31" s="875" t="str">
        <f>IF(LA_!BF31="","",+LA_!BF31)</f>
        <v/>
      </c>
      <c r="BG31" s="877">
        <f>+IF(LA_!BG31="","",IF(ISTEXT(LA_!BG31),0,ROUND(LA_!BG31,2)))</f>
        <v>0.06</v>
      </c>
      <c r="BH31" s="878">
        <f>+IF(LA_!BH31="","",IF(ISTEXT(LA_!BH31),0,ROUND(LA_!BH31,2)))</f>
        <v>0.15</v>
      </c>
      <c r="BI31" s="1844">
        <f>IF(LA_!BI31="","",+LA_!BI31)</f>
        <v>24.8</v>
      </c>
      <c r="BJ31" s="1844">
        <f>IF(LA_!BJ31="","",+LA_!BJ31)</f>
        <v>42.8</v>
      </c>
      <c r="BK31" s="878" t="str">
        <f>IF(LA_!BK31="","",+LA_!BK31)</f>
        <v/>
      </c>
      <c r="BL31" s="878" t="str">
        <f>IF(LA_!BL31="","",+LA_!BL31)</f>
        <v/>
      </c>
      <c r="BM31" s="875" t="str">
        <f>IF(LA_!BM31="","",+LA_!BM31)</f>
        <v/>
      </c>
      <c r="BN31" s="878">
        <f>+IF(LA_!BN31="","",IF(ISTEXT(LA_!BN31),0,ROUND(LA_!BN31,2)))</f>
        <v>0.01</v>
      </c>
      <c r="BO31" s="878">
        <f>+IF(LA_!BO31="","",IF(ISTEXT(LA_!BO31),0,ROUND(LA_!BO31,2)))</f>
        <v>0.1</v>
      </c>
      <c r="BP31" s="872">
        <f>IF(LA_!BP31="","",ROUND(+LA_!BP31,1))</f>
        <v>25</v>
      </c>
      <c r="BQ31" s="872">
        <f>IF(LA_!BQ31="","",ROUND(+LA_!BQ31,1))</f>
        <v>39.1</v>
      </c>
      <c r="BR31" s="875" t="str">
        <f>IF(LA_!BR31="","",+LA_!BR31)</f>
        <v/>
      </c>
      <c r="BS31" s="875" t="str">
        <f>IF(LA_!BS31="","",+LA_!BS31)</f>
        <v/>
      </c>
      <c r="BT31" s="875" t="str">
        <f>IF(LA_!BT31="","",+LA_!BT31)</f>
        <v/>
      </c>
      <c r="BU31" s="878" t="str">
        <f>+IF(LA_!BU31="","",IF(ISTEXT(LA_!BU31),0,ROUND(LA_!BU31,2)))</f>
        <v/>
      </c>
      <c r="BV31" s="878" t="str">
        <f>+IF(LA_!BV31="","",IF(ISTEXT(LA_!BV31),0,ROUND(LA_!BV31,2)))</f>
        <v/>
      </c>
      <c r="BW31" s="872" t="str">
        <f>IF(LA_!BW31="","",ROUND(+LA_!BW31,1))</f>
        <v/>
      </c>
      <c r="BX31" s="872" t="str">
        <f>IF(LA_!BX31="","",ROUND(+LA_!BX31,1))</f>
        <v/>
      </c>
      <c r="BY31" s="875" t="str">
        <f>IF(LA_!BY31="","",+LA_!BY31)</f>
        <v/>
      </c>
      <c r="BZ31" s="875" t="str">
        <f>IF(LA_!BZ31="","",+LA_!BZ31)</f>
        <v/>
      </c>
      <c r="CA31" s="875" t="str">
        <f>IF(LA_!CA31="","",+LA_!CA31)</f>
        <v/>
      </c>
      <c r="CB31" s="878">
        <f>+IF(LA_!CB31="","",IF(ISTEXT(LA_!CB31),0,ROUND(LA_!CB31,2)))</f>
        <v>0.68</v>
      </c>
      <c r="CC31" s="878">
        <f>+IF(LA_!CC31="","",IF(ISTEXT(LA_!CC31),0,ROUND(LA_!CC31,2)))</f>
        <v>3.73</v>
      </c>
      <c r="CD31" s="872">
        <f>IF(LA_!CD31="","",ROUND(+LA_!CD31,1))</f>
        <v>14.1</v>
      </c>
      <c r="CE31" s="872">
        <f>IF(LA_!CE31="","",ROUND(+LA_!CE31,1))</f>
        <v>16.5</v>
      </c>
      <c r="CF31" s="878" t="str">
        <f>IF(LA_!CF31="","",+LA_!CF31)</f>
        <v/>
      </c>
      <c r="CG31" s="878" t="str">
        <f>IF(LA_!CG31="","",+LA_!CG31)</f>
        <v/>
      </c>
      <c r="CH31" s="875" t="str">
        <f>IF(LA_!CH31="","",+LA_!CH31)</f>
        <v/>
      </c>
      <c r="CI31" s="876" t="str">
        <f>IF(LA_!CI31="","",+LA_!CI31)</f>
        <v/>
      </c>
      <c r="CJ31" s="875" t="str">
        <f>IF(LA_!CJ31="","",+LA_!CJ31)</f>
        <v/>
      </c>
      <c r="CK31" s="875" t="str">
        <f>IF(LA_!CK31="","",+LA_!CK31)</f>
        <v/>
      </c>
      <c r="CL31" s="875" t="str">
        <f>IF(LA_!CL31="","",+LA_!CL31)</f>
        <v/>
      </c>
      <c r="CM31" s="875" t="str">
        <f>IF(LA_!CM31="","",+LA_!CM31)</f>
        <v/>
      </c>
      <c r="CN31" s="875" t="str">
        <f>IF(LA_!CN31="","",+LA_!CN31)</f>
        <v/>
      </c>
      <c r="CO31" s="875" t="str">
        <f>IF(LA_!CO31="","",+LA_!CO31)</f>
        <v/>
      </c>
      <c r="CP31" s="875" t="str">
        <f>IF(LA_!CP31="","",+LA_!CP31)</f>
        <v/>
      </c>
      <c r="CQ31" s="1922">
        <f>IF(LA_!CQ31="","",+LA_!CQ31)</f>
        <v>3.17</v>
      </c>
      <c r="CR31" s="875">
        <f>IF(LA_!CR31="","",+LA_!CR31)</f>
        <v>26.5</v>
      </c>
      <c r="CS31" s="875">
        <f>IF(LA_!CS31="","",+LA_!CS31)</f>
        <v>16</v>
      </c>
      <c r="CT31" s="875">
        <f>IF(LA_!CT31="","",+LA_!CT31)</f>
        <v>15</v>
      </c>
      <c r="CU31" s="874">
        <f>IF(LA_!CU31="","",+LA_!CU31)</f>
        <v>1180</v>
      </c>
      <c r="CV31" s="872">
        <f>IF(LA_!CV31="","",+LA_!CV31)</f>
        <v>5.3</v>
      </c>
      <c r="CW31" s="874" t="str">
        <f>IF(LA_!CW31="","",+LA_!CW31)</f>
        <v/>
      </c>
      <c r="CX31" s="1197" t="str">
        <f>IF(LA_!CX31="","",+LA_!CX31)</f>
        <v/>
      </c>
      <c r="CY31" s="2370" t="str">
        <f>IF(LA_!CY31="","",+LA_!CY31)</f>
        <v/>
      </c>
      <c r="CZ31" s="875" t="str">
        <f>IF(LA_!CZ31="","",+LA_!CZ31)</f>
        <v/>
      </c>
      <c r="DA31" s="875" t="str">
        <f>IF(LA_!DA31="","",+LA_!DA31)</f>
        <v/>
      </c>
      <c r="DB31" s="875" t="str">
        <f>IF(LA_!DB31="","",+LA_!DB31)</f>
        <v/>
      </c>
      <c r="DC31" s="875" t="str">
        <f>IF(LA_!DC31="","",+LA_!DC31)</f>
        <v/>
      </c>
      <c r="DD31" s="875" t="str">
        <f>IF(LA_!DD31="","",+LA_!DD31)</f>
        <v/>
      </c>
      <c r="DE31" s="875" t="str">
        <f>IF(LA_!DE31="","",+LA_!DE31)</f>
        <v/>
      </c>
      <c r="DF31" s="875" t="str">
        <f>IF(LA_!DF31="","",+LA_!DF31)</f>
        <v/>
      </c>
      <c r="DG31" s="875" t="str">
        <f>IF(LA_!DG31="","",+LA_!DG31)</f>
        <v/>
      </c>
      <c r="DH31" s="875" t="str">
        <f>IF(LA_!DH31="","",+LA_!DH31)</f>
        <v/>
      </c>
      <c r="DI31" s="879" t="str">
        <f>IF(LA_!DI31="","",+LA_!DI31)</f>
        <v/>
      </c>
      <c r="DJ31" s="872" t="str">
        <f>IF(LA_!DJ31="","",+LA_!DJ31)</f>
        <v/>
      </c>
      <c r="DK31" s="872" t="str">
        <f>IF(LA_!DK31="","",+LA_!DK31)</f>
        <v/>
      </c>
      <c r="DL31" s="872" t="str">
        <f>IF(LA_!DL31="","",+LA_!DL31)</f>
        <v/>
      </c>
      <c r="DM31" s="875" t="str">
        <f>IF(LA_!DM31="","",+LA_!DM31)</f>
        <v/>
      </c>
      <c r="DN31" s="875" t="str">
        <f>IF(LA_!DN31="","",+LA_!DN31)</f>
        <v/>
      </c>
      <c r="DO31" s="875" t="str">
        <f>IF(LA_!DO31="","",+LA_!DO31)</f>
        <v/>
      </c>
      <c r="DP31" s="872" t="str">
        <f>IF(LA_!DP31="","",+LA_!DP31)</f>
        <v/>
      </c>
      <c r="DQ31" s="875" t="str">
        <f>IF(LA_!DQ31="","",+LA_!DQ31)</f>
        <v/>
      </c>
      <c r="DR31" s="875" t="str">
        <f>IF(LA_!DR31="","",+LA_!DR31)</f>
        <v/>
      </c>
      <c r="DS31" s="876"/>
      <c r="DT31" s="880"/>
      <c r="DU31" s="330"/>
      <c r="DV31" s="330"/>
      <c r="DW31" s="882"/>
      <c r="DX31" s="849"/>
    </row>
    <row r="32" spans="2:128" ht="20.100000000000001" customHeight="1">
      <c r="B32" s="1789"/>
      <c r="C32" s="852">
        <v>22</v>
      </c>
      <c r="D32" s="1842">
        <f>IF(LA_!D32="","",+LA_!D32)</f>
        <v>126</v>
      </c>
      <c r="E32" s="872" t="str">
        <f>IF(LA_!E32="","",+LA_!E32)</f>
        <v/>
      </c>
      <c r="F32" s="873">
        <f>IF(LA_!F32="","",+LA_!F32)</f>
        <v>145</v>
      </c>
      <c r="G32" s="872" t="str">
        <f>IF(LA_!G32="","",+LA_!G32)</f>
        <v/>
      </c>
      <c r="H32" s="874" t="str">
        <f>IF(LA_!H32="","",+LA_!H32)</f>
        <v/>
      </c>
      <c r="I32" s="874" t="str">
        <f>IF(LA_!I32="","",+LA_!I32)</f>
        <v/>
      </c>
      <c r="J32" s="874">
        <f>IF(LA_!J32="","",+LA_!J32)</f>
        <v>10</v>
      </c>
      <c r="K32" s="874" t="str">
        <f>IF(LA_!K32="","",+LA_!K32)</f>
        <v/>
      </c>
      <c r="L32" s="1292" t="str">
        <f>IF(LA_!L32="","",+LA_!L32)</f>
        <v/>
      </c>
      <c r="M32" s="874" t="str">
        <f>IF(LA_!M32="","",+LA_!M32)</f>
        <v/>
      </c>
      <c r="N32" s="874" t="str">
        <f>IF(LA_!N32="","",+LA_!N32)</f>
        <v/>
      </c>
      <c r="O32" s="874" t="str">
        <f>IF(LA_!O32="","",+LA_!O32)</f>
        <v/>
      </c>
      <c r="P32" s="1197" t="str">
        <f>IF(LA_!P32="","",+LA_!P32)</f>
        <v/>
      </c>
      <c r="Q32" s="1196" t="str">
        <f>IF(LA_!Q32="","",+LA_!Q32)</f>
        <v/>
      </c>
      <c r="R32" s="874" t="str">
        <f>IF(LA_!R32="","",+LA_!R32)</f>
        <v/>
      </c>
      <c r="S32" s="874" t="str">
        <f>IF(LA_!S32="","",+LA_!S32)</f>
        <v/>
      </c>
      <c r="T32" s="874" t="str">
        <f>IF(LA_!T32="","",+LA_!T32)</f>
        <v/>
      </c>
      <c r="U32" s="1197" t="str">
        <f>IF(LA_!U32="","",+LA_!U32)</f>
        <v/>
      </c>
      <c r="V32" s="1183" t="str">
        <f>IF(LA_!V32="","",+LA_!V32)</f>
        <v/>
      </c>
      <c r="W32" s="872" t="str">
        <f>IF(LA_!W32="","",+LA_!W32)</f>
        <v/>
      </c>
      <c r="X32" s="874" t="str">
        <f>IF(LA_!X32="","",+LA_!X32)</f>
        <v/>
      </c>
      <c r="Y32" s="872" t="str">
        <f>IF(LA_!Y32="","",+LA_!Y32)</f>
        <v/>
      </c>
      <c r="Z32" s="1843">
        <f>IF(LA_!Z32="","",+LA_!Z32)</f>
        <v>156</v>
      </c>
      <c r="AA32" s="875">
        <f>IF(LA_!AA32="","",+LA_!AA32)</f>
        <v>134</v>
      </c>
      <c r="AB32" s="875" t="str">
        <f>IF(LA_!AB32="","",+LA_!AB32)</f>
        <v/>
      </c>
      <c r="AC32" s="875" t="str">
        <f>IF(LA_!AC32="","",+LA_!AC32)</f>
        <v/>
      </c>
      <c r="AD32" s="875">
        <f>IF(LA_!AD32="","",+LA_!AD32)</f>
        <v>4</v>
      </c>
      <c r="AE32" s="874" t="str">
        <f>IF(LA_!AE32="","",+LA_!AE32)</f>
        <v/>
      </c>
      <c r="AF32" s="872" t="str">
        <f>IF(LA_!AF32="","",+LA_!AF32)</f>
        <v/>
      </c>
      <c r="AG32" s="872" t="str">
        <f>IF(LA_!AG32="","",+LA_!AG32)</f>
        <v/>
      </c>
      <c r="AH32" s="872" t="str">
        <f>IF(LA_!AH32="","",+LA_!AH32)</f>
        <v/>
      </c>
      <c r="AI32" s="872" t="str">
        <f>IF(LA_!AI32="","",+LA_!AI32)</f>
        <v/>
      </c>
      <c r="AJ32" s="872" t="str">
        <f>IF(LA_!AJ32="","",+LA_!AJ32)</f>
        <v/>
      </c>
      <c r="AK32" s="872" t="str">
        <f>IF(LA_!AK32="","",+LA_!AK32)</f>
        <v/>
      </c>
      <c r="AL32" s="872" t="str">
        <f>IF(LA_!AL32="","",+LA_!AL32)</f>
        <v/>
      </c>
      <c r="AM32" s="872" t="str">
        <f>IF(LA_!AM32="","",+LA_!AM32)</f>
        <v/>
      </c>
      <c r="AN32" s="875" t="str">
        <f>IF(LA_!AN32="","",+LA_!AN32)</f>
        <v/>
      </c>
      <c r="AO32" s="875" t="str">
        <f>IF(LA_!AO32="","",+LA_!AO32)</f>
        <v/>
      </c>
      <c r="AP32" s="876" t="str">
        <f>IF(LA_!AP32="","",+LA_!AP32)</f>
        <v/>
      </c>
      <c r="AQ32" s="875" t="str">
        <f>IF(LA_!AQ32="","",+LA_!AQ32)</f>
        <v/>
      </c>
      <c r="AR32" s="875" t="str">
        <f>IF(LA_!AR32="","",+LA_!AR32)</f>
        <v/>
      </c>
      <c r="AS32" s="875" t="str">
        <f>IF(LA_!AS32="","",+LA_!AS32)</f>
        <v/>
      </c>
      <c r="AT32" s="875" t="str">
        <f>IF(LA_!AT32="","",+LA_!AT32)</f>
        <v/>
      </c>
      <c r="AU32" s="875" t="str">
        <f>IF(LA_!AU32="","",+LA_!AU32)</f>
        <v/>
      </c>
      <c r="AV32" s="875" t="str">
        <f>IF(LA_!AV32="","",+LA_!AV32)</f>
        <v/>
      </c>
      <c r="AW32" s="875" t="str">
        <f>IF(LA_!AW32="","",+LA_!AW32)</f>
        <v/>
      </c>
      <c r="AX32" s="875" t="str">
        <f>IF(LA_!AX32="","",+LA_!AX32)</f>
        <v/>
      </c>
      <c r="AY32" s="875" t="str">
        <f>IF(LA_!AY32="","",+LA_!AY32)</f>
        <v/>
      </c>
      <c r="AZ32" s="872" t="str">
        <f>IF(LA_!AZ32="","",+LA_!AZ32)</f>
        <v/>
      </c>
      <c r="BA32" s="872" t="str">
        <f>IF(LA_!BA32="","",+LA_!BA32)</f>
        <v/>
      </c>
      <c r="BB32" s="872" t="str">
        <f>IF(LA_!BB32="","",+LA_!BB32)</f>
        <v/>
      </c>
      <c r="BC32" s="872" t="str">
        <f>IF(LA_!BC32="","",+LA_!BC32)</f>
        <v/>
      </c>
      <c r="BD32" s="872" t="str">
        <f>IF(LA_!BD32="","",+LA_!BD32)</f>
        <v/>
      </c>
      <c r="BE32" s="876" t="str">
        <f>IF(LA_!BE32="","",+LA_!BE32)</f>
        <v/>
      </c>
      <c r="BF32" s="875" t="str">
        <f>IF(LA_!BF32="","",+LA_!BF32)</f>
        <v/>
      </c>
      <c r="BG32" s="877">
        <f>+IF(LA_!BG32="","",IF(ISTEXT(LA_!BG32),0,ROUND(LA_!BG32,2)))</f>
        <v>7.0000000000000007E-2</v>
      </c>
      <c r="BH32" s="878">
        <f>+IF(LA_!BH32="","",IF(ISTEXT(LA_!BH32),0,ROUND(LA_!BH32,2)))</f>
        <v>0.11</v>
      </c>
      <c r="BI32" s="1844">
        <f>IF(LA_!BI32="","",+LA_!BI32)</f>
        <v>23.6</v>
      </c>
      <c r="BJ32" s="1844">
        <f>IF(LA_!BJ32="","",+LA_!BJ32)</f>
        <v>39.9</v>
      </c>
      <c r="BK32" s="878" t="str">
        <f>IF(LA_!BK32="","",+LA_!BK32)</f>
        <v/>
      </c>
      <c r="BL32" s="878" t="str">
        <f>IF(LA_!BL32="","",+LA_!BL32)</f>
        <v/>
      </c>
      <c r="BM32" s="875" t="str">
        <f>IF(LA_!BM32="","",+LA_!BM32)</f>
        <v/>
      </c>
      <c r="BN32" s="878">
        <f>+IF(LA_!BN32="","",IF(ISTEXT(LA_!BN32),0,ROUND(LA_!BN32,2)))</f>
        <v>0.03</v>
      </c>
      <c r="BO32" s="878">
        <f>+IF(LA_!BO32="","",IF(ISTEXT(LA_!BO32),0,ROUND(LA_!BO32,2)))</f>
        <v>0.08</v>
      </c>
      <c r="BP32" s="872">
        <f>IF(LA_!BP32="","",ROUND(+LA_!BP32,1))</f>
        <v>25.2</v>
      </c>
      <c r="BQ32" s="872">
        <f>IF(LA_!BQ32="","",ROUND(+LA_!BQ32,1))</f>
        <v>39.700000000000003</v>
      </c>
      <c r="BR32" s="875" t="str">
        <f>IF(LA_!BR32="","",+LA_!BR32)</f>
        <v/>
      </c>
      <c r="BS32" s="875" t="str">
        <f>IF(LA_!BS32="","",+LA_!BS32)</f>
        <v/>
      </c>
      <c r="BT32" s="875" t="str">
        <f>IF(LA_!BT32="","",+LA_!BT32)</f>
        <v/>
      </c>
      <c r="BU32" s="878" t="str">
        <f>+IF(LA_!BU32="","",IF(ISTEXT(LA_!BU32),0,ROUND(LA_!BU32,2)))</f>
        <v/>
      </c>
      <c r="BV32" s="878" t="str">
        <f>+IF(LA_!BV32="","",IF(ISTEXT(LA_!BV32),0,ROUND(LA_!BV32,2)))</f>
        <v/>
      </c>
      <c r="BW32" s="872" t="str">
        <f>IF(LA_!BW32="","",ROUND(+LA_!BW32,1))</f>
        <v/>
      </c>
      <c r="BX32" s="872" t="str">
        <f>IF(LA_!BX32="","",ROUND(+LA_!BX32,1))</f>
        <v/>
      </c>
      <c r="BY32" s="875" t="str">
        <f>IF(LA_!BY32="","",+LA_!BY32)</f>
        <v/>
      </c>
      <c r="BZ32" s="875" t="str">
        <f>IF(LA_!BZ32="","",+LA_!BZ32)</f>
        <v/>
      </c>
      <c r="CA32" s="875" t="str">
        <f>IF(LA_!CA32="","",+LA_!CA32)</f>
        <v/>
      </c>
      <c r="CB32" s="878">
        <f>+IF(LA_!CB32="","",IF(ISTEXT(LA_!CB32),0,ROUND(LA_!CB32,2)))</f>
        <v>0.71</v>
      </c>
      <c r="CC32" s="878">
        <f>+IF(LA_!CC32="","",IF(ISTEXT(LA_!CC32),0,ROUND(LA_!CC32,2)))</f>
        <v>3.9</v>
      </c>
      <c r="CD32" s="872">
        <f>IF(LA_!CD32="","",ROUND(+LA_!CD32,1))</f>
        <v>13.6</v>
      </c>
      <c r="CE32" s="872">
        <f>IF(LA_!CE32="","",ROUND(+LA_!CE32,1))</f>
        <v>16.3</v>
      </c>
      <c r="CF32" s="878" t="str">
        <f>IF(LA_!CF32="","",+LA_!CF32)</f>
        <v/>
      </c>
      <c r="CG32" s="878" t="str">
        <f>IF(LA_!CG32="","",+LA_!CG32)</f>
        <v/>
      </c>
      <c r="CH32" s="875" t="str">
        <f>IF(LA_!CH32="","",+LA_!CH32)</f>
        <v/>
      </c>
      <c r="CI32" s="876" t="str">
        <f>IF(LA_!CI32="","",+LA_!CI32)</f>
        <v/>
      </c>
      <c r="CJ32" s="875" t="str">
        <f>IF(LA_!CJ32="","",+LA_!CJ32)</f>
        <v/>
      </c>
      <c r="CK32" s="875" t="str">
        <f>IF(LA_!CK32="","",+LA_!CK32)</f>
        <v/>
      </c>
      <c r="CL32" s="875" t="str">
        <f>IF(LA_!CL32="","",+LA_!CL32)</f>
        <v/>
      </c>
      <c r="CM32" s="875" t="str">
        <f>IF(LA_!CM32="","",+LA_!CM32)</f>
        <v/>
      </c>
      <c r="CN32" s="875" t="str">
        <f>IF(LA_!CN32="","",+LA_!CN32)</f>
        <v/>
      </c>
      <c r="CO32" s="875" t="str">
        <f>IF(LA_!CO32="","",+LA_!CO32)</f>
        <v/>
      </c>
      <c r="CP32" s="875" t="str">
        <f>IF(LA_!CP32="","",+LA_!CP32)</f>
        <v/>
      </c>
      <c r="CQ32" s="1922" t="str">
        <f>IF(LA_!CQ32="","",+LA_!CQ32)</f>
        <v/>
      </c>
      <c r="CR32" s="875" t="str">
        <f>IF(LA_!CR32="","",+LA_!CR32)</f>
        <v/>
      </c>
      <c r="CS32" s="875" t="str">
        <f>IF(LA_!CS32="","",+LA_!CS32)</f>
        <v/>
      </c>
      <c r="CT32" s="875" t="str">
        <f>IF(LA_!CT32="","",+LA_!CT32)</f>
        <v/>
      </c>
      <c r="CU32" s="874" t="str">
        <f>IF(LA_!CU32="","",+LA_!CU32)</f>
        <v/>
      </c>
      <c r="CV32" s="872" t="str">
        <f>IF(LA_!CV32="","",+LA_!CV32)</f>
        <v/>
      </c>
      <c r="CW32" s="874" t="str">
        <f>IF(LA_!CW32="","",+LA_!CW32)</f>
        <v/>
      </c>
      <c r="CX32" s="1197" t="str">
        <f>IF(LA_!CX32="","",+LA_!CX32)</f>
        <v/>
      </c>
      <c r="CY32" s="2370" t="str">
        <f>IF(LA_!CY32="","",+LA_!CY32)</f>
        <v/>
      </c>
      <c r="CZ32" s="875" t="str">
        <f>IF(LA_!CZ32="","",+LA_!CZ32)</f>
        <v/>
      </c>
      <c r="DA32" s="875" t="str">
        <f>IF(LA_!DA32="","",+LA_!DA32)</f>
        <v/>
      </c>
      <c r="DB32" s="875" t="str">
        <f>IF(LA_!DB32="","",+LA_!DB32)</f>
        <v/>
      </c>
      <c r="DC32" s="875" t="str">
        <f>IF(LA_!DC32="","",+LA_!DC32)</f>
        <v/>
      </c>
      <c r="DD32" s="875" t="str">
        <f>IF(LA_!DD32="","",+LA_!DD32)</f>
        <v/>
      </c>
      <c r="DE32" s="875" t="str">
        <f>IF(LA_!DE32="","",+LA_!DE32)</f>
        <v/>
      </c>
      <c r="DF32" s="875" t="str">
        <f>IF(LA_!DF32="","",+LA_!DF32)</f>
        <v/>
      </c>
      <c r="DG32" s="875" t="str">
        <f>IF(LA_!DG32="","",+LA_!DG32)</f>
        <v/>
      </c>
      <c r="DH32" s="875" t="str">
        <f>IF(LA_!DH32="","",+LA_!DH32)</f>
        <v/>
      </c>
      <c r="DI32" s="879" t="str">
        <f>IF(LA_!DI32="","",+LA_!DI32)</f>
        <v/>
      </c>
      <c r="DJ32" s="872" t="str">
        <f>IF(LA_!DJ32="","",+LA_!DJ32)</f>
        <v/>
      </c>
      <c r="DK32" s="872" t="str">
        <f>IF(LA_!DK32="","",+LA_!DK32)</f>
        <v/>
      </c>
      <c r="DL32" s="872" t="str">
        <f>IF(LA_!DL32="","",+LA_!DL32)</f>
        <v/>
      </c>
      <c r="DM32" s="875" t="str">
        <f>IF(LA_!DM32="","",+LA_!DM32)</f>
        <v/>
      </c>
      <c r="DN32" s="875" t="str">
        <f>IF(LA_!DN32="","",+LA_!DN32)</f>
        <v/>
      </c>
      <c r="DO32" s="875" t="str">
        <f>IF(LA_!DO32="","",+LA_!DO32)</f>
        <v/>
      </c>
      <c r="DP32" s="872" t="str">
        <f>IF(LA_!DP32="","",+LA_!DP32)</f>
        <v/>
      </c>
      <c r="DQ32" s="875" t="str">
        <f>IF(LA_!DQ32="","",+LA_!DQ32)</f>
        <v/>
      </c>
      <c r="DR32" s="875" t="str">
        <f>IF(LA_!DR32="","",+LA_!DR32)</f>
        <v/>
      </c>
      <c r="DS32" s="876"/>
      <c r="DT32" s="880"/>
      <c r="DU32" s="330"/>
      <c r="DV32" s="330"/>
      <c r="DW32" s="881"/>
      <c r="DX32" s="849"/>
    </row>
    <row r="33" spans="2:138" ht="20.100000000000001" customHeight="1">
      <c r="B33" s="1789"/>
      <c r="C33" s="852">
        <v>23</v>
      </c>
      <c r="D33" s="1842">
        <f>IF(LA_!D33="","",+LA_!D33)</f>
        <v>164</v>
      </c>
      <c r="E33" s="872" t="str">
        <f>IF(LA_!E33="","",+LA_!E33)</f>
        <v/>
      </c>
      <c r="F33" s="873">
        <f>IF(LA_!F33="","",+LA_!F33)</f>
        <v>132</v>
      </c>
      <c r="G33" s="872" t="str">
        <f>IF(LA_!G33="","",+LA_!G33)</f>
        <v/>
      </c>
      <c r="H33" s="874" t="str">
        <f>IF(LA_!H33="","",+LA_!H33)</f>
        <v/>
      </c>
      <c r="I33" s="874" t="str">
        <f>IF(LA_!I33="","",+LA_!I33)</f>
        <v/>
      </c>
      <c r="J33" s="874">
        <f>IF(LA_!J33="","",+LA_!J33)</f>
        <v>90</v>
      </c>
      <c r="K33" s="874" t="str">
        <f>IF(LA_!K33="","",+LA_!K33)</f>
        <v/>
      </c>
      <c r="L33" s="1292" t="str">
        <f>IF(LA_!L33="","",+LA_!L33)</f>
        <v/>
      </c>
      <c r="M33" s="874" t="str">
        <f>IF(LA_!M33="","",+LA_!M33)</f>
        <v/>
      </c>
      <c r="N33" s="874" t="str">
        <f>IF(LA_!N33="","",+LA_!N33)</f>
        <v/>
      </c>
      <c r="O33" s="874" t="str">
        <f>IF(LA_!O33="","",+LA_!O33)</f>
        <v/>
      </c>
      <c r="P33" s="1197" t="str">
        <f>IF(LA_!P33="","",+LA_!P33)</f>
        <v/>
      </c>
      <c r="Q33" s="1196" t="str">
        <f>IF(LA_!Q33="","",+LA_!Q33)</f>
        <v/>
      </c>
      <c r="R33" s="874" t="str">
        <f>IF(LA_!R33="","",+LA_!R33)</f>
        <v/>
      </c>
      <c r="S33" s="874" t="str">
        <f>IF(LA_!S33="","",+LA_!S33)</f>
        <v/>
      </c>
      <c r="T33" s="874" t="str">
        <f>IF(LA_!T33="","",+LA_!T33)</f>
        <v/>
      </c>
      <c r="U33" s="1197" t="str">
        <f>IF(LA_!U33="","",+LA_!U33)</f>
        <v/>
      </c>
      <c r="V33" s="1183" t="str">
        <f>IF(LA_!V33="","",+LA_!V33)</f>
        <v/>
      </c>
      <c r="W33" s="872" t="str">
        <f>IF(LA_!W33="","",+LA_!W33)</f>
        <v/>
      </c>
      <c r="X33" s="874" t="str">
        <f>IF(LA_!X33="","",+LA_!X33)</f>
        <v/>
      </c>
      <c r="Y33" s="872" t="str">
        <f>IF(LA_!Y33="","",+LA_!Y33)</f>
        <v/>
      </c>
      <c r="Z33" s="1843">
        <f>IF(LA_!Z33="","",+LA_!Z33)</f>
        <v>116</v>
      </c>
      <c r="AA33" s="875">
        <f>IF(LA_!AA33="","",+LA_!AA33)</f>
        <v>115</v>
      </c>
      <c r="AB33" s="875" t="str">
        <f>IF(LA_!AB33="","",+LA_!AB33)</f>
        <v/>
      </c>
      <c r="AC33" s="875" t="str">
        <f>IF(LA_!AC33="","",+LA_!AC33)</f>
        <v/>
      </c>
      <c r="AD33" s="875">
        <f>IF(LA_!AD33="","",+LA_!AD33)</f>
        <v>33</v>
      </c>
      <c r="AE33" s="874" t="str">
        <f>IF(LA_!AE33="","",+LA_!AE33)</f>
        <v/>
      </c>
      <c r="AF33" s="872" t="str">
        <f>IF(LA_!AF33="","",+LA_!AF33)</f>
        <v/>
      </c>
      <c r="AG33" s="872" t="str">
        <f>IF(LA_!AG33="","",+LA_!AG33)</f>
        <v/>
      </c>
      <c r="AH33" s="872" t="str">
        <f>IF(LA_!AH33="","",+LA_!AH33)</f>
        <v/>
      </c>
      <c r="AI33" s="872" t="str">
        <f>IF(LA_!AI33="","",+LA_!AI33)</f>
        <v/>
      </c>
      <c r="AJ33" s="872" t="str">
        <f>IF(LA_!AJ33="","",+LA_!AJ33)</f>
        <v/>
      </c>
      <c r="AK33" s="872" t="str">
        <f>IF(LA_!AK33="","",+LA_!AK33)</f>
        <v/>
      </c>
      <c r="AL33" s="872" t="str">
        <f>IF(LA_!AL33="","",+LA_!AL33)</f>
        <v/>
      </c>
      <c r="AM33" s="872" t="str">
        <f>IF(LA_!AM33="","",+LA_!AM33)</f>
        <v/>
      </c>
      <c r="AN33" s="875" t="str">
        <f>IF(LA_!AN33="","",+LA_!AN33)</f>
        <v/>
      </c>
      <c r="AO33" s="875" t="str">
        <f>IF(LA_!AO33="","",+LA_!AO33)</f>
        <v/>
      </c>
      <c r="AP33" s="876" t="str">
        <f>IF(LA_!AP33="","",+LA_!AP33)</f>
        <v/>
      </c>
      <c r="AQ33" s="875" t="str">
        <f>IF(LA_!AQ33="","",+LA_!AQ33)</f>
        <v/>
      </c>
      <c r="AR33" s="875" t="str">
        <f>IF(LA_!AR33="","",+LA_!AR33)</f>
        <v/>
      </c>
      <c r="AS33" s="875" t="str">
        <f>IF(LA_!AS33="","",+LA_!AS33)</f>
        <v/>
      </c>
      <c r="AT33" s="875" t="str">
        <f>IF(LA_!AT33="","",+LA_!AT33)</f>
        <v/>
      </c>
      <c r="AU33" s="875" t="str">
        <f>IF(LA_!AU33="","",+LA_!AU33)</f>
        <v/>
      </c>
      <c r="AV33" s="875" t="str">
        <f>IF(LA_!AV33="","",+LA_!AV33)</f>
        <v/>
      </c>
      <c r="AW33" s="875" t="str">
        <f>IF(LA_!AW33="","",+LA_!AW33)</f>
        <v/>
      </c>
      <c r="AX33" s="875" t="str">
        <f>IF(LA_!AX33="","",+LA_!AX33)</f>
        <v/>
      </c>
      <c r="AY33" s="875" t="str">
        <f>IF(LA_!AY33="","",+LA_!AY33)</f>
        <v/>
      </c>
      <c r="AZ33" s="872" t="str">
        <f>IF(LA_!AZ33="","",+LA_!AZ33)</f>
        <v/>
      </c>
      <c r="BA33" s="872" t="str">
        <f>IF(LA_!BA33="","",+LA_!BA33)</f>
        <v/>
      </c>
      <c r="BB33" s="872" t="str">
        <f>IF(LA_!BB33="","",+LA_!BB33)</f>
        <v/>
      </c>
      <c r="BC33" s="872" t="str">
        <f>IF(LA_!BC33="","",+LA_!BC33)</f>
        <v/>
      </c>
      <c r="BD33" s="872" t="str">
        <f>IF(LA_!BD33="","",+LA_!BD33)</f>
        <v/>
      </c>
      <c r="BE33" s="876" t="str">
        <f>IF(LA_!BE33="","",+LA_!BE33)</f>
        <v/>
      </c>
      <c r="BF33" s="875" t="str">
        <f>IF(LA_!BF33="","",+LA_!BF33)</f>
        <v/>
      </c>
      <c r="BG33" s="877">
        <f>+IF(LA_!BG33="","",IF(ISTEXT(LA_!BG33),0,ROUND(LA_!BG33,2)))</f>
        <v>7.0000000000000007E-2</v>
      </c>
      <c r="BH33" s="878">
        <f>+IF(LA_!BH33="","",IF(ISTEXT(LA_!BH33),0,ROUND(LA_!BH33,2)))</f>
        <v>0.11</v>
      </c>
      <c r="BI33" s="1844">
        <f>IF(LA_!BI33="","",+LA_!BI33)</f>
        <v>11.6</v>
      </c>
      <c r="BJ33" s="1844">
        <f>IF(LA_!BJ33="","",+LA_!BJ33)</f>
        <v>31.9</v>
      </c>
      <c r="BK33" s="878" t="str">
        <f>IF(LA_!BK33="","",+LA_!BK33)</f>
        <v/>
      </c>
      <c r="BL33" s="878" t="str">
        <f>IF(LA_!BL33="","",+LA_!BL33)</f>
        <v/>
      </c>
      <c r="BM33" s="875" t="str">
        <f>IF(LA_!BM33="","",+LA_!BM33)</f>
        <v/>
      </c>
      <c r="BN33" s="878">
        <f>+IF(LA_!BN33="","",IF(ISTEXT(LA_!BN33),0,ROUND(LA_!BN33,2)))</f>
        <v>0.02</v>
      </c>
      <c r="BO33" s="878">
        <f>+IF(LA_!BO33="","",IF(ISTEXT(LA_!BO33),0,ROUND(LA_!BO33,2)))</f>
        <v>0.13</v>
      </c>
      <c r="BP33" s="872">
        <f>IF(LA_!BP33="","",ROUND(+LA_!BP33,1))</f>
        <v>12.3</v>
      </c>
      <c r="BQ33" s="872">
        <f>IF(LA_!BQ33="","",ROUND(+LA_!BQ33,1))</f>
        <v>29.2</v>
      </c>
      <c r="BR33" s="875" t="str">
        <f>IF(LA_!BR33="","",+LA_!BR33)</f>
        <v/>
      </c>
      <c r="BS33" s="875" t="str">
        <f>IF(LA_!BS33="","",+LA_!BS33)</f>
        <v/>
      </c>
      <c r="BT33" s="875" t="str">
        <f>IF(LA_!BT33="","",+LA_!BT33)</f>
        <v/>
      </c>
      <c r="BU33" s="878" t="str">
        <f>+IF(LA_!BU33="","",IF(ISTEXT(LA_!BU33),0,ROUND(LA_!BU33,2)))</f>
        <v/>
      </c>
      <c r="BV33" s="878" t="str">
        <f>+IF(LA_!BV33="","",IF(ISTEXT(LA_!BV33),0,ROUND(LA_!BV33,2)))</f>
        <v/>
      </c>
      <c r="BW33" s="872" t="str">
        <f>IF(LA_!BW33="","",ROUND(+LA_!BW33,1))</f>
        <v/>
      </c>
      <c r="BX33" s="872" t="str">
        <f>IF(LA_!BX33="","",ROUND(+LA_!BX33,1))</f>
        <v/>
      </c>
      <c r="BY33" s="875" t="str">
        <f>IF(LA_!BY33="","",+LA_!BY33)</f>
        <v/>
      </c>
      <c r="BZ33" s="875" t="str">
        <f>IF(LA_!BZ33="","",+LA_!BZ33)</f>
        <v/>
      </c>
      <c r="CA33" s="875" t="str">
        <f>IF(LA_!CA33="","",+LA_!CA33)</f>
        <v/>
      </c>
      <c r="CB33" s="878">
        <f>+IF(LA_!CB33="","",IF(ISTEXT(LA_!CB33),0,ROUND(LA_!CB33,2)))</f>
        <v>0.54</v>
      </c>
      <c r="CC33" s="878">
        <f>+IF(LA_!CC33="","",IF(ISTEXT(LA_!CC33),0,ROUND(LA_!CC33,2)))</f>
        <v>2.3199999999999998</v>
      </c>
      <c r="CD33" s="872">
        <f>IF(LA_!CD33="","",ROUND(+LA_!CD33,1))</f>
        <v>16.600000000000001</v>
      </c>
      <c r="CE33" s="872">
        <f>IF(LA_!CE33="","",ROUND(+LA_!CE33,1))</f>
        <v>22.3</v>
      </c>
      <c r="CF33" s="878" t="str">
        <f>IF(LA_!CF33="","",+LA_!CF33)</f>
        <v/>
      </c>
      <c r="CG33" s="878" t="str">
        <f>IF(LA_!CG33="","",+LA_!CG33)</f>
        <v/>
      </c>
      <c r="CH33" s="875" t="str">
        <f>IF(LA_!CH33="","",+LA_!CH33)</f>
        <v/>
      </c>
      <c r="CI33" s="876" t="str">
        <f>IF(LA_!CI33="","",+LA_!CI33)</f>
        <v/>
      </c>
      <c r="CJ33" s="875" t="str">
        <f>IF(LA_!CJ33="","",+LA_!CJ33)</f>
        <v/>
      </c>
      <c r="CK33" s="875" t="str">
        <f>IF(LA_!CK33="","",+LA_!CK33)</f>
        <v/>
      </c>
      <c r="CL33" s="875" t="str">
        <f>IF(LA_!CL33="","",+LA_!CL33)</f>
        <v/>
      </c>
      <c r="CM33" s="875" t="str">
        <f>IF(LA_!CM33="","",+LA_!CM33)</f>
        <v/>
      </c>
      <c r="CN33" s="875" t="str">
        <f>IF(LA_!CN33="","",+LA_!CN33)</f>
        <v/>
      </c>
      <c r="CO33" s="875" t="str">
        <f>IF(LA_!CO33="","",+LA_!CO33)</f>
        <v/>
      </c>
      <c r="CP33" s="875" t="str">
        <f>IF(LA_!CP33="","",+LA_!CP33)</f>
        <v/>
      </c>
      <c r="CQ33" s="1922" t="str">
        <f>IF(LA_!CQ33="","",+LA_!CQ33)</f>
        <v/>
      </c>
      <c r="CR33" s="875" t="str">
        <f>IF(LA_!CR33="","",+LA_!CR33)</f>
        <v/>
      </c>
      <c r="CS33" s="875" t="str">
        <f>IF(LA_!CS33="","",+LA_!CS33)</f>
        <v/>
      </c>
      <c r="CT33" s="875" t="str">
        <f>IF(LA_!CT33="","",+LA_!CT33)</f>
        <v/>
      </c>
      <c r="CU33" s="874" t="str">
        <f>IF(LA_!CU33="","",+LA_!CU33)</f>
        <v/>
      </c>
      <c r="CV33" s="872" t="str">
        <f>IF(LA_!CV33="","",+LA_!CV33)</f>
        <v/>
      </c>
      <c r="CW33" s="874" t="str">
        <f>IF(LA_!CW33="","",+LA_!CW33)</f>
        <v/>
      </c>
      <c r="CX33" s="1197" t="str">
        <f>IF(LA_!CX33="","",+LA_!CX33)</f>
        <v/>
      </c>
      <c r="CY33" s="2370" t="str">
        <f>IF(LA_!CY33="","",+LA_!CY33)</f>
        <v/>
      </c>
      <c r="CZ33" s="875" t="str">
        <f>IF(LA_!CZ33="","",+LA_!CZ33)</f>
        <v/>
      </c>
      <c r="DA33" s="875" t="str">
        <f>IF(LA_!DA33="","",+LA_!DA33)</f>
        <v/>
      </c>
      <c r="DB33" s="875" t="str">
        <f>IF(LA_!DB33="","",+LA_!DB33)</f>
        <v/>
      </c>
      <c r="DC33" s="875" t="str">
        <f>IF(LA_!DC33="","",+LA_!DC33)</f>
        <v/>
      </c>
      <c r="DD33" s="875" t="str">
        <f>IF(LA_!DD33="","",+LA_!DD33)</f>
        <v/>
      </c>
      <c r="DE33" s="875" t="str">
        <f>IF(LA_!DE33="","",+LA_!DE33)</f>
        <v/>
      </c>
      <c r="DF33" s="875" t="str">
        <f>IF(LA_!DF33="","",+LA_!DF33)</f>
        <v/>
      </c>
      <c r="DG33" s="875" t="str">
        <f>IF(LA_!DG33="","",+LA_!DG33)</f>
        <v/>
      </c>
      <c r="DH33" s="875" t="str">
        <f>IF(LA_!DH33="","",+LA_!DH33)</f>
        <v/>
      </c>
      <c r="DI33" s="879" t="str">
        <f>IF(LA_!DI33="","",+LA_!DI33)</f>
        <v/>
      </c>
      <c r="DJ33" s="872" t="str">
        <f>IF(LA_!DJ33="","",+LA_!DJ33)</f>
        <v/>
      </c>
      <c r="DK33" s="872" t="str">
        <f>IF(LA_!DK33="","",+LA_!DK33)</f>
        <v/>
      </c>
      <c r="DL33" s="872" t="str">
        <f>IF(LA_!DL33="","",+LA_!DL33)</f>
        <v/>
      </c>
      <c r="DM33" s="875" t="str">
        <f>IF(LA_!DM33="","",+LA_!DM33)</f>
        <v/>
      </c>
      <c r="DN33" s="875" t="str">
        <f>IF(LA_!DN33="","",+LA_!DN33)</f>
        <v/>
      </c>
      <c r="DO33" s="875" t="str">
        <f>IF(LA_!DO33="","",+LA_!DO33)</f>
        <v/>
      </c>
      <c r="DP33" s="872" t="str">
        <f>IF(LA_!DP33="","",+LA_!DP33)</f>
        <v/>
      </c>
      <c r="DQ33" s="875" t="str">
        <f>IF(LA_!DQ33="","",+LA_!DQ33)</f>
        <v/>
      </c>
      <c r="DR33" s="875" t="str">
        <f>IF(LA_!DR33="","",+LA_!DR33)</f>
        <v/>
      </c>
      <c r="DS33" s="876"/>
      <c r="DT33" s="880"/>
      <c r="DU33" s="330"/>
      <c r="DV33" s="330"/>
      <c r="DW33" s="881"/>
      <c r="DX33" s="849"/>
    </row>
    <row r="34" spans="2:138" ht="20.100000000000001" customHeight="1">
      <c r="B34" s="1789"/>
      <c r="C34" s="852">
        <v>24</v>
      </c>
      <c r="D34" s="1842">
        <f>IF(LA_!D34="","",+LA_!D34)</f>
        <v>132</v>
      </c>
      <c r="E34" s="872" t="str">
        <f>IF(LA_!E34="","",+LA_!E34)</f>
        <v/>
      </c>
      <c r="F34" s="873">
        <f>IF(LA_!F34="","",+LA_!F34)</f>
        <v>128</v>
      </c>
      <c r="G34" s="872" t="str">
        <f>IF(LA_!G34="","",+LA_!G34)</f>
        <v/>
      </c>
      <c r="H34" s="874">
        <f>IF(LA_!H34="","",+LA_!H34)</f>
        <v>84</v>
      </c>
      <c r="I34" s="874">
        <f>IF(LA_!I34="","",+LA_!I34)</f>
        <v>110</v>
      </c>
      <c r="J34" s="874">
        <f>IF(LA_!J34="","",+LA_!J34)</f>
        <v>22</v>
      </c>
      <c r="K34" s="874" t="str">
        <f>IF(LA_!K34="","",+LA_!K34)</f>
        <v/>
      </c>
      <c r="L34" s="1292">
        <f>IF(LA_!L34="","",+LA_!L34)</f>
        <v>1810</v>
      </c>
      <c r="M34" s="874">
        <f>IF(LA_!M34="","",+LA_!M34)</f>
        <v>2590</v>
      </c>
      <c r="N34" s="874">
        <f>IF(LA_!N34="","",+LA_!N34)</f>
        <v>2730</v>
      </c>
      <c r="O34" s="874">
        <f>IF(LA_!O34="","",+LA_!O34)</f>
        <v>2890</v>
      </c>
      <c r="P34" s="1197">
        <f>IF(LA_!P34="","",+LA_!P34)</f>
        <v>2970</v>
      </c>
      <c r="Q34" s="1196">
        <f>IF(LA_!Q34="","",+LA_!Q34)</f>
        <v>2020</v>
      </c>
      <c r="R34" s="874">
        <f>IF(LA_!R34="","",+LA_!R34)</f>
        <v>2790</v>
      </c>
      <c r="S34" s="874">
        <f>IF(LA_!S34="","",+LA_!S34)</f>
        <v>3100</v>
      </c>
      <c r="T34" s="874">
        <f>IF(LA_!T34="","",+LA_!T34)</f>
        <v>4520</v>
      </c>
      <c r="U34" s="1197">
        <f>IF(LA_!U34="","",+LA_!U34)</f>
        <v>5370</v>
      </c>
      <c r="V34" s="1183">
        <f>IF(LA_!V34="","",+LA_!V34)</f>
        <v>4600</v>
      </c>
      <c r="W34" s="872" t="str">
        <f>IF(LA_!W34="","",+LA_!W34)</f>
        <v/>
      </c>
      <c r="X34" s="874">
        <f>IF(LA_!X34="","",+LA_!X34)</f>
        <v>6620</v>
      </c>
      <c r="Y34" s="872" t="str">
        <f>IF(LA_!Y34="","",+LA_!Y34)</f>
        <v/>
      </c>
      <c r="Z34" s="1843">
        <f>IF(LA_!Z34="","",+LA_!Z34)</f>
        <v>117</v>
      </c>
      <c r="AA34" s="875">
        <f>IF(LA_!AA34="","",+LA_!AA34)</f>
        <v>112</v>
      </c>
      <c r="AB34" s="875" t="str">
        <f>IF(LA_!AB34="","",+LA_!AB34)</f>
        <v/>
      </c>
      <c r="AC34" s="875" t="str">
        <f>IF(LA_!AC34="","",+LA_!AC34)</f>
        <v/>
      </c>
      <c r="AD34" s="875">
        <f>IF(LA_!AD34="","",+LA_!AD34)</f>
        <v>16</v>
      </c>
      <c r="AE34" s="874" t="str">
        <f>IF(LA_!AE34="","",+LA_!AE34)</f>
        <v/>
      </c>
      <c r="AF34" s="872" t="str">
        <f>IF(LA_!AF34="","",+LA_!AF34)</f>
        <v/>
      </c>
      <c r="AG34" s="872" t="str">
        <f>IF(LA_!AG34="","",+LA_!AG34)</f>
        <v/>
      </c>
      <c r="AH34" s="872" t="str">
        <f>IF(LA_!AH34="","",+LA_!AH34)</f>
        <v/>
      </c>
      <c r="AI34" s="872" t="str">
        <f>IF(LA_!AI34="","",+LA_!AI34)</f>
        <v/>
      </c>
      <c r="AJ34" s="872" t="str">
        <f>IF(LA_!AJ34="","",+LA_!AJ34)</f>
        <v/>
      </c>
      <c r="AK34" s="872" t="str">
        <f>IF(LA_!AK34="","",+LA_!AK34)</f>
        <v/>
      </c>
      <c r="AL34" s="872" t="str">
        <f>IF(LA_!AL34="","",+LA_!AL34)</f>
        <v/>
      </c>
      <c r="AM34" s="872" t="str">
        <f>IF(LA_!AM34="","",+LA_!AM34)</f>
        <v/>
      </c>
      <c r="AN34" s="875" t="str">
        <f>IF(LA_!AN34="","",+LA_!AN34)</f>
        <v/>
      </c>
      <c r="AO34" s="875" t="str">
        <f>IF(LA_!AO34="","",+LA_!AO34)</f>
        <v/>
      </c>
      <c r="AP34" s="876" t="str">
        <f>IF(LA_!AP34="","",+LA_!AP34)</f>
        <v/>
      </c>
      <c r="AQ34" s="875" t="str">
        <f>IF(LA_!AQ34="","",+LA_!AQ34)</f>
        <v/>
      </c>
      <c r="AR34" s="875" t="str">
        <f>IF(LA_!AR34="","",+LA_!AR34)</f>
        <v/>
      </c>
      <c r="AS34" s="875" t="str">
        <f>IF(LA_!AS34="","",+LA_!AS34)</f>
        <v/>
      </c>
      <c r="AT34" s="875" t="str">
        <f>IF(LA_!AT34="","",+LA_!AT34)</f>
        <v/>
      </c>
      <c r="AU34" s="875" t="str">
        <f>IF(LA_!AU34="","",+LA_!AU34)</f>
        <v/>
      </c>
      <c r="AV34" s="875" t="str">
        <f>IF(LA_!AV34="","",+LA_!AV34)</f>
        <v/>
      </c>
      <c r="AW34" s="875" t="str">
        <f>IF(LA_!AW34="","",+LA_!AW34)</f>
        <v/>
      </c>
      <c r="AX34" s="875" t="str">
        <f>IF(LA_!AX34="","",+LA_!AX34)</f>
        <v/>
      </c>
      <c r="AY34" s="875" t="str">
        <f>IF(LA_!AY34="","",+LA_!AY34)</f>
        <v/>
      </c>
      <c r="AZ34" s="872" t="str">
        <f>IF(LA_!AZ34="","",+LA_!AZ34)</f>
        <v/>
      </c>
      <c r="BA34" s="872" t="str">
        <f>IF(LA_!BA34="","",+LA_!BA34)</f>
        <v/>
      </c>
      <c r="BB34" s="872" t="str">
        <f>IF(LA_!BB34="","",+LA_!BB34)</f>
        <v/>
      </c>
      <c r="BC34" s="872" t="str">
        <f>IF(LA_!BC34="","",+LA_!BC34)</f>
        <v/>
      </c>
      <c r="BD34" s="872" t="str">
        <f>IF(LA_!BD34="","",+LA_!BD34)</f>
        <v/>
      </c>
      <c r="BE34" s="876" t="str">
        <f>IF(LA_!BE34="","",+LA_!BE34)</f>
        <v/>
      </c>
      <c r="BF34" s="875" t="str">
        <f>IF(LA_!BF34="","",+LA_!BF34)</f>
        <v/>
      </c>
      <c r="BG34" s="877">
        <f>+IF(LA_!BG34="","",IF(ISTEXT(LA_!BG34),0,ROUND(LA_!BG34,2)))</f>
        <v>0.12</v>
      </c>
      <c r="BH34" s="878">
        <f>+IF(LA_!BH34="","",IF(ISTEXT(LA_!BH34),0,ROUND(LA_!BH34,2)))</f>
        <v>0.13</v>
      </c>
      <c r="BI34" s="1844">
        <f>IF(LA_!BI34="","",+LA_!BI34)</f>
        <v>10.6</v>
      </c>
      <c r="BJ34" s="1844">
        <f>IF(LA_!BJ34="","",+LA_!BJ34)</f>
        <v>32.299999999999997</v>
      </c>
      <c r="BK34" s="878" t="str">
        <f>IF(LA_!BK34="","",+LA_!BK34)</f>
        <v/>
      </c>
      <c r="BL34" s="878" t="str">
        <f>IF(LA_!BL34="","",+LA_!BL34)</f>
        <v/>
      </c>
      <c r="BM34" s="875" t="str">
        <f>IF(LA_!BM34="","",+LA_!BM34)</f>
        <v/>
      </c>
      <c r="BN34" s="878">
        <f>+IF(LA_!BN34="","",IF(ISTEXT(LA_!BN34),0,ROUND(LA_!BN34,2)))</f>
        <v>0.04</v>
      </c>
      <c r="BO34" s="878">
        <f>+IF(LA_!BO34="","",IF(ISTEXT(LA_!BO34),0,ROUND(LA_!BO34,2)))</f>
        <v>0.15</v>
      </c>
      <c r="BP34" s="872">
        <f>IF(LA_!BP34="","",ROUND(+LA_!BP34,1))</f>
        <v>17.7</v>
      </c>
      <c r="BQ34" s="872">
        <f>IF(LA_!BQ34="","",ROUND(+LA_!BQ34,1))</f>
        <v>31.3</v>
      </c>
      <c r="BR34" s="875" t="str">
        <f>IF(LA_!BR34="","",+LA_!BR34)</f>
        <v/>
      </c>
      <c r="BS34" s="875" t="str">
        <f>IF(LA_!BS34="","",+LA_!BS34)</f>
        <v/>
      </c>
      <c r="BT34" s="875" t="str">
        <f>IF(LA_!BT34="","",+LA_!BT34)</f>
        <v/>
      </c>
      <c r="BU34" s="878" t="str">
        <f>+IF(LA_!BU34="","",IF(ISTEXT(LA_!BU34),0,ROUND(LA_!BU34,2)))</f>
        <v/>
      </c>
      <c r="BV34" s="878" t="str">
        <f>+IF(LA_!BV34="","",IF(ISTEXT(LA_!BV34),0,ROUND(LA_!BV34,2)))</f>
        <v/>
      </c>
      <c r="BW34" s="872" t="str">
        <f>IF(LA_!BW34="","",ROUND(+LA_!BW34,1))</f>
        <v/>
      </c>
      <c r="BX34" s="872" t="str">
        <f>IF(LA_!BX34="","",ROUND(+LA_!BX34,1))</f>
        <v/>
      </c>
      <c r="BY34" s="875" t="str">
        <f>IF(LA_!BY34="","",+LA_!BY34)</f>
        <v/>
      </c>
      <c r="BZ34" s="875" t="str">
        <f>IF(LA_!BZ34="","",+LA_!BZ34)</f>
        <v/>
      </c>
      <c r="CA34" s="875" t="str">
        <f>IF(LA_!CA34="","",+LA_!CA34)</f>
        <v/>
      </c>
      <c r="CB34" s="878">
        <f>+IF(LA_!CB34="","",IF(ISTEXT(LA_!CB34),0,ROUND(LA_!CB34,2)))</f>
        <v>0.96</v>
      </c>
      <c r="CC34" s="878">
        <f>+IF(LA_!CC34="","",IF(ISTEXT(LA_!CC34),0,ROUND(LA_!CC34,2)))</f>
        <v>2.86</v>
      </c>
      <c r="CD34" s="872">
        <f>IF(LA_!CD34="","",ROUND(+LA_!CD34,1))</f>
        <v>13.5</v>
      </c>
      <c r="CE34" s="872">
        <f>IF(LA_!CE34="","",ROUND(+LA_!CE34,1))</f>
        <v>18.2</v>
      </c>
      <c r="CF34" s="878" t="str">
        <f>IF(LA_!CF34="","",+LA_!CF34)</f>
        <v/>
      </c>
      <c r="CG34" s="878" t="str">
        <f>IF(LA_!CG34="","",+LA_!CG34)</f>
        <v/>
      </c>
      <c r="CH34" s="875" t="str">
        <f>IF(LA_!CH34="","",+LA_!CH34)</f>
        <v/>
      </c>
      <c r="CI34" s="876" t="str">
        <f>IF(LA_!CI34="","",+LA_!CI34)</f>
        <v/>
      </c>
      <c r="CJ34" s="875" t="str">
        <f>IF(LA_!CJ34="","",+LA_!CJ34)</f>
        <v/>
      </c>
      <c r="CK34" s="875" t="str">
        <f>IF(LA_!CK34="","",+LA_!CK34)</f>
        <v/>
      </c>
      <c r="CL34" s="875" t="str">
        <f>IF(LA_!CL34="","",+LA_!CL34)</f>
        <v/>
      </c>
      <c r="CM34" s="875" t="str">
        <f>IF(LA_!CM34="","",+LA_!CM34)</f>
        <v/>
      </c>
      <c r="CN34" s="875" t="str">
        <f>IF(LA_!CN34="","",+LA_!CN34)</f>
        <v/>
      </c>
      <c r="CO34" s="875" t="str">
        <f>IF(LA_!CO34="","",+LA_!CO34)</f>
        <v/>
      </c>
      <c r="CP34" s="875" t="str">
        <f>IF(LA_!CP34="","",+LA_!CP34)</f>
        <v/>
      </c>
      <c r="CQ34" s="1922" t="str">
        <f>IF(LA_!CQ34="","",+LA_!CQ34)</f>
        <v/>
      </c>
      <c r="CR34" s="875" t="str">
        <f>IF(LA_!CR34="","",+LA_!CR34)</f>
        <v/>
      </c>
      <c r="CS34" s="875" t="str">
        <f>IF(LA_!CS34="","",+LA_!CS34)</f>
        <v/>
      </c>
      <c r="CT34" s="875" t="str">
        <f>IF(LA_!CT34="","",+LA_!CT34)</f>
        <v/>
      </c>
      <c r="CU34" s="874" t="str">
        <f>IF(LA_!CU34="","",+LA_!CU34)</f>
        <v/>
      </c>
      <c r="CV34" s="872" t="str">
        <f>IF(LA_!CV34="","",+LA_!CV34)</f>
        <v/>
      </c>
      <c r="CW34" s="874" t="str">
        <f>IF(LA_!CW34="","",+LA_!CW34)</f>
        <v/>
      </c>
      <c r="CX34" s="1197" t="str">
        <f>IF(LA_!CX34="","",+LA_!CX34)</f>
        <v/>
      </c>
      <c r="CY34" s="2370" t="str">
        <f>IF(LA_!CY34="","",+LA_!CY34)</f>
        <v/>
      </c>
      <c r="CZ34" s="875" t="str">
        <f>IF(LA_!CZ34="","",+LA_!CZ34)</f>
        <v/>
      </c>
      <c r="DA34" s="875" t="str">
        <f>IF(LA_!DA34="","",+LA_!DA34)</f>
        <v/>
      </c>
      <c r="DB34" s="875" t="str">
        <f>IF(LA_!DB34="","",+LA_!DB34)</f>
        <v/>
      </c>
      <c r="DC34" s="875" t="str">
        <f>IF(LA_!DC34="","",+LA_!DC34)</f>
        <v/>
      </c>
      <c r="DD34" s="875" t="str">
        <f>IF(LA_!DD34="","",+LA_!DD34)</f>
        <v/>
      </c>
      <c r="DE34" s="875" t="str">
        <f>IF(LA_!DE34="","",+LA_!DE34)</f>
        <v/>
      </c>
      <c r="DF34" s="875" t="str">
        <f>IF(LA_!DF34="","",+LA_!DF34)</f>
        <v/>
      </c>
      <c r="DG34" s="875" t="str">
        <f>IF(LA_!DG34="","",+LA_!DG34)</f>
        <v/>
      </c>
      <c r="DH34" s="875" t="str">
        <f>IF(LA_!DH34="","",+LA_!DH34)</f>
        <v/>
      </c>
      <c r="DI34" s="879" t="str">
        <f>IF(LA_!DI34="","",+LA_!DI34)</f>
        <v/>
      </c>
      <c r="DJ34" s="872" t="str">
        <f>IF(LA_!DJ34="","",+LA_!DJ34)</f>
        <v/>
      </c>
      <c r="DK34" s="872" t="str">
        <f>IF(LA_!DK34="","",+LA_!DK34)</f>
        <v/>
      </c>
      <c r="DL34" s="872" t="str">
        <f>IF(LA_!DL34="","",+LA_!DL34)</f>
        <v/>
      </c>
      <c r="DM34" s="875" t="str">
        <f>IF(LA_!DM34="","",+LA_!DM34)</f>
        <v/>
      </c>
      <c r="DN34" s="875" t="str">
        <f>IF(LA_!DN34="","",+LA_!DN34)</f>
        <v/>
      </c>
      <c r="DO34" s="875" t="str">
        <f>IF(LA_!DO34="","",+LA_!DO34)</f>
        <v/>
      </c>
      <c r="DP34" s="872" t="str">
        <f>IF(LA_!DP34="","",+LA_!DP34)</f>
        <v/>
      </c>
      <c r="DQ34" s="875" t="str">
        <f>IF(LA_!DQ34="","",+LA_!DQ34)</f>
        <v/>
      </c>
      <c r="DR34" s="875" t="str">
        <f>IF(LA_!DR34="","",+LA_!DR34)</f>
        <v/>
      </c>
      <c r="DS34" s="876"/>
      <c r="DT34" s="880"/>
      <c r="DU34" s="330"/>
      <c r="DV34" s="330"/>
      <c r="DW34" s="881"/>
      <c r="DX34" s="849"/>
    </row>
    <row r="35" spans="2:138" ht="20.100000000000001" customHeight="1">
      <c r="B35" s="1789"/>
      <c r="C35" s="852">
        <v>25</v>
      </c>
      <c r="D35" s="1842">
        <f>IF(LA_!D35="","",+LA_!D35)</f>
        <v>146</v>
      </c>
      <c r="E35" s="872">
        <f>IF(LA_!E35="","",+LA_!E35)</f>
        <v>82.2</v>
      </c>
      <c r="F35" s="873">
        <f>IF(LA_!F35="","",+LA_!F35)</f>
        <v>144</v>
      </c>
      <c r="G35" s="872">
        <f>IF(LA_!G35="","",+LA_!G35)</f>
        <v>83.3</v>
      </c>
      <c r="H35" s="874">
        <f>IF(LA_!H35="","",+LA_!H35)</f>
        <v>82</v>
      </c>
      <c r="I35" s="874">
        <f>IF(LA_!I35="","",+LA_!I35)</f>
        <v>116</v>
      </c>
      <c r="J35" s="874">
        <f>IF(LA_!J35="","",+LA_!J35)</f>
        <v>9</v>
      </c>
      <c r="K35" s="874">
        <f>IF(LA_!K35="","",+LA_!K35)</f>
        <v>280</v>
      </c>
      <c r="L35" s="1292">
        <f>IF(LA_!L35="","",+LA_!L35)</f>
        <v>1750</v>
      </c>
      <c r="M35" s="874">
        <f>IF(LA_!M35="","",+LA_!M35)</f>
        <v>2160</v>
      </c>
      <c r="N35" s="874">
        <f>IF(LA_!N35="","",+LA_!N35)</f>
        <v>1890</v>
      </c>
      <c r="O35" s="874">
        <f>IF(LA_!O35="","",+LA_!O35)</f>
        <v>2460</v>
      </c>
      <c r="P35" s="1197">
        <f>IF(LA_!P35="","",+LA_!P35)</f>
        <v>2280</v>
      </c>
      <c r="Q35" s="1196">
        <f>IF(LA_!Q35="","",+LA_!Q35)</f>
        <v>1940</v>
      </c>
      <c r="R35" s="874">
        <f>IF(LA_!R35="","",+LA_!R35)</f>
        <v>2480</v>
      </c>
      <c r="S35" s="874">
        <f>IF(LA_!S35="","",+LA_!S35)</f>
        <v>2590</v>
      </c>
      <c r="T35" s="874">
        <f>IF(LA_!T35="","",+LA_!T35)</f>
        <v>4810</v>
      </c>
      <c r="U35" s="1197">
        <f>IF(LA_!U35="","",+LA_!U35)</f>
        <v>4240</v>
      </c>
      <c r="V35" s="1183">
        <f>IF(LA_!V35="","",+LA_!V35)</f>
        <v>3340</v>
      </c>
      <c r="W35" s="872">
        <f>IF(LA_!W35="","",+LA_!W35)</f>
        <v>82.6</v>
      </c>
      <c r="X35" s="874">
        <f>IF(LA_!X35="","",+LA_!X35)</f>
        <v>5460</v>
      </c>
      <c r="Y35" s="872">
        <f>IF(LA_!Y35="","",+LA_!Y35)</f>
        <v>82.4</v>
      </c>
      <c r="Z35" s="1843">
        <f>IF(LA_!Z35="","",+LA_!Z35)</f>
        <v>136</v>
      </c>
      <c r="AA35" s="875">
        <f>IF(LA_!AA35="","",+LA_!AA35)</f>
        <v>124</v>
      </c>
      <c r="AB35" s="875">
        <f>IF(LA_!AB35="","",+LA_!AB35)</f>
        <v>57</v>
      </c>
      <c r="AC35" s="875">
        <f>IF(LA_!AC35="","",+LA_!AC35)</f>
        <v>71</v>
      </c>
      <c r="AD35" s="875">
        <f>IF(LA_!AD35="","",+LA_!AD35)</f>
        <v>6</v>
      </c>
      <c r="AE35" s="874">
        <f>IF(LA_!AE35="","",+LA_!AE35)</f>
        <v>2040</v>
      </c>
      <c r="AF35" s="872">
        <f>IF(LA_!AF35="","",+LA_!AF35)</f>
        <v>4.4000000000000004</v>
      </c>
      <c r="AG35" s="872">
        <f>IF(LA_!AG35="","",+LA_!AG35)</f>
        <v>79.5</v>
      </c>
      <c r="AH35" s="872">
        <f>IF(LA_!AH35="","",+LA_!AH35)</f>
        <v>1.79</v>
      </c>
      <c r="AI35" s="872">
        <f>IF(LA_!AI35="","",+LA_!AI35)</f>
        <v>69.400000000000006</v>
      </c>
      <c r="AJ35" s="872" t="str">
        <f>IF(LA_!AJ35="","",+LA_!AJ35)</f>
        <v/>
      </c>
      <c r="AK35" s="872" t="str">
        <f>IF(LA_!AK35="","",+LA_!AK35)</f>
        <v/>
      </c>
      <c r="AL35" s="872" t="str">
        <f>IF(LA_!AL35="","",+LA_!AL35)</f>
        <v/>
      </c>
      <c r="AM35" s="872" t="str">
        <f>IF(LA_!AM35="","",+LA_!AM35)</f>
        <v/>
      </c>
      <c r="AN35" s="875" t="str">
        <f>IF(LA_!AN35="","",+LA_!AN35)</f>
        <v/>
      </c>
      <c r="AO35" s="875" t="str">
        <f>IF(LA_!AO35="","",+LA_!AO35)</f>
        <v/>
      </c>
      <c r="AP35" s="876">
        <f>IF(LA_!AP35="","",+LA_!AP35)</f>
        <v>160</v>
      </c>
      <c r="AQ35" s="875" t="str">
        <f>IF(LA_!AQ35="","",+LA_!AQ35)</f>
        <v/>
      </c>
      <c r="AR35" s="875">
        <f>IF(LA_!AR35="","",+LA_!AR35)</f>
        <v>150</v>
      </c>
      <c r="AS35" s="875">
        <f>IF(LA_!AS35="","",+LA_!AS35)</f>
        <v>130</v>
      </c>
      <c r="AT35" s="875">
        <f>IF(LA_!AT35="","",+LA_!AT35)</f>
        <v>120</v>
      </c>
      <c r="AU35" s="875">
        <f>IF(LA_!AU35="","",+LA_!AU35)</f>
        <v>3000</v>
      </c>
      <c r="AV35" s="875" t="str">
        <f>IF(LA_!AV35="","",+LA_!AV35)</f>
        <v/>
      </c>
      <c r="AW35" s="875">
        <f>IF(LA_!AW35="","",+LA_!AW35)</f>
        <v>3400</v>
      </c>
      <c r="AX35" s="875">
        <f>IF(LA_!AX35="","",+LA_!AX35)</f>
        <v>3200</v>
      </c>
      <c r="AY35" s="875">
        <f>IF(LA_!AY35="","",+LA_!AY35)</f>
        <v>3200</v>
      </c>
      <c r="AZ35" s="872">
        <f>IF(LA_!AZ35="","",+LA_!AZ35)</f>
        <v>6.9</v>
      </c>
      <c r="BA35" s="872" t="str">
        <f>IF(LA_!BA35="","",+LA_!BA35)</f>
        <v/>
      </c>
      <c r="BB35" s="872">
        <f>IF(LA_!BB35="","",+LA_!BB35)</f>
        <v>7</v>
      </c>
      <c r="BC35" s="872">
        <f>IF(LA_!BC35="","",+LA_!BC35)</f>
        <v>6.9</v>
      </c>
      <c r="BD35" s="872">
        <f>IF(LA_!BD35="","",+LA_!BD35)</f>
        <v>6.8</v>
      </c>
      <c r="BE35" s="876" t="str">
        <f>IF(LA_!BE35="","",+LA_!BE35)</f>
        <v/>
      </c>
      <c r="BF35" s="875" t="str">
        <f>IF(LA_!BF35="","",+LA_!BF35)</f>
        <v/>
      </c>
      <c r="BG35" s="877">
        <f>+IF(LA_!BG35="","",IF(ISTEXT(LA_!BG35),0,ROUND(LA_!BG35,2)))</f>
        <v>0.1</v>
      </c>
      <c r="BH35" s="878">
        <f>+IF(LA_!BH35="","",IF(ISTEXT(LA_!BH35),0,ROUND(LA_!BH35,2)))</f>
        <v>0.05</v>
      </c>
      <c r="BI35" s="1844">
        <f>IF(LA_!BI35="","",+LA_!BI35)</f>
        <v>11.6</v>
      </c>
      <c r="BJ35" s="1844">
        <f>IF(LA_!BJ35="","",+LA_!BJ35)</f>
        <v>34.700000000000003</v>
      </c>
      <c r="BK35" s="878" t="str">
        <f>IF(LA_!BK35="","",+LA_!BK35)</f>
        <v/>
      </c>
      <c r="BL35" s="878" t="str">
        <f>IF(LA_!BL35="","",+LA_!BL35)</f>
        <v/>
      </c>
      <c r="BM35" s="875" t="str">
        <f>IF(LA_!BM35="","",+LA_!BM35)</f>
        <v/>
      </c>
      <c r="BN35" s="878">
        <f>+IF(LA_!BN35="","",IF(ISTEXT(LA_!BN35),0,ROUND(LA_!BN35,2)))</f>
        <v>0.05</v>
      </c>
      <c r="BO35" s="878">
        <f>+IF(LA_!BO35="","",IF(ISTEXT(LA_!BO35),0,ROUND(LA_!BO35,2)))</f>
        <v>0.08</v>
      </c>
      <c r="BP35" s="872">
        <f>IF(LA_!BP35="","",ROUND(+LA_!BP35,1))</f>
        <v>12.4</v>
      </c>
      <c r="BQ35" s="872">
        <f>IF(LA_!BQ35="","",ROUND(+LA_!BQ35,1))</f>
        <v>33.4</v>
      </c>
      <c r="BR35" s="875" t="str">
        <f>IF(LA_!BR35="","",+LA_!BR35)</f>
        <v/>
      </c>
      <c r="BS35" s="875" t="str">
        <f>IF(LA_!BS35="","",+LA_!BS35)</f>
        <v/>
      </c>
      <c r="BT35" s="875" t="str">
        <f>IF(LA_!BT35="","",+LA_!BT35)</f>
        <v/>
      </c>
      <c r="BU35" s="878" t="str">
        <f>+IF(LA_!BU35="","",IF(ISTEXT(LA_!BU35),0,ROUND(LA_!BU35,2)))</f>
        <v/>
      </c>
      <c r="BV35" s="878" t="str">
        <f>+IF(LA_!BV35="","",IF(ISTEXT(LA_!BV35),0,ROUND(LA_!BV35,2)))</f>
        <v/>
      </c>
      <c r="BW35" s="872" t="str">
        <f>IF(LA_!BW35="","",ROUND(+LA_!BW35,1))</f>
        <v/>
      </c>
      <c r="BX35" s="872" t="str">
        <f>IF(LA_!BX35="","",ROUND(+LA_!BX35,1))</f>
        <v/>
      </c>
      <c r="BY35" s="875" t="str">
        <f>IF(LA_!BY35="","",+LA_!BY35)</f>
        <v/>
      </c>
      <c r="BZ35" s="875" t="str">
        <f>IF(LA_!BZ35="","",+LA_!BZ35)</f>
        <v/>
      </c>
      <c r="CA35" s="875" t="str">
        <f>IF(LA_!CA35="","",+LA_!CA35)</f>
        <v/>
      </c>
      <c r="CB35" s="878">
        <f>+IF(LA_!CB35="","",IF(ISTEXT(LA_!CB35),0,ROUND(LA_!CB35,2)))</f>
        <v>1.07</v>
      </c>
      <c r="CC35" s="878">
        <f>+IF(LA_!CC35="","",IF(ISTEXT(LA_!CC35),0,ROUND(LA_!CC35,2)))</f>
        <v>3.37</v>
      </c>
      <c r="CD35" s="872">
        <f>IF(LA_!CD35="","",ROUND(+LA_!CD35,1))</f>
        <v>10</v>
      </c>
      <c r="CE35" s="872">
        <f>IF(LA_!CE35="","",ROUND(+LA_!CE35,1))</f>
        <v>12.1</v>
      </c>
      <c r="CF35" s="878" t="str">
        <f>IF(LA_!CF35="","",+LA_!CF35)</f>
        <v/>
      </c>
      <c r="CG35" s="878" t="str">
        <f>IF(LA_!CG35="","",+LA_!CG35)</f>
        <v/>
      </c>
      <c r="CH35" s="875" t="str">
        <f>IF(LA_!CH35="","",+LA_!CH35)</f>
        <v/>
      </c>
      <c r="CI35" s="876" t="str">
        <f>IF(LA_!CI35="","",+LA_!CI35)</f>
        <v/>
      </c>
      <c r="CJ35" s="875" t="str">
        <f>IF(LA_!CJ35="","",+LA_!CJ35)</f>
        <v/>
      </c>
      <c r="CK35" s="875" t="str">
        <f>IF(LA_!CK35="","",+LA_!CK35)</f>
        <v/>
      </c>
      <c r="CL35" s="875" t="str">
        <f>IF(LA_!CL35="","",+LA_!CL35)</f>
        <v/>
      </c>
      <c r="CM35" s="875" t="str">
        <f>IF(LA_!CM35="","",+LA_!CM35)</f>
        <v/>
      </c>
      <c r="CN35" s="875" t="str">
        <f>IF(LA_!CN35="","",+LA_!CN35)</f>
        <v/>
      </c>
      <c r="CO35" s="875" t="str">
        <f>IF(LA_!CO35="","",+LA_!CO35)</f>
        <v/>
      </c>
      <c r="CP35" s="875" t="str">
        <f>IF(LA_!CP35="","",+LA_!CP35)</f>
        <v/>
      </c>
      <c r="CQ35" s="1922" t="str">
        <f>IF(LA_!CQ35="","",+LA_!CQ35)</f>
        <v/>
      </c>
      <c r="CR35" s="875" t="str">
        <f>IF(LA_!CR35="","",+LA_!CR35)</f>
        <v/>
      </c>
      <c r="CS35" s="875" t="str">
        <f>IF(LA_!CS35="","",+LA_!CS35)</f>
        <v/>
      </c>
      <c r="CT35" s="875" t="str">
        <f>IF(LA_!CT35="","",+LA_!CT35)</f>
        <v/>
      </c>
      <c r="CU35" s="874" t="str">
        <f>IF(LA_!CU35="","",+LA_!CU35)</f>
        <v/>
      </c>
      <c r="CV35" s="872" t="str">
        <f>IF(LA_!CV35="","",+LA_!CV35)</f>
        <v/>
      </c>
      <c r="CW35" s="874" t="str">
        <f>IF(LA_!CW35="","",+LA_!CW35)</f>
        <v/>
      </c>
      <c r="CX35" s="1197" t="str">
        <f>IF(LA_!CX35="","",+LA_!CX35)</f>
        <v/>
      </c>
      <c r="CY35" s="2370" t="str">
        <f>IF(LA_!CY35="","",+LA_!CY35)</f>
        <v/>
      </c>
      <c r="CZ35" s="875" t="str">
        <f>IF(LA_!CZ35="","",+LA_!CZ35)</f>
        <v/>
      </c>
      <c r="DA35" s="875" t="str">
        <f>IF(LA_!DA35="","",+LA_!DA35)</f>
        <v/>
      </c>
      <c r="DB35" s="875" t="str">
        <f>IF(LA_!DB35="","",+LA_!DB35)</f>
        <v/>
      </c>
      <c r="DC35" s="875" t="str">
        <f>IF(LA_!DC35="","",+LA_!DC35)</f>
        <v/>
      </c>
      <c r="DD35" s="875" t="str">
        <f>IF(LA_!DD35="","",+LA_!DD35)</f>
        <v/>
      </c>
      <c r="DE35" s="875" t="str">
        <f>IF(LA_!DE35="","",+LA_!DE35)</f>
        <v/>
      </c>
      <c r="DF35" s="875" t="str">
        <f>IF(LA_!DF35="","",+LA_!DF35)</f>
        <v/>
      </c>
      <c r="DG35" s="875" t="str">
        <f>IF(LA_!DG35="","",+LA_!DG35)</f>
        <v/>
      </c>
      <c r="DH35" s="875" t="str">
        <f>IF(LA_!DH35="","",+LA_!DH35)</f>
        <v/>
      </c>
      <c r="DI35" s="879" t="str">
        <f>IF(LA_!DI35="","",+LA_!DI35)</f>
        <v/>
      </c>
      <c r="DJ35" s="872" t="str">
        <f>IF(LA_!DJ35="","",+LA_!DJ35)</f>
        <v/>
      </c>
      <c r="DK35" s="872" t="str">
        <f>IF(LA_!DK35="","",+LA_!DK35)</f>
        <v/>
      </c>
      <c r="DL35" s="872" t="str">
        <f>IF(LA_!DL35="","",+LA_!DL35)</f>
        <v/>
      </c>
      <c r="DM35" s="875" t="str">
        <f>IF(LA_!DM35="","",+LA_!DM35)</f>
        <v/>
      </c>
      <c r="DN35" s="875" t="str">
        <f>IF(LA_!DN35="","",+LA_!DN35)</f>
        <v/>
      </c>
      <c r="DO35" s="875" t="str">
        <f>IF(LA_!DO35="","",+LA_!DO35)</f>
        <v/>
      </c>
      <c r="DP35" s="872" t="str">
        <f>IF(LA_!DP35="","",+LA_!DP35)</f>
        <v/>
      </c>
      <c r="DQ35" s="875" t="str">
        <f>IF(LA_!DQ35="","",+LA_!DQ35)</f>
        <v/>
      </c>
      <c r="DR35" s="875" t="str">
        <f>IF(LA_!DR35="","",+LA_!DR35)</f>
        <v/>
      </c>
      <c r="DS35" s="876"/>
      <c r="DT35" s="880"/>
      <c r="DU35" s="330"/>
      <c r="DV35" s="330"/>
      <c r="DW35" s="881"/>
      <c r="DX35" s="849"/>
    </row>
    <row r="36" spans="2:138" ht="20.100000000000001" customHeight="1">
      <c r="B36" s="1789"/>
      <c r="C36" s="852">
        <v>26</v>
      </c>
      <c r="D36" s="1842">
        <f>IF(LA_!D36="","",+LA_!D36)</f>
        <v>256</v>
      </c>
      <c r="E36" s="872" t="str">
        <f>IF(LA_!E36="","",+LA_!E36)</f>
        <v/>
      </c>
      <c r="F36" s="873">
        <f>IF(LA_!F36="","",+LA_!F36)</f>
        <v>140</v>
      </c>
      <c r="G36" s="872" t="str">
        <f>IF(LA_!G36="","",+LA_!G36)</f>
        <v/>
      </c>
      <c r="H36" s="874">
        <f>IF(LA_!H36="","",+LA_!H36)</f>
        <v>54</v>
      </c>
      <c r="I36" s="874">
        <f>IF(LA_!I36="","",+LA_!I36)</f>
        <v>138</v>
      </c>
      <c r="J36" s="874">
        <f>IF(LA_!J36="","",+LA_!J36)</f>
        <v>17</v>
      </c>
      <c r="K36" s="874">
        <f>IF(LA_!K36="","",+LA_!K36)</f>
        <v>194</v>
      </c>
      <c r="L36" s="1292">
        <f>IF(LA_!L36="","",+LA_!L36)</f>
        <v>3700</v>
      </c>
      <c r="M36" s="874">
        <f>IF(LA_!M36="","",+LA_!M36)</f>
        <v>1730</v>
      </c>
      <c r="N36" s="874">
        <f>IF(LA_!N36="","",+LA_!N36)</f>
        <v>2840</v>
      </c>
      <c r="O36" s="874">
        <f>IF(LA_!O36="","",+LA_!O36)</f>
        <v>3400</v>
      </c>
      <c r="P36" s="1197">
        <f>IF(LA_!P36="","",+LA_!P36)</f>
        <v>2510</v>
      </c>
      <c r="Q36" s="1196">
        <f>IF(LA_!Q36="","",+LA_!Q36)</f>
        <v>4310</v>
      </c>
      <c r="R36" s="874">
        <f>IF(LA_!R36="","",+LA_!R36)</f>
        <v>4090</v>
      </c>
      <c r="S36" s="874">
        <f>IF(LA_!S36="","",+LA_!S36)</f>
        <v>2940</v>
      </c>
      <c r="T36" s="874">
        <f>IF(LA_!T36="","",+LA_!T36)</f>
        <v>4090</v>
      </c>
      <c r="U36" s="1197">
        <f>IF(LA_!U36="","",+LA_!U36)</f>
        <v>3950</v>
      </c>
      <c r="V36" s="1183">
        <f>IF(LA_!V36="","",+LA_!V36)</f>
        <v>3520</v>
      </c>
      <c r="W36" s="872" t="str">
        <f>IF(LA_!W36="","",+LA_!W36)</f>
        <v/>
      </c>
      <c r="X36" s="874">
        <f>IF(LA_!X36="","",+LA_!X36)</f>
        <v>5920</v>
      </c>
      <c r="Y36" s="872" t="str">
        <f>IF(LA_!Y36="","",+LA_!Y36)</f>
        <v/>
      </c>
      <c r="Z36" s="1843">
        <f>IF(LA_!Z36="","",+LA_!Z36)</f>
        <v>193</v>
      </c>
      <c r="AA36" s="875">
        <f>IF(LA_!AA36="","",+LA_!AA36)</f>
        <v>125</v>
      </c>
      <c r="AB36" s="875">
        <f>IF(LA_!AB36="","",+LA_!AB36)</f>
        <v>83</v>
      </c>
      <c r="AC36" s="875">
        <f>IF(LA_!AC36="","",+LA_!AC36)</f>
        <v>81</v>
      </c>
      <c r="AD36" s="875">
        <f>IF(LA_!AD36="","",+LA_!AD36)</f>
        <v>10</v>
      </c>
      <c r="AE36" s="874">
        <f>IF(LA_!AE36="","",+LA_!AE36)</f>
        <v>2620</v>
      </c>
      <c r="AF36" s="872">
        <f>IF(LA_!AF36="","",+LA_!AF36)</f>
        <v>3.91</v>
      </c>
      <c r="AG36" s="872">
        <f>IF(LA_!AG36="","",+LA_!AG36)</f>
        <v>81.3</v>
      </c>
      <c r="AH36" s="872">
        <f>IF(LA_!AH36="","",+LA_!AH36)</f>
        <v>1.7</v>
      </c>
      <c r="AI36" s="872">
        <f>IF(LA_!AI36="","",+LA_!AI36)</f>
        <v>67.400000000000006</v>
      </c>
      <c r="AJ36" s="872" t="str">
        <f>IF(LA_!AJ36="","",+LA_!AJ36)</f>
        <v/>
      </c>
      <c r="AK36" s="872" t="str">
        <f>IF(LA_!AK36="","",+LA_!AK36)</f>
        <v/>
      </c>
      <c r="AL36" s="872" t="str">
        <f>IF(LA_!AL36="","",+LA_!AL36)</f>
        <v/>
      </c>
      <c r="AM36" s="872" t="str">
        <f>IF(LA_!AM36="","",+LA_!AM36)</f>
        <v/>
      </c>
      <c r="AN36" s="875" t="str">
        <f>IF(LA_!AN36="","",+LA_!AN36)</f>
        <v/>
      </c>
      <c r="AO36" s="875" t="str">
        <f>IF(LA_!AO36="","",+LA_!AO36)</f>
        <v/>
      </c>
      <c r="AP36" s="876" t="str">
        <f>IF(LA_!AP36="","",+LA_!AP36)</f>
        <v/>
      </c>
      <c r="AQ36" s="875" t="str">
        <f>IF(LA_!AQ36="","",+LA_!AQ36)</f>
        <v/>
      </c>
      <c r="AR36" s="875" t="str">
        <f>IF(LA_!AR36="","",+LA_!AR36)</f>
        <v/>
      </c>
      <c r="AS36" s="875" t="str">
        <f>IF(LA_!AS36="","",+LA_!AS36)</f>
        <v/>
      </c>
      <c r="AT36" s="875" t="str">
        <f>IF(LA_!AT36="","",+LA_!AT36)</f>
        <v/>
      </c>
      <c r="AU36" s="875" t="str">
        <f>IF(LA_!AU36="","",+LA_!AU36)</f>
        <v/>
      </c>
      <c r="AV36" s="875" t="str">
        <f>IF(LA_!AV36="","",+LA_!AV36)</f>
        <v/>
      </c>
      <c r="AW36" s="875" t="str">
        <f>IF(LA_!AW36="","",+LA_!AW36)</f>
        <v/>
      </c>
      <c r="AX36" s="875" t="str">
        <f>IF(LA_!AX36="","",+LA_!AX36)</f>
        <v/>
      </c>
      <c r="AY36" s="875" t="str">
        <f>IF(LA_!AY36="","",+LA_!AY36)</f>
        <v/>
      </c>
      <c r="AZ36" s="872" t="str">
        <f>IF(LA_!AZ36="","",+LA_!AZ36)</f>
        <v/>
      </c>
      <c r="BA36" s="872" t="str">
        <f>IF(LA_!BA36="","",+LA_!BA36)</f>
        <v/>
      </c>
      <c r="BB36" s="872" t="str">
        <f>IF(LA_!BB36="","",+LA_!BB36)</f>
        <v/>
      </c>
      <c r="BC36" s="872" t="str">
        <f>IF(LA_!BC36="","",+LA_!BC36)</f>
        <v/>
      </c>
      <c r="BD36" s="872" t="str">
        <f>IF(LA_!BD36="","",+LA_!BD36)</f>
        <v/>
      </c>
      <c r="BE36" s="876">
        <f>IF(LA_!BE36="","",+LA_!BE36)</f>
        <v>1550</v>
      </c>
      <c r="BF36" s="875">
        <f>IF(LA_!BF36="","",+LA_!BF36)</f>
        <v>1510</v>
      </c>
      <c r="BG36" s="877">
        <f>+IF(LA_!BG36="","",IF(ISTEXT(LA_!BG36),0,ROUND(LA_!BG36,2)))</f>
        <v>0.06</v>
      </c>
      <c r="BH36" s="878">
        <f>+IF(LA_!BH36="","",IF(ISTEXT(LA_!BH36),0,ROUND(LA_!BH36,2)))</f>
        <v>0.28999999999999998</v>
      </c>
      <c r="BI36" s="1844">
        <f>IF(LA_!BI36="","",+LA_!BI36)</f>
        <v>13</v>
      </c>
      <c r="BJ36" s="1844">
        <f>IF(LA_!BJ36="","",+LA_!BJ36)</f>
        <v>38.1</v>
      </c>
      <c r="BK36" s="878" t="str">
        <f>IF(LA_!BK36="","",+LA_!BK36)</f>
        <v/>
      </c>
      <c r="BL36" s="878" t="str">
        <f>IF(LA_!BL36="","",+LA_!BL36)</f>
        <v/>
      </c>
      <c r="BM36" s="875" t="str">
        <f>IF(LA_!BM36="","",+LA_!BM36)</f>
        <v/>
      </c>
      <c r="BN36" s="878">
        <f>+IF(LA_!BN36="","",IF(ISTEXT(LA_!BN36),0,ROUND(LA_!BN36,2)))</f>
        <v>0.06</v>
      </c>
      <c r="BO36" s="878">
        <f>+IF(LA_!BO36="","",IF(ISTEXT(LA_!BO36),0,ROUND(LA_!BO36,2)))</f>
        <v>0.31</v>
      </c>
      <c r="BP36" s="872">
        <f>IF(LA_!BP36="","",ROUND(+LA_!BP36,1))</f>
        <v>14.2</v>
      </c>
      <c r="BQ36" s="872">
        <f>IF(LA_!BQ36="","",ROUND(+LA_!BQ36,1))</f>
        <v>26.3</v>
      </c>
      <c r="BR36" s="875" t="str">
        <f>IF(LA_!BR36="","",+LA_!BR36)</f>
        <v/>
      </c>
      <c r="BS36" s="875" t="str">
        <f>IF(LA_!BS36="","",+LA_!BS36)</f>
        <v/>
      </c>
      <c r="BT36" s="875" t="str">
        <f>IF(LA_!BT36="","",+LA_!BT36)</f>
        <v/>
      </c>
      <c r="BU36" s="878">
        <f>+IF(LA_!BU36="","",IF(ISTEXT(LA_!BU36),0,ROUND(LA_!BU36,2)))</f>
        <v>7.0000000000000007E-2</v>
      </c>
      <c r="BV36" s="878">
        <f>+IF(LA_!BV36="","",IF(ISTEXT(LA_!BV36),0,ROUND(LA_!BV36,2)))</f>
        <v>0</v>
      </c>
      <c r="BW36" s="872">
        <f>IF(LA_!BW36="","",ROUND(+LA_!BW36,1))</f>
        <v>25.4</v>
      </c>
      <c r="BX36" s="872" t="str">
        <f>IF(LA_!BX36="","",ROUND(+LA_!BX36,1))</f>
        <v/>
      </c>
      <c r="BY36" s="875" t="str">
        <f>IF(LA_!BY36="","",+LA_!BY36)</f>
        <v/>
      </c>
      <c r="BZ36" s="875" t="str">
        <f>IF(LA_!BZ36="","",+LA_!BZ36)</f>
        <v/>
      </c>
      <c r="CA36" s="875" t="str">
        <f>IF(LA_!CA36="","",+LA_!CA36)</f>
        <v/>
      </c>
      <c r="CB36" s="878">
        <f>+IF(LA_!CB36="","",IF(ISTEXT(LA_!CB36),0,ROUND(LA_!CB36,2)))</f>
        <v>0.96</v>
      </c>
      <c r="CC36" s="878">
        <f>+IF(LA_!CC36="","",IF(ISTEXT(LA_!CC36),0,ROUND(LA_!CC36,2)))</f>
        <v>2.4</v>
      </c>
      <c r="CD36" s="872">
        <f>IF(LA_!CD36="","",ROUND(+LA_!CD36,1))</f>
        <v>10.1</v>
      </c>
      <c r="CE36" s="872">
        <f>IF(LA_!CE36="","",ROUND(+LA_!CE36,1))</f>
        <v>12.9</v>
      </c>
      <c r="CF36" s="878" t="str">
        <f>IF(LA_!CF36="","",+LA_!CF36)</f>
        <v/>
      </c>
      <c r="CG36" s="878" t="str">
        <f>IF(LA_!CG36="","",+LA_!CG36)</f>
        <v/>
      </c>
      <c r="CH36" s="875" t="str">
        <f>IF(LA_!CH36="","",+LA_!CH36)</f>
        <v/>
      </c>
      <c r="CI36" s="876" t="str">
        <f>IF(LA_!CI36="","",+LA_!CI36)</f>
        <v/>
      </c>
      <c r="CJ36" s="875" t="str">
        <f>IF(LA_!CJ36="","",+LA_!CJ36)</f>
        <v/>
      </c>
      <c r="CK36" s="875" t="str">
        <f>IF(LA_!CK36="","",+LA_!CK36)</f>
        <v/>
      </c>
      <c r="CL36" s="875" t="str">
        <f>IF(LA_!CL36="","",+LA_!CL36)</f>
        <v/>
      </c>
      <c r="CM36" s="875" t="str">
        <f>IF(LA_!CM36="","",+LA_!CM36)</f>
        <v/>
      </c>
      <c r="CN36" s="875" t="str">
        <f>IF(LA_!CN36="","",+LA_!CN36)</f>
        <v/>
      </c>
      <c r="CO36" s="875" t="str">
        <f>IF(LA_!CO36="","",+LA_!CO36)</f>
        <v/>
      </c>
      <c r="CP36" s="875" t="str">
        <f>IF(LA_!CP36="","",+LA_!CP36)</f>
        <v/>
      </c>
      <c r="CQ36" s="1922" t="str">
        <f>IF(LA_!CQ36="","",+LA_!CQ36)</f>
        <v/>
      </c>
      <c r="CR36" s="875" t="str">
        <f>IF(LA_!CR36="","",+LA_!CR36)</f>
        <v/>
      </c>
      <c r="CS36" s="875" t="str">
        <f>IF(LA_!CS36="","",+LA_!CS36)</f>
        <v/>
      </c>
      <c r="CT36" s="875" t="str">
        <f>IF(LA_!CT36="","",+LA_!CT36)</f>
        <v/>
      </c>
      <c r="CU36" s="874" t="str">
        <f>IF(LA_!CU36="","",+LA_!CU36)</f>
        <v/>
      </c>
      <c r="CV36" s="872" t="str">
        <f>IF(LA_!CV36="","",+LA_!CV36)</f>
        <v/>
      </c>
      <c r="CW36" s="874" t="str">
        <f>IF(LA_!CW36="","",+LA_!CW36)</f>
        <v/>
      </c>
      <c r="CX36" s="1197" t="str">
        <f>IF(LA_!CX36="","",+LA_!CX36)</f>
        <v/>
      </c>
      <c r="CY36" s="2370" t="str">
        <f>IF(LA_!CY36="","",+LA_!CY36)</f>
        <v/>
      </c>
      <c r="CZ36" s="875" t="str">
        <f>IF(LA_!CZ36="","",+LA_!CZ36)</f>
        <v/>
      </c>
      <c r="DA36" s="875" t="str">
        <f>IF(LA_!DA36="","",+LA_!DA36)</f>
        <v/>
      </c>
      <c r="DB36" s="875" t="str">
        <f>IF(LA_!DB36="","",+LA_!DB36)</f>
        <v/>
      </c>
      <c r="DC36" s="875" t="str">
        <f>IF(LA_!DC36="","",+LA_!DC36)</f>
        <v/>
      </c>
      <c r="DD36" s="875" t="str">
        <f>IF(LA_!DD36="","",+LA_!DD36)</f>
        <v/>
      </c>
      <c r="DE36" s="875" t="str">
        <f>IF(LA_!DE36="","",+LA_!DE36)</f>
        <v/>
      </c>
      <c r="DF36" s="875" t="str">
        <f>IF(LA_!DF36="","",+LA_!DF36)</f>
        <v/>
      </c>
      <c r="DG36" s="875" t="str">
        <f>IF(LA_!DG36="","",+LA_!DG36)</f>
        <v/>
      </c>
      <c r="DH36" s="875" t="str">
        <f>IF(LA_!DH36="","",+LA_!DH36)</f>
        <v/>
      </c>
      <c r="DI36" s="879" t="str">
        <f>IF(LA_!DI36="","",+LA_!DI36)</f>
        <v/>
      </c>
      <c r="DJ36" s="872" t="str">
        <f>IF(LA_!DJ36="","",+LA_!DJ36)</f>
        <v/>
      </c>
      <c r="DK36" s="872" t="str">
        <f>IF(LA_!DK36="","",+LA_!DK36)</f>
        <v/>
      </c>
      <c r="DL36" s="872" t="str">
        <f>IF(LA_!DL36="","",+LA_!DL36)</f>
        <v/>
      </c>
      <c r="DM36" s="875" t="str">
        <f>IF(LA_!DM36="","",+LA_!DM36)</f>
        <v/>
      </c>
      <c r="DN36" s="875" t="str">
        <f>IF(LA_!DN36="","",+LA_!DN36)</f>
        <v/>
      </c>
      <c r="DO36" s="875" t="str">
        <f>IF(LA_!DO36="","",+LA_!DO36)</f>
        <v/>
      </c>
      <c r="DP36" s="872" t="str">
        <f>IF(LA_!DP36="","",+LA_!DP36)</f>
        <v/>
      </c>
      <c r="DQ36" s="875" t="str">
        <f>IF(LA_!DQ36="","",+LA_!DQ36)</f>
        <v/>
      </c>
      <c r="DR36" s="875" t="str">
        <f>IF(LA_!DR36="","",+LA_!DR36)</f>
        <v/>
      </c>
      <c r="DS36" s="876"/>
      <c r="DT36" s="880"/>
      <c r="DU36" s="330"/>
      <c r="DV36" s="330"/>
      <c r="DW36" s="882"/>
      <c r="DX36" s="849"/>
    </row>
    <row r="37" spans="2:138" ht="20.100000000000001" customHeight="1">
      <c r="B37" s="1789"/>
      <c r="C37" s="852">
        <v>27</v>
      </c>
      <c r="D37" s="1842">
        <f>IF(LA_!D37="","",+LA_!D37)</f>
        <v>148</v>
      </c>
      <c r="E37" s="872">
        <f>IF(LA_!E37="","",+LA_!E37)</f>
        <v>85.1</v>
      </c>
      <c r="F37" s="873">
        <f>IF(LA_!F37="","",+LA_!F37)</f>
        <v>98</v>
      </c>
      <c r="G37" s="872">
        <f>IF(LA_!G37="","",+LA_!G37)</f>
        <v>78.599999999999994</v>
      </c>
      <c r="H37" s="874">
        <f>IF(LA_!H37="","",+LA_!H37)</f>
        <v>96</v>
      </c>
      <c r="I37" s="874">
        <f>IF(LA_!I37="","",+LA_!I37)</f>
        <v>68</v>
      </c>
      <c r="J37" s="874">
        <f>IF(LA_!J37="","",+LA_!J37)</f>
        <v>13</v>
      </c>
      <c r="K37" s="874">
        <f>IF(LA_!K37="","",+LA_!K37)</f>
        <v>84</v>
      </c>
      <c r="L37" s="1292">
        <f>IF(LA_!L37="","",+LA_!L37)</f>
        <v>2550</v>
      </c>
      <c r="M37" s="874">
        <f>IF(LA_!M37="","",+LA_!M37)</f>
        <v>1900</v>
      </c>
      <c r="N37" s="874">
        <f>IF(LA_!N37="","",+LA_!N37)</f>
        <v>3310</v>
      </c>
      <c r="O37" s="874">
        <f>IF(LA_!O37="","",+LA_!O37)</f>
        <v>2660</v>
      </c>
      <c r="P37" s="1197">
        <f>IF(LA_!P37="","",+LA_!P37)</f>
        <v>2240</v>
      </c>
      <c r="Q37" s="1196">
        <f>IF(LA_!Q37="","",+LA_!Q37)</f>
        <v>4100</v>
      </c>
      <c r="R37" s="874">
        <f>IF(LA_!R37="","",+LA_!R37)</f>
        <v>4580</v>
      </c>
      <c r="S37" s="874">
        <f>IF(LA_!S37="","",+LA_!S37)</f>
        <v>3920</v>
      </c>
      <c r="T37" s="874">
        <f>IF(LA_!T37="","",+LA_!T37)</f>
        <v>4660</v>
      </c>
      <c r="U37" s="1197">
        <f>IF(LA_!U37="","",+LA_!U37)</f>
        <v>5300</v>
      </c>
      <c r="V37" s="1183">
        <f>IF(LA_!V37="","",+LA_!V37)</f>
        <v>5140</v>
      </c>
      <c r="W37" s="872">
        <f>IF(LA_!W37="","",+LA_!W37)</f>
        <v>83.7</v>
      </c>
      <c r="X37" s="874">
        <f>IF(LA_!X37="","",+LA_!X37)</f>
        <v>6020</v>
      </c>
      <c r="Y37" s="872">
        <f>IF(LA_!Y37="","",+LA_!Y37)</f>
        <v>82.7</v>
      </c>
      <c r="Z37" s="1843">
        <f>IF(LA_!Z37="","",+LA_!Z37)</f>
        <v>131</v>
      </c>
      <c r="AA37" s="875">
        <f>IF(LA_!AA37="","",+LA_!AA37)</f>
        <v>128</v>
      </c>
      <c r="AB37" s="875">
        <f>IF(LA_!AB37="","",+LA_!AB37)</f>
        <v>49</v>
      </c>
      <c r="AC37" s="875">
        <f>IF(LA_!AC37="","",+LA_!AC37)</f>
        <v>60</v>
      </c>
      <c r="AD37" s="875">
        <f>IF(LA_!AD37="","",+LA_!AD37)</f>
        <v>8</v>
      </c>
      <c r="AE37" s="874">
        <f>IF(LA_!AE37="","",+LA_!AE37)</f>
        <v>2080</v>
      </c>
      <c r="AF37" s="872">
        <f>IF(LA_!AF37="","",+LA_!AF37)</f>
        <v>3.93</v>
      </c>
      <c r="AG37" s="872">
        <f>IF(LA_!AG37="","",+LA_!AG37)</f>
        <v>80.400000000000006</v>
      </c>
      <c r="AH37" s="872">
        <f>IF(LA_!AH37="","",+LA_!AH37)</f>
        <v>1.56</v>
      </c>
      <c r="AI37" s="872">
        <f>IF(LA_!AI37="","",+LA_!AI37)</f>
        <v>71.8</v>
      </c>
      <c r="AJ37" s="872" t="str">
        <f>IF(LA_!AJ37="","",+LA_!AJ37)</f>
        <v/>
      </c>
      <c r="AK37" s="872" t="str">
        <f>IF(LA_!AK37="","",+LA_!AK37)</f>
        <v/>
      </c>
      <c r="AL37" s="872" t="str">
        <f>IF(LA_!AL37="","",+LA_!AL37)</f>
        <v/>
      </c>
      <c r="AM37" s="872" t="str">
        <f>IF(LA_!AM37="","",+LA_!AM37)</f>
        <v/>
      </c>
      <c r="AN37" s="875" t="str">
        <f>IF(LA_!AN37="","",+LA_!AN37)</f>
        <v/>
      </c>
      <c r="AO37" s="875" t="str">
        <f>IF(LA_!AO37="","",+LA_!AO37)</f>
        <v/>
      </c>
      <c r="AP37" s="876" t="str">
        <f>IF(LA_!AP37="","",+LA_!AP37)</f>
        <v/>
      </c>
      <c r="AQ37" s="875" t="str">
        <f>IF(LA_!AQ37="","",+LA_!AQ37)</f>
        <v/>
      </c>
      <c r="AR37" s="875" t="str">
        <f>IF(LA_!AR37="","",+LA_!AR37)</f>
        <v/>
      </c>
      <c r="AS37" s="875" t="str">
        <f>IF(LA_!AS37="","",+LA_!AS37)</f>
        <v/>
      </c>
      <c r="AT37" s="875" t="str">
        <f>IF(LA_!AT37="","",+LA_!AT37)</f>
        <v/>
      </c>
      <c r="AU37" s="875" t="str">
        <f>IF(LA_!AU37="","",+LA_!AU37)</f>
        <v/>
      </c>
      <c r="AV37" s="875" t="str">
        <f>IF(LA_!AV37="","",+LA_!AV37)</f>
        <v/>
      </c>
      <c r="AW37" s="875" t="str">
        <f>IF(LA_!AW37="","",+LA_!AW37)</f>
        <v/>
      </c>
      <c r="AX37" s="875" t="str">
        <f>IF(LA_!AX37="","",+LA_!AX37)</f>
        <v/>
      </c>
      <c r="AY37" s="875" t="str">
        <f>IF(LA_!AY37="","",+LA_!AY37)</f>
        <v/>
      </c>
      <c r="AZ37" s="872" t="str">
        <f>IF(LA_!AZ37="","",+LA_!AZ37)</f>
        <v/>
      </c>
      <c r="BA37" s="872" t="str">
        <f>IF(LA_!BA37="","",+LA_!BA37)</f>
        <v/>
      </c>
      <c r="BB37" s="872" t="str">
        <f>IF(LA_!BB37="","",+LA_!BB37)</f>
        <v/>
      </c>
      <c r="BC37" s="872" t="str">
        <f>IF(LA_!BC37="","",+LA_!BC37)</f>
        <v/>
      </c>
      <c r="BD37" s="872" t="str">
        <f>IF(LA_!BD37="","",+LA_!BD37)</f>
        <v/>
      </c>
      <c r="BE37" s="876" t="str">
        <f>IF(LA_!BE37="","",+LA_!BE37)</f>
        <v/>
      </c>
      <c r="BF37" s="875" t="str">
        <f>IF(LA_!BF37="","",+LA_!BF37)</f>
        <v/>
      </c>
      <c r="BG37" s="877">
        <f>+IF(LA_!BG37="","",IF(ISTEXT(LA_!BG37),0,ROUND(LA_!BG37,2)))</f>
        <v>0.06</v>
      </c>
      <c r="BH37" s="878">
        <f>+IF(LA_!BH37="","",IF(ISTEXT(LA_!BH37),0,ROUND(LA_!BH37,2)))</f>
        <v>0.43</v>
      </c>
      <c r="BI37" s="1844">
        <f>IF(LA_!BI37="","",+LA_!BI37)</f>
        <v>11.7</v>
      </c>
      <c r="BJ37" s="1844">
        <f>IF(LA_!BJ37="","",+LA_!BJ37)</f>
        <v>25.7</v>
      </c>
      <c r="BK37" s="878" t="str">
        <f>IF(LA_!BK37="","",+LA_!BK37)</f>
        <v/>
      </c>
      <c r="BL37" s="878" t="str">
        <f>IF(LA_!BL37="","",+LA_!BL37)</f>
        <v/>
      </c>
      <c r="BM37" s="875" t="str">
        <f>IF(LA_!BM37="","",+LA_!BM37)</f>
        <v/>
      </c>
      <c r="BN37" s="878">
        <f>+IF(LA_!BN37="","",IF(ISTEXT(LA_!BN37),0,ROUND(LA_!BN37,2)))</f>
        <v>7.0000000000000007E-2</v>
      </c>
      <c r="BO37" s="878">
        <f>+IF(LA_!BO37="","",IF(ISTEXT(LA_!BO37),0,ROUND(LA_!BO37,2)))</f>
        <v>0.41</v>
      </c>
      <c r="BP37" s="872">
        <f>IF(LA_!BP37="","",ROUND(+LA_!BP37,1))</f>
        <v>11.5</v>
      </c>
      <c r="BQ37" s="872">
        <f>IF(LA_!BQ37="","",ROUND(+LA_!BQ37,1))</f>
        <v>23.7</v>
      </c>
      <c r="BR37" s="875" t="str">
        <f>IF(LA_!BR37="","",+LA_!BR37)</f>
        <v/>
      </c>
      <c r="BS37" s="875" t="str">
        <f>IF(LA_!BS37="","",+LA_!BS37)</f>
        <v/>
      </c>
      <c r="BT37" s="875" t="str">
        <f>IF(LA_!BT37="","",+LA_!BT37)</f>
        <v/>
      </c>
      <c r="BU37" s="878" t="str">
        <f>+IF(LA_!BU37="","",IF(ISTEXT(LA_!BU37),0,ROUND(LA_!BU37,2)))</f>
        <v/>
      </c>
      <c r="BV37" s="878" t="str">
        <f>+IF(LA_!BV37="","",IF(ISTEXT(LA_!BV37),0,ROUND(LA_!BV37,2)))</f>
        <v/>
      </c>
      <c r="BW37" s="872" t="str">
        <f>IF(LA_!BW37="","",ROUND(+LA_!BW37,1))</f>
        <v/>
      </c>
      <c r="BX37" s="872" t="str">
        <f>IF(LA_!BX37="","",ROUND(+LA_!BX37,1))</f>
        <v/>
      </c>
      <c r="BY37" s="878" t="str">
        <f>IF(LA_!BY37="","",+LA_!BY37)</f>
        <v/>
      </c>
      <c r="BZ37" s="875" t="str">
        <f>IF(LA_!BZ37="","",+LA_!BZ37)</f>
        <v/>
      </c>
      <c r="CA37" s="875" t="str">
        <f>IF(LA_!CA37="","",+LA_!CA37)</f>
        <v/>
      </c>
      <c r="CB37" s="878">
        <f>+IF(LA_!CB37="","",IF(ISTEXT(LA_!CB37),0,ROUND(LA_!CB37,2)))</f>
        <v>0.82</v>
      </c>
      <c r="CC37" s="878">
        <f>+IF(LA_!CC37="","",IF(ISTEXT(LA_!CC37),0,ROUND(LA_!CC37,2)))</f>
        <v>2.38</v>
      </c>
      <c r="CD37" s="872">
        <f>IF(LA_!CD37="","",ROUND(+LA_!CD37,1))</f>
        <v>7.9</v>
      </c>
      <c r="CE37" s="872">
        <f>IF(LA_!CE37="","",ROUND(+LA_!CE37,1))</f>
        <v>10.6</v>
      </c>
      <c r="CF37" s="878" t="str">
        <f>IF(LA_!CF37="","",+LA_!CF37)</f>
        <v/>
      </c>
      <c r="CG37" s="878" t="str">
        <f>IF(LA_!CG37="","",+LA_!CG37)</f>
        <v/>
      </c>
      <c r="CH37" s="875" t="str">
        <f>IF(LA_!CH37="","",+LA_!CH37)</f>
        <v/>
      </c>
      <c r="CI37" s="876" t="str">
        <f>IF(LA_!CI37="","",+LA_!CI37)</f>
        <v/>
      </c>
      <c r="CJ37" s="875" t="str">
        <f>IF(LA_!CJ37="","",+LA_!CJ37)</f>
        <v/>
      </c>
      <c r="CK37" s="875" t="str">
        <f>IF(LA_!CK37="","",+LA_!CK37)</f>
        <v/>
      </c>
      <c r="CL37" s="875" t="str">
        <f>IF(LA_!CL37="","",+LA_!CL37)</f>
        <v/>
      </c>
      <c r="CM37" s="875" t="str">
        <f>IF(LA_!CM37="","",+LA_!CM37)</f>
        <v/>
      </c>
      <c r="CN37" s="875" t="str">
        <f>IF(LA_!CN37="","",+LA_!CN37)</f>
        <v/>
      </c>
      <c r="CO37" s="875" t="str">
        <f>IF(LA_!CO37="","",+LA_!CO37)</f>
        <v/>
      </c>
      <c r="CP37" s="875" t="str">
        <f>IF(LA_!CP37="","",+LA_!CP37)</f>
        <v/>
      </c>
      <c r="CQ37" s="1922" t="str">
        <f>IF(LA_!CQ37="","",+LA_!CQ37)</f>
        <v/>
      </c>
      <c r="CR37" s="875" t="str">
        <f>IF(LA_!CR37="","",+LA_!CR37)</f>
        <v/>
      </c>
      <c r="CS37" s="875" t="str">
        <f>IF(LA_!CS37="","",+LA_!CS37)</f>
        <v/>
      </c>
      <c r="CT37" s="875" t="str">
        <f>IF(LA_!CT37="","",+LA_!CT37)</f>
        <v/>
      </c>
      <c r="CU37" s="874" t="str">
        <f>IF(LA_!CU37="","",+LA_!CU37)</f>
        <v/>
      </c>
      <c r="CV37" s="872" t="str">
        <f>IF(LA_!CV37="","",+LA_!CV37)</f>
        <v/>
      </c>
      <c r="CW37" s="874" t="str">
        <f>IF(LA_!CW37="","",+LA_!CW37)</f>
        <v/>
      </c>
      <c r="CX37" s="1197" t="str">
        <f>IF(LA_!CX37="","",+LA_!CX37)</f>
        <v/>
      </c>
      <c r="CY37" s="2370" t="str">
        <f>IF(LA_!CY37="","",+LA_!CY37)</f>
        <v/>
      </c>
      <c r="CZ37" s="875" t="str">
        <f>IF(LA_!CZ37="","",+LA_!CZ37)</f>
        <v/>
      </c>
      <c r="DA37" s="875" t="str">
        <f>IF(LA_!DA37="","",+LA_!DA37)</f>
        <v/>
      </c>
      <c r="DB37" s="875" t="str">
        <f>IF(LA_!DB37="","",+LA_!DB37)</f>
        <v/>
      </c>
      <c r="DC37" s="875" t="str">
        <f>IF(LA_!DC37="","",+LA_!DC37)</f>
        <v/>
      </c>
      <c r="DD37" s="875" t="str">
        <f>IF(LA_!DD37="","",+LA_!DD37)</f>
        <v/>
      </c>
      <c r="DE37" s="875" t="str">
        <f>IF(LA_!DE37="","",+LA_!DE37)</f>
        <v/>
      </c>
      <c r="DF37" s="875" t="str">
        <f>IF(LA_!DF37="","",+LA_!DF37)</f>
        <v/>
      </c>
      <c r="DG37" s="875" t="str">
        <f>IF(LA_!DG37="","",+LA_!DG37)</f>
        <v/>
      </c>
      <c r="DH37" s="875" t="str">
        <f>IF(LA_!DH37="","",+LA_!DH37)</f>
        <v/>
      </c>
      <c r="DI37" s="879" t="str">
        <f>IF(LA_!DI37="","",+LA_!DI37)</f>
        <v/>
      </c>
      <c r="DJ37" s="872" t="str">
        <f>IF(LA_!DJ37="","",+LA_!DJ37)</f>
        <v/>
      </c>
      <c r="DK37" s="872" t="str">
        <f>IF(LA_!DK37="","",+LA_!DK37)</f>
        <v/>
      </c>
      <c r="DL37" s="872" t="str">
        <f>IF(LA_!DL37="","",+LA_!DL37)</f>
        <v/>
      </c>
      <c r="DM37" s="875" t="str">
        <f>IF(LA_!DM37="","",+LA_!DM37)</f>
        <v/>
      </c>
      <c r="DN37" s="875" t="str">
        <f>IF(LA_!DN37="","",+LA_!DN37)</f>
        <v/>
      </c>
      <c r="DO37" s="875" t="str">
        <f>IF(LA_!DO37="","",+LA_!DO37)</f>
        <v/>
      </c>
      <c r="DP37" s="872" t="str">
        <f>IF(LA_!DP37="","",+LA_!DP37)</f>
        <v/>
      </c>
      <c r="DQ37" s="875" t="str">
        <f>IF(LA_!DQ37="","",+LA_!DQ37)</f>
        <v/>
      </c>
      <c r="DR37" s="875" t="str">
        <f>IF(LA_!DR37="","",+LA_!DR37)</f>
        <v/>
      </c>
      <c r="DS37" s="876"/>
      <c r="DT37" s="880"/>
      <c r="DU37" s="330"/>
      <c r="DV37" s="330"/>
      <c r="DW37" s="881"/>
      <c r="DX37" s="849"/>
    </row>
    <row r="38" spans="2:138" ht="20.100000000000001" customHeight="1">
      <c r="B38" s="1789"/>
      <c r="C38" s="852">
        <v>28</v>
      </c>
      <c r="D38" s="1842">
        <f>IF(LA_!D38="","",+LA_!D38)</f>
        <v>108</v>
      </c>
      <c r="E38" s="872" t="str">
        <f>IF(LA_!E38="","",+LA_!E38)</f>
        <v/>
      </c>
      <c r="F38" s="873">
        <f>IF(LA_!F38="","",+LA_!F38)</f>
        <v>110</v>
      </c>
      <c r="G38" s="872" t="str">
        <f>IF(LA_!G38="","",+LA_!G38)</f>
        <v/>
      </c>
      <c r="H38" s="874">
        <f>IF(LA_!H38="","",+LA_!H38)</f>
        <v>72</v>
      </c>
      <c r="I38" s="874">
        <f>IF(LA_!I38="","",+LA_!I38)</f>
        <v>84</v>
      </c>
      <c r="J38" s="874">
        <f>IF(LA_!J38="","",+LA_!J38)</f>
        <v>9</v>
      </c>
      <c r="K38" s="874">
        <f>IF(LA_!K38="","",+LA_!K38)</f>
        <v>190</v>
      </c>
      <c r="L38" s="1292">
        <f>IF(LA_!L38="","",+LA_!L38)</f>
        <v>2380</v>
      </c>
      <c r="M38" s="874">
        <f>IF(LA_!M38="","",+LA_!M38)</f>
        <v>2160</v>
      </c>
      <c r="N38" s="874">
        <f>IF(LA_!N38="","",+LA_!N38)</f>
        <v>2380</v>
      </c>
      <c r="O38" s="874">
        <f>IF(LA_!O38="","",+LA_!O38)</f>
        <v>2350</v>
      </c>
      <c r="P38" s="1197">
        <f>IF(LA_!P38="","",+LA_!P38)</f>
        <v>1920</v>
      </c>
      <c r="Q38" s="1196">
        <f>IF(LA_!Q38="","",+LA_!Q38)</f>
        <v>2810</v>
      </c>
      <c r="R38" s="874">
        <f>IF(LA_!R38="","",+LA_!R38)</f>
        <v>3290</v>
      </c>
      <c r="S38" s="874">
        <f>IF(LA_!S38="","",+LA_!S38)</f>
        <v>3110</v>
      </c>
      <c r="T38" s="874">
        <f>IF(LA_!T38="","",+LA_!T38)</f>
        <v>4020</v>
      </c>
      <c r="U38" s="1197">
        <f>IF(LA_!U38="","",+LA_!U38)</f>
        <v>4120</v>
      </c>
      <c r="V38" s="1183">
        <f>IF(LA_!V38="","",+LA_!V38)</f>
        <v>4560</v>
      </c>
      <c r="W38" s="872" t="str">
        <f>IF(LA_!W38="","",+LA_!W38)</f>
        <v/>
      </c>
      <c r="X38" s="874">
        <f>IF(LA_!X38="","",+LA_!X38)</f>
        <v>5540</v>
      </c>
      <c r="Y38" s="872" t="str">
        <f>IF(LA_!Y38="","",+LA_!Y38)</f>
        <v/>
      </c>
      <c r="Z38" s="1843">
        <f>IF(LA_!Z38="","",+LA_!Z38)</f>
        <v>132</v>
      </c>
      <c r="AA38" s="875">
        <f>IF(LA_!AA38="","",+LA_!AA38)</f>
        <v>128</v>
      </c>
      <c r="AB38" s="875">
        <f>IF(LA_!AB38="","",+LA_!AB38)</f>
        <v>68</v>
      </c>
      <c r="AC38" s="875">
        <f>IF(LA_!AC38="","",+LA_!AC38)</f>
        <v>73</v>
      </c>
      <c r="AD38" s="875">
        <f>IF(LA_!AD38="","",+LA_!AD38)</f>
        <v>8</v>
      </c>
      <c r="AE38" s="874">
        <f>IF(LA_!AE38="","",+LA_!AE38)</f>
        <v>2900</v>
      </c>
      <c r="AF38" s="872">
        <f>IF(LA_!AF38="","",+LA_!AF38)</f>
        <v>3.75</v>
      </c>
      <c r="AG38" s="872">
        <f>IF(LA_!AG38="","",+LA_!AG38)</f>
        <v>80</v>
      </c>
      <c r="AH38" s="872">
        <f>IF(LA_!AH38="","",+LA_!AH38)</f>
        <v>1.6</v>
      </c>
      <c r="AI38" s="872">
        <f>IF(LA_!AI38="","",+LA_!AI38)</f>
        <v>67.400000000000006</v>
      </c>
      <c r="AJ38" s="872" t="str">
        <f>IF(LA_!AJ38="","",+LA_!AJ38)</f>
        <v/>
      </c>
      <c r="AK38" s="872" t="str">
        <f>IF(LA_!AK38="","",+LA_!AK38)</f>
        <v/>
      </c>
      <c r="AL38" s="872" t="str">
        <f>IF(LA_!AL38="","",+LA_!AL38)</f>
        <v/>
      </c>
      <c r="AM38" s="872" t="str">
        <f>IF(LA_!AM38="","",+LA_!AM38)</f>
        <v/>
      </c>
      <c r="AN38" s="875" t="str">
        <f>IF(LA_!AN38="","",+LA_!AN38)</f>
        <v/>
      </c>
      <c r="AO38" s="875" t="str">
        <f>IF(LA_!AO38="","",+LA_!AO38)</f>
        <v/>
      </c>
      <c r="AP38" s="876">
        <f>IF(LA_!AP38="","",+LA_!AP38)</f>
        <v>230</v>
      </c>
      <c r="AQ38" s="875" t="str">
        <f>IF(LA_!AQ38="","",+LA_!AQ38)</f>
        <v/>
      </c>
      <c r="AR38" s="875">
        <f>IF(LA_!AR38="","",+LA_!AR38)</f>
        <v>160</v>
      </c>
      <c r="AS38" s="875">
        <f>IF(LA_!AS38="","",+LA_!AS38)</f>
        <v>200</v>
      </c>
      <c r="AT38" s="875">
        <f>IF(LA_!AT38="","",+LA_!AT38)</f>
        <v>110</v>
      </c>
      <c r="AU38" s="875">
        <f>IF(LA_!AU38="","",+LA_!AU38)</f>
        <v>2800</v>
      </c>
      <c r="AV38" s="875" t="str">
        <f>IF(LA_!AV38="","",+LA_!AV38)</f>
        <v/>
      </c>
      <c r="AW38" s="875">
        <f>IF(LA_!AW38="","",+LA_!AW38)</f>
        <v>2900</v>
      </c>
      <c r="AX38" s="875">
        <f>IF(LA_!AX38="","",+LA_!AX38)</f>
        <v>3200</v>
      </c>
      <c r="AY38" s="875">
        <f>IF(LA_!AY38="","",+LA_!AY38)</f>
        <v>3000</v>
      </c>
      <c r="AZ38" s="872">
        <f>IF(LA_!AZ38="","",+LA_!AZ38)</f>
        <v>6.9</v>
      </c>
      <c r="BA38" s="872" t="str">
        <f>IF(LA_!BA38="","",+LA_!BA38)</f>
        <v/>
      </c>
      <c r="BB38" s="872">
        <f>IF(LA_!BB38="","",+LA_!BB38)</f>
        <v>7</v>
      </c>
      <c r="BC38" s="872">
        <f>IF(LA_!BC38="","",+LA_!BC38)</f>
        <v>7.1</v>
      </c>
      <c r="BD38" s="872">
        <f>IF(LA_!BD38="","",+LA_!BD38)</f>
        <v>7.1</v>
      </c>
      <c r="BE38" s="876" t="str">
        <f>IF(LA_!BE38="","",+LA_!BE38)</f>
        <v/>
      </c>
      <c r="BF38" s="875" t="str">
        <f>IF(LA_!BF38="","",+LA_!BF38)</f>
        <v/>
      </c>
      <c r="BG38" s="877">
        <f>+IF(LA_!BG38="","",IF(ISTEXT(LA_!BG38),0,ROUND(LA_!BG38,2)))</f>
        <v>0.09</v>
      </c>
      <c r="BH38" s="878">
        <f>+IF(LA_!BH38="","",IF(ISTEXT(LA_!BH38),0,ROUND(LA_!BH38,2)))</f>
        <v>0.26</v>
      </c>
      <c r="BI38" s="1844">
        <f>IF(LA_!BI38="","",+LA_!BI38)</f>
        <v>16.899999999999999</v>
      </c>
      <c r="BJ38" s="1844">
        <f>IF(LA_!BJ38="","",+LA_!BJ38)</f>
        <v>31.3</v>
      </c>
      <c r="BK38" s="878" t="str">
        <f>IF(LA_!BK38="","",+LA_!BK38)</f>
        <v/>
      </c>
      <c r="BL38" s="878" t="str">
        <f>IF(LA_!BL38="","",+LA_!BL38)</f>
        <v/>
      </c>
      <c r="BM38" s="875" t="str">
        <f>IF(LA_!BM38="","",+LA_!BM38)</f>
        <v/>
      </c>
      <c r="BN38" s="878">
        <f>+IF(LA_!BN38="","",IF(ISTEXT(LA_!BN38),0,ROUND(LA_!BN38,2)))</f>
        <v>0.05</v>
      </c>
      <c r="BO38" s="878">
        <f>+IF(LA_!BO38="","",IF(ISTEXT(LA_!BO38),0,ROUND(LA_!BO38,2)))</f>
        <v>0.27</v>
      </c>
      <c r="BP38" s="872">
        <f>IF(LA_!BP38="","",ROUND(+LA_!BP38,1))</f>
        <v>17</v>
      </c>
      <c r="BQ38" s="872">
        <f>IF(LA_!BQ38="","",ROUND(+LA_!BQ38,1))</f>
        <v>30</v>
      </c>
      <c r="BR38" s="875" t="str">
        <f>IF(LA_!BR38="","",+LA_!BR38)</f>
        <v/>
      </c>
      <c r="BS38" s="875" t="str">
        <f>IF(LA_!BS38="","",+LA_!BS38)</f>
        <v/>
      </c>
      <c r="BT38" s="875" t="str">
        <f>IF(LA_!BT38="","",+LA_!BT38)</f>
        <v/>
      </c>
      <c r="BU38" s="878" t="str">
        <f>+IF(LA_!BU38="","",IF(ISTEXT(LA_!BU38),0,ROUND(LA_!BU38,2)))</f>
        <v/>
      </c>
      <c r="BV38" s="878" t="str">
        <f>+IF(LA_!BV38="","",IF(ISTEXT(LA_!BV38),0,ROUND(LA_!BV38,2)))</f>
        <v/>
      </c>
      <c r="BW38" s="872" t="str">
        <f>IF(LA_!BW38="","",ROUND(+LA_!BW38,1))</f>
        <v/>
      </c>
      <c r="BX38" s="872" t="str">
        <f>IF(LA_!BX38="","",ROUND(+LA_!BX38,1))</f>
        <v/>
      </c>
      <c r="BY38" s="878" t="str">
        <f>IF(LA_!BY38="","",+LA_!BY38)</f>
        <v/>
      </c>
      <c r="BZ38" s="875" t="str">
        <f>IF(LA_!BZ38="","",+LA_!BZ38)</f>
        <v/>
      </c>
      <c r="CA38" s="875" t="str">
        <f>IF(LA_!CA38="","",+LA_!CA38)</f>
        <v/>
      </c>
      <c r="CB38" s="878">
        <f>+IF(LA_!CB38="","",IF(ISTEXT(LA_!CB38),0,ROUND(LA_!CB38,2)))</f>
        <v>0.72</v>
      </c>
      <c r="CC38" s="878">
        <f>+IF(LA_!CC38="","",IF(ISTEXT(LA_!CC38),0,ROUND(LA_!CC38,2)))</f>
        <v>2.11</v>
      </c>
      <c r="CD38" s="872">
        <f>IF(LA_!CD38="","",ROUND(+LA_!CD38,1))</f>
        <v>10.8</v>
      </c>
      <c r="CE38" s="872">
        <f>IF(LA_!CE38="","",ROUND(+LA_!CE38,1))</f>
        <v>12.7</v>
      </c>
      <c r="CF38" s="878" t="str">
        <f>IF(LA_!CF38="","",+LA_!CF38)</f>
        <v/>
      </c>
      <c r="CG38" s="878" t="str">
        <f>IF(LA_!CG38="","",+LA_!CG38)</f>
        <v/>
      </c>
      <c r="CH38" s="875" t="str">
        <f>IF(LA_!CH38="","",+LA_!CH38)</f>
        <v/>
      </c>
      <c r="CI38" s="876" t="str">
        <f>IF(LA_!CI38="","",+LA_!CI38)</f>
        <v/>
      </c>
      <c r="CJ38" s="875" t="str">
        <f>IF(LA_!CJ38="","",+LA_!CJ38)</f>
        <v/>
      </c>
      <c r="CK38" s="875" t="str">
        <f>IF(LA_!CK38="","",+LA_!CK38)</f>
        <v/>
      </c>
      <c r="CL38" s="875" t="str">
        <f>IF(LA_!CL38="","",+LA_!CL38)</f>
        <v/>
      </c>
      <c r="CM38" s="875" t="str">
        <f>IF(LA_!CM38="","",+LA_!CM38)</f>
        <v/>
      </c>
      <c r="CN38" s="875" t="str">
        <f>IF(LA_!CN38="","",+LA_!CN38)</f>
        <v/>
      </c>
      <c r="CO38" s="875" t="str">
        <f>IF(LA_!CO38="","",+LA_!CO38)</f>
        <v/>
      </c>
      <c r="CP38" s="875" t="str">
        <f>IF(LA_!CP38="","",+LA_!CP38)</f>
        <v/>
      </c>
      <c r="CQ38" s="1922" t="str">
        <f>IF(LA_!CQ38="","",+LA_!CQ38)</f>
        <v/>
      </c>
      <c r="CR38" s="875" t="str">
        <f>IF(LA_!CR38="","",+LA_!CR38)</f>
        <v/>
      </c>
      <c r="CS38" s="875" t="str">
        <f>IF(LA_!CS38="","",+LA_!CS38)</f>
        <v/>
      </c>
      <c r="CT38" s="875" t="str">
        <f>IF(LA_!CT38="","",+LA_!CT38)</f>
        <v/>
      </c>
      <c r="CU38" s="874" t="str">
        <f>IF(LA_!CU38="","",+LA_!CU38)</f>
        <v/>
      </c>
      <c r="CV38" s="872" t="str">
        <f>IF(LA_!CV38="","",+LA_!CV38)</f>
        <v/>
      </c>
      <c r="CW38" s="874" t="str">
        <f>IF(LA_!CW38="","",+LA_!CW38)</f>
        <v/>
      </c>
      <c r="CX38" s="1197" t="str">
        <f>IF(LA_!CX38="","",+LA_!CX38)</f>
        <v/>
      </c>
      <c r="CY38" s="2370" t="str">
        <f>IF(LA_!CY38="","",+LA_!CY38)</f>
        <v/>
      </c>
      <c r="CZ38" s="875" t="str">
        <f>IF(LA_!CZ38="","",+LA_!CZ38)</f>
        <v/>
      </c>
      <c r="DA38" s="875" t="str">
        <f>IF(LA_!DA38="","",+LA_!DA38)</f>
        <v/>
      </c>
      <c r="DB38" s="875" t="str">
        <f>IF(LA_!DB38="","",+LA_!DB38)</f>
        <v/>
      </c>
      <c r="DC38" s="875" t="str">
        <f>IF(LA_!DC38="","",+LA_!DC38)</f>
        <v/>
      </c>
      <c r="DD38" s="875" t="str">
        <f>IF(LA_!DD38="","",+LA_!DD38)</f>
        <v/>
      </c>
      <c r="DE38" s="875" t="str">
        <f>IF(LA_!DE38="","",+LA_!DE38)</f>
        <v/>
      </c>
      <c r="DF38" s="875" t="str">
        <f>IF(LA_!DF38="","",+LA_!DF38)</f>
        <v/>
      </c>
      <c r="DG38" s="875" t="str">
        <f>IF(LA_!DG38="","",+LA_!DG38)</f>
        <v/>
      </c>
      <c r="DH38" s="875" t="str">
        <f>IF(LA_!DH38="","",+LA_!DH38)</f>
        <v/>
      </c>
      <c r="DI38" s="879" t="str">
        <f>IF(LA_!DI38="","",+LA_!DI38)</f>
        <v/>
      </c>
      <c r="DJ38" s="872" t="str">
        <f>IF(LA_!DJ38="","",+LA_!DJ38)</f>
        <v/>
      </c>
      <c r="DK38" s="872" t="str">
        <f>IF(LA_!DK38="","",+LA_!DK38)</f>
        <v/>
      </c>
      <c r="DL38" s="872" t="str">
        <f>IF(LA_!DL38="","",+LA_!DL38)</f>
        <v/>
      </c>
      <c r="DM38" s="875" t="str">
        <f>IF(LA_!DM38="","",+LA_!DM38)</f>
        <v/>
      </c>
      <c r="DN38" s="875" t="str">
        <f>IF(LA_!DN38="","",+LA_!DN38)</f>
        <v/>
      </c>
      <c r="DO38" s="875" t="str">
        <f>IF(LA_!DO38="","",+LA_!DO38)</f>
        <v/>
      </c>
      <c r="DP38" s="872" t="str">
        <f>IF(LA_!DP38="","",+LA_!DP38)</f>
        <v/>
      </c>
      <c r="DQ38" s="875" t="str">
        <f>IF(LA_!DQ38="","",+LA_!DQ38)</f>
        <v/>
      </c>
      <c r="DR38" s="875" t="str">
        <f>IF(LA_!DR38="","",+LA_!DR38)</f>
        <v/>
      </c>
      <c r="DS38" s="876"/>
      <c r="DT38" s="880"/>
      <c r="DU38" s="330"/>
      <c r="DV38" s="330"/>
      <c r="DW38" s="881"/>
      <c r="DX38" s="849"/>
    </row>
    <row r="39" spans="2:138" ht="20.100000000000001" customHeight="1">
      <c r="B39" s="1789"/>
      <c r="C39" s="852">
        <v>29</v>
      </c>
      <c r="D39" s="1842">
        <f>IF(LA_!D39="","",+LA_!D39)</f>
        <v>176</v>
      </c>
      <c r="E39" s="872" t="str">
        <f>IF(LA_!E39="","",+LA_!E39)</f>
        <v/>
      </c>
      <c r="F39" s="873">
        <f>IF(LA_!F39="","",+LA_!F39)</f>
        <v>124</v>
      </c>
      <c r="G39" s="872" t="str">
        <f>IF(LA_!G39="","",+LA_!G39)</f>
        <v/>
      </c>
      <c r="H39" s="874" t="str">
        <f>IF(LA_!H39="","",+LA_!H39)</f>
        <v/>
      </c>
      <c r="I39" s="874" t="str">
        <f>IF(LA_!I39="","",+LA_!I39)</f>
        <v/>
      </c>
      <c r="J39" s="874">
        <f>IF(LA_!J39="","",+LA_!J39)</f>
        <v>8</v>
      </c>
      <c r="K39" s="874" t="str">
        <f>IF(LA_!K39="","",+LA_!K39)</f>
        <v/>
      </c>
      <c r="L39" s="1292" t="str">
        <f>IF(LA_!L39="","",+LA_!L39)</f>
        <v/>
      </c>
      <c r="M39" s="874" t="str">
        <f>IF(LA_!M39="","",+LA_!M39)</f>
        <v/>
      </c>
      <c r="N39" s="874" t="str">
        <f>IF(LA_!N39="","",+LA_!N39)</f>
        <v/>
      </c>
      <c r="O39" s="874" t="str">
        <f>IF(LA_!O39="","",+LA_!O39)</f>
        <v/>
      </c>
      <c r="P39" s="1197" t="str">
        <f>IF(LA_!P39="","",+LA_!P39)</f>
        <v/>
      </c>
      <c r="Q39" s="1196" t="str">
        <f>IF(LA_!Q39="","",+LA_!Q39)</f>
        <v/>
      </c>
      <c r="R39" s="874" t="str">
        <f>IF(LA_!R39="","",+LA_!R39)</f>
        <v/>
      </c>
      <c r="S39" s="874" t="str">
        <f>IF(LA_!S39="","",+LA_!S39)</f>
        <v/>
      </c>
      <c r="T39" s="874" t="str">
        <f>IF(LA_!T39="","",+LA_!T39)</f>
        <v/>
      </c>
      <c r="U39" s="1197" t="str">
        <f>IF(LA_!U39="","",+LA_!U39)</f>
        <v/>
      </c>
      <c r="V39" s="1183" t="str">
        <f>IF(LA_!V39="","",+LA_!V39)</f>
        <v/>
      </c>
      <c r="W39" s="872" t="str">
        <f>IF(LA_!W39="","",+LA_!W39)</f>
        <v/>
      </c>
      <c r="X39" s="874" t="str">
        <f>IF(LA_!X39="","",+LA_!X39)</f>
        <v/>
      </c>
      <c r="Y39" s="872" t="str">
        <f>IF(LA_!Y39="","",+LA_!Y39)</f>
        <v/>
      </c>
      <c r="Z39" s="1843">
        <f>IF(LA_!Z39="","",+LA_!Z39)</f>
        <v>125</v>
      </c>
      <c r="AA39" s="875">
        <f>IF(LA_!AA39="","",+LA_!AA39)</f>
        <v>119</v>
      </c>
      <c r="AB39" s="875" t="str">
        <f>IF(LA_!AB39="","",+LA_!AB39)</f>
        <v/>
      </c>
      <c r="AC39" s="875" t="str">
        <f>IF(LA_!AC39="","",+LA_!AC39)</f>
        <v/>
      </c>
      <c r="AD39" s="875">
        <f>IF(LA_!AD39="","",+LA_!AD39)</f>
        <v>5</v>
      </c>
      <c r="AE39" s="874" t="str">
        <f>IF(LA_!AE39="","",+LA_!AE39)</f>
        <v/>
      </c>
      <c r="AF39" s="872" t="str">
        <f>IF(LA_!AF39="","",+LA_!AF39)</f>
        <v/>
      </c>
      <c r="AG39" s="872" t="str">
        <f>IF(LA_!AG39="","",+LA_!AG39)</f>
        <v/>
      </c>
      <c r="AH39" s="872" t="str">
        <f>IF(LA_!AH39="","",+LA_!AH39)</f>
        <v/>
      </c>
      <c r="AI39" s="872" t="str">
        <f>IF(LA_!AI39="","",+LA_!AI39)</f>
        <v/>
      </c>
      <c r="AJ39" s="872" t="str">
        <f>IF(LA_!AJ39="","",+LA_!AJ39)</f>
        <v/>
      </c>
      <c r="AK39" s="872" t="str">
        <f>IF(LA_!AK39="","",+LA_!AK39)</f>
        <v/>
      </c>
      <c r="AL39" s="872" t="str">
        <f>IF(LA_!AL39="","",+LA_!AL39)</f>
        <v/>
      </c>
      <c r="AM39" s="872" t="str">
        <f>IF(LA_!AM39="","",+LA_!AM39)</f>
        <v/>
      </c>
      <c r="AN39" s="875" t="str">
        <f>IF(LA_!AN39="","",+LA_!AN39)</f>
        <v/>
      </c>
      <c r="AO39" s="875" t="str">
        <f>IF(LA_!AO39="","",+LA_!AO39)</f>
        <v/>
      </c>
      <c r="AP39" s="876" t="str">
        <f>IF(LA_!AP39="","",+LA_!AP39)</f>
        <v/>
      </c>
      <c r="AQ39" s="875" t="str">
        <f>IF(LA_!AQ39="","",+LA_!AQ39)</f>
        <v/>
      </c>
      <c r="AR39" s="875" t="str">
        <f>IF(LA_!AR39="","",+LA_!AR39)</f>
        <v/>
      </c>
      <c r="AS39" s="875" t="str">
        <f>IF(LA_!AS39="","",+LA_!AS39)</f>
        <v/>
      </c>
      <c r="AT39" s="875" t="str">
        <f>IF(LA_!AT39="","",+LA_!AT39)</f>
        <v/>
      </c>
      <c r="AU39" s="875" t="str">
        <f>IF(LA_!AU39="","",+LA_!AU39)</f>
        <v/>
      </c>
      <c r="AV39" s="875" t="str">
        <f>IF(LA_!AV39="","",+LA_!AV39)</f>
        <v/>
      </c>
      <c r="AW39" s="875" t="str">
        <f>IF(LA_!AW39="","",+LA_!AW39)</f>
        <v/>
      </c>
      <c r="AX39" s="875" t="str">
        <f>IF(LA_!AX39="","",+LA_!AX39)</f>
        <v/>
      </c>
      <c r="AY39" s="875" t="str">
        <f>IF(LA_!AY39="","",+LA_!AY39)</f>
        <v/>
      </c>
      <c r="AZ39" s="872" t="str">
        <f>IF(LA_!AZ39="","",+LA_!AZ39)</f>
        <v/>
      </c>
      <c r="BA39" s="872" t="str">
        <f>IF(LA_!BA39="","",+LA_!BA39)</f>
        <v/>
      </c>
      <c r="BB39" s="872" t="str">
        <f>IF(LA_!BB39="","",+LA_!BB39)</f>
        <v/>
      </c>
      <c r="BC39" s="872" t="str">
        <f>IF(LA_!BC39="","",+LA_!BC39)</f>
        <v/>
      </c>
      <c r="BD39" s="872" t="str">
        <f>IF(LA_!BD39="","",+LA_!BD39)</f>
        <v/>
      </c>
      <c r="BE39" s="876" t="str">
        <f>IF(LA_!BE39="","",+LA_!BE39)</f>
        <v/>
      </c>
      <c r="BF39" s="875" t="str">
        <f>IF(LA_!BF39="","",+LA_!BF39)</f>
        <v/>
      </c>
      <c r="BG39" s="877">
        <f>+IF(LA_!BG39="","",IF(ISTEXT(LA_!BG39),0,ROUND(LA_!BG39,2)))</f>
        <v>0.06</v>
      </c>
      <c r="BH39" s="878">
        <f>+IF(LA_!BH39="","",IF(ISTEXT(LA_!BH39),0,ROUND(LA_!BH39,2)))</f>
        <v>0.17</v>
      </c>
      <c r="BI39" s="1844">
        <f>IF(LA_!BI39="","",+LA_!BI39)</f>
        <v>20.399999999999999</v>
      </c>
      <c r="BJ39" s="1844">
        <f>IF(LA_!BJ39="","",+LA_!BJ39)</f>
        <v>36.9</v>
      </c>
      <c r="BK39" s="878" t="str">
        <f>IF(LA_!BK39="","",+LA_!BK39)</f>
        <v/>
      </c>
      <c r="BL39" s="878" t="str">
        <f>IF(LA_!BL39="","",+LA_!BL39)</f>
        <v/>
      </c>
      <c r="BM39" s="875" t="str">
        <f>IF(LA_!BM39="","",+LA_!BM39)</f>
        <v/>
      </c>
      <c r="BN39" s="878">
        <f>+IF(LA_!BN39="","",IF(ISTEXT(LA_!BN39),0,ROUND(LA_!BN39,2)))</f>
        <v>0.06</v>
      </c>
      <c r="BO39" s="878">
        <f>+IF(LA_!BO39="","",IF(ISTEXT(LA_!BO39),0,ROUND(LA_!BO39,2)))</f>
        <v>0.15</v>
      </c>
      <c r="BP39" s="872">
        <f>IF(LA_!BP39="","",ROUND(+LA_!BP39,1))</f>
        <v>19</v>
      </c>
      <c r="BQ39" s="872">
        <f>IF(LA_!BQ39="","",ROUND(+LA_!BQ39,1))</f>
        <v>33.299999999999997</v>
      </c>
      <c r="BR39" s="875" t="str">
        <f>IF(LA_!BR39="","",+LA_!BR39)</f>
        <v/>
      </c>
      <c r="BS39" s="875" t="str">
        <f>IF(LA_!BS39="","",+LA_!BS39)</f>
        <v/>
      </c>
      <c r="BT39" s="875" t="str">
        <f>IF(LA_!BT39="","",+LA_!BT39)</f>
        <v/>
      </c>
      <c r="BU39" s="878" t="str">
        <f>+IF(LA_!BU39="","",IF(ISTEXT(LA_!BU39),0,ROUND(LA_!BU39,2)))</f>
        <v/>
      </c>
      <c r="BV39" s="878" t="str">
        <f>+IF(LA_!BV39="","",IF(ISTEXT(LA_!BV39),0,ROUND(LA_!BV39,2)))</f>
        <v/>
      </c>
      <c r="BW39" s="872" t="str">
        <f>IF(LA_!BW39="","",ROUND(+LA_!BW39,1))</f>
        <v/>
      </c>
      <c r="BX39" s="872" t="str">
        <f>IF(LA_!BX39="","",ROUND(+LA_!BX39,1))</f>
        <v/>
      </c>
      <c r="BY39" s="875" t="str">
        <f>IF(LA_!BY39="","",+LA_!BY39)</f>
        <v/>
      </c>
      <c r="BZ39" s="875" t="str">
        <f>IF(LA_!BZ39="","",+LA_!BZ39)</f>
        <v/>
      </c>
      <c r="CA39" s="875" t="str">
        <f>IF(LA_!CA39="","",+LA_!CA39)</f>
        <v/>
      </c>
      <c r="CB39" s="878">
        <f>+IF(LA_!CB39="","",IF(ISTEXT(LA_!CB39),0,ROUND(LA_!CB39,2)))</f>
        <v>0.77</v>
      </c>
      <c r="CC39" s="878">
        <f>+IF(LA_!CC39="","",IF(ISTEXT(LA_!CC39),0,ROUND(LA_!CC39,2)))</f>
        <v>2.5</v>
      </c>
      <c r="CD39" s="872">
        <f>IF(LA_!CD39="","",ROUND(+LA_!CD39,1))</f>
        <v>10.7</v>
      </c>
      <c r="CE39" s="872">
        <f>IF(LA_!CE39="","",ROUND(+LA_!CE39,1))</f>
        <v>13.3</v>
      </c>
      <c r="CF39" s="875" t="str">
        <f>IF(LA_!CF39="","",+LA_!CF39)</f>
        <v/>
      </c>
      <c r="CG39" s="875" t="str">
        <f>IF(LA_!CG39="","",+LA_!CG39)</f>
        <v/>
      </c>
      <c r="CH39" s="875" t="str">
        <f>IF(LA_!CH39="","",+LA_!CH39)</f>
        <v/>
      </c>
      <c r="CI39" s="876" t="str">
        <f>IF(LA_!CI39="","",+LA_!CI39)</f>
        <v/>
      </c>
      <c r="CJ39" s="875" t="str">
        <f>IF(LA_!CJ39="","",+LA_!CJ39)</f>
        <v/>
      </c>
      <c r="CK39" s="875" t="str">
        <f>IF(LA_!CK39="","",+LA_!CK39)</f>
        <v/>
      </c>
      <c r="CL39" s="875" t="str">
        <f>IF(LA_!CL39="","",+LA_!CL39)</f>
        <v/>
      </c>
      <c r="CM39" s="875" t="str">
        <f>IF(LA_!CM39="","",+LA_!CM39)</f>
        <v/>
      </c>
      <c r="CN39" s="875" t="str">
        <f>IF(LA_!CN39="","",+LA_!CN39)</f>
        <v/>
      </c>
      <c r="CO39" s="875" t="str">
        <f>IF(LA_!CO39="","",+LA_!CO39)</f>
        <v/>
      </c>
      <c r="CP39" s="875" t="str">
        <f>IF(LA_!CP39="","",+LA_!CP39)</f>
        <v/>
      </c>
      <c r="CQ39" s="1922" t="str">
        <f>IF(LA_!CQ39="","",+LA_!CQ39)</f>
        <v/>
      </c>
      <c r="CR39" s="875" t="str">
        <f>IF(LA_!CR39="","",+LA_!CR39)</f>
        <v/>
      </c>
      <c r="CS39" s="875" t="str">
        <f>IF(LA_!CS39="","",+LA_!CS39)</f>
        <v/>
      </c>
      <c r="CT39" s="875" t="str">
        <f>IF(LA_!CT39="","",+LA_!CT39)</f>
        <v/>
      </c>
      <c r="CU39" s="874" t="str">
        <f>IF(LA_!CU39="","",+LA_!CU39)</f>
        <v/>
      </c>
      <c r="CV39" s="872" t="str">
        <f>IF(LA_!CV39="","",+LA_!CV39)</f>
        <v/>
      </c>
      <c r="CW39" s="874" t="str">
        <f>IF(LA_!CW39="","",+LA_!CW39)</f>
        <v/>
      </c>
      <c r="CX39" s="1197" t="str">
        <f>IF(LA_!CX39="","",+LA_!CX39)</f>
        <v/>
      </c>
      <c r="CY39" s="2370" t="str">
        <f>IF(LA_!CY39="","",+LA_!CY39)</f>
        <v/>
      </c>
      <c r="CZ39" s="875" t="str">
        <f>IF(LA_!CZ39="","",+LA_!CZ39)</f>
        <v/>
      </c>
      <c r="DA39" s="875" t="str">
        <f>IF(LA_!DA39="","",+LA_!DA39)</f>
        <v/>
      </c>
      <c r="DB39" s="875" t="str">
        <f>IF(LA_!DB39="","",+LA_!DB39)</f>
        <v/>
      </c>
      <c r="DC39" s="875" t="str">
        <f>IF(LA_!DC39="","",+LA_!DC39)</f>
        <v/>
      </c>
      <c r="DD39" s="875" t="str">
        <f>IF(LA_!DD39="","",+LA_!DD39)</f>
        <v/>
      </c>
      <c r="DE39" s="875" t="str">
        <f>IF(LA_!DE39="","",+LA_!DE39)</f>
        <v/>
      </c>
      <c r="DF39" s="875" t="str">
        <f>IF(LA_!DF39="","",+LA_!DF39)</f>
        <v/>
      </c>
      <c r="DG39" s="875" t="str">
        <f>IF(LA_!DG39="","",+LA_!DG39)</f>
        <v/>
      </c>
      <c r="DH39" s="875" t="str">
        <f>IF(LA_!DH39="","",+LA_!DH39)</f>
        <v/>
      </c>
      <c r="DI39" s="879" t="str">
        <f>IF(LA_!DI39="","",+LA_!DI39)</f>
        <v/>
      </c>
      <c r="DJ39" s="872" t="str">
        <f>IF(LA_!DJ39="","",+LA_!DJ39)</f>
        <v/>
      </c>
      <c r="DK39" s="872" t="str">
        <f>IF(LA_!DK39="","",+LA_!DK39)</f>
        <v/>
      </c>
      <c r="DL39" s="872" t="str">
        <f>IF(LA_!DL39="","",+LA_!DL39)</f>
        <v/>
      </c>
      <c r="DM39" s="875" t="str">
        <f>IF(LA_!DM39="","",+LA_!DM39)</f>
        <v/>
      </c>
      <c r="DN39" s="875" t="str">
        <f>IF(LA_!DN39="","",+LA_!DN39)</f>
        <v/>
      </c>
      <c r="DO39" s="875" t="str">
        <f>IF(LA_!DO39="","",+LA_!DO39)</f>
        <v/>
      </c>
      <c r="DP39" s="872" t="str">
        <f>IF(LA_!DP39="","",+LA_!DP39)</f>
        <v/>
      </c>
      <c r="DQ39" s="875" t="str">
        <f>IF(LA_!DQ39="","",+LA_!DQ39)</f>
        <v/>
      </c>
      <c r="DR39" s="875" t="str">
        <f>IF(LA_!DR39="","",+LA_!DR39)</f>
        <v/>
      </c>
      <c r="DS39" s="876"/>
      <c r="DT39" s="880"/>
      <c r="DU39" s="330"/>
      <c r="DV39" s="330"/>
      <c r="DW39" s="881"/>
      <c r="DX39" s="849"/>
    </row>
    <row r="40" spans="2:138" ht="20.100000000000001" customHeight="1">
      <c r="B40" s="1618"/>
      <c r="C40" s="852">
        <v>30</v>
      </c>
      <c r="D40" s="1842">
        <f>IF(LA_!D40="","",+LA_!D40)</f>
        <v>142</v>
      </c>
      <c r="E40" s="872" t="str">
        <f>IF(LA_!E40="","",+LA_!E40)</f>
        <v/>
      </c>
      <c r="F40" s="873">
        <f>IF(LA_!F40="","",+LA_!F40)</f>
        <v>124</v>
      </c>
      <c r="G40" s="872" t="str">
        <f>IF(LA_!G40="","",+LA_!G40)</f>
        <v/>
      </c>
      <c r="H40" s="874" t="str">
        <f>IF(LA_!H40="","",+LA_!H40)</f>
        <v/>
      </c>
      <c r="I40" s="874" t="str">
        <f>IF(LA_!I40="","",+LA_!I40)</f>
        <v/>
      </c>
      <c r="J40" s="874">
        <f>IF(LA_!J40="","",+LA_!J40)</f>
        <v>8</v>
      </c>
      <c r="K40" s="874" t="str">
        <f>IF(LA_!K40="","",+LA_!K40)</f>
        <v/>
      </c>
      <c r="L40" s="1292" t="str">
        <f>IF(LA_!L40="","",+LA_!L40)</f>
        <v/>
      </c>
      <c r="M40" s="874" t="str">
        <f>IF(LA_!M40="","",+LA_!M40)</f>
        <v/>
      </c>
      <c r="N40" s="874" t="str">
        <f>IF(LA_!N40="","",+LA_!N40)</f>
        <v/>
      </c>
      <c r="O40" s="874" t="str">
        <f>IF(LA_!O40="","",+LA_!O40)</f>
        <v/>
      </c>
      <c r="P40" s="1197" t="str">
        <f>IF(LA_!P40="","",+LA_!P40)</f>
        <v/>
      </c>
      <c r="Q40" s="1196" t="str">
        <f>IF(LA_!Q40="","",+LA_!Q40)</f>
        <v/>
      </c>
      <c r="R40" s="874" t="str">
        <f>IF(LA_!R40="","",+LA_!R40)</f>
        <v/>
      </c>
      <c r="S40" s="874" t="str">
        <f>IF(LA_!S40="","",+LA_!S40)</f>
        <v/>
      </c>
      <c r="T40" s="874" t="str">
        <f>IF(LA_!T40="","",+LA_!T40)</f>
        <v/>
      </c>
      <c r="U40" s="1197" t="str">
        <f>IF(LA_!U40="","",+LA_!U40)</f>
        <v/>
      </c>
      <c r="V40" s="1183" t="str">
        <f>IF(LA_!V40="","",+LA_!V40)</f>
        <v/>
      </c>
      <c r="W40" s="872" t="str">
        <f>IF(LA_!W40="","",+LA_!W40)</f>
        <v/>
      </c>
      <c r="X40" s="874" t="str">
        <f>IF(LA_!X40="","",+LA_!X40)</f>
        <v/>
      </c>
      <c r="Y40" s="872" t="str">
        <f>IF(LA_!Y40="","",+LA_!Y40)</f>
        <v/>
      </c>
      <c r="Z40" s="1843">
        <f>IF(LA_!Z40="","",+LA_!Z40)</f>
        <v>113</v>
      </c>
      <c r="AA40" s="875">
        <f>IF(LA_!AA40="","",+LA_!AA40)</f>
        <v>121</v>
      </c>
      <c r="AB40" s="875" t="str">
        <f>IF(LA_!AB40="","",+LA_!AB40)</f>
        <v/>
      </c>
      <c r="AC40" s="875" t="str">
        <f>IF(LA_!AC40="","",+LA_!AC40)</f>
        <v/>
      </c>
      <c r="AD40" s="875">
        <f>IF(LA_!AD40="","",+LA_!AD40)</f>
        <v>4</v>
      </c>
      <c r="AE40" s="874" t="str">
        <f>IF(LA_!AE40="","",+LA_!AE40)</f>
        <v/>
      </c>
      <c r="AF40" s="872" t="str">
        <f>IF(LA_!AF40="","",+LA_!AF40)</f>
        <v/>
      </c>
      <c r="AG40" s="872" t="str">
        <f>IF(LA_!AG40="","",+LA_!AG40)</f>
        <v/>
      </c>
      <c r="AH40" s="872" t="str">
        <f>IF(LA_!AH40="","",+LA_!AH40)</f>
        <v/>
      </c>
      <c r="AI40" s="872" t="str">
        <f>IF(LA_!AI40="","",+LA_!AI40)</f>
        <v/>
      </c>
      <c r="AJ40" s="872" t="str">
        <f>IF(LA_!AJ40="","",+LA_!AJ40)</f>
        <v/>
      </c>
      <c r="AK40" s="872" t="str">
        <f>IF(LA_!AK40="","",+LA_!AK40)</f>
        <v/>
      </c>
      <c r="AL40" s="872" t="str">
        <f>IF(LA_!AL40="","",+LA_!AL40)</f>
        <v/>
      </c>
      <c r="AM40" s="872" t="str">
        <f>IF(LA_!AM40="","",+LA_!AM40)</f>
        <v/>
      </c>
      <c r="AN40" s="875" t="str">
        <f>IF(LA_!AN40="","",+LA_!AN40)</f>
        <v/>
      </c>
      <c r="AO40" s="875" t="str">
        <f>IF(LA_!AO40="","",+LA_!AO40)</f>
        <v/>
      </c>
      <c r="AP40" s="876" t="str">
        <f>IF(LA_!AP40="","",+LA_!AP40)</f>
        <v/>
      </c>
      <c r="AQ40" s="875" t="str">
        <f>IF(LA_!AQ40="","",+LA_!AQ40)</f>
        <v/>
      </c>
      <c r="AR40" s="875" t="str">
        <f>IF(LA_!AR40="","",+LA_!AR40)</f>
        <v/>
      </c>
      <c r="AS40" s="875" t="str">
        <f>IF(LA_!AS40="","",+LA_!AS40)</f>
        <v/>
      </c>
      <c r="AT40" s="875" t="str">
        <f>IF(LA_!AT40="","",+LA_!AT40)</f>
        <v/>
      </c>
      <c r="AU40" s="875" t="str">
        <f>IF(LA_!AU40="","",+LA_!AU40)</f>
        <v/>
      </c>
      <c r="AV40" s="875" t="str">
        <f>IF(LA_!AV40="","",+LA_!AV40)</f>
        <v/>
      </c>
      <c r="AW40" s="875" t="str">
        <f>IF(LA_!AW40="","",+LA_!AW40)</f>
        <v/>
      </c>
      <c r="AX40" s="875" t="str">
        <f>IF(LA_!AX40="","",+LA_!AX40)</f>
        <v/>
      </c>
      <c r="AY40" s="875" t="str">
        <f>IF(LA_!AY40="","",+LA_!AY40)</f>
        <v/>
      </c>
      <c r="AZ40" s="872" t="str">
        <f>IF(LA_!AZ40="","",+LA_!AZ40)</f>
        <v/>
      </c>
      <c r="BA40" s="872" t="str">
        <f>IF(LA_!BA40="","",+LA_!BA40)</f>
        <v/>
      </c>
      <c r="BB40" s="872" t="str">
        <f>IF(LA_!BB40="","",+LA_!BB40)</f>
        <v/>
      </c>
      <c r="BC40" s="872" t="str">
        <f>IF(LA_!BC40="","",+LA_!BC40)</f>
        <v/>
      </c>
      <c r="BD40" s="872" t="str">
        <f>IF(LA_!BD40="","",+LA_!BD40)</f>
        <v/>
      </c>
      <c r="BE40" s="876" t="str">
        <f>IF(LA_!BE40="","",+LA_!BE40)</f>
        <v/>
      </c>
      <c r="BF40" s="875" t="str">
        <f>IF(LA_!BF40="","",+LA_!BF40)</f>
        <v/>
      </c>
      <c r="BG40" s="877">
        <f>+IF(LA_!BG40="","",IF(ISTEXT(LA_!BG40),0,ROUND(LA_!BG40,2)))</f>
        <v>0.03</v>
      </c>
      <c r="BH40" s="878">
        <f>+IF(LA_!BH40="","",IF(ISTEXT(LA_!BH40),0,ROUND(LA_!BH40,2)))</f>
        <v>0.17</v>
      </c>
      <c r="BI40" s="1844">
        <f>IF(LA_!BI40="","",+LA_!BI40)</f>
        <v>23.2</v>
      </c>
      <c r="BJ40" s="1844">
        <f>IF(LA_!BJ40="","",+LA_!BJ40)</f>
        <v>37.4</v>
      </c>
      <c r="BK40" s="878" t="str">
        <f>IF(LA_!BK40="","",+LA_!BK40)</f>
        <v/>
      </c>
      <c r="BL40" s="878" t="str">
        <f>IF(LA_!BL40="","",+LA_!BL40)</f>
        <v/>
      </c>
      <c r="BM40" s="875" t="str">
        <f>IF(LA_!BM40="","",+LA_!BM40)</f>
        <v/>
      </c>
      <c r="BN40" s="878">
        <f>+IF(LA_!BN40="","",IF(ISTEXT(LA_!BN40),0,ROUND(LA_!BN40,2)))</f>
        <v>0.02</v>
      </c>
      <c r="BO40" s="878">
        <f>+IF(LA_!BO40="","",IF(ISTEXT(LA_!BO40),0,ROUND(LA_!BO40,2)))</f>
        <v>0.14000000000000001</v>
      </c>
      <c r="BP40" s="872">
        <f>IF(LA_!BP40="","",ROUND(+LA_!BP40,1))</f>
        <v>22.4</v>
      </c>
      <c r="BQ40" s="872">
        <f>IF(LA_!BQ40="","",ROUND(+LA_!BQ40,1))</f>
        <v>35.700000000000003</v>
      </c>
      <c r="BR40" s="875" t="str">
        <f>IF(LA_!BR40="","",+LA_!BR40)</f>
        <v/>
      </c>
      <c r="BS40" s="875" t="str">
        <f>IF(LA_!BS40="","",+LA_!BS40)</f>
        <v/>
      </c>
      <c r="BT40" s="875" t="str">
        <f>IF(LA_!BT40="","",+LA_!BT40)</f>
        <v/>
      </c>
      <c r="BU40" s="878" t="str">
        <f>+IF(LA_!BU40="","",IF(ISTEXT(LA_!BU40),0,ROUND(LA_!BU40,2)))</f>
        <v/>
      </c>
      <c r="BV40" s="878" t="str">
        <f>+IF(LA_!BV40="","",IF(ISTEXT(LA_!BV40),0,ROUND(LA_!BV40,2)))</f>
        <v/>
      </c>
      <c r="BW40" s="872" t="str">
        <f>IF(LA_!BW40="","",ROUND(+LA_!BW40,1))</f>
        <v/>
      </c>
      <c r="BX40" s="872" t="str">
        <f>IF(LA_!BX40="","",ROUND(+LA_!BX40,1))</f>
        <v/>
      </c>
      <c r="BY40" s="875" t="str">
        <f>IF(LA_!BY40="","",+LA_!BY40)</f>
        <v/>
      </c>
      <c r="BZ40" s="875" t="str">
        <f>IF(LA_!BZ40="","",+LA_!BZ40)</f>
        <v/>
      </c>
      <c r="CA40" s="875" t="str">
        <f>IF(LA_!CA40="","",+LA_!CA40)</f>
        <v/>
      </c>
      <c r="CB40" s="878">
        <f>+IF(LA_!CB40="","",IF(ISTEXT(LA_!CB40),0,ROUND(LA_!CB40,2)))</f>
        <v>0.7</v>
      </c>
      <c r="CC40" s="878">
        <f>+IF(LA_!CC40="","",IF(ISTEXT(LA_!CC40),0,ROUND(LA_!CC40,2)))</f>
        <v>2.8</v>
      </c>
      <c r="CD40" s="872">
        <f>IF(LA_!CD40="","",ROUND(+LA_!CD40,1))</f>
        <v>11.6</v>
      </c>
      <c r="CE40" s="872">
        <f>IF(LA_!CE40="","",ROUND(+LA_!CE40,1))</f>
        <v>13.6</v>
      </c>
      <c r="CF40" s="875" t="str">
        <f>IF(LA_!CF40="","",+LA_!CF40)</f>
        <v/>
      </c>
      <c r="CG40" s="875" t="str">
        <f>IF(LA_!CG40="","",+LA_!CG40)</f>
        <v/>
      </c>
      <c r="CH40" s="875" t="str">
        <f>IF(LA_!CH40="","",+LA_!CH40)</f>
        <v/>
      </c>
      <c r="CI40" s="876" t="str">
        <f>IF(LA_!CI40="","",+LA_!CI40)</f>
        <v/>
      </c>
      <c r="CJ40" s="875" t="str">
        <f>IF(LA_!CJ40="","",+LA_!CJ40)</f>
        <v/>
      </c>
      <c r="CK40" s="875" t="str">
        <f>IF(LA_!CK40="","",+LA_!CK40)</f>
        <v/>
      </c>
      <c r="CL40" s="875" t="str">
        <f>IF(LA_!CL40="","",+LA_!CL40)</f>
        <v/>
      </c>
      <c r="CM40" s="875" t="str">
        <f>IF(LA_!CM40="","",+LA_!CM40)</f>
        <v/>
      </c>
      <c r="CN40" s="875" t="str">
        <f>IF(LA_!CN40="","",+LA_!CN40)</f>
        <v/>
      </c>
      <c r="CO40" s="875" t="str">
        <f>IF(LA_!CO40="","",+LA_!CO40)</f>
        <v/>
      </c>
      <c r="CP40" s="875" t="str">
        <f>IF(LA_!CP40="","",+LA_!CP40)</f>
        <v/>
      </c>
      <c r="CQ40" s="1922" t="str">
        <f>IF(LA_!CQ40="","",+LA_!CQ40)</f>
        <v/>
      </c>
      <c r="CR40" s="875" t="str">
        <f>IF(LA_!CR40="","",+LA_!CR40)</f>
        <v/>
      </c>
      <c r="CS40" s="875" t="str">
        <f>IF(LA_!CS40="","",+LA_!CS40)</f>
        <v/>
      </c>
      <c r="CT40" s="875" t="str">
        <f>IF(LA_!CT40="","",+LA_!CT40)</f>
        <v/>
      </c>
      <c r="CU40" s="874" t="str">
        <f>IF(LA_!CU40="","",+LA_!CU40)</f>
        <v/>
      </c>
      <c r="CV40" s="872" t="str">
        <f>IF(LA_!CV40="","",+LA_!CV40)</f>
        <v/>
      </c>
      <c r="CW40" s="874" t="str">
        <f>IF(LA_!CW40="","",+LA_!CW40)</f>
        <v/>
      </c>
      <c r="CX40" s="1197" t="str">
        <f>IF(LA_!CX40="","",+LA_!CX40)</f>
        <v/>
      </c>
      <c r="CY40" s="2370" t="str">
        <f>IF(LA_!CY40="","",+LA_!CY40)</f>
        <v/>
      </c>
      <c r="CZ40" s="875" t="str">
        <f>IF(LA_!CZ40="","",+LA_!CZ40)</f>
        <v/>
      </c>
      <c r="DA40" s="875" t="str">
        <f>IF(LA_!DA40="","",+LA_!DA40)</f>
        <v/>
      </c>
      <c r="DB40" s="875" t="str">
        <f>IF(LA_!DB40="","",+LA_!DB40)</f>
        <v/>
      </c>
      <c r="DC40" s="875" t="str">
        <f>IF(LA_!DC40="","",+LA_!DC40)</f>
        <v/>
      </c>
      <c r="DD40" s="875" t="str">
        <f>IF(LA_!DD40="","",+LA_!DD40)</f>
        <v/>
      </c>
      <c r="DE40" s="875" t="str">
        <f>IF(LA_!DE40="","",+LA_!DE40)</f>
        <v/>
      </c>
      <c r="DF40" s="875" t="str">
        <f>IF(LA_!DF40="","",+LA_!DF40)</f>
        <v/>
      </c>
      <c r="DG40" s="875" t="str">
        <f>IF(LA_!DG40="","",+LA_!DG40)</f>
        <v/>
      </c>
      <c r="DH40" s="875" t="str">
        <f>IF(LA_!DH40="","",+LA_!DH40)</f>
        <v/>
      </c>
      <c r="DI40" s="879" t="str">
        <f>IF(LA_!DI40="","",+LA_!DI40)</f>
        <v/>
      </c>
      <c r="DJ40" s="872" t="str">
        <f>IF(LA_!DJ40="","",+LA_!DJ40)</f>
        <v/>
      </c>
      <c r="DK40" s="872" t="str">
        <f>IF(LA_!DK40="","",+LA_!DK40)</f>
        <v/>
      </c>
      <c r="DL40" s="872" t="str">
        <f>IF(LA_!DL40="","",+LA_!DL40)</f>
        <v/>
      </c>
      <c r="DM40" s="875" t="str">
        <f>IF(LA_!DM40="","",+LA_!DM40)</f>
        <v/>
      </c>
      <c r="DN40" s="875" t="str">
        <f>IF(LA_!DN40="","",+LA_!DN40)</f>
        <v/>
      </c>
      <c r="DO40" s="875" t="str">
        <f>IF(LA_!DO40="","",+LA_!DO40)</f>
        <v/>
      </c>
      <c r="DP40" s="872" t="str">
        <f>IF(LA_!DP40="","",+LA_!DP40)</f>
        <v/>
      </c>
      <c r="DQ40" s="875" t="str">
        <f>IF(LA_!DQ40="","",+LA_!DQ40)</f>
        <v/>
      </c>
      <c r="DR40" s="875" t="str">
        <f>IF(LA_!DR40="","",+LA_!DR40)</f>
        <v/>
      </c>
      <c r="DS40" s="876"/>
      <c r="DT40" s="880"/>
      <c r="DU40" s="330"/>
      <c r="DV40" s="330"/>
      <c r="DW40" s="881"/>
      <c r="DX40" s="849"/>
    </row>
    <row r="41" spans="2:138" ht="20.100000000000001" customHeight="1" thickBot="1">
      <c r="B41" s="1618"/>
      <c r="C41" s="852">
        <v>31</v>
      </c>
      <c r="D41" s="1842">
        <f>IF(LA_!D41="","",+LA_!D41)</f>
        <v>132</v>
      </c>
      <c r="E41" s="872" t="str">
        <f>IF(LA_!E41="","",+LA_!E41)</f>
        <v/>
      </c>
      <c r="F41" s="873">
        <f>IF(LA_!F41="","",+LA_!F41)</f>
        <v>130</v>
      </c>
      <c r="G41" s="872" t="str">
        <f>IF(LA_!G41="","",+LA_!G41)</f>
        <v/>
      </c>
      <c r="H41" s="874">
        <f>IF(LA_!H41="","",+LA_!H41)</f>
        <v>60</v>
      </c>
      <c r="I41" s="874">
        <f>IF(LA_!I41="","",+LA_!I41)</f>
        <v>72</v>
      </c>
      <c r="J41" s="874">
        <f>IF(LA_!J41="","",+LA_!J41)</f>
        <v>12</v>
      </c>
      <c r="K41" s="874" t="str">
        <f>IF(LA_!K41="","",+LA_!K41)</f>
        <v/>
      </c>
      <c r="L41" s="1292">
        <f>IF(LA_!L41="","",+LA_!L41)</f>
        <v>2220</v>
      </c>
      <c r="M41" s="874">
        <f>IF(LA_!M41="","",+LA_!M41)</f>
        <v>2390</v>
      </c>
      <c r="N41" s="874">
        <f>IF(LA_!N41="","",+LA_!N41)</f>
        <v>2130</v>
      </c>
      <c r="O41" s="874">
        <f>IF(LA_!O41="","",+LA_!O41)</f>
        <v>2400</v>
      </c>
      <c r="P41" s="1197">
        <f>IF(LA_!P41="","",+LA_!P41)</f>
        <v>1840</v>
      </c>
      <c r="Q41" s="1196">
        <f>IF(LA_!Q41="","",+LA_!Q41)</f>
        <v>2130</v>
      </c>
      <c r="R41" s="874">
        <f>IF(LA_!R41="","",+LA_!R41)</f>
        <v>1950</v>
      </c>
      <c r="S41" s="874">
        <f>IF(LA_!S41="","",+LA_!S41)</f>
        <v>2160</v>
      </c>
      <c r="T41" s="874">
        <f>IF(LA_!T41="","",+LA_!T41)</f>
        <v>2350</v>
      </c>
      <c r="U41" s="1197">
        <f>IF(LA_!U41="","",+LA_!U41)</f>
        <v>1930</v>
      </c>
      <c r="V41" s="1183">
        <f>IF(LA_!V41="","",+LA_!V41)</f>
        <v>4200</v>
      </c>
      <c r="W41" s="872" t="str">
        <f>IF(LA_!W41="","",+LA_!W41)</f>
        <v/>
      </c>
      <c r="X41" s="874">
        <f>IF(LA_!X41="","",+LA_!X41)</f>
        <v>6040</v>
      </c>
      <c r="Y41" s="872" t="str">
        <f>IF(LA_!Y41="","",+LA_!Y41)</f>
        <v/>
      </c>
      <c r="Z41" s="1843">
        <f>IF(LA_!Z41="","",+LA_!Z41)</f>
        <v>117</v>
      </c>
      <c r="AA41" s="875">
        <f>IF(LA_!AA41="","",+LA_!AA41)</f>
        <v>115</v>
      </c>
      <c r="AB41" s="875" t="str">
        <f>IF(LA_!AB41="","",+LA_!AB41)</f>
        <v/>
      </c>
      <c r="AC41" s="875" t="str">
        <f>IF(LA_!AC41="","",+LA_!AC41)</f>
        <v/>
      </c>
      <c r="AD41" s="875">
        <f>IF(LA_!AD41="","",+LA_!AD41)</f>
        <v>8</v>
      </c>
      <c r="AE41" s="874" t="str">
        <f>IF(LA_!AE41="","",+LA_!AE41)</f>
        <v/>
      </c>
      <c r="AF41" s="872" t="str">
        <f>IF(LA_!AF41="","",+LA_!AF41)</f>
        <v/>
      </c>
      <c r="AG41" s="872" t="str">
        <f>IF(LA_!AG41="","",+LA_!AG41)</f>
        <v/>
      </c>
      <c r="AH41" s="872" t="str">
        <f>IF(LA_!AH41="","",+LA_!AH41)</f>
        <v/>
      </c>
      <c r="AI41" s="872" t="str">
        <f>IF(LA_!AI41="","",+LA_!AI41)</f>
        <v/>
      </c>
      <c r="AJ41" s="872" t="str">
        <f>IF(LA_!AJ41="","",+LA_!AJ41)</f>
        <v/>
      </c>
      <c r="AK41" s="872" t="str">
        <f>IF(LA_!AK41="","",+LA_!AK41)</f>
        <v/>
      </c>
      <c r="AL41" s="872" t="str">
        <f>IF(LA_!AL41="","",+LA_!AL41)</f>
        <v/>
      </c>
      <c r="AM41" s="872" t="str">
        <f>IF(LA_!AM41="","",+LA_!AM41)</f>
        <v/>
      </c>
      <c r="AN41" s="875" t="str">
        <f>IF(LA_!AN41="","",+LA_!AN41)</f>
        <v/>
      </c>
      <c r="AO41" s="875" t="str">
        <f>IF(LA_!AO41="","",+LA_!AO41)</f>
        <v/>
      </c>
      <c r="AP41" s="876" t="str">
        <f>IF(LA_!AP41="","",+LA_!AP41)</f>
        <v/>
      </c>
      <c r="AQ41" s="875" t="str">
        <f>IF(LA_!AQ41="","",+LA_!AQ41)</f>
        <v/>
      </c>
      <c r="AR41" s="875" t="str">
        <f>IF(LA_!AR41="","",+LA_!AR41)</f>
        <v/>
      </c>
      <c r="AS41" s="875" t="str">
        <f>IF(LA_!AS41="","",+LA_!AS41)</f>
        <v/>
      </c>
      <c r="AT41" s="875" t="str">
        <f>IF(LA_!AT41="","",+LA_!AT41)</f>
        <v/>
      </c>
      <c r="AU41" s="875" t="str">
        <f>IF(LA_!AU41="","",+LA_!AU41)</f>
        <v/>
      </c>
      <c r="AV41" s="875" t="str">
        <f>IF(LA_!AV41="","",+LA_!AV41)</f>
        <v/>
      </c>
      <c r="AW41" s="875" t="str">
        <f>IF(LA_!AW41="","",+LA_!AW41)</f>
        <v/>
      </c>
      <c r="AX41" s="875" t="str">
        <f>IF(LA_!AX41="","",+LA_!AX41)</f>
        <v/>
      </c>
      <c r="AY41" s="875" t="str">
        <f>IF(LA_!AY41="","",+LA_!AY41)</f>
        <v/>
      </c>
      <c r="AZ41" s="872" t="str">
        <f>IF(LA_!AZ41="","",+LA_!AZ41)</f>
        <v/>
      </c>
      <c r="BA41" s="872" t="str">
        <f>IF(LA_!BA41="","",+LA_!BA41)</f>
        <v/>
      </c>
      <c r="BB41" s="872" t="str">
        <f>IF(LA_!BB41="","",+LA_!BB41)</f>
        <v/>
      </c>
      <c r="BC41" s="872" t="str">
        <f>IF(LA_!BC41="","",+LA_!BC41)</f>
        <v/>
      </c>
      <c r="BD41" s="872" t="str">
        <f>IF(LA_!BD41="","",+LA_!BD41)</f>
        <v/>
      </c>
      <c r="BE41" s="876" t="str">
        <f>IF(LA_!BE41="","",+LA_!BE41)</f>
        <v/>
      </c>
      <c r="BF41" s="875" t="str">
        <f>IF(LA_!BF41="","",+LA_!BF41)</f>
        <v/>
      </c>
      <c r="BG41" s="877">
        <f>+IF(LA_!BG41="","",IF(ISTEXT(LA_!BG41),0,ROUND(LA_!BG41,2)))</f>
        <v>0.01</v>
      </c>
      <c r="BH41" s="878">
        <f>+IF(LA_!BH41="","",IF(ISTEXT(LA_!BH41),0,ROUND(LA_!BH41,2)))</f>
        <v>0.16</v>
      </c>
      <c r="BI41" s="1844">
        <f>IF(LA_!BI41="","",+LA_!BI41)</f>
        <v>20.8</v>
      </c>
      <c r="BJ41" s="1844">
        <f>IF(LA_!BJ41="","",+LA_!BJ41)</f>
        <v>36</v>
      </c>
      <c r="BK41" s="878" t="str">
        <f>IF(LA_!BK41="","",+LA_!BK41)</f>
        <v/>
      </c>
      <c r="BL41" s="878" t="str">
        <f>IF(LA_!BL41="","",+LA_!BL41)</f>
        <v/>
      </c>
      <c r="BM41" s="875" t="str">
        <f>IF(LA_!BM41="","",+LA_!BM41)</f>
        <v/>
      </c>
      <c r="BN41" s="878">
        <f>+IF(LA_!BN41="","",IF(ISTEXT(LA_!BN41),0,ROUND(LA_!BN41,2)))</f>
        <v>0.03</v>
      </c>
      <c r="BO41" s="878">
        <f>+IF(LA_!BO41="","",IF(ISTEXT(LA_!BO41),0,ROUND(LA_!BO41,2)))</f>
        <v>0.14000000000000001</v>
      </c>
      <c r="BP41" s="872">
        <f>IF(LA_!BP41="","",ROUND(+LA_!BP41,1))</f>
        <v>20.5</v>
      </c>
      <c r="BQ41" s="872">
        <f>IF(LA_!BQ41="","",ROUND(+LA_!BQ41,1))</f>
        <v>33.5</v>
      </c>
      <c r="BR41" s="875" t="str">
        <f>IF(LA_!BR41="","",+LA_!BR41)</f>
        <v/>
      </c>
      <c r="BS41" s="875" t="str">
        <f>IF(LA_!BS41="","",+LA_!BS41)</f>
        <v/>
      </c>
      <c r="BT41" s="875" t="str">
        <f>IF(LA_!BT41="","",+LA_!BT41)</f>
        <v/>
      </c>
      <c r="BU41" s="878" t="str">
        <f>+IF(LA_!BU41="","",IF(ISTEXT(LA_!BU41),0,ROUND(LA_!BU41,2)))</f>
        <v/>
      </c>
      <c r="BV41" s="878" t="str">
        <f>+IF(LA_!BV41="","",IF(ISTEXT(LA_!BV41),0,ROUND(LA_!BV41,2)))</f>
        <v/>
      </c>
      <c r="BW41" s="872" t="str">
        <f>IF(LA_!BW41="","",ROUND(+LA_!BW41,1))</f>
        <v/>
      </c>
      <c r="BX41" s="872" t="str">
        <f>IF(LA_!BX41="","",ROUND(+LA_!BX41,1))</f>
        <v/>
      </c>
      <c r="BY41" s="875" t="str">
        <f>IF(LA_!BY41="","",+LA_!BY41)</f>
        <v/>
      </c>
      <c r="BZ41" s="875" t="str">
        <f>IF(LA_!BZ41="","",+LA_!BZ41)</f>
        <v/>
      </c>
      <c r="CA41" s="875" t="str">
        <f>IF(LA_!CA41="","",+LA_!CA41)</f>
        <v/>
      </c>
      <c r="CB41" s="878">
        <f>+IF(LA_!CB41="","",IF(ISTEXT(LA_!CB41),0,ROUND(LA_!CB41,2)))</f>
        <v>0.56999999999999995</v>
      </c>
      <c r="CC41" s="878">
        <f>+IF(LA_!CC41="","",IF(ISTEXT(LA_!CC41),0,ROUND(LA_!CC41,2)))</f>
        <v>2.0099999999999998</v>
      </c>
      <c r="CD41" s="872">
        <f>IF(LA_!CD41="","",ROUND(+LA_!CD41,1))</f>
        <v>14.2</v>
      </c>
      <c r="CE41" s="872">
        <f>IF(LA_!CE41="","",ROUND(+LA_!CE41,1))</f>
        <v>16.100000000000001</v>
      </c>
      <c r="CF41" s="875" t="str">
        <f>IF(LA_!CF41="","",+LA_!CF41)</f>
        <v/>
      </c>
      <c r="CG41" s="875" t="str">
        <f>IF(LA_!CG41="","",+LA_!CG41)</f>
        <v/>
      </c>
      <c r="CH41" s="875" t="str">
        <f>IF(LA_!CH41="","",+LA_!CH41)</f>
        <v/>
      </c>
      <c r="CI41" s="876" t="str">
        <f>IF(LA_!CI41="","",+LA_!CI41)</f>
        <v/>
      </c>
      <c r="CJ41" s="875" t="str">
        <f>IF(LA_!CJ41="","",+LA_!CJ41)</f>
        <v/>
      </c>
      <c r="CK41" s="875" t="str">
        <f>IF(LA_!CK41="","",+LA_!CK41)</f>
        <v/>
      </c>
      <c r="CL41" s="875" t="str">
        <f>IF(LA_!CL41="","",+LA_!CL41)</f>
        <v/>
      </c>
      <c r="CM41" s="875" t="str">
        <f>IF(LA_!CM41="","",+LA_!CM41)</f>
        <v/>
      </c>
      <c r="CN41" s="875" t="str">
        <f>IF(LA_!CN41="","",+LA_!CN41)</f>
        <v/>
      </c>
      <c r="CO41" s="875" t="str">
        <f>IF(LA_!CO41="","",+LA_!CO41)</f>
        <v/>
      </c>
      <c r="CP41" s="875" t="str">
        <f>IF(LA_!CP41="","",+LA_!CP41)</f>
        <v/>
      </c>
      <c r="CQ41" s="1922" t="str">
        <f>IF(LA_!CQ41="","",+LA_!CQ41)</f>
        <v/>
      </c>
      <c r="CR41" s="875" t="str">
        <f>IF(LA_!CR41="","",+LA_!CR41)</f>
        <v/>
      </c>
      <c r="CS41" s="875" t="str">
        <f>IF(LA_!CS41="","",+LA_!CS41)</f>
        <v/>
      </c>
      <c r="CT41" s="875" t="str">
        <f>IF(LA_!CT41="","",+LA_!CT41)</f>
        <v/>
      </c>
      <c r="CU41" s="874" t="str">
        <f>IF(LA_!CU41="","",+LA_!CU41)</f>
        <v/>
      </c>
      <c r="CV41" s="872" t="str">
        <f>IF(LA_!CV41="","",+LA_!CV41)</f>
        <v/>
      </c>
      <c r="CW41" s="874" t="str">
        <f>IF(LA_!CW41="","",+LA_!CW41)</f>
        <v/>
      </c>
      <c r="CX41" s="1197" t="str">
        <f>IF(LA_!CX41="","",+LA_!CX41)</f>
        <v/>
      </c>
      <c r="CY41" s="2370" t="str">
        <f>IF(LA_!CY41="","",+LA_!CY41)</f>
        <v/>
      </c>
      <c r="CZ41" s="875" t="str">
        <f>IF(LA_!CZ41="","",+LA_!CZ41)</f>
        <v/>
      </c>
      <c r="DA41" s="875" t="str">
        <f>IF(LA_!DA41="","",+LA_!DA41)</f>
        <v/>
      </c>
      <c r="DB41" s="875" t="str">
        <f>IF(LA_!DB41="","",+LA_!DB41)</f>
        <v/>
      </c>
      <c r="DC41" s="875" t="str">
        <f>IF(LA_!DC41="","",+LA_!DC41)</f>
        <v/>
      </c>
      <c r="DD41" s="875" t="str">
        <f>IF(LA_!DD41="","",+LA_!DD41)</f>
        <v/>
      </c>
      <c r="DE41" s="875" t="str">
        <f>IF(LA_!DE41="","",+LA_!DE41)</f>
        <v/>
      </c>
      <c r="DF41" s="875" t="str">
        <f>IF(LA_!DF41="","",+LA_!DF41)</f>
        <v/>
      </c>
      <c r="DG41" s="875" t="str">
        <f>IF(LA_!DG41="","",+LA_!DG41)</f>
        <v/>
      </c>
      <c r="DH41" s="875" t="str">
        <f>IF(LA_!DH41="","",+LA_!DH41)</f>
        <v/>
      </c>
      <c r="DI41" s="879" t="str">
        <f>IF(LA_!DI41="","",+LA_!DI41)</f>
        <v/>
      </c>
      <c r="DJ41" s="872" t="str">
        <f>IF(LA_!DJ41="","",+LA_!DJ41)</f>
        <v/>
      </c>
      <c r="DK41" s="872" t="str">
        <f>IF(LA_!DK41="","",+LA_!DK41)</f>
        <v/>
      </c>
      <c r="DL41" s="872" t="str">
        <f>IF(LA_!DL41="","",+LA_!DL41)</f>
        <v/>
      </c>
      <c r="DM41" s="875" t="str">
        <f>IF(LA_!DM41="","",+LA_!DM41)</f>
        <v/>
      </c>
      <c r="DN41" s="875" t="str">
        <f>IF(LA_!DN41="","",+LA_!DN41)</f>
        <v/>
      </c>
      <c r="DO41" s="875" t="str">
        <f>IF(LA_!DO41="","",+LA_!DO41)</f>
        <v/>
      </c>
      <c r="DP41" s="872" t="str">
        <f>IF(LA_!DP41="","",+LA_!DP41)</f>
        <v/>
      </c>
      <c r="DQ41" s="875" t="str">
        <f>IF(LA_!DQ41="","",+LA_!DQ41)</f>
        <v/>
      </c>
      <c r="DR41" s="875" t="str">
        <f>IF(LA_!DR41="","",+LA_!DR41)</f>
        <v/>
      </c>
      <c r="DS41" s="876"/>
      <c r="DT41" s="880"/>
      <c r="DU41" s="330"/>
      <c r="DV41" s="330"/>
      <c r="DW41" s="881"/>
      <c r="DX41" s="849"/>
    </row>
    <row r="42" spans="2:138" ht="20.100000000000001" customHeight="1" thickTop="1" thickBot="1">
      <c r="B42" s="1618"/>
      <c r="C42" s="1480" t="s">
        <v>369</v>
      </c>
      <c r="D42" s="1481">
        <f>IF(SUM(D11:D41)=0,"",ROUND(AVERAGE(D11:D41),0))</f>
        <v>143</v>
      </c>
      <c r="E42" s="1482">
        <f>IF(SUM(E11:E41)=0,"",ROUND(AVERAGE(E11:E41),1))</f>
        <v>81.3</v>
      </c>
      <c r="F42" s="1483">
        <f>IF(SUM(F11:F41)=0,"",ROUND(AVERAGE(F11:F41),0))</f>
        <v>131</v>
      </c>
      <c r="G42" s="1482">
        <f>IF(SUM(G11:G41)=0,"",ROUND(AVERAGE(G11:G41),1))</f>
        <v>82.2</v>
      </c>
      <c r="H42" s="1199">
        <f>IF(SUM(H11:H41)=0,"",ROUND(AVERAGE(H11:H41),0))</f>
        <v>68</v>
      </c>
      <c r="I42" s="1199">
        <f>IF(SUM(I11:I41)=0,"",ROUND(AVERAGE(I11:I41),0))</f>
        <v>87</v>
      </c>
      <c r="J42" s="1199">
        <f>IF(SUM(J11:J41)=0,"",ROUND(AVERAGE(J11:J41),0))</f>
        <v>15</v>
      </c>
      <c r="K42" s="1199">
        <f>IF(SUM(K11:K41)=0,"",ROUND(AVERAGE(K11:K41),0))</f>
        <v>173</v>
      </c>
      <c r="L42" s="1198">
        <f t="shared" ref="L42:V42" si="6">IF(SUM(L11:L41)=0,"",ROUND(AVERAGE(L11:L41),-2))</f>
        <v>2600</v>
      </c>
      <c r="M42" s="1199">
        <f t="shared" si="6"/>
        <v>2500</v>
      </c>
      <c r="N42" s="1199">
        <f t="shared" si="6"/>
        <v>2300</v>
      </c>
      <c r="O42" s="1199">
        <f t="shared" si="6"/>
        <v>3000</v>
      </c>
      <c r="P42" s="1200">
        <f t="shared" si="6"/>
        <v>2800</v>
      </c>
      <c r="Q42" s="1198">
        <f t="shared" si="6"/>
        <v>3100</v>
      </c>
      <c r="R42" s="1199">
        <f t="shared" si="6"/>
        <v>3200</v>
      </c>
      <c r="S42" s="1199">
        <f t="shared" si="6"/>
        <v>2900</v>
      </c>
      <c r="T42" s="1199">
        <f t="shared" si="6"/>
        <v>3900</v>
      </c>
      <c r="U42" s="1200">
        <f t="shared" si="6"/>
        <v>4300</v>
      </c>
      <c r="V42" s="1484">
        <f t="shared" si="6"/>
        <v>4200</v>
      </c>
      <c r="W42" s="1482">
        <f>IF(SUM(W11:W41)=0,"",ROUND(AVERAGE(W11:W41),1))</f>
        <v>81.2</v>
      </c>
      <c r="X42" s="1199">
        <f>IF(SUM(X11:X41)=0,"",ROUND(AVERAGE(X11:X41),-2))</f>
        <v>6900</v>
      </c>
      <c r="Y42" s="1482">
        <f>IF(SUM(Y11:Y41)=0,"",ROUND(AVERAGE(Y11:Y41),1))</f>
        <v>82</v>
      </c>
      <c r="Z42" s="1481">
        <f t="shared" ref="Z42:AE42" si="7">IF(SUM(Z11:Z41)=0,"",ROUND(AVERAGE(Z11:Z41),0))</f>
        <v>142</v>
      </c>
      <c r="AA42" s="1199">
        <f t="shared" si="7"/>
        <v>136</v>
      </c>
      <c r="AB42" s="1199">
        <f t="shared" si="7"/>
        <v>75</v>
      </c>
      <c r="AC42" s="1199">
        <f t="shared" si="7"/>
        <v>98</v>
      </c>
      <c r="AD42" s="1199">
        <f t="shared" si="7"/>
        <v>7</v>
      </c>
      <c r="AE42" s="1199">
        <f t="shared" si="7"/>
        <v>1899</v>
      </c>
      <c r="AF42" s="1485">
        <f t="shared" ref="AF42:AO42" si="8">IF(SUM(AF11:AF41)=0,"",ROUND(AVERAGE(AF11:AF41),1))</f>
        <v>3.3</v>
      </c>
      <c r="AG42" s="1485">
        <f t="shared" si="8"/>
        <v>83.1</v>
      </c>
      <c r="AH42" s="1485">
        <f t="shared" si="8"/>
        <v>1.7</v>
      </c>
      <c r="AI42" s="1485">
        <f t="shared" si="8"/>
        <v>71.400000000000006</v>
      </c>
      <c r="AJ42" s="1485" t="str">
        <f t="shared" si="8"/>
        <v/>
      </c>
      <c r="AK42" s="1485" t="str">
        <f t="shared" si="8"/>
        <v/>
      </c>
      <c r="AL42" s="1485" t="str">
        <f t="shared" si="8"/>
        <v/>
      </c>
      <c r="AM42" s="1485" t="str">
        <f t="shared" si="8"/>
        <v/>
      </c>
      <c r="AN42" s="1485" t="str">
        <f t="shared" si="8"/>
        <v/>
      </c>
      <c r="AO42" s="1485" t="str">
        <f t="shared" si="8"/>
        <v/>
      </c>
      <c r="AP42" s="1481">
        <f>IF(SUM(AP11:AP41)=0,"",ROUND(AVERAGE(AP11:AP41),-1))</f>
        <v>210</v>
      </c>
      <c r="AQ42" s="1199" t="str">
        <f>IF(SUM(AQ11:AQ41)=0,"",ROUND(AVERAGE(AQ11:AQ41),-1))</f>
        <v/>
      </c>
      <c r="AR42" s="1199">
        <f>IF(SUM(AR11:AR41)=0,"",ROUND(AVERAGE(AR11:AR41),-1))</f>
        <v>170</v>
      </c>
      <c r="AS42" s="1199">
        <f>IF(SUM(AS11:AS41)=0,"",ROUND(AVERAGE(AS11:AS41),-1))</f>
        <v>160</v>
      </c>
      <c r="AT42" s="1199">
        <f>IF(SUM(AT11:AT41)=0,"",ROUND(AVERAGE(AT11:AT41),-1))</f>
        <v>130</v>
      </c>
      <c r="AU42" s="1199">
        <f>IF(SUM(AU11:AU41)=0,"",ROUND(AVERAGE(AU11:AU41),-2))</f>
        <v>2700</v>
      </c>
      <c r="AV42" s="1199" t="str">
        <f>IF(SUM(AV11:AV41)=0,"",ROUND(AVERAGE(AV11:AV41),-2))</f>
        <v/>
      </c>
      <c r="AW42" s="1199">
        <f>IF(SUM(AW11:AW41)=0,"",ROUND(AVERAGE(AW11:AW41),-2))</f>
        <v>2800</v>
      </c>
      <c r="AX42" s="1199">
        <f>IF(SUM(AX11:AX41)=0,"",ROUND(AVERAGE(AX11:AX41),-2))</f>
        <v>2900</v>
      </c>
      <c r="AY42" s="1199">
        <f>IF(SUM(AY11:AY41)=0,"",ROUND(AVERAGE(AY11:AY41),-2))</f>
        <v>2900</v>
      </c>
      <c r="AZ42" s="1482">
        <f>IF(SUM(AZ11:AZ41)=0,"",ROUND(AVERAGE(AZ11:AZ41),1))</f>
        <v>7</v>
      </c>
      <c r="BA42" s="1482" t="str">
        <f>IF(SUM(BA11:BA41)=0,"",ROUND(AVERAGE(BA11:BA41),1))</f>
        <v/>
      </c>
      <c r="BB42" s="1482">
        <f>IF(SUM(BB11:BB41)=0,"",ROUND(AVERAGE(BB11:BB41),1))</f>
        <v>7</v>
      </c>
      <c r="BC42" s="1482">
        <f>IF(SUM(BC11:BC41)=0,"",ROUND(AVERAGE(BC11:BC41),1))</f>
        <v>7</v>
      </c>
      <c r="BD42" s="1482">
        <f>IF(SUM(BD11:BD41)=0,"",ROUND(AVERAGE(BD11:BD41),1))</f>
        <v>7</v>
      </c>
      <c r="BE42" s="1481">
        <f>IF(SUM(BE11:BE41)=0,"",ROUND(AVERAGE(BE11:BE41),-1))</f>
        <v>510</v>
      </c>
      <c r="BF42" s="1199">
        <f>IF(SUM(BF11:BF41)=0,"",ROUND(AVERAGE(BF11:BF41),-1))</f>
        <v>550</v>
      </c>
      <c r="BG42" s="1486">
        <f>IF(SUM(BG11:BG41)=0,"",ROUND(AVERAGE(BG11:BG41),2))</f>
        <v>0.05</v>
      </c>
      <c r="BH42" s="1487">
        <f>IF(SUM(BH11:BH41)=0,"",ROUND(AVERAGE(BH11:BH41),2))</f>
        <v>0.14000000000000001</v>
      </c>
      <c r="BI42" s="1482">
        <f>IF(SUM(BI11:BI41)=0,"",ROUND(AVERAGE(BI11:BI41),1))</f>
        <v>20.7</v>
      </c>
      <c r="BJ42" s="1482">
        <f>IF(SUM(BJ11:BJ41)=0,"",ROUND(AVERAGE(BJ11:BJ41),1))</f>
        <v>36.700000000000003</v>
      </c>
      <c r="BK42" s="1482">
        <f>IF(SUM(BK11:BK41)=0,"",ROUND(AVERAGE(BK11:BK41),1))</f>
        <v>2.8</v>
      </c>
      <c r="BL42" s="1482">
        <f>IF(SUM(BL11:BL41)=0,"",ROUND(AVERAGE(BL11:BL41),1))</f>
        <v>4.8</v>
      </c>
      <c r="BM42" s="1199">
        <f>IF(SUM(BM11:BM41)=0,"",ROUND(AVERAGE(BM11:BM41),0))</f>
        <v>385</v>
      </c>
      <c r="BN42" s="1487">
        <f>IF(SUM(BN11:BN41)=0,"",ROUND(AVERAGE(BN11:BN41),2))</f>
        <v>0.04</v>
      </c>
      <c r="BO42" s="1487">
        <f>IF(SUM(BO11:BO41)=0,"",ROUND(AVERAGE(BO11:BO41),2))</f>
        <v>0.12</v>
      </c>
      <c r="BP42" s="1482">
        <f>IF(SUM(BP11:BP41)=0,"",ROUND(AVERAGE(BP11:BP41),1))</f>
        <v>21</v>
      </c>
      <c r="BQ42" s="1482">
        <f>IF(SUM(BQ11:BQ41)=0,"",ROUND(AVERAGE(BQ11:BQ41),1))</f>
        <v>34.799999999999997</v>
      </c>
      <c r="BR42" s="1482">
        <f>IF(SUM(BR11:BR41)=0,"",ROUND(AVERAGE(BR11:BR41),1))</f>
        <v>2.7</v>
      </c>
      <c r="BS42" s="1482">
        <f>IF(SUM(BS11:BS41)=0,"",ROUND(AVERAGE(BS11:BS41),1))</f>
        <v>4.7</v>
      </c>
      <c r="BT42" s="1199">
        <f>IF(SUM(BT11:BT41)=0,"",ROUND(AVERAGE(BT11:BT41),0))</f>
        <v>402</v>
      </c>
      <c r="BU42" s="1487">
        <f>IF(SUM(BU11:BU41)=0,"",ROUND(AVERAGE(BU11:BU41),2))</f>
        <v>0.04</v>
      </c>
      <c r="BV42" s="1487">
        <f>IF(SUM(BV11:BV41)=0,"",ROUND(AVERAGE(BV11:BV41),2))</f>
        <v>0.21</v>
      </c>
      <c r="BW42" s="1482">
        <f>IF(SUM(BW11:BW41)=0,"",ROUND(AVERAGE(BW11:BW41),1))</f>
        <v>24</v>
      </c>
      <c r="BX42" s="1482">
        <f>IF(SUM(BX11:BX41)=0,"",ROUND(AVERAGE(BX11:BX41),1))</f>
        <v>33.1</v>
      </c>
      <c r="BY42" s="1482">
        <f>IF(SUM(BY11:BY41)=0,"",ROUND(AVERAGE(BY11:BY41),1))</f>
        <v>3</v>
      </c>
      <c r="BZ42" s="1482">
        <f>IF(SUM(BZ11:BZ41)=0,"",ROUND(AVERAGE(BZ11:BZ41),1))</f>
        <v>5</v>
      </c>
      <c r="CA42" s="1199">
        <f>IF(SUM(CA11:CA41)=0,"",ROUND(AVERAGE(CA11:CA41),0))</f>
        <v>276</v>
      </c>
      <c r="CB42" s="1487">
        <f>IF(SUM(CB11:CB41)=0,"",ROUND(AVERAGE(CB11:CB41),2))</f>
        <v>0.65</v>
      </c>
      <c r="CC42" s="1487">
        <f>IF(SUM(CC11:CC41)=0,"",ROUND(AVERAGE(CC11:CC41),2))</f>
        <v>3.27</v>
      </c>
      <c r="CD42" s="1482">
        <f>IF(SUM(CD11:CD41)=0,"",ROUND(AVERAGE(CD11:CD41),1))</f>
        <v>11</v>
      </c>
      <c r="CE42" s="1482">
        <f>IF(SUM(CE11:CE41)=0,"",ROUND(AVERAGE(CE11:CE41),1))</f>
        <v>13.6</v>
      </c>
      <c r="CF42" s="1482">
        <f>IF(SUM(CF11:CF41)=0,"",ROUND(AVERAGE(CF11:CF41),1))</f>
        <v>2.1</v>
      </c>
      <c r="CG42" s="1482">
        <f>IF(SUM(CG11:CG41)=0,"",ROUND(AVERAGE(CG11:CG41),1))</f>
        <v>2.6</v>
      </c>
      <c r="CH42" s="1199">
        <f>IF(SUM(CH11:CH41)=0,"",ROUND(AVERAGE(CH11:CH41),0))</f>
        <v>44</v>
      </c>
      <c r="CI42" s="1488" t="str">
        <f t="shared" ref="CI42:CP42" si="9">IF(SUM(CI11:CI41)=0,"",ROUND(AVERAGE(CI11:CI41),1))</f>
        <v/>
      </c>
      <c r="CJ42" s="1482" t="str">
        <f t="shared" si="9"/>
        <v/>
      </c>
      <c r="CK42" s="1482" t="str">
        <f t="shared" si="9"/>
        <v/>
      </c>
      <c r="CL42" s="1482" t="str">
        <f t="shared" si="9"/>
        <v/>
      </c>
      <c r="CM42" s="1482" t="str">
        <f t="shared" si="9"/>
        <v/>
      </c>
      <c r="CN42" s="1482" t="str">
        <f t="shared" si="9"/>
        <v/>
      </c>
      <c r="CO42" s="1482" t="str">
        <f t="shared" si="9"/>
        <v/>
      </c>
      <c r="CP42" s="1482" t="str">
        <f t="shared" si="9"/>
        <v/>
      </c>
      <c r="CQ42" s="2066">
        <f>IF(SUM(CQ11:CQ41)=0,"",ROUND(AVERAGE(CQ11:CQ41),3))</f>
        <v>18.785</v>
      </c>
      <c r="CR42" s="1199">
        <f>IF(SUM(CR11:CR41)=0,"",ROUND(AVERAGE(CR11:CR41),0))</f>
        <v>34</v>
      </c>
      <c r="CS42" s="1199">
        <f>IF(SUM(CS11:CS41)=0,"",ROUND(AVERAGE(CS11:CS41),0))</f>
        <v>27</v>
      </c>
      <c r="CT42" s="1482">
        <f>IF(SUM(CT11:CT41)=0,"",ROUND(AVERAGE(CT11:CT41),1))</f>
        <v>21</v>
      </c>
      <c r="CU42" s="1199">
        <f>IF(SUM(CU11:CU41)=0,"",ROUND(AVERAGE(CU11:CU41),2))</f>
        <v>2826.67</v>
      </c>
      <c r="CV42" s="1482">
        <f>IF(SUM(CV11:CV41)=0,"",ROUND(AVERAGE(CV11:CV41),2))</f>
        <v>5.52</v>
      </c>
      <c r="CW42" s="1199" t="str">
        <f>IF(SUM(CW11:CW41)=0,"",ROUND(AVERAGE(CW11:CW41),1))</f>
        <v/>
      </c>
      <c r="CX42" s="1200" t="str">
        <f>IF(SUM(CX11:CX41)=0,"",ROUND(AVERAGE(CX11:CX41),1))</f>
        <v/>
      </c>
      <c r="CY42" s="1923">
        <f>IF(SUM(CY11:CY41)=0,"",ROUND(AVERAGE(CY11:CY41),1))</f>
        <v>7.6</v>
      </c>
      <c r="CZ42" s="1199" t="str">
        <f>IF(SUM(CZ11:CZ41)=0,"",ROUND(AVERAGE(CZ11:CZ41),0))</f>
        <v/>
      </c>
      <c r="DA42" s="1199" t="str">
        <f>IF(SUM(DA11:DA41)=0,"",ROUND(AVERAGE(DA11:DA41),0))</f>
        <v/>
      </c>
      <c r="DB42" s="1199" t="str">
        <f>IF(SUM(DB11:DB41)=0,"",ROUND(AVERAGE(DB11:DB41),0))</f>
        <v/>
      </c>
      <c r="DC42" s="1482" t="str">
        <f>IF(SUM(DC11:DC41)=0,"",ROUND(AVERAGE(DC11:DC41),1))</f>
        <v/>
      </c>
      <c r="DD42" s="1482" t="str">
        <f>IF(SUM(DD11:DD41)=0,"",ROUND(AVERAGE(DD11:DD41),1))</f>
        <v/>
      </c>
      <c r="DE42" s="1482" t="str">
        <f>IF(SUM(DE11:DE41)=0,"",ROUND(AVERAGE(DE11:DE41),1))</f>
        <v/>
      </c>
      <c r="DF42" s="1199" t="str">
        <f>IF(SUM(DF11:DF41)=0,"",ROUND(AVERAGE(DF11:DF41),0))</f>
        <v/>
      </c>
      <c r="DG42" s="1199" t="str">
        <f>IF(SUM(DG11:DG41)=0,"",ROUND(AVERAGE(DG11:DG41),0))</f>
        <v/>
      </c>
      <c r="DH42" s="1199" t="str">
        <f>IF(SUM(DH11:DH41)=0,"",ROUND(AVERAGE(DH11:DH41),0))</f>
        <v/>
      </c>
      <c r="DI42" s="1488">
        <f>IF(SUM(DI11:DI41)=0,"",ROUND(AVERAGE(DI11:DI41),1))</f>
        <v>1.7</v>
      </c>
      <c r="DJ42" s="1482">
        <f>IF(SUM(DJ11:DJ41)=0,"",ROUND(AVERAGE(DJ11:DJ41),1))</f>
        <v>73.099999999999994</v>
      </c>
      <c r="DK42" s="1482">
        <f>IF(SUM(DK11:DK41)=0,"",ROUND(AVERAGE(DK11:DK41),1))</f>
        <v>23.2</v>
      </c>
      <c r="DL42" s="1482">
        <f>IF(SUM(DL11:DL41)=0,"",ROUND(AVERAGE(DL11:DL41),1))</f>
        <v>74.5</v>
      </c>
      <c r="DM42" s="1482" t="e">
        <f>ROUND(AVERAGE(DM11:DM41),1)</f>
        <v>#DIV/0!</v>
      </c>
      <c r="DN42" s="1482" t="e">
        <f>ROUND(AVERAGE(DN11:DN41),1)</f>
        <v>#DIV/0!</v>
      </c>
      <c r="DO42" s="1199">
        <f>IF(SUM(DO11:DO41)=0,"",ROUND(AVERAGE(DO11:DO41),1))</f>
        <v>3140</v>
      </c>
      <c r="DP42" s="1482" t="str">
        <f>IF(SUM(DP11:DP41)=0,"",ROUND(AVERAGE(DP11:DP41),-1))</f>
        <v/>
      </c>
      <c r="DQ42" s="1199">
        <f>IF(SUM(DQ11:DQ41)=0,"",ROUND(AVERAGE(DQ11:DQ41),0))</f>
        <v>195</v>
      </c>
      <c r="DR42" s="1199" t="str">
        <f>IF(SUM(DR11:DR41)=0,"",ROUND(AVERAGE(DR11:DR41),0))</f>
        <v/>
      </c>
      <c r="DS42" s="1489" t="s">
        <v>369</v>
      </c>
      <c r="DT42" s="1490"/>
      <c r="DU42" s="1491"/>
      <c r="DV42" s="1491"/>
      <c r="DW42" s="1492" t="str">
        <f>IF(SUM(DW11:DW41)=0,"",ROUND(AVERAGE(DW11:DW41),1))</f>
        <v/>
      </c>
      <c r="DX42" s="849"/>
    </row>
    <row r="43" spans="2:138">
      <c r="D43" s="2426" t="s">
        <v>1354</v>
      </c>
      <c r="E43" s="2426"/>
      <c r="F43" s="2426"/>
      <c r="G43" s="2426"/>
      <c r="H43" s="2426"/>
      <c r="I43" s="2426"/>
      <c r="J43" s="2426"/>
      <c r="K43" s="2426"/>
      <c r="L43" s="2426"/>
      <c r="M43" s="2426"/>
      <c r="N43" s="2426"/>
      <c r="O43" s="2426"/>
      <c r="P43" s="2426"/>
      <c r="V43" s="886"/>
      <c r="X43" s="886"/>
    </row>
    <row r="44" spans="2:138">
      <c r="C44" s="1187"/>
      <c r="E44" s="1187"/>
      <c r="F44" s="1187"/>
      <c r="G44" s="1187"/>
      <c r="H44" s="1495"/>
      <c r="I44" s="1495"/>
      <c r="J44" s="1187"/>
      <c r="K44" s="1187"/>
      <c r="L44" s="1187"/>
      <c r="M44" s="1187"/>
      <c r="N44" s="1187"/>
      <c r="O44" s="1187"/>
      <c r="P44" s="1187"/>
      <c r="Q44" s="1187"/>
      <c r="R44" s="1187"/>
      <c r="S44" s="1187"/>
      <c r="T44" s="1187"/>
      <c r="U44" s="1187"/>
      <c r="V44" s="1187"/>
      <c r="W44" s="1187"/>
      <c r="X44" s="1187"/>
      <c r="Y44" s="1187"/>
      <c r="Z44" s="1187"/>
      <c r="AA44" s="1187"/>
      <c r="AB44" s="1187"/>
      <c r="AC44" s="1187"/>
      <c r="AD44" s="1187"/>
      <c r="AE44" s="1187"/>
      <c r="AF44" s="1187"/>
      <c r="AG44" s="1187"/>
      <c r="AH44" s="1187"/>
      <c r="AI44" s="1187"/>
      <c r="AJ44" s="1187"/>
      <c r="AK44" s="1187"/>
      <c r="AL44" s="1187"/>
      <c r="AM44" s="1187"/>
      <c r="AN44" s="1187"/>
      <c r="AO44" s="1187"/>
      <c r="AP44" s="1187"/>
      <c r="AQ44" s="1187"/>
      <c r="AR44" s="1187"/>
      <c r="AS44" s="1187"/>
      <c r="AT44" s="1187"/>
      <c r="AU44" s="1187"/>
      <c r="AV44" s="1187"/>
      <c r="AW44" s="1187"/>
      <c r="AX44" s="1187"/>
      <c r="AY44" s="1187"/>
      <c r="AZ44" s="1187"/>
      <c r="BA44" s="1187"/>
      <c r="BB44" s="1187"/>
      <c r="BC44" s="1187"/>
      <c r="BD44" s="1187"/>
      <c r="BE44" s="1187"/>
      <c r="BF44" s="1187"/>
      <c r="BG44" s="1187"/>
      <c r="BH44" s="1187"/>
      <c r="BI44" s="1187"/>
      <c r="BJ44" s="1187"/>
      <c r="BK44" s="1187"/>
      <c r="BL44" s="1187"/>
      <c r="BM44" s="1187"/>
      <c r="BN44" s="1187"/>
      <c r="BO44" s="1187"/>
      <c r="BP44" s="1187"/>
      <c r="BQ44" s="1187"/>
      <c r="BR44" s="1187"/>
      <c r="BS44" s="1187"/>
      <c r="BT44" s="1187"/>
      <c r="BU44" s="1187"/>
      <c r="BV44" s="1187"/>
      <c r="BW44" s="1187"/>
      <c r="BX44" s="1187"/>
      <c r="BY44" s="1187"/>
      <c r="BZ44" s="1187"/>
      <c r="CA44" s="1187"/>
      <c r="CB44" s="1187"/>
      <c r="CC44" s="1187"/>
      <c r="CD44" s="1187"/>
      <c r="CE44" s="1187"/>
      <c r="CF44" s="1187"/>
      <c r="CG44" s="1187"/>
      <c r="CH44" s="1187"/>
      <c r="CI44" s="1187"/>
      <c r="CJ44" s="1187"/>
      <c r="CK44" s="1187"/>
      <c r="CL44" s="1187"/>
      <c r="CM44" s="1187"/>
      <c r="CN44" s="1187"/>
      <c r="CO44" s="1187"/>
      <c r="CP44" s="1187"/>
      <c r="CQ44" s="1187"/>
      <c r="CR44" s="1187"/>
      <c r="CS44" s="1187"/>
      <c r="CT44" s="1187"/>
      <c r="CU44" s="1187"/>
      <c r="CV44" s="1187"/>
      <c r="CW44" s="1187"/>
      <c r="CX44" s="1187"/>
      <c r="CY44" s="1187"/>
      <c r="CZ44" s="1187"/>
      <c r="DA44" s="1187"/>
      <c r="DB44" s="1187"/>
      <c r="DC44" s="1187"/>
      <c r="DD44" s="1187"/>
      <c r="DE44" s="1187"/>
      <c r="DF44" s="1187"/>
      <c r="DG44" s="1187"/>
      <c r="DH44" s="1187"/>
      <c r="DI44" s="1187"/>
      <c r="DJ44" s="1187"/>
      <c r="DK44" s="1187"/>
      <c r="DL44" s="1187"/>
      <c r="DM44" s="1187"/>
      <c r="DN44" s="1187"/>
      <c r="DO44" s="1187"/>
      <c r="DP44" s="1187"/>
      <c r="DQ44" s="1187"/>
      <c r="DR44" s="1187"/>
      <c r="DS44" s="1187"/>
      <c r="DT44" s="1187"/>
      <c r="DU44" s="1187"/>
      <c r="DV44" s="1187"/>
      <c r="DW44" s="1187"/>
      <c r="DX44" s="1187"/>
      <c r="DY44" s="1187"/>
      <c r="DZ44" s="1187"/>
      <c r="EA44" s="1187"/>
      <c r="EB44" s="1187"/>
      <c r="EC44" s="1187"/>
      <c r="ED44" s="1187"/>
      <c r="EE44" s="1187"/>
      <c r="EF44" s="1187"/>
      <c r="EG44" s="1187"/>
      <c r="EH44" s="1187"/>
    </row>
    <row r="45" spans="2:138" ht="17.100000000000001" customHeight="1" thickBot="1">
      <c r="C45" s="1758"/>
      <c r="D45" s="1187"/>
      <c r="E45" s="1187" t="s">
        <v>581</v>
      </c>
      <c r="F45" s="1187"/>
      <c r="G45" s="1187"/>
      <c r="H45" s="1187" t="s">
        <v>582</v>
      </c>
      <c r="I45" s="1187"/>
      <c r="J45" s="1187"/>
      <c r="K45" s="1204"/>
      <c r="L45" s="1204"/>
      <c r="M45" s="1204"/>
      <c r="N45" s="1187"/>
      <c r="O45" s="1187"/>
      <c r="P45" s="1187"/>
      <c r="Q45" s="1187"/>
      <c r="R45" s="1187" t="s">
        <v>591</v>
      </c>
      <c r="S45" s="1187"/>
      <c r="T45" s="1187"/>
      <c r="U45" s="1187"/>
      <c r="V45" s="1187"/>
      <c r="W45" s="1187"/>
      <c r="X45" s="1187"/>
      <c r="Y45" s="1187"/>
      <c r="Z45" s="1187"/>
      <c r="AA45" s="1187"/>
      <c r="AB45" s="1493"/>
      <c r="AC45" s="1187"/>
      <c r="AD45" s="1187"/>
      <c r="AE45" s="1494"/>
      <c r="AF45" s="1494"/>
      <c r="AG45" s="1494"/>
      <c r="AH45" s="1494"/>
      <c r="AI45" s="1187"/>
      <c r="AJ45" s="1187"/>
      <c r="AK45" s="1187"/>
      <c r="AL45" s="1187"/>
      <c r="AM45" s="1187"/>
      <c r="AN45" s="1494"/>
      <c r="AO45" s="1495"/>
      <c r="AP45" s="1495"/>
      <c r="AQ45" s="1495"/>
      <c r="AR45" s="1495"/>
      <c r="AS45" s="1495"/>
      <c r="AT45" s="1495"/>
      <c r="AU45" s="1495"/>
      <c r="AV45" s="1495"/>
      <c r="AW45" s="1495"/>
      <c r="AX45" s="1495"/>
      <c r="AY45" s="1494"/>
      <c r="AZ45" s="1494"/>
      <c r="BA45" s="1494"/>
      <c r="BB45" s="1494"/>
      <c r="BC45" s="1494"/>
      <c r="BD45" s="1494"/>
      <c r="BE45" s="1187"/>
      <c r="BF45" s="1495"/>
      <c r="BG45" s="1495"/>
      <c r="BH45" s="1495"/>
      <c r="BI45" s="1495"/>
      <c r="BJ45" s="1496"/>
      <c r="BK45" s="1496"/>
      <c r="BL45" s="1495"/>
      <c r="BM45" s="1187"/>
      <c r="BN45" s="1187"/>
      <c r="BO45" s="1187"/>
      <c r="BP45" s="1187"/>
      <c r="BQ45" s="1187"/>
      <c r="BR45" s="1187"/>
      <c r="BS45" s="1187"/>
      <c r="BT45" s="1187"/>
      <c r="BU45" s="1497"/>
      <c r="BV45" s="1497"/>
      <c r="BW45" s="1187"/>
      <c r="BX45" s="1187"/>
      <c r="BY45" s="1496"/>
      <c r="BZ45" s="1496"/>
      <c r="CA45" s="1495"/>
      <c r="CB45" s="1495"/>
      <c r="CC45" s="1494"/>
      <c r="CD45" s="1494"/>
      <c r="CE45" s="1494"/>
      <c r="CF45" s="1496"/>
      <c r="CG45" s="1496"/>
      <c r="CH45" s="1496"/>
      <c r="CI45" s="1494"/>
      <c r="CJ45" s="1494"/>
      <c r="CK45" s="1494"/>
      <c r="CL45" s="1494"/>
      <c r="CM45" s="1494"/>
      <c r="CN45" s="1494"/>
      <c r="CO45" s="1494"/>
      <c r="CP45" s="1494"/>
      <c r="CQ45" s="1494"/>
      <c r="CR45" s="1494"/>
      <c r="CS45" s="1494"/>
      <c r="CT45" s="1496"/>
      <c r="CU45" s="1496"/>
      <c r="CV45" s="1496"/>
      <c r="CW45" s="1496"/>
      <c r="CX45" s="1496"/>
      <c r="CY45" s="1494"/>
      <c r="CZ45" s="1494"/>
      <c r="DA45" s="1494"/>
      <c r="DB45" s="1495"/>
      <c r="DC45" s="1494"/>
      <c r="DD45" s="1494"/>
      <c r="DE45" s="1494"/>
      <c r="DF45" s="1494"/>
      <c r="DG45" s="1494"/>
      <c r="DH45" s="1496"/>
      <c r="DI45" s="1494"/>
      <c r="DJ45" s="1494"/>
      <c r="DK45" s="1494"/>
      <c r="DL45" s="1494"/>
      <c r="DM45" s="1496"/>
      <c r="DN45" s="1187"/>
      <c r="DO45" s="1187"/>
      <c r="DP45" s="1495"/>
      <c r="DQ45" s="1495"/>
      <c r="DR45" s="1495"/>
      <c r="DS45" s="1495"/>
      <c r="DT45" s="1204"/>
      <c r="DU45" s="1204"/>
      <c r="DV45" s="1204"/>
      <c r="DW45" s="1204"/>
    </row>
    <row r="46" spans="2:138" ht="17.100000000000001" customHeight="1" thickBot="1">
      <c r="C46" s="1759"/>
      <c r="E46" s="1700"/>
      <c r="F46" s="1701" t="s">
        <v>937</v>
      </c>
      <c r="G46" s="1703" t="s">
        <v>33</v>
      </c>
      <c r="H46" s="1704" t="s">
        <v>937</v>
      </c>
      <c r="I46" s="1701" t="s">
        <v>34</v>
      </c>
      <c r="J46" s="1702" t="s">
        <v>416</v>
      </c>
      <c r="K46" s="1204"/>
      <c r="L46" s="308"/>
      <c r="M46" s="308"/>
      <c r="O46" s="818"/>
      <c r="P46" s="818" t="s">
        <v>590</v>
      </c>
      <c r="Q46" s="819"/>
      <c r="R46" s="818" t="s">
        <v>592</v>
      </c>
      <c r="S46" s="819"/>
      <c r="T46" s="884" t="s">
        <v>593</v>
      </c>
      <c r="U46" s="819"/>
      <c r="V46" s="818" t="s">
        <v>594</v>
      </c>
      <c r="W46" s="819"/>
      <c r="X46" s="842"/>
      <c r="Z46" s="1187"/>
      <c r="AE46" s="885"/>
      <c r="AF46" s="885"/>
      <c r="AG46" s="885"/>
      <c r="AH46" s="885"/>
      <c r="AN46" s="885"/>
      <c r="AO46" s="886"/>
      <c r="AP46" s="886"/>
      <c r="AQ46" s="886"/>
      <c r="AR46" s="886"/>
      <c r="AS46" s="886"/>
      <c r="AT46" s="886"/>
      <c r="AU46" s="886"/>
      <c r="AV46" s="886"/>
      <c r="AW46" s="886"/>
      <c r="AX46" s="886"/>
      <c r="AY46" s="885"/>
      <c r="AZ46" s="885"/>
      <c r="BA46" s="885"/>
      <c r="BB46" s="885"/>
      <c r="BC46" s="885"/>
      <c r="BD46" s="885"/>
      <c r="BF46" s="886"/>
      <c r="BG46" s="886"/>
      <c r="BH46" s="886"/>
      <c r="BI46" s="887"/>
      <c r="BJ46" s="888"/>
      <c r="BK46" s="888"/>
      <c r="BL46" s="886"/>
      <c r="BU46" s="889"/>
      <c r="BV46" s="889"/>
      <c r="BY46" s="888"/>
      <c r="BZ46" s="888"/>
      <c r="CA46" s="886"/>
      <c r="CB46" s="885"/>
      <c r="CC46" s="885"/>
      <c r="CD46" s="885"/>
      <c r="CE46" s="885"/>
      <c r="CF46" s="888"/>
      <c r="CG46" s="888"/>
      <c r="CH46" s="888"/>
      <c r="CI46" s="885"/>
      <c r="CJ46" s="885"/>
      <c r="CK46" s="885"/>
      <c r="CL46" s="885"/>
      <c r="CM46" s="885"/>
      <c r="CN46" s="885"/>
      <c r="CO46" s="885"/>
      <c r="CP46" s="885"/>
      <c r="CQ46" s="885"/>
      <c r="CR46" s="885"/>
      <c r="CS46" s="885"/>
      <c r="CT46" s="888"/>
      <c r="CU46" s="888"/>
      <c r="CV46" s="888"/>
      <c r="CW46" s="888"/>
      <c r="CX46" s="888"/>
      <c r="CY46" s="885"/>
      <c r="CZ46" s="885"/>
      <c r="DA46" s="885"/>
      <c r="DB46" s="886"/>
      <c r="DC46" s="885"/>
      <c r="DD46" s="885"/>
      <c r="DE46" s="885"/>
      <c r="DF46" s="885"/>
      <c r="DG46" s="885"/>
      <c r="DH46" s="888"/>
      <c r="DI46" s="885"/>
      <c r="DJ46" s="885"/>
      <c r="DK46" s="885"/>
      <c r="DL46" s="885"/>
      <c r="DM46" s="888"/>
      <c r="DP46" s="886"/>
      <c r="DQ46" s="886"/>
      <c r="DR46" s="886"/>
      <c r="DS46" s="886"/>
      <c r="DT46" s="308"/>
      <c r="DU46" s="308"/>
      <c r="DV46" s="308"/>
      <c r="DW46" s="308"/>
    </row>
    <row r="47" spans="2:138" ht="17.100000000000001" customHeight="1">
      <c r="C47" s="812"/>
      <c r="E47" s="1697" t="str">
        <f>+LA_!E47</f>
        <v>INF.HL</v>
      </c>
      <c r="F47" s="1698">
        <f>+LA_!F47</f>
        <v>42375</v>
      </c>
      <c r="G47" s="1705">
        <f>+LA_!G47</f>
        <v>186</v>
      </c>
      <c r="H47" s="1707" t="str">
        <f>IF(LA_!H47="","",+LA_!H47)</f>
        <v>1/4/16</v>
      </c>
      <c r="I47" s="1699">
        <f>IF(LA_!I47="","",+LA_!I47)</f>
        <v>164</v>
      </c>
      <c r="J47" s="1708" t="str">
        <f>IF(LA_!J47="","",+LA_!J47)</f>
        <v/>
      </c>
      <c r="K47" s="1204"/>
      <c r="L47" s="308"/>
      <c r="M47" s="308"/>
      <c r="N47" s="886"/>
      <c r="O47" s="892" t="str">
        <f>IF(LA_!O47="","",+LA_!O47)</f>
        <v>Date</v>
      </c>
      <c r="P47" s="893" t="str">
        <f>IF(LA_!P47="","",+LA_!P47)</f>
        <v>%Sol</v>
      </c>
      <c r="Q47" s="891" t="str">
        <f>IF(LA_!Q47="","",+LA_!Q47)</f>
        <v>%Vol</v>
      </c>
      <c r="R47" s="893" t="str">
        <f>IF(LA_!R47="","",+LA_!R47)</f>
        <v>%Sol</v>
      </c>
      <c r="S47" s="891" t="str">
        <f>IF(LA_!S47="","",+LA_!S47)</f>
        <v>%Vol</v>
      </c>
      <c r="T47" s="893" t="str">
        <f>IF(LA_!T47="","",+LA_!T47)</f>
        <v>%Sol</v>
      </c>
      <c r="U47" s="891" t="str">
        <f>IF(LA_!U47="","",+LA_!U47)</f>
        <v>%Vol</v>
      </c>
      <c r="V47" s="893" t="str">
        <f>IF(LA_!V47="","",+LA_!V47)</f>
        <v>%Sol</v>
      </c>
      <c r="W47" s="891" t="str">
        <f>IF(LA_!W47="","",+LA_!W47)</f>
        <v>%Vol</v>
      </c>
      <c r="X47" s="842"/>
      <c r="Z47" s="1187"/>
      <c r="AE47" s="885"/>
      <c r="AF47" s="885"/>
      <c r="AG47" s="885"/>
      <c r="AH47" s="885"/>
      <c r="AN47" s="885"/>
      <c r="AO47" s="886"/>
      <c r="AP47" s="886"/>
      <c r="AQ47" s="886"/>
      <c r="AR47" s="886"/>
      <c r="AS47" s="886"/>
      <c r="AT47" s="886"/>
      <c r="AU47" s="886"/>
      <c r="AV47" s="886"/>
      <c r="AW47" s="886"/>
      <c r="AX47" s="886"/>
      <c r="AY47" s="885"/>
      <c r="AZ47" s="885"/>
      <c r="BA47" s="885"/>
      <c r="BB47" s="885"/>
      <c r="BC47" s="885"/>
      <c r="BD47" s="885"/>
      <c r="BF47" s="886"/>
      <c r="BG47" s="886"/>
      <c r="BH47" s="886"/>
      <c r="BI47" s="886"/>
      <c r="BJ47" s="888"/>
      <c r="BK47" s="888"/>
      <c r="BL47" s="886"/>
      <c r="BU47" s="889"/>
      <c r="BV47" s="889"/>
      <c r="BY47" s="888"/>
      <c r="BZ47" s="888"/>
      <c r="CA47" s="886"/>
      <c r="CB47" s="885"/>
      <c r="CC47" s="885"/>
      <c r="CD47" s="885"/>
      <c r="CE47" s="885"/>
      <c r="CF47" s="888"/>
      <c r="CG47" s="888"/>
      <c r="CH47" s="888"/>
      <c r="CI47" s="885"/>
      <c r="CJ47" s="885"/>
      <c r="CK47" s="885"/>
      <c r="CL47" s="885"/>
      <c r="CM47" s="885"/>
      <c r="CN47" s="885"/>
      <c r="CO47" s="885"/>
      <c r="CP47" s="885"/>
      <c r="CQ47" s="885"/>
      <c r="CR47" s="885"/>
      <c r="CS47" s="885"/>
      <c r="CT47" s="888"/>
      <c r="CU47" s="888"/>
      <c r="CV47" s="888"/>
      <c r="CW47" s="888"/>
      <c r="CX47" s="888"/>
      <c r="CY47" s="885"/>
      <c r="CZ47" s="885"/>
      <c r="DA47" s="885"/>
      <c r="DB47" s="886"/>
      <c r="DC47" s="885"/>
      <c r="DD47" s="885"/>
      <c r="DE47" s="885"/>
      <c r="DF47" s="885"/>
      <c r="DG47" s="885"/>
      <c r="DH47" s="888"/>
      <c r="DI47" s="885"/>
      <c r="DJ47" s="885"/>
      <c r="DK47" s="885"/>
      <c r="DL47" s="885"/>
      <c r="DM47" s="888"/>
      <c r="DP47" s="886"/>
      <c r="DQ47" s="886"/>
      <c r="DR47" s="886"/>
      <c r="DS47" s="886"/>
      <c r="DT47" s="308"/>
      <c r="DU47" s="308"/>
      <c r="DV47" s="308"/>
      <c r="DW47" s="308"/>
    </row>
    <row r="48" spans="2:138" ht="17.100000000000001" customHeight="1">
      <c r="C48" s="812"/>
      <c r="E48" s="1692" t="str">
        <f>+LA_!E48</f>
        <v>Inf.LL</v>
      </c>
      <c r="F48" s="1696" t="str">
        <f>+LA_!F48</f>
        <v/>
      </c>
      <c r="G48" s="1706">
        <f>+LA_!G48</f>
        <v>193</v>
      </c>
      <c r="H48" s="1709" t="str">
        <f>IF(LA_!H48="","",+LA_!H48)</f>
        <v>1/11/16</v>
      </c>
      <c r="I48" s="59">
        <f>IF(LA_!I48="","",+LA_!I48)</f>
        <v>150</v>
      </c>
      <c r="J48" s="1710" t="str">
        <f>IF(LA_!J48="","",+LA_!J48)</f>
        <v/>
      </c>
      <c r="K48" s="1406"/>
      <c r="L48" s="1406"/>
      <c r="M48" s="1406"/>
      <c r="N48" s="1495"/>
      <c r="O48" s="892" t="str">
        <f>IF(LA_!O48="","",+LA_!O48)</f>
        <v>01/04/16</v>
      </c>
      <c r="P48" s="893">
        <f>IF(LA_!P48="","",+LA_!P48)</f>
        <v>57.6</v>
      </c>
      <c r="Q48" s="891">
        <f>IF(LA_!Q48="","",+LA_!Q48)</f>
        <v>22.5</v>
      </c>
      <c r="R48" s="893">
        <f>IF(LA_!R48="","",+LA_!R48)</f>
        <v>58.7</v>
      </c>
      <c r="S48" s="891">
        <f>IF(LA_!S48="","",+LA_!S48)</f>
        <v>25</v>
      </c>
      <c r="T48" s="893">
        <f>IF(LA_!T48="","",+LA_!T48)</f>
        <v>58.2</v>
      </c>
      <c r="U48" s="891">
        <f>IF(LA_!U48="","",+LA_!U48)</f>
        <v>22.5</v>
      </c>
      <c r="V48" s="893">
        <f>IF(LA_!V48="","",+LA_!V48)</f>
        <v>58.4</v>
      </c>
      <c r="W48" s="891">
        <f>IF(LA_!W48="","",+LA_!W48)</f>
        <v>22.5</v>
      </c>
      <c r="X48" s="842"/>
      <c r="Z48" s="886"/>
      <c r="AG48" s="885"/>
      <c r="AH48" s="885"/>
      <c r="AI48" s="885"/>
      <c r="AJ48" s="885"/>
      <c r="AK48" s="885"/>
      <c r="AM48" s="885"/>
      <c r="AN48" s="886"/>
      <c r="AO48" s="886"/>
      <c r="AP48" s="886"/>
      <c r="AQ48" s="886"/>
      <c r="AR48" s="886"/>
      <c r="AS48" s="886"/>
      <c r="AT48" s="886"/>
      <c r="AU48" s="886"/>
      <c r="AV48" s="885"/>
      <c r="AW48" s="885"/>
      <c r="AX48" s="885"/>
      <c r="AY48" s="885"/>
      <c r="AZ48" s="885"/>
      <c r="BB48" s="886"/>
      <c r="BC48" s="886"/>
      <c r="BD48" s="886"/>
      <c r="BE48" s="886"/>
      <c r="BF48" s="888"/>
      <c r="BG48" s="888"/>
      <c r="BH48" s="886"/>
      <c r="BN48" s="888"/>
      <c r="BO48" s="888"/>
      <c r="BP48" s="886"/>
      <c r="BQ48" s="885"/>
      <c r="BR48" s="885"/>
      <c r="BS48" s="885"/>
      <c r="BT48" s="885"/>
      <c r="BU48" s="888"/>
      <c r="BV48" s="888"/>
      <c r="BW48" s="888"/>
      <c r="BX48" s="885"/>
      <c r="BY48" s="885"/>
      <c r="BZ48" s="885"/>
      <c r="CA48" s="885"/>
      <c r="CB48" s="885"/>
      <c r="CC48" s="885"/>
      <c r="CD48" s="885"/>
      <c r="CE48" s="885"/>
      <c r="CF48" s="885"/>
      <c r="CG48" s="885"/>
      <c r="CH48" s="885"/>
      <c r="CI48" s="888"/>
      <c r="CJ48" s="885"/>
      <c r="CK48" s="885"/>
      <c r="CL48" s="885"/>
      <c r="CM48" s="886"/>
      <c r="CN48" s="885"/>
      <c r="CO48" s="885"/>
      <c r="CP48" s="885"/>
      <c r="CQ48" s="885"/>
      <c r="CR48" s="885"/>
      <c r="CS48" s="888"/>
      <c r="CT48" s="885"/>
      <c r="CU48" s="885"/>
      <c r="CV48" s="885"/>
      <c r="CW48" s="885"/>
      <c r="CX48" s="888"/>
      <c r="DA48" s="886"/>
      <c r="DD48" s="886"/>
      <c r="DE48" s="886"/>
      <c r="DF48" s="814"/>
      <c r="DG48" s="308"/>
      <c r="DH48" s="308"/>
      <c r="DI48" s="308"/>
      <c r="DJ48" s="308"/>
      <c r="DK48" s="308"/>
      <c r="DL48" s="308"/>
      <c r="DM48" s="308"/>
      <c r="DN48" s="308"/>
      <c r="DO48" s="308"/>
      <c r="DP48" s="308"/>
      <c r="DQ48" s="308"/>
      <c r="DR48" s="308"/>
      <c r="DS48" s="308"/>
      <c r="DT48" s="308"/>
      <c r="DU48" s="308"/>
      <c r="DV48" s="308"/>
      <c r="DW48" s="308"/>
    </row>
    <row r="49" spans="3:127" ht="17.100000000000001" customHeight="1">
      <c r="C49" s="812"/>
      <c r="E49" s="1692" t="str">
        <f>+LA_!E49</f>
        <v>EFF.</v>
      </c>
      <c r="F49" s="1696" t="str">
        <f>+LA_!F49</f>
        <v/>
      </c>
      <c r="G49" s="1706">
        <f>+LA_!G49</f>
        <v>7</v>
      </c>
      <c r="H49" s="1709" t="str">
        <f>IF(LA_!H49="","",+LA_!H49)</f>
        <v>1/18/16</v>
      </c>
      <c r="I49" s="59">
        <f>IF(LA_!I49="","",+LA_!I49)</f>
        <v>112</v>
      </c>
      <c r="J49" s="1710" t="str">
        <f>IF(LA_!J49="","",+LA_!J49)</f>
        <v/>
      </c>
      <c r="K49" s="1406"/>
      <c r="L49" s="1406"/>
      <c r="M49" s="1406"/>
      <c r="N49" s="1187"/>
      <c r="O49" s="894" t="str">
        <f>IF(LA_!O49="","",+LA_!O49)</f>
        <v>01/11/16</v>
      </c>
      <c r="P49" s="893">
        <f>IF(LA_!P49="","",+LA_!P49)</f>
        <v>44.5</v>
      </c>
      <c r="Q49" s="891">
        <f>IF(LA_!Q49="","",+LA_!Q49)</f>
        <v>29.9</v>
      </c>
      <c r="R49" s="893">
        <f>IF(LA_!R49="","",+LA_!R49)</f>
        <v>49.8</v>
      </c>
      <c r="S49" s="891">
        <f>IF(LA_!S49="","",+LA_!S49)</f>
        <v>27.6</v>
      </c>
      <c r="T49" s="893">
        <f>IF(LA_!T49="","",+LA_!T49)</f>
        <v>43</v>
      </c>
      <c r="U49" s="891">
        <f>IF(LA_!U49="","",+LA_!U49)</f>
        <v>29.8</v>
      </c>
      <c r="V49" s="893">
        <f>IF(LA_!V49="","",+LA_!V49)</f>
        <v>33.200000000000003</v>
      </c>
      <c r="W49" s="891">
        <f>IF(LA_!W49="","",+LA_!W49)</f>
        <v>56.1</v>
      </c>
      <c r="X49" s="842"/>
      <c r="Z49" s="886"/>
      <c r="AG49" s="885"/>
      <c r="AH49" s="885"/>
      <c r="AI49" s="885"/>
      <c r="AJ49" s="885"/>
      <c r="AK49" s="885"/>
      <c r="AM49" s="885"/>
      <c r="AN49" s="886"/>
      <c r="AO49" s="886"/>
      <c r="AP49" s="886"/>
      <c r="AQ49" s="886"/>
      <c r="AR49" s="886"/>
      <c r="AS49" s="886"/>
      <c r="AT49" s="886"/>
      <c r="AU49" s="886"/>
      <c r="AV49" s="885"/>
      <c r="AW49" s="885"/>
      <c r="AX49" s="885"/>
      <c r="AY49" s="885"/>
      <c r="AZ49" s="885"/>
      <c r="BB49" s="886"/>
      <c r="BC49" s="886"/>
      <c r="BD49" s="886"/>
      <c r="BE49" s="886"/>
      <c r="BF49" s="888"/>
      <c r="BG49" s="888"/>
      <c r="BH49" s="886"/>
      <c r="BN49" s="888"/>
      <c r="BO49" s="888"/>
      <c r="BP49" s="886"/>
      <c r="BQ49" s="885"/>
      <c r="BR49" s="885"/>
      <c r="BS49" s="885"/>
      <c r="BT49" s="885"/>
      <c r="BU49" s="888"/>
      <c r="BV49" s="888"/>
      <c r="BW49" s="888"/>
      <c r="BX49" s="885"/>
      <c r="BY49" s="885"/>
      <c r="BZ49" s="885"/>
      <c r="CA49" s="885"/>
      <c r="CB49" s="885"/>
      <c r="CC49" s="885"/>
      <c r="CD49" s="885"/>
      <c r="CE49" s="885"/>
      <c r="CF49" s="885"/>
      <c r="CG49" s="885"/>
      <c r="CH49" s="885"/>
      <c r="CI49" s="888"/>
      <c r="CJ49" s="885"/>
      <c r="CK49" s="885"/>
      <c r="CL49" s="885"/>
      <c r="CM49" s="886"/>
      <c r="CN49" s="885"/>
      <c r="CO49" s="885"/>
      <c r="CP49" s="885"/>
      <c r="CQ49" s="885"/>
      <c r="CR49" s="885"/>
      <c r="CS49" s="888"/>
      <c r="CT49" s="885"/>
      <c r="CU49" s="885"/>
      <c r="CV49" s="885"/>
      <c r="CW49" s="885"/>
      <c r="CX49" s="888"/>
      <c r="DA49" s="886"/>
      <c r="DF49" s="812"/>
      <c r="DG49" s="308"/>
      <c r="DH49" s="308"/>
      <c r="DI49" s="308"/>
      <c r="DJ49" s="308"/>
      <c r="DK49" s="308"/>
      <c r="DL49" s="308"/>
      <c r="DM49" s="308"/>
      <c r="DN49" s="308"/>
      <c r="DO49" s="308"/>
      <c r="DP49" s="308"/>
      <c r="DQ49" s="308"/>
      <c r="DR49" s="308"/>
      <c r="DS49" s="308"/>
      <c r="DT49" s="308"/>
      <c r="DU49" s="308"/>
      <c r="DV49" s="308"/>
      <c r="DW49" s="308"/>
    </row>
    <row r="50" spans="3:127" ht="17.100000000000001" customHeight="1" thickBot="1">
      <c r="C50" s="812"/>
      <c r="E50" s="1693"/>
      <c r="F50" s="1694"/>
      <c r="G50" s="1695"/>
      <c r="H50" s="1709" t="str">
        <f>IF(LA_!H50="","",+LA_!H50)</f>
        <v>1/25/16</v>
      </c>
      <c r="I50" s="59">
        <f>IF(LA_!I50="","",+LA_!I50)</f>
        <v>140</v>
      </c>
      <c r="J50" s="1710" t="str">
        <f>IF(LA_!J50="","",+LA_!J50)</f>
        <v/>
      </c>
      <c r="K50" s="1406"/>
      <c r="L50" s="1406"/>
      <c r="M50" s="1406"/>
      <c r="N50" s="1187"/>
      <c r="O50" s="894" t="str">
        <f>IF(LA_!O50="","",+LA_!O50)</f>
        <v>01/18/16</v>
      </c>
      <c r="P50" s="893">
        <f>IF(LA_!P50="","",+LA_!P50)</f>
        <v>40.200000000000003</v>
      </c>
      <c r="Q50" s="891">
        <f>IF(LA_!Q50="","",+LA_!Q50)</f>
        <v>34.4</v>
      </c>
      <c r="R50" s="893">
        <f>IF(LA_!R50="","",+LA_!R50)</f>
        <v>49.3</v>
      </c>
      <c r="S50" s="891">
        <f>IF(LA_!S50="","",+LA_!S50)</f>
        <v>35.299999999999997</v>
      </c>
      <c r="T50" s="893">
        <f>IF(LA_!T50="","",+LA_!T50)</f>
        <v>42.6</v>
      </c>
      <c r="U50" s="891">
        <f>IF(LA_!U50="","",+LA_!U50)</f>
        <v>32.700000000000003</v>
      </c>
      <c r="V50" s="893">
        <f>IF(LA_!V50="","",+LA_!V50)</f>
        <v>33.700000000000003</v>
      </c>
      <c r="W50" s="891">
        <f>IF(LA_!W50="","",+LA_!W50)</f>
        <v>45.6</v>
      </c>
      <c r="X50" s="842"/>
      <c r="Z50" s="886"/>
      <c r="AG50" s="885"/>
      <c r="AH50" s="885"/>
      <c r="AI50" s="885"/>
      <c r="AJ50" s="885"/>
      <c r="AK50" s="885"/>
      <c r="AM50" s="885"/>
      <c r="AN50" s="886"/>
      <c r="AO50" s="886"/>
      <c r="AP50" s="886"/>
      <c r="AQ50" s="886"/>
      <c r="AR50" s="886"/>
      <c r="AS50" s="886"/>
      <c r="AT50" s="886"/>
      <c r="AU50" s="886"/>
      <c r="AV50" s="885"/>
      <c r="AW50" s="885"/>
      <c r="AX50" s="885"/>
      <c r="AY50" s="885"/>
      <c r="AZ50" s="885"/>
      <c r="BB50" s="886"/>
      <c r="BC50" s="886"/>
      <c r="BD50" s="886"/>
      <c r="BE50" s="886"/>
      <c r="BF50" s="888"/>
      <c r="BG50" s="888"/>
      <c r="BH50" s="886"/>
      <c r="BN50" s="888"/>
      <c r="BO50" s="888"/>
      <c r="BP50" s="886"/>
      <c r="BQ50" s="885"/>
      <c r="BR50" s="885"/>
      <c r="BS50" s="885"/>
      <c r="BT50" s="885"/>
      <c r="BU50" s="888"/>
      <c r="BV50" s="888"/>
      <c r="BW50" s="888"/>
      <c r="BX50" s="885"/>
      <c r="BY50" s="885"/>
      <c r="BZ50" s="885"/>
      <c r="CA50" s="885"/>
      <c r="CB50" s="885"/>
      <c r="CC50" s="885"/>
      <c r="CD50" s="885"/>
      <c r="CE50" s="885"/>
      <c r="CF50" s="885"/>
      <c r="CG50" s="885"/>
      <c r="CH50" s="885"/>
      <c r="CI50" s="888"/>
      <c r="CJ50" s="885"/>
      <c r="CK50" s="885"/>
      <c r="CL50" s="885"/>
      <c r="CM50" s="886"/>
      <c r="CN50" s="885"/>
      <c r="CO50" s="885"/>
      <c r="CP50" s="885"/>
      <c r="CQ50" s="885"/>
      <c r="CR50" s="885"/>
      <c r="CS50" s="888"/>
      <c r="CT50" s="885"/>
      <c r="CU50" s="885"/>
      <c r="CV50" s="885"/>
      <c r="CW50" s="885"/>
      <c r="CX50" s="888"/>
      <c r="DA50" s="886"/>
      <c r="DF50" s="812"/>
      <c r="DG50" s="308"/>
      <c r="DH50" s="308"/>
      <c r="DI50" s="308"/>
      <c r="DJ50" s="308"/>
      <c r="DK50" s="308"/>
      <c r="DL50" s="308"/>
      <c r="DM50" s="308"/>
      <c r="DN50" s="308"/>
      <c r="DO50" s="308"/>
      <c r="DP50" s="308"/>
      <c r="DQ50" s="308"/>
      <c r="DR50" s="308"/>
      <c r="DS50" s="308"/>
      <c r="DT50" s="308"/>
      <c r="DU50" s="308"/>
      <c r="DV50" s="308"/>
      <c r="DW50" s="308"/>
    </row>
    <row r="51" spans="3:127" ht="17.100000000000001" customHeight="1">
      <c r="C51" s="812"/>
      <c r="E51" s="308"/>
      <c r="F51" s="895"/>
      <c r="G51" s="895"/>
      <c r="H51" s="1709" t="str">
        <f>IF(LA_!H51="","",+LA_!H51)</f>
        <v/>
      </c>
      <c r="I51" s="59" t="str">
        <f>IF(LA_!I51="","",+LA_!I51)</f>
        <v/>
      </c>
      <c r="J51" s="1710" t="str">
        <f>IF(LA_!J51="","",+LA_!J51)</f>
        <v/>
      </c>
      <c r="K51" s="1406"/>
      <c r="L51" s="1406"/>
      <c r="M51" s="1406"/>
      <c r="N51" s="1187"/>
      <c r="O51" s="894" t="str">
        <f>IF(LA_!O51="","",+LA_!O51)</f>
        <v>01/25/16</v>
      </c>
      <c r="P51" s="893">
        <f>IF(LA_!P51="","",+LA_!P51)</f>
        <v>55.7</v>
      </c>
      <c r="Q51" s="891">
        <f>IF(LA_!Q51="","",+LA_!Q51)</f>
        <v>15.9</v>
      </c>
      <c r="R51" s="893">
        <f>IF(LA_!R51="","",+LA_!R51)</f>
        <v>45</v>
      </c>
      <c r="S51" s="891">
        <f>IF(LA_!S51="","",+LA_!S51)</f>
        <v>32.9</v>
      </c>
      <c r="T51" s="893">
        <f>IF(LA_!T51="","",+LA_!T51)</f>
        <v>47.3</v>
      </c>
      <c r="U51" s="891">
        <f>IF(LA_!U51="","",+LA_!U51)</f>
        <v>25.9</v>
      </c>
      <c r="V51" s="893">
        <f>IF(LA_!V51="","",+LA_!V51)</f>
        <v>46.4</v>
      </c>
      <c r="W51" s="891">
        <f>IF(LA_!W51="","",+LA_!W51)</f>
        <v>31.1</v>
      </c>
      <c r="X51" s="842"/>
      <c r="Z51" s="886"/>
      <c r="AG51" s="885"/>
      <c r="AH51" s="885"/>
      <c r="AI51" s="885"/>
      <c r="AJ51" s="885"/>
      <c r="AK51" s="885"/>
      <c r="AM51" s="885"/>
      <c r="AN51" s="886"/>
      <c r="AO51" s="886"/>
      <c r="AP51" s="886"/>
      <c r="AQ51" s="886"/>
      <c r="AR51" s="886"/>
      <c r="AS51" s="886"/>
      <c r="AT51" s="886"/>
      <c r="AU51" s="886"/>
      <c r="AV51" s="885"/>
      <c r="AW51" s="885"/>
      <c r="AX51" s="885"/>
      <c r="AY51" s="885"/>
      <c r="AZ51" s="885"/>
      <c r="BB51" s="886"/>
      <c r="BC51" s="886"/>
      <c r="BD51" s="886"/>
      <c r="BE51" s="886"/>
      <c r="BF51" s="888"/>
      <c r="BG51" s="888"/>
      <c r="BH51" s="886"/>
      <c r="BN51" s="888"/>
      <c r="BO51" s="888"/>
      <c r="BP51" s="886"/>
      <c r="BQ51" s="885"/>
      <c r="BR51" s="885"/>
      <c r="BS51" s="885"/>
      <c r="BT51" s="885"/>
      <c r="BU51" s="888"/>
      <c r="BV51" s="888"/>
      <c r="BW51" s="888"/>
      <c r="BX51" s="885"/>
      <c r="BY51" s="885"/>
      <c r="BZ51" s="885"/>
      <c r="CA51" s="885"/>
      <c r="CB51" s="885"/>
      <c r="CC51" s="885"/>
      <c r="CD51" s="885"/>
      <c r="CE51" s="885"/>
      <c r="CF51" s="885"/>
      <c r="CG51" s="885"/>
      <c r="CH51" s="885"/>
      <c r="CI51" s="888"/>
      <c r="CJ51" s="885"/>
      <c r="CK51" s="885"/>
      <c r="CL51" s="885"/>
      <c r="CM51" s="886"/>
      <c r="CN51" s="885"/>
      <c r="CO51" s="885"/>
      <c r="CP51" s="885"/>
      <c r="CQ51" s="885"/>
      <c r="CR51" s="885"/>
      <c r="CS51" s="888"/>
      <c r="CT51" s="885"/>
      <c r="CU51" s="885"/>
      <c r="CV51" s="885"/>
      <c r="CW51" s="885"/>
      <c r="CX51" s="888"/>
      <c r="DA51" s="886"/>
      <c r="DF51" s="812"/>
      <c r="DG51" s="308"/>
      <c r="DH51" s="308"/>
      <c r="DI51" s="308"/>
      <c r="DJ51" s="308"/>
      <c r="DK51" s="308"/>
      <c r="DL51" s="308"/>
      <c r="DM51" s="308"/>
      <c r="DN51" s="308"/>
      <c r="DO51" s="308"/>
      <c r="DP51" s="308"/>
      <c r="DQ51" s="308"/>
      <c r="DR51" s="308"/>
      <c r="DS51" s="308"/>
      <c r="DT51" s="308"/>
      <c r="DU51" s="308"/>
      <c r="DV51" s="308"/>
      <c r="DW51" s="308"/>
    </row>
    <row r="52" spans="3:127" ht="17.100000000000001" customHeight="1">
      <c r="C52" s="812"/>
      <c r="E52" s="308"/>
      <c r="F52" s="895"/>
      <c r="G52" s="895"/>
      <c r="H52" s="1709" t="str">
        <f>IF(LA_!H52="","",+LA_!H52)</f>
        <v/>
      </c>
      <c r="I52" s="59" t="str">
        <f>IF(LA_!I52="","",+LA_!I52)</f>
        <v/>
      </c>
      <c r="J52" s="1710" t="str">
        <f>IF(LA_!J52="","",+LA_!J52)</f>
        <v/>
      </c>
      <c r="K52" s="1406"/>
      <c r="L52" s="1406"/>
      <c r="M52" s="1406"/>
      <c r="N52" s="1187"/>
      <c r="O52" s="894" t="str">
        <f>IF(LA_!O52="","",+LA_!O52)</f>
        <v/>
      </c>
      <c r="P52" s="894" t="str">
        <f>IF(LA_!P52="","",+LA_!P52)</f>
        <v/>
      </c>
      <c r="Q52" s="890" t="str">
        <f>IF(LA_!Q52="","",+LA_!Q52)</f>
        <v/>
      </c>
      <c r="R52" s="894" t="str">
        <f>IF(LA_!R52="","",+LA_!R52)</f>
        <v/>
      </c>
      <c r="S52" s="59" t="str">
        <f>IF(LA_!S52="","",+LA_!S52)</f>
        <v/>
      </c>
      <c r="T52" s="894" t="str">
        <f>IF(LA_!T52="","",+LA_!T52)</f>
        <v/>
      </c>
      <c r="U52" s="890" t="str">
        <f>IF(LA_!U52="","",+LA_!U52)</f>
        <v/>
      </c>
      <c r="V52" s="894" t="str">
        <f>IF(LA_!V52="","",+LA_!V52)</f>
        <v/>
      </c>
      <c r="W52" s="890" t="str">
        <f>IF(LA_!W52="","",+LA_!W52)</f>
        <v/>
      </c>
      <c r="X52" s="842"/>
      <c r="Z52" s="886"/>
      <c r="AG52" s="885"/>
      <c r="AH52" s="885"/>
      <c r="AI52" s="885"/>
      <c r="AJ52" s="885"/>
      <c r="AK52" s="885"/>
      <c r="AM52" s="885"/>
      <c r="AN52" s="886"/>
      <c r="AO52" s="886"/>
      <c r="AP52" s="886"/>
      <c r="AQ52" s="886"/>
      <c r="AR52" s="886"/>
      <c r="AS52" s="886"/>
      <c r="AT52" s="886"/>
      <c r="AU52" s="886"/>
      <c r="AV52" s="885"/>
      <c r="AW52" s="885"/>
      <c r="AX52" s="885"/>
      <c r="AY52" s="885"/>
      <c r="AZ52" s="885"/>
      <c r="BB52" s="886"/>
      <c r="BC52" s="886"/>
      <c r="BD52" s="886"/>
      <c r="BE52" s="886"/>
      <c r="BF52" s="888"/>
      <c r="BG52" s="888"/>
      <c r="BH52" s="886"/>
      <c r="BN52" s="888"/>
      <c r="BO52" s="888"/>
      <c r="BP52" s="886"/>
      <c r="BQ52" s="885"/>
      <c r="BR52" s="885"/>
      <c r="BS52" s="885"/>
      <c r="BT52" s="885"/>
      <c r="BU52" s="888"/>
      <c r="BV52" s="888"/>
      <c r="BW52" s="888"/>
      <c r="BX52" s="885"/>
      <c r="BY52" s="885"/>
      <c r="BZ52" s="885"/>
      <c r="CA52" s="885"/>
      <c r="CB52" s="885"/>
      <c r="CC52" s="885"/>
      <c r="CD52" s="885"/>
      <c r="CE52" s="885"/>
      <c r="CF52" s="885"/>
      <c r="CG52" s="885"/>
      <c r="CH52" s="885"/>
      <c r="CI52" s="888"/>
      <c r="CJ52" s="885"/>
      <c r="CK52" s="885"/>
      <c r="CL52" s="885"/>
      <c r="CM52" s="886"/>
      <c r="CN52" s="885"/>
      <c r="CO52" s="885"/>
      <c r="CP52" s="885"/>
      <c r="CQ52" s="885"/>
      <c r="CR52" s="885"/>
      <c r="CS52" s="888"/>
      <c r="CT52" s="885"/>
      <c r="CU52" s="885"/>
      <c r="CV52" s="885"/>
      <c r="CW52" s="885"/>
      <c r="CX52" s="888"/>
      <c r="DA52" s="886"/>
      <c r="DF52" s="812"/>
      <c r="DG52" s="308"/>
      <c r="DH52" s="308"/>
      <c r="DI52" s="308"/>
      <c r="DJ52" s="308"/>
      <c r="DK52" s="308"/>
      <c r="DL52" s="308"/>
      <c r="DM52" s="308"/>
      <c r="DN52" s="308"/>
      <c r="DO52" s="308"/>
      <c r="DP52" s="308"/>
      <c r="DQ52" s="308"/>
      <c r="DR52" s="308"/>
      <c r="DS52" s="308"/>
      <c r="DT52" s="308"/>
      <c r="DU52" s="308"/>
      <c r="DV52" s="308"/>
      <c r="DW52" s="308"/>
    </row>
    <row r="53" spans="3:127" ht="17.100000000000001" customHeight="1" thickBot="1">
      <c r="C53" s="812"/>
      <c r="E53" s="308"/>
      <c r="F53" s="895"/>
      <c r="G53" s="895"/>
      <c r="H53" s="1711" t="str">
        <f>IF(LA_!H53="","",+LA_!H53)</f>
        <v/>
      </c>
      <c r="I53" s="1712" t="str">
        <f>IF(LA_!I53="","",+LA_!I53)</f>
        <v/>
      </c>
      <c r="J53" s="1713" t="str">
        <f>IF(LA_!J53="","",+LA_!J53)</f>
        <v/>
      </c>
      <c r="K53" s="1406"/>
      <c r="L53" s="1406"/>
      <c r="M53" s="1406"/>
      <c r="N53" s="1187"/>
      <c r="O53" s="894" t="str">
        <f>IF(LA_!O53="","",+LA_!O53)</f>
        <v/>
      </c>
      <c r="P53" s="894" t="str">
        <f>IF(LA_!P53="","",+LA_!P53)</f>
        <v/>
      </c>
      <c r="Q53" s="890" t="str">
        <f>IF(LA_!Q53="","",+LA_!Q53)</f>
        <v/>
      </c>
      <c r="R53" s="894" t="str">
        <f>IF(LA_!R53="","",+LA_!R53)</f>
        <v/>
      </c>
      <c r="S53" s="59" t="str">
        <f>IF(LA_!S53="","",+LA_!S53)</f>
        <v/>
      </c>
      <c r="T53" s="894" t="str">
        <f>IF(LA_!T53="","",+LA_!T53)</f>
        <v/>
      </c>
      <c r="U53" s="890" t="str">
        <f>IF(LA_!U53="","",+LA_!U53)</f>
        <v/>
      </c>
      <c r="V53" s="894" t="str">
        <f>IF(LA_!V53="","",+LA_!V53)</f>
        <v/>
      </c>
      <c r="W53" s="890" t="str">
        <f>IF(LA_!W53="","",+LA_!W53)</f>
        <v/>
      </c>
      <c r="X53" s="842"/>
      <c r="AW53" s="885"/>
      <c r="AX53" s="885"/>
      <c r="AY53" s="885"/>
      <c r="AZ53" s="885"/>
      <c r="BN53" s="888"/>
      <c r="BO53" s="888"/>
      <c r="BQ53" s="885"/>
      <c r="BR53" s="885"/>
      <c r="BS53" s="885"/>
      <c r="BT53" s="885"/>
      <c r="BU53" s="888"/>
      <c r="BV53" s="888"/>
      <c r="BX53" s="885"/>
      <c r="BY53" s="885"/>
      <c r="BZ53" s="885"/>
      <c r="CA53" s="885"/>
      <c r="CB53" s="885"/>
      <c r="CC53" s="885"/>
      <c r="CD53" s="885"/>
      <c r="CE53" s="885"/>
      <c r="CG53" s="885"/>
      <c r="CH53" s="885"/>
      <c r="CI53" s="888"/>
      <c r="CJ53" s="885"/>
      <c r="CK53" s="885"/>
      <c r="CL53" s="885"/>
      <c r="CN53" s="885"/>
      <c r="CO53" s="885"/>
      <c r="CP53" s="885"/>
      <c r="CQ53" s="885"/>
      <c r="CR53" s="885"/>
      <c r="CS53" s="888"/>
      <c r="CX53" s="888"/>
      <c r="DA53" s="886"/>
      <c r="DF53" s="812"/>
      <c r="DG53" s="308"/>
      <c r="DH53" s="308"/>
      <c r="DI53" s="308"/>
      <c r="DJ53" s="308"/>
      <c r="DK53" s="308"/>
      <c r="DL53" s="308"/>
      <c r="DM53" s="308"/>
      <c r="DN53" s="308"/>
      <c r="DO53" s="308"/>
      <c r="DP53" s="308"/>
      <c r="DQ53" s="308"/>
      <c r="DR53" s="308"/>
      <c r="DS53" s="308"/>
      <c r="DT53" s="308"/>
      <c r="DU53" s="308"/>
      <c r="DV53" s="308"/>
      <c r="DW53" s="308"/>
    </row>
    <row r="54" spans="3:127" ht="17.100000000000001" customHeight="1">
      <c r="C54" s="812"/>
      <c r="D54" s="896"/>
      <c r="H54" s="1187"/>
      <c r="I54" s="1187"/>
      <c r="J54" s="1187"/>
      <c r="K54" s="1187"/>
      <c r="L54" s="1187"/>
      <c r="M54" s="1187"/>
      <c r="O54" s="883"/>
      <c r="P54" s="883"/>
      <c r="Q54" s="883"/>
      <c r="R54" s="883"/>
      <c r="S54" s="883"/>
      <c r="T54" s="883"/>
      <c r="U54" s="883"/>
      <c r="V54" s="883"/>
      <c r="W54" s="883"/>
      <c r="DF54" s="812"/>
    </row>
    <row r="55" spans="3:127" ht="17.100000000000001" customHeight="1">
      <c r="C55" s="812"/>
      <c r="DF55" s="812"/>
    </row>
    <row r="56" spans="3:127" ht="17.100000000000001" customHeight="1"/>
    <row r="57" spans="3:127" ht="17.100000000000001" customHeight="1">
      <c r="D57" s="995" t="s">
        <v>1348</v>
      </c>
    </row>
    <row r="58" spans="3:127" ht="17.100000000000001" customHeight="1">
      <c r="D58" s="995" t="s">
        <v>1349</v>
      </c>
    </row>
    <row r="59" spans="3:127" ht="17.100000000000001" customHeight="1"/>
    <row r="60" spans="3:127" ht="17.100000000000001" customHeight="1"/>
    <row r="61" spans="3:127" ht="17.100000000000001" customHeight="1"/>
    <row r="62" spans="3:127" ht="17.100000000000001" customHeight="1"/>
    <row r="63" spans="3:127" ht="17.100000000000001" customHeight="1"/>
    <row r="64" spans="3:127" ht="17.100000000000001" customHeight="1"/>
    <row r="65" spans="5:8" ht="17.100000000000001" customHeight="1"/>
    <row r="66" spans="5:8" ht="17.100000000000001" customHeight="1"/>
    <row r="67" spans="5:8" ht="17.100000000000001" customHeight="1">
      <c r="E67" s="896"/>
      <c r="F67" s="308"/>
      <c r="G67" s="308"/>
      <c r="H67" s="308"/>
    </row>
    <row r="68" spans="5:8" ht="17.100000000000001" customHeight="1">
      <c r="E68" s="896"/>
      <c r="F68" s="308"/>
      <c r="G68" s="308"/>
      <c r="H68" s="308"/>
    </row>
    <row r="69" spans="5:8" ht="17.100000000000001" customHeight="1">
      <c r="E69" s="896"/>
      <c r="F69" s="308"/>
      <c r="G69" s="308"/>
      <c r="H69" s="308"/>
    </row>
    <row r="70" spans="5:8" ht="17.100000000000001" customHeight="1"/>
    <row r="71" spans="5:8" ht="17.100000000000001" customHeight="1"/>
    <row r="72" spans="5:8" ht="17.100000000000001" customHeight="1"/>
    <row r="73" spans="5:8" ht="17.100000000000001" customHeight="1"/>
    <row r="74" spans="5:8" ht="17.100000000000001" customHeight="1"/>
    <row r="75" spans="5:8" ht="17.100000000000001" customHeight="1"/>
    <row r="76" spans="5:8" ht="17.100000000000001" customHeight="1"/>
    <row r="77" spans="5:8" ht="17.100000000000001" customHeight="1"/>
    <row r="78" spans="5:8" ht="17.100000000000001" customHeight="1"/>
    <row r="79" spans="5:8" ht="17.100000000000001" customHeight="1"/>
    <row r="80" spans="5:8" ht="17.100000000000001" customHeight="1"/>
    <row r="81" ht="17.100000000000001" customHeight="1"/>
    <row r="82" ht="17.100000000000001" customHeight="1"/>
    <row r="83" ht="17.100000000000001" customHeight="1"/>
    <row r="84" ht="17.100000000000001" customHeight="1"/>
    <row r="85" ht="17.100000000000001" customHeight="1"/>
    <row r="86" ht="17.100000000000001" customHeight="1"/>
    <row r="87" ht="17.100000000000001" customHeight="1"/>
    <row r="88" ht="17.100000000000001" customHeight="1"/>
    <row r="89" ht="17.100000000000001" customHeight="1"/>
    <row r="90" ht="17.100000000000001" customHeight="1"/>
    <row r="91" ht="17.100000000000001" customHeight="1"/>
    <row r="92" ht="17.100000000000001" customHeight="1"/>
    <row r="93" ht="17.100000000000001" customHeight="1"/>
    <row r="94" ht="17.100000000000001" customHeight="1"/>
    <row r="95" ht="17.100000000000001" customHeight="1"/>
    <row r="96" ht="17.100000000000001" customHeight="1"/>
    <row r="97" ht="17.100000000000001" customHeight="1"/>
    <row r="98" ht="17.100000000000001" customHeight="1"/>
    <row r="99" ht="17.100000000000001" customHeight="1"/>
    <row r="100" ht="17.100000000000001" customHeight="1"/>
    <row r="101" ht="17.100000000000001" customHeight="1"/>
    <row r="102" ht="17.100000000000001" customHeight="1"/>
    <row r="103" ht="17.100000000000001" customHeight="1"/>
    <row r="104" ht="17.100000000000001" customHeight="1"/>
    <row r="105" ht="17.100000000000001" customHeight="1"/>
    <row r="106" ht="17.100000000000001" customHeight="1"/>
    <row r="107" ht="17.100000000000001" customHeight="1"/>
    <row r="108" ht="17.100000000000001" customHeight="1"/>
    <row r="109" ht="17.100000000000001" customHeight="1"/>
    <row r="110" ht="17.100000000000001" customHeight="1"/>
    <row r="111" ht="17.100000000000001" customHeight="1"/>
    <row r="112" ht="17.100000000000001" customHeight="1"/>
    <row r="113" ht="17.100000000000001" customHeight="1"/>
    <row r="114" ht="17.100000000000001" customHeight="1"/>
    <row r="115" ht="17.100000000000001" customHeight="1"/>
    <row r="116" ht="17.100000000000001" customHeight="1"/>
    <row r="117" ht="17.100000000000001" customHeight="1"/>
    <row r="118" ht="17.100000000000001" customHeight="1"/>
    <row r="119" ht="17.100000000000001" customHeight="1"/>
  </sheetData>
  <mergeCells count="5">
    <mergeCell ref="CV8:CV9"/>
    <mergeCell ref="F5:G5"/>
    <mergeCell ref="B6:B10"/>
    <mergeCell ref="CT8:CT9"/>
    <mergeCell ref="CU8:CU9"/>
  </mergeCells>
  <phoneticPr fontId="41" type="noConversion"/>
  <printOptions horizontalCentered="1" verticalCentered="1"/>
  <pageMargins left="0.5" right="0.33333333333333331" top="0.5" bottom="0.45" header="0" footer="0"/>
  <pageSetup scale="5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5"/>
    <pageSetUpPr fitToPage="1"/>
  </sheetPr>
  <dimension ref="A1:IK58"/>
  <sheetViews>
    <sheetView showGridLines="0" defaultGridColor="0" colorId="59" zoomScale="115" zoomScaleNormal="115" workbookViewId="0">
      <pane xSplit="3" ySplit="10" topLeftCell="D11" activePane="bottomRight" state="frozen"/>
      <selection pane="topRight" activeCell="D1" sqref="D1"/>
      <selection pane="bottomLeft" activeCell="A11" sqref="A11"/>
      <selection pane="bottomRight" activeCell="G33" sqref="G33"/>
    </sheetView>
  </sheetViews>
  <sheetFormatPr defaultColWidth="9.6328125" defaultRowHeight="15"/>
  <cols>
    <col min="1" max="1" width="3.6328125" style="21" customWidth="1"/>
    <col min="2" max="2" width="7" style="21" customWidth="1"/>
    <col min="3" max="3" width="4.6328125" style="21" customWidth="1"/>
    <col min="4" max="30" width="6.6328125" style="21" customWidth="1"/>
    <col min="31" max="31" width="9.6328125" style="21" customWidth="1"/>
    <col min="32" max="97" width="6.6328125" style="21" customWidth="1"/>
    <col min="98" max="98" width="9.6328125" style="21" customWidth="1"/>
    <col min="99" max="105" width="6.6328125" style="21" customWidth="1"/>
    <col min="106" max="106" width="9.6328125" style="21" customWidth="1"/>
    <col min="107" max="111" width="6.6328125" style="21" customWidth="1"/>
    <col min="112" max="112" width="9.6328125" style="21" customWidth="1"/>
    <col min="113" max="122" width="6.6328125" style="21" customWidth="1"/>
    <col min="123" max="123" width="4.6328125" style="21" customWidth="1"/>
    <col min="124" max="124" width="7.6328125" style="21" customWidth="1"/>
    <col min="125" max="125" width="6.6328125" style="21" customWidth="1"/>
    <col min="126" max="126" width="5.6328125" style="21" customWidth="1"/>
    <col min="127" max="16384" width="9.6328125" style="21"/>
  </cols>
  <sheetData>
    <row r="1" spans="1:245" ht="15.6">
      <c r="A1" s="6"/>
      <c r="B1" s="38"/>
      <c r="D1" s="38"/>
      <c r="E1" s="7"/>
      <c r="F1" s="7"/>
      <c r="G1" s="7"/>
      <c r="H1" s="7"/>
      <c r="I1" s="7"/>
      <c r="J1" s="7"/>
      <c r="K1" s="7"/>
      <c r="L1" s="7"/>
      <c r="M1" s="7"/>
      <c r="N1" s="39"/>
      <c r="O1" s="39"/>
      <c r="P1" s="7"/>
      <c r="Q1" s="39"/>
      <c r="R1" s="39"/>
      <c r="S1" s="7"/>
      <c r="T1" s="39"/>
      <c r="U1" s="39"/>
      <c r="V1" s="7"/>
      <c r="W1" s="39"/>
      <c r="X1" s="39"/>
      <c r="Y1" s="7"/>
      <c r="Z1" s="39"/>
      <c r="AA1" s="39"/>
      <c r="AB1" s="7"/>
      <c r="AC1" s="39"/>
      <c r="AD1" s="39"/>
      <c r="AE1" s="7"/>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c r="CW1" s="39"/>
      <c r="CX1" s="39"/>
      <c r="CY1" s="39"/>
      <c r="CZ1" s="39"/>
      <c r="DA1" s="39"/>
      <c r="DB1" s="39"/>
      <c r="DC1" s="39"/>
      <c r="DD1" s="39"/>
      <c r="DE1" s="39"/>
      <c r="DF1" s="40"/>
    </row>
    <row r="2" spans="1:245" ht="12" customHeight="1">
      <c r="A2" s="41"/>
      <c r="B2" s="41"/>
      <c r="C2" s="42"/>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3"/>
      <c r="AS2" s="41"/>
      <c r="AT2" s="41"/>
      <c r="AU2" s="41"/>
      <c r="AV2" s="41"/>
      <c r="AW2" s="41"/>
      <c r="AX2" s="41"/>
      <c r="AY2" s="41"/>
      <c r="AZ2" s="41"/>
      <c r="BA2" s="41"/>
      <c r="BB2" s="41"/>
      <c r="BC2" s="41"/>
      <c r="BD2" s="41"/>
      <c r="BE2" s="41"/>
      <c r="BF2" s="43"/>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3"/>
      <c r="CJ2" s="41"/>
      <c r="CK2" s="41"/>
      <c r="CL2" s="41"/>
      <c r="CM2" s="41"/>
      <c r="CN2" s="41"/>
      <c r="CO2" s="41"/>
      <c r="CP2" s="41"/>
      <c r="CQ2" s="41"/>
      <c r="CR2" s="41"/>
      <c r="CS2" s="41"/>
      <c r="CT2" s="41"/>
      <c r="CU2" s="41"/>
      <c r="CV2" s="41"/>
      <c r="CW2" s="41"/>
      <c r="CX2" s="41"/>
      <c r="CY2" s="41"/>
      <c r="CZ2" s="41"/>
      <c r="DA2" s="41"/>
      <c r="DB2" s="41"/>
      <c r="DC2" s="41"/>
      <c r="DD2" s="41"/>
      <c r="DE2" s="41"/>
      <c r="DF2" s="42"/>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c r="FY2" s="43"/>
      <c r="FZ2" s="43"/>
      <c r="GA2" s="43"/>
      <c r="GB2" s="43"/>
      <c r="GC2" s="43"/>
      <c r="GD2" s="43"/>
      <c r="GE2" s="43"/>
      <c r="GF2" s="43"/>
      <c r="GG2" s="43"/>
      <c r="GH2" s="43"/>
      <c r="GI2" s="43"/>
      <c r="GJ2" s="43"/>
      <c r="GK2" s="43"/>
      <c r="GL2" s="43"/>
      <c r="GM2" s="43"/>
      <c r="GN2" s="43"/>
      <c r="GO2" s="43"/>
      <c r="GP2" s="43"/>
      <c r="GQ2" s="43"/>
      <c r="GR2" s="43"/>
      <c r="GS2" s="43"/>
      <c r="GT2" s="43"/>
      <c r="GU2" s="43"/>
      <c r="GV2" s="43"/>
      <c r="GW2" s="43"/>
      <c r="GX2" s="43"/>
      <c r="GY2" s="43"/>
      <c r="GZ2" s="43"/>
      <c r="HA2" s="43"/>
      <c r="HB2" s="43"/>
      <c r="HC2" s="43"/>
      <c r="HD2" s="43"/>
      <c r="HE2" s="43"/>
      <c r="HF2" s="43"/>
      <c r="HG2" s="43"/>
      <c r="HH2" s="43"/>
      <c r="HI2" s="43"/>
      <c r="HJ2" s="43"/>
      <c r="HK2" s="43"/>
      <c r="HL2" s="43"/>
      <c r="HM2" s="43"/>
      <c r="HN2" s="43"/>
      <c r="HO2" s="43"/>
      <c r="HP2" s="43"/>
      <c r="HQ2" s="43"/>
      <c r="HR2" s="43"/>
      <c r="HS2" s="43"/>
      <c r="HT2" s="43"/>
      <c r="HU2" s="43"/>
      <c r="HV2" s="43"/>
      <c r="HW2" s="43"/>
      <c r="HX2" s="43"/>
      <c r="HY2" s="43"/>
      <c r="HZ2" s="43"/>
    </row>
    <row r="3" spans="1:245" ht="12" customHeight="1">
      <c r="A3" s="41"/>
      <c r="B3" s="41"/>
      <c r="C3" s="42"/>
      <c r="D3" s="41"/>
      <c r="E3" s="41"/>
      <c r="F3" s="41"/>
      <c r="G3" s="41"/>
      <c r="H3" s="41"/>
      <c r="I3" s="44"/>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3"/>
      <c r="AS3" s="41"/>
      <c r="AT3" s="41"/>
      <c r="AU3" s="41"/>
      <c r="AV3" s="41"/>
      <c r="AW3" s="41"/>
      <c r="AX3" s="41"/>
      <c r="AY3" s="41"/>
      <c r="AZ3" s="41"/>
      <c r="BA3" s="41"/>
      <c r="BB3" s="41"/>
      <c r="BC3" s="41"/>
      <c r="BD3" s="41"/>
      <c r="BE3" s="41"/>
      <c r="BF3" s="43"/>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3"/>
      <c r="CJ3" s="41"/>
      <c r="CK3" s="41"/>
      <c r="CL3" s="41"/>
      <c r="CM3" s="41"/>
      <c r="CN3" s="41"/>
      <c r="CO3" s="41"/>
      <c r="CP3" s="41"/>
      <c r="CQ3" s="41"/>
      <c r="CR3" s="41"/>
      <c r="CS3" s="41"/>
      <c r="CT3" s="41"/>
      <c r="CU3" s="41"/>
      <c r="CV3" s="41"/>
      <c r="CW3" s="41"/>
      <c r="CX3" s="41"/>
      <c r="CY3" s="41"/>
      <c r="CZ3" s="41"/>
      <c r="DA3" s="41"/>
      <c r="DB3" s="41"/>
      <c r="DC3" s="41"/>
      <c r="DD3" s="41"/>
      <c r="DE3" s="41"/>
      <c r="DF3" s="42"/>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row>
    <row r="4" spans="1:245" ht="22.8">
      <c r="A4" s="41"/>
      <c r="B4" s="41"/>
      <c r="C4" s="42"/>
      <c r="D4" s="41" t="s">
        <v>614</v>
      </c>
      <c r="E4" s="41"/>
      <c r="F4" s="41"/>
      <c r="G4" s="41"/>
      <c r="H4" s="41"/>
      <c r="I4" s="2867">
        <f>DMREZ!$I$5</f>
        <v>42370</v>
      </c>
      <c r="J4" s="2867"/>
      <c r="K4" s="2867"/>
      <c r="L4" s="41" t="str">
        <f>FIXED(DMREZ!$J$5,0,TRUE)</f>
        <v>2016</v>
      </c>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3"/>
      <c r="AS4" s="41"/>
      <c r="AT4" s="41"/>
      <c r="AU4" s="41"/>
      <c r="AV4" s="41"/>
      <c r="AW4" s="41"/>
      <c r="AX4" s="41"/>
      <c r="AY4" s="41"/>
      <c r="AZ4" s="41"/>
      <c r="BA4" s="41"/>
      <c r="BB4" s="41"/>
      <c r="BC4" s="41"/>
      <c r="BD4" s="41"/>
      <c r="BE4" s="41"/>
      <c r="BF4" s="43"/>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3"/>
      <c r="CJ4" s="41"/>
      <c r="CK4" s="41"/>
      <c r="CL4" s="41"/>
      <c r="CM4" s="41"/>
      <c r="CN4" s="41"/>
      <c r="CO4" s="41"/>
      <c r="CP4" s="41"/>
      <c r="CQ4" s="41"/>
      <c r="CR4" s="41"/>
      <c r="CS4" s="41"/>
      <c r="CT4" s="41"/>
      <c r="CU4" s="41"/>
      <c r="CV4" s="41"/>
      <c r="CW4" s="41"/>
      <c r="CX4" s="41"/>
      <c r="CY4" s="41"/>
      <c r="CZ4" s="41"/>
      <c r="DA4" s="41"/>
      <c r="DB4" s="41"/>
      <c r="DC4" s="41"/>
      <c r="DD4" s="41"/>
      <c r="DE4" s="41"/>
      <c r="DF4" s="42"/>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row>
    <row r="5" spans="1:245" ht="23.4" thickBot="1">
      <c r="A5" s="41"/>
      <c r="B5" s="41"/>
      <c r="C5" s="42"/>
      <c r="D5" s="41"/>
      <c r="E5" s="41"/>
      <c r="F5" s="41"/>
      <c r="G5" s="41"/>
      <c r="H5" s="41"/>
      <c r="I5" s="1212"/>
      <c r="J5" s="1213"/>
      <c r="K5" s="1213"/>
      <c r="L5" s="1213"/>
      <c r="M5" s="1213"/>
      <c r="N5" s="1213"/>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3"/>
      <c r="AS5" s="41"/>
      <c r="AT5" s="41"/>
      <c r="AU5" s="41"/>
      <c r="AV5" s="41"/>
      <c r="AW5" s="41"/>
      <c r="AX5" s="41"/>
      <c r="AY5" s="41"/>
      <c r="AZ5" s="41"/>
      <c r="BA5" s="41"/>
      <c r="BB5" s="41"/>
      <c r="BC5" s="41"/>
      <c r="BD5" s="41"/>
      <c r="BE5" s="41"/>
      <c r="BF5" s="43"/>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3"/>
      <c r="CJ5" s="41"/>
      <c r="CK5" s="41"/>
      <c r="CL5" s="41"/>
      <c r="CM5" s="41"/>
      <c r="CN5" s="41"/>
      <c r="CO5" s="41"/>
      <c r="CP5" s="41"/>
      <c r="CQ5" s="41"/>
      <c r="CR5" s="41"/>
      <c r="CS5" s="41"/>
      <c r="CT5" s="41"/>
      <c r="CU5" s="41"/>
      <c r="CV5" s="41"/>
      <c r="CW5" s="41"/>
      <c r="CX5" s="41"/>
      <c r="CY5" s="41"/>
      <c r="CZ5" s="41"/>
      <c r="DA5" s="41"/>
      <c r="DB5" s="41"/>
      <c r="DC5" s="41"/>
      <c r="DD5" s="41"/>
      <c r="DE5" s="41"/>
      <c r="DF5" s="42"/>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row>
    <row r="6" spans="1:245" ht="15" customHeight="1" thickBot="1">
      <c r="A6" s="39"/>
      <c r="B6" s="2876"/>
      <c r="C6" s="1426"/>
      <c r="D6" s="181" t="s">
        <v>967</v>
      </c>
      <c r="E6" s="182"/>
      <c r="F6" s="182"/>
      <c r="G6" s="182"/>
      <c r="H6" s="182"/>
      <c r="I6" s="1210"/>
      <c r="J6" s="1210"/>
      <c r="K6" s="1210"/>
      <c r="L6" s="1211"/>
      <c r="M6" s="1210"/>
      <c r="N6" s="1210"/>
      <c r="O6" s="182"/>
      <c r="P6" s="182"/>
      <c r="Q6" s="182"/>
      <c r="R6" s="182"/>
      <c r="S6" s="182"/>
      <c r="T6" s="185"/>
      <c r="U6" s="182"/>
      <c r="V6" s="185"/>
      <c r="W6" s="182"/>
      <c r="X6" s="182"/>
      <c r="Y6" s="182"/>
      <c r="Z6" s="186" t="s">
        <v>382</v>
      </c>
      <c r="AA6" s="168"/>
      <c r="AB6" s="168"/>
      <c r="AC6" s="168"/>
      <c r="AD6" s="168"/>
      <c r="AE6" s="169" t="s">
        <v>972</v>
      </c>
      <c r="AF6" s="182"/>
      <c r="AG6" s="170"/>
      <c r="AH6" s="182"/>
      <c r="AI6" s="182"/>
      <c r="AJ6" s="182"/>
      <c r="AK6" s="182"/>
      <c r="AL6" s="182"/>
      <c r="AM6" s="182"/>
      <c r="AN6" s="182"/>
      <c r="AO6" s="182"/>
      <c r="AP6" s="181" t="s">
        <v>403</v>
      </c>
      <c r="AQ6" s="182"/>
      <c r="AR6" s="182"/>
      <c r="AS6" s="182"/>
      <c r="AT6" s="182"/>
      <c r="AU6" s="185"/>
      <c r="AV6" s="182"/>
      <c r="AW6" s="182"/>
      <c r="AX6" s="182"/>
      <c r="AY6" s="182"/>
      <c r="AZ6" s="182"/>
      <c r="BA6" s="182"/>
      <c r="BB6" s="182"/>
      <c r="BC6" s="182"/>
      <c r="BD6" s="182"/>
      <c r="BE6" s="181" t="s">
        <v>597</v>
      </c>
      <c r="BF6" s="182"/>
      <c r="BG6" s="181" t="s">
        <v>599</v>
      </c>
      <c r="BH6" s="182"/>
      <c r="BI6" s="182"/>
      <c r="BJ6" s="182"/>
      <c r="BK6" s="182"/>
      <c r="BL6" s="182"/>
      <c r="BM6" s="182"/>
      <c r="BN6" s="182"/>
      <c r="BO6" s="182"/>
      <c r="BP6" s="182"/>
      <c r="BQ6" s="182"/>
      <c r="BR6" s="182"/>
      <c r="BS6" s="182"/>
      <c r="BT6" s="182"/>
      <c r="BU6" s="169" t="s">
        <v>600</v>
      </c>
      <c r="BV6" s="182"/>
      <c r="BW6" s="45"/>
      <c r="BX6" s="182"/>
      <c r="BY6" s="182"/>
      <c r="BZ6" s="182"/>
      <c r="CA6" s="182"/>
      <c r="CB6" s="169" t="s">
        <v>601</v>
      </c>
      <c r="CC6" s="182"/>
      <c r="CD6" s="182"/>
      <c r="CE6" s="182"/>
      <c r="CF6" s="182"/>
      <c r="CG6" s="182"/>
      <c r="CH6" s="182"/>
      <c r="CI6" s="181" t="s">
        <v>402</v>
      </c>
      <c r="CJ6" s="182"/>
      <c r="CK6" s="182"/>
      <c r="CL6" s="182"/>
      <c r="CM6" s="169" t="s">
        <v>402</v>
      </c>
      <c r="CN6" s="182"/>
      <c r="CO6" s="182"/>
      <c r="CP6" s="182"/>
      <c r="CQ6" s="1925" t="s">
        <v>602</v>
      </c>
      <c r="CR6" s="1926"/>
      <c r="CS6" s="1926"/>
      <c r="CT6" s="1926"/>
      <c r="CU6" s="1926"/>
      <c r="CV6" s="1926"/>
      <c r="CW6" s="1926"/>
      <c r="CX6" s="1926"/>
      <c r="CY6" s="182"/>
      <c r="CZ6" s="182"/>
      <c r="DA6" s="182"/>
      <c r="DB6" s="182"/>
      <c r="DC6" s="182"/>
      <c r="DD6" s="182"/>
      <c r="DE6" s="182"/>
      <c r="DF6" s="182"/>
      <c r="DG6" s="182"/>
      <c r="DH6" s="182"/>
      <c r="DI6" s="181" t="s">
        <v>604</v>
      </c>
      <c r="DJ6" s="182"/>
      <c r="DK6" s="182"/>
      <c r="DL6" s="182"/>
      <c r="DM6" s="182"/>
      <c r="DN6" s="182"/>
      <c r="DO6" s="182"/>
      <c r="DP6" s="182"/>
      <c r="DQ6" s="182"/>
      <c r="DR6" s="182"/>
      <c r="DS6" s="187"/>
      <c r="DT6" s="2868" t="s">
        <v>1188</v>
      </c>
      <c r="DU6" s="2869"/>
      <c r="DV6" s="2870"/>
      <c r="DW6" s="1323"/>
    </row>
    <row r="7" spans="1:245" ht="15" customHeight="1">
      <c r="A7" s="39"/>
      <c r="B7" s="2876"/>
      <c r="C7" s="1427" t="s">
        <v>310</v>
      </c>
      <c r="D7" s="172" t="s">
        <v>345</v>
      </c>
      <c r="E7" s="183"/>
      <c r="F7" s="183"/>
      <c r="G7" s="183"/>
      <c r="H7" s="173" t="s">
        <v>360</v>
      </c>
      <c r="I7" s="173" t="s">
        <v>360</v>
      </c>
      <c r="J7" s="173" t="s">
        <v>364</v>
      </c>
      <c r="K7" s="174" t="s">
        <v>583</v>
      </c>
      <c r="L7" s="173" t="s">
        <v>584</v>
      </c>
      <c r="M7" s="183"/>
      <c r="N7" s="183"/>
      <c r="O7" s="183"/>
      <c r="P7" s="183"/>
      <c r="Q7" s="174" t="s">
        <v>368</v>
      </c>
      <c r="R7" s="184"/>
      <c r="S7" s="183"/>
      <c r="T7" s="184"/>
      <c r="U7" s="184"/>
      <c r="V7" s="173" t="s">
        <v>373</v>
      </c>
      <c r="W7" s="183"/>
      <c r="X7" s="173" t="s">
        <v>373</v>
      </c>
      <c r="Y7" s="183"/>
      <c r="Z7" s="175" t="s">
        <v>383</v>
      </c>
      <c r="AA7" s="176"/>
      <c r="AB7" s="177" t="s">
        <v>387</v>
      </c>
      <c r="AC7" s="178"/>
      <c r="AD7" s="177" t="s">
        <v>359</v>
      </c>
      <c r="AE7" s="179" t="s">
        <v>388</v>
      </c>
      <c r="AF7" s="179" t="s">
        <v>596</v>
      </c>
      <c r="AG7" s="183"/>
      <c r="AH7" s="179" t="s">
        <v>1202</v>
      </c>
      <c r="AI7" s="183"/>
      <c r="AJ7" s="179" t="s">
        <v>1203</v>
      </c>
      <c r="AK7" s="183"/>
      <c r="AL7" s="174" t="s">
        <v>402</v>
      </c>
      <c r="AM7" s="183"/>
      <c r="AN7" s="183"/>
      <c r="AO7" s="183"/>
      <c r="AP7" s="172" t="s">
        <v>404</v>
      </c>
      <c r="AQ7" s="183"/>
      <c r="AR7" s="183"/>
      <c r="AS7" s="183"/>
      <c r="AT7" s="183"/>
      <c r="AU7" s="174" t="s">
        <v>412</v>
      </c>
      <c r="AV7" s="184"/>
      <c r="AW7" s="184"/>
      <c r="AX7" s="183"/>
      <c r="AY7" s="183"/>
      <c r="AZ7" s="174" t="s">
        <v>416</v>
      </c>
      <c r="BA7" s="183"/>
      <c r="BB7" s="183"/>
      <c r="BC7" s="183"/>
      <c r="BD7" s="183"/>
      <c r="BE7" s="180" t="s">
        <v>362</v>
      </c>
      <c r="BF7" s="151"/>
      <c r="BG7" s="172" t="s">
        <v>346</v>
      </c>
      <c r="BH7" s="183"/>
      <c r="BI7" s="183"/>
      <c r="BJ7" s="183"/>
      <c r="BK7" s="183"/>
      <c r="BL7" s="183"/>
      <c r="BM7" s="183"/>
      <c r="BN7" s="174" t="s">
        <v>358</v>
      </c>
      <c r="BO7" s="183"/>
      <c r="BP7" s="183"/>
      <c r="BQ7" s="183"/>
      <c r="BR7" s="183"/>
      <c r="BS7" s="183"/>
      <c r="BT7" s="183"/>
      <c r="BU7" s="152" t="s">
        <v>362</v>
      </c>
      <c r="BV7" s="151"/>
      <c r="BW7" s="151"/>
      <c r="BX7" s="151"/>
      <c r="BY7" s="151"/>
      <c r="BZ7" s="151"/>
      <c r="CA7" s="151"/>
      <c r="CB7" s="152" t="s">
        <v>362</v>
      </c>
      <c r="CC7" s="151"/>
      <c r="CD7" s="151"/>
      <c r="CE7" s="151"/>
      <c r="CF7" s="151"/>
      <c r="CG7" s="151"/>
      <c r="CH7" s="151"/>
      <c r="CI7" s="180" t="s">
        <v>363</v>
      </c>
      <c r="CJ7" s="151"/>
      <c r="CK7" s="151"/>
      <c r="CL7" s="151"/>
      <c r="CM7" s="152" t="s">
        <v>361</v>
      </c>
      <c r="CN7" s="151"/>
      <c r="CO7" s="151"/>
      <c r="CP7" s="151"/>
      <c r="CQ7" s="1950" t="s">
        <v>1264</v>
      </c>
      <c r="CR7" s="1951"/>
      <c r="CS7" s="1951"/>
      <c r="CT7" s="1951"/>
      <c r="CU7" s="1952"/>
      <c r="CV7" s="1951"/>
      <c r="CW7" s="1951"/>
      <c r="CX7" s="1953"/>
      <c r="CY7" s="183" t="s">
        <v>555</v>
      </c>
      <c r="CZ7" s="183"/>
      <c r="DA7" s="183"/>
      <c r="DB7" s="183"/>
      <c r="DC7" s="174" t="s">
        <v>556</v>
      </c>
      <c r="DD7" s="183"/>
      <c r="DE7" s="183"/>
      <c r="DF7" s="183"/>
      <c r="DG7" s="183"/>
      <c r="DH7" s="183"/>
      <c r="DI7" s="172" t="s">
        <v>972</v>
      </c>
      <c r="DJ7" s="183"/>
      <c r="DK7" s="174" t="s">
        <v>606</v>
      </c>
      <c r="DL7" s="183"/>
      <c r="DM7" s="174" t="s">
        <v>542</v>
      </c>
      <c r="DN7" s="183"/>
      <c r="DO7" s="183" t="s">
        <v>542</v>
      </c>
      <c r="DP7" s="183"/>
      <c r="DQ7" s="183"/>
      <c r="DR7" s="183"/>
      <c r="DS7" s="171" t="s">
        <v>310</v>
      </c>
      <c r="DT7" s="2871"/>
      <c r="DU7" s="2872"/>
      <c r="DV7" s="2872"/>
      <c r="DW7" s="2854" t="s">
        <v>1374</v>
      </c>
      <c r="DX7" s="2855"/>
      <c r="DY7" s="2856"/>
    </row>
    <row r="8" spans="1:245" ht="15" customHeight="1">
      <c r="A8" s="39"/>
      <c r="B8" s="2876"/>
      <c r="C8" s="1427" t="s">
        <v>311</v>
      </c>
      <c r="D8" s="172" t="s">
        <v>346</v>
      </c>
      <c r="E8" s="183"/>
      <c r="F8" s="174" t="s">
        <v>358</v>
      </c>
      <c r="G8" s="183"/>
      <c r="H8" s="153" t="s">
        <v>361</v>
      </c>
      <c r="I8" s="153" t="s">
        <v>363</v>
      </c>
      <c r="J8" s="153" t="s">
        <v>365</v>
      </c>
      <c r="K8" s="154" t="s">
        <v>365</v>
      </c>
      <c r="L8" s="152" t="s">
        <v>362</v>
      </c>
      <c r="M8" s="151"/>
      <c r="N8" s="151"/>
      <c r="O8" s="151"/>
      <c r="P8" s="151"/>
      <c r="Q8" s="152" t="s">
        <v>362</v>
      </c>
      <c r="R8" s="151"/>
      <c r="S8" s="151"/>
      <c r="T8" s="151"/>
      <c r="U8" s="151"/>
      <c r="V8" s="153" t="s">
        <v>361</v>
      </c>
      <c r="W8" s="151"/>
      <c r="X8" s="153" t="s">
        <v>363</v>
      </c>
      <c r="Y8" s="151"/>
      <c r="Z8" s="155" t="s">
        <v>384</v>
      </c>
      <c r="AA8" s="156"/>
      <c r="AB8" s="157" t="s">
        <v>952</v>
      </c>
      <c r="AC8" s="158"/>
      <c r="AD8" s="159" t="s">
        <v>972</v>
      </c>
      <c r="AE8" s="152" t="s">
        <v>1255</v>
      </c>
      <c r="AF8" s="152" t="s">
        <v>389</v>
      </c>
      <c r="AG8" s="151"/>
      <c r="AH8" s="152" t="s">
        <v>389</v>
      </c>
      <c r="AI8" s="151"/>
      <c r="AJ8" s="152" t="s">
        <v>389</v>
      </c>
      <c r="AK8" s="151"/>
      <c r="AL8" s="174" t="s">
        <v>361</v>
      </c>
      <c r="AM8" s="183"/>
      <c r="AN8" s="174" t="s">
        <v>363</v>
      </c>
      <c r="AO8" s="183"/>
      <c r="AP8" s="180" t="s">
        <v>362</v>
      </c>
      <c r="AQ8" s="151"/>
      <c r="AR8" s="151"/>
      <c r="AS8" s="151"/>
      <c r="AT8" s="151"/>
      <c r="AU8" s="152" t="s">
        <v>362</v>
      </c>
      <c r="AV8" s="151"/>
      <c r="AW8" s="151"/>
      <c r="AX8" s="151"/>
      <c r="AY8" s="151"/>
      <c r="AZ8" s="160"/>
      <c r="BA8" s="38"/>
      <c r="BB8" s="38"/>
      <c r="BC8" s="38"/>
      <c r="BD8" s="38"/>
      <c r="BE8" s="172" t="s">
        <v>425</v>
      </c>
      <c r="BF8" s="161" t="s">
        <v>598</v>
      </c>
      <c r="BG8" s="172" t="s">
        <v>1377</v>
      </c>
      <c r="BH8" s="183"/>
      <c r="BI8" s="183"/>
      <c r="BJ8" s="183"/>
      <c r="BK8" s="174" t="s">
        <v>539</v>
      </c>
      <c r="BL8" s="183"/>
      <c r="BM8" s="161" t="s">
        <v>544</v>
      </c>
      <c r="BN8" s="174" t="s">
        <v>1377</v>
      </c>
      <c r="BO8" s="183"/>
      <c r="BP8" s="183"/>
      <c r="BQ8" s="183"/>
      <c r="BR8" s="174" t="s">
        <v>539</v>
      </c>
      <c r="BS8" s="183"/>
      <c r="BT8" s="161" t="s">
        <v>544</v>
      </c>
      <c r="BU8" s="174" t="s">
        <v>554</v>
      </c>
      <c r="BV8" s="183"/>
      <c r="BW8" s="183"/>
      <c r="BX8" s="183"/>
      <c r="BY8" s="174" t="s">
        <v>539</v>
      </c>
      <c r="BZ8" s="183"/>
      <c r="CA8" s="174" t="s">
        <v>544</v>
      </c>
      <c r="CB8" s="174" t="s">
        <v>536</v>
      </c>
      <c r="CC8" s="183"/>
      <c r="CD8" s="183"/>
      <c r="CE8" s="183"/>
      <c r="CF8" s="174" t="s">
        <v>539</v>
      </c>
      <c r="CG8" s="183"/>
      <c r="CH8" s="174" t="s">
        <v>544</v>
      </c>
      <c r="CI8" s="180" t="s">
        <v>362</v>
      </c>
      <c r="CJ8" s="151"/>
      <c r="CK8" s="151"/>
      <c r="CL8" s="151"/>
      <c r="CM8" s="152" t="s">
        <v>362</v>
      </c>
      <c r="CN8" s="151"/>
      <c r="CO8" s="151"/>
      <c r="CP8" s="151"/>
      <c r="CQ8" s="1954" t="s">
        <v>536</v>
      </c>
      <c r="CR8" s="1927"/>
      <c r="CS8" s="1927"/>
      <c r="CT8" s="2877" t="s">
        <v>412</v>
      </c>
      <c r="CU8" s="2862" t="s">
        <v>595</v>
      </c>
      <c r="CV8" s="1928"/>
      <c r="CW8" s="1927"/>
      <c r="CX8" s="1955"/>
      <c r="CY8" s="183" t="s">
        <v>416</v>
      </c>
      <c r="CZ8" s="174" t="s">
        <v>536</v>
      </c>
      <c r="DA8" s="183"/>
      <c r="DB8" s="174" t="s">
        <v>539</v>
      </c>
      <c r="DC8" s="174" t="s">
        <v>603</v>
      </c>
      <c r="DD8" s="174" t="s">
        <v>536</v>
      </c>
      <c r="DE8" s="183"/>
      <c r="DF8" s="183"/>
      <c r="DG8" s="183"/>
      <c r="DH8" s="174" t="s">
        <v>539</v>
      </c>
      <c r="DI8" s="172" t="s">
        <v>605</v>
      </c>
      <c r="DJ8" s="183"/>
      <c r="DK8" s="152" t="s">
        <v>972</v>
      </c>
      <c r="DL8" s="152"/>
      <c r="DM8" s="174" t="s">
        <v>396</v>
      </c>
      <c r="DN8" s="174" t="s">
        <v>397</v>
      </c>
      <c r="DO8" s="174" t="s">
        <v>607</v>
      </c>
      <c r="DP8" s="174" t="s">
        <v>608</v>
      </c>
      <c r="DQ8" s="174" t="s">
        <v>424</v>
      </c>
      <c r="DR8" s="174" t="s">
        <v>609</v>
      </c>
      <c r="DS8" s="171" t="s">
        <v>311</v>
      </c>
      <c r="DT8" s="1325"/>
      <c r="DU8" s="1326"/>
      <c r="DV8" s="1326"/>
      <c r="DW8" s="2857" t="s">
        <v>1378</v>
      </c>
      <c r="DX8" s="2858"/>
      <c r="DY8" s="2859"/>
    </row>
    <row r="9" spans="1:245" ht="15" customHeight="1">
      <c r="A9" s="39"/>
      <c r="B9" s="2876"/>
      <c r="C9" s="1427" t="s">
        <v>312</v>
      </c>
      <c r="D9" s="162" t="s">
        <v>1051</v>
      </c>
      <c r="E9" s="161" t="s">
        <v>397</v>
      </c>
      <c r="F9" s="161" t="s">
        <v>1051</v>
      </c>
      <c r="G9" s="161" t="s">
        <v>397</v>
      </c>
      <c r="H9" s="154" t="s">
        <v>362</v>
      </c>
      <c r="I9" s="154" t="s">
        <v>362</v>
      </c>
      <c r="J9" s="154" t="s">
        <v>362</v>
      </c>
      <c r="K9" s="154" t="s">
        <v>362</v>
      </c>
      <c r="L9" s="161" t="s">
        <v>585</v>
      </c>
      <c r="M9" s="161" t="s">
        <v>586</v>
      </c>
      <c r="N9" s="161" t="s">
        <v>587</v>
      </c>
      <c r="O9" s="161" t="s">
        <v>588</v>
      </c>
      <c r="P9" s="161" t="s">
        <v>589</v>
      </c>
      <c r="Q9" s="161" t="s">
        <v>585</v>
      </c>
      <c r="R9" s="161" t="s">
        <v>586</v>
      </c>
      <c r="S9" s="161" t="s">
        <v>587</v>
      </c>
      <c r="T9" s="161" t="s">
        <v>588</v>
      </c>
      <c r="U9" s="161" t="s">
        <v>589</v>
      </c>
      <c r="V9" s="161" t="s">
        <v>1051</v>
      </c>
      <c r="W9" s="161" t="s">
        <v>397</v>
      </c>
      <c r="X9" s="161" t="s">
        <v>1051</v>
      </c>
      <c r="Y9" s="161" t="s">
        <v>397</v>
      </c>
      <c r="Z9" s="163" t="s">
        <v>385</v>
      </c>
      <c r="AA9" s="15" t="s">
        <v>386</v>
      </c>
      <c r="AB9" s="15" t="s">
        <v>361</v>
      </c>
      <c r="AC9" s="15" t="s">
        <v>363</v>
      </c>
      <c r="AD9" s="159" t="s">
        <v>952</v>
      </c>
      <c r="AE9" s="164" t="s">
        <v>595</v>
      </c>
      <c r="AF9" s="164" t="s">
        <v>396</v>
      </c>
      <c r="AG9" s="161" t="s">
        <v>397</v>
      </c>
      <c r="AH9" s="164" t="s">
        <v>396</v>
      </c>
      <c r="AI9" s="161" t="s">
        <v>397</v>
      </c>
      <c r="AJ9" s="164" t="s">
        <v>396</v>
      </c>
      <c r="AK9" s="161" t="s">
        <v>397</v>
      </c>
      <c r="AL9" s="164" t="s">
        <v>396</v>
      </c>
      <c r="AM9" s="161" t="s">
        <v>397</v>
      </c>
      <c r="AN9" s="164" t="s">
        <v>396</v>
      </c>
      <c r="AO9" s="161" t="s">
        <v>397</v>
      </c>
      <c r="AP9" s="162" t="s">
        <v>376</v>
      </c>
      <c r="AQ9" s="161" t="s">
        <v>405</v>
      </c>
      <c r="AR9" s="161" t="s">
        <v>409</v>
      </c>
      <c r="AS9" s="161" t="s">
        <v>410</v>
      </c>
      <c r="AT9" s="161" t="s">
        <v>411</v>
      </c>
      <c r="AU9" s="161" t="s">
        <v>376</v>
      </c>
      <c r="AV9" s="161" t="s">
        <v>405</v>
      </c>
      <c r="AW9" s="161" t="s">
        <v>409</v>
      </c>
      <c r="AX9" s="161" t="s">
        <v>410</v>
      </c>
      <c r="AY9" s="161" t="s">
        <v>411</v>
      </c>
      <c r="AZ9" s="161" t="s">
        <v>376</v>
      </c>
      <c r="BA9" s="161" t="s">
        <v>405</v>
      </c>
      <c r="BB9" s="161" t="s">
        <v>409</v>
      </c>
      <c r="BC9" s="161" t="s">
        <v>410</v>
      </c>
      <c r="BD9" s="161" t="s">
        <v>411</v>
      </c>
      <c r="BE9" s="171" t="s">
        <v>426</v>
      </c>
      <c r="BF9" s="154" t="s">
        <v>426</v>
      </c>
      <c r="BG9" s="165" t="s">
        <v>1002</v>
      </c>
      <c r="BH9" s="164" t="s">
        <v>1005</v>
      </c>
      <c r="BI9" s="164" t="s">
        <v>1007</v>
      </c>
      <c r="BJ9" s="164" t="s">
        <v>1009</v>
      </c>
      <c r="BK9" s="164" t="s">
        <v>540</v>
      </c>
      <c r="BL9" s="164" t="s">
        <v>1051</v>
      </c>
      <c r="BM9" s="166" t="s">
        <v>545</v>
      </c>
      <c r="BN9" s="164" t="s">
        <v>1002</v>
      </c>
      <c r="BO9" s="164" t="s">
        <v>1005</v>
      </c>
      <c r="BP9" s="164" t="s">
        <v>1007</v>
      </c>
      <c r="BQ9" s="164" t="s">
        <v>1009</v>
      </c>
      <c r="BR9" s="164" t="s">
        <v>540</v>
      </c>
      <c r="BS9" s="164" t="s">
        <v>1051</v>
      </c>
      <c r="BT9" s="166" t="s">
        <v>545</v>
      </c>
      <c r="BU9" s="164" t="s">
        <v>1002</v>
      </c>
      <c r="BV9" s="164" t="s">
        <v>1005</v>
      </c>
      <c r="BW9" s="164" t="s">
        <v>1007</v>
      </c>
      <c r="BX9" s="164" t="s">
        <v>1009</v>
      </c>
      <c r="BY9" s="164" t="s">
        <v>540</v>
      </c>
      <c r="BZ9" s="164" t="s">
        <v>1051</v>
      </c>
      <c r="CA9" s="166" t="s">
        <v>545</v>
      </c>
      <c r="CB9" s="164" t="s">
        <v>1002</v>
      </c>
      <c r="CC9" s="164" t="s">
        <v>1005</v>
      </c>
      <c r="CD9" s="164" t="s">
        <v>1007</v>
      </c>
      <c r="CE9" s="164" t="s">
        <v>1009</v>
      </c>
      <c r="CF9" s="164" t="s">
        <v>540</v>
      </c>
      <c r="CG9" s="164" t="s">
        <v>1051</v>
      </c>
      <c r="CH9" s="166" t="s">
        <v>545</v>
      </c>
      <c r="CI9" s="165" t="s">
        <v>1002</v>
      </c>
      <c r="CJ9" s="164" t="s">
        <v>1005</v>
      </c>
      <c r="CK9" s="164" t="s">
        <v>1007</v>
      </c>
      <c r="CL9" s="164" t="s">
        <v>1009</v>
      </c>
      <c r="CM9" s="164" t="s">
        <v>1002</v>
      </c>
      <c r="CN9" s="164" t="s">
        <v>1005</v>
      </c>
      <c r="CO9" s="164" t="s">
        <v>1007</v>
      </c>
      <c r="CP9" s="164" t="s">
        <v>1009</v>
      </c>
      <c r="CQ9" s="1956" t="s">
        <v>1002</v>
      </c>
      <c r="CR9" s="1929" t="s">
        <v>1005</v>
      </c>
      <c r="CS9" s="1929" t="s">
        <v>1007</v>
      </c>
      <c r="CT9" s="2878"/>
      <c r="CU9" s="2863"/>
      <c r="CV9" s="1930"/>
      <c r="CW9" s="1931"/>
      <c r="CX9" s="1957"/>
      <c r="CY9" s="1948"/>
      <c r="CZ9" s="164" t="s">
        <v>1007</v>
      </c>
      <c r="DA9" s="164" t="s">
        <v>1265</v>
      </c>
      <c r="DB9" s="164" t="s">
        <v>1051</v>
      </c>
      <c r="DC9" s="160"/>
      <c r="DD9" s="164" t="s">
        <v>1002</v>
      </c>
      <c r="DE9" s="164" t="s">
        <v>1005</v>
      </c>
      <c r="DF9" s="164" t="s">
        <v>1007</v>
      </c>
      <c r="DG9" s="164" t="s">
        <v>1009</v>
      </c>
      <c r="DH9" s="164" t="s">
        <v>1051</v>
      </c>
      <c r="DI9" s="172" t="s">
        <v>396</v>
      </c>
      <c r="DJ9" s="174" t="s">
        <v>397</v>
      </c>
      <c r="DK9" s="174" t="s">
        <v>396</v>
      </c>
      <c r="DL9" s="174" t="s">
        <v>397</v>
      </c>
      <c r="DM9" s="154" t="s">
        <v>1051</v>
      </c>
      <c r="DN9" s="154"/>
      <c r="DO9" s="154" t="s">
        <v>362</v>
      </c>
      <c r="DP9" s="154" t="s">
        <v>453</v>
      </c>
      <c r="DQ9" s="152" t="s">
        <v>362</v>
      </c>
      <c r="DR9" s="152" t="s">
        <v>362</v>
      </c>
      <c r="DS9" s="171" t="s">
        <v>312</v>
      </c>
      <c r="DT9" s="1325"/>
      <c r="DU9" s="1327"/>
      <c r="DV9" s="1327"/>
      <c r="DW9" s="2547" t="s">
        <v>1375</v>
      </c>
      <c r="DX9" s="2548" t="s">
        <v>1376</v>
      </c>
      <c r="DY9" s="2549" t="s">
        <v>952</v>
      </c>
    </row>
    <row r="10" spans="1:245" ht="15" customHeight="1" thickBot="1">
      <c r="A10" s="47"/>
      <c r="B10" s="2876"/>
      <c r="C10" s="1428"/>
      <c r="D10" s="48">
        <v>1</v>
      </c>
      <c r="E10" s="49">
        <f t="shared" ref="E10:BP10" si="0">D10+1</f>
        <v>2</v>
      </c>
      <c r="F10" s="49">
        <f t="shared" si="0"/>
        <v>3</v>
      </c>
      <c r="G10" s="49">
        <f t="shared" si="0"/>
        <v>4</v>
      </c>
      <c r="H10" s="49">
        <f t="shared" si="0"/>
        <v>5</v>
      </c>
      <c r="I10" s="49">
        <f t="shared" si="0"/>
        <v>6</v>
      </c>
      <c r="J10" s="49">
        <f t="shared" si="0"/>
        <v>7</v>
      </c>
      <c r="K10" s="49">
        <f t="shared" si="0"/>
        <v>8</v>
      </c>
      <c r="L10" s="49">
        <f t="shared" si="0"/>
        <v>9</v>
      </c>
      <c r="M10" s="49">
        <f t="shared" si="0"/>
        <v>10</v>
      </c>
      <c r="N10" s="49">
        <f t="shared" si="0"/>
        <v>11</v>
      </c>
      <c r="O10" s="49">
        <f t="shared" si="0"/>
        <v>12</v>
      </c>
      <c r="P10" s="49">
        <f t="shared" si="0"/>
        <v>13</v>
      </c>
      <c r="Q10" s="49">
        <f t="shared" si="0"/>
        <v>14</v>
      </c>
      <c r="R10" s="49">
        <f t="shared" si="0"/>
        <v>15</v>
      </c>
      <c r="S10" s="49">
        <f t="shared" si="0"/>
        <v>16</v>
      </c>
      <c r="T10" s="49">
        <f t="shared" si="0"/>
        <v>17</v>
      </c>
      <c r="U10" s="49">
        <f t="shared" si="0"/>
        <v>18</v>
      </c>
      <c r="V10" s="49">
        <f t="shared" si="0"/>
        <v>19</v>
      </c>
      <c r="W10" s="49">
        <f t="shared" si="0"/>
        <v>20</v>
      </c>
      <c r="X10" s="49">
        <f t="shared" si="0"/>
        <v>21</v>
      </c>
      <c r="Y10" s="49">
        <f t="shared" si="0"/>
        <v>22</v>
      </c>
      <c r="Z10" s="48">
        <f t="shared" si="0"/>
        <v>23</v>
      </c>
      <c r="AA10" s="49">
        <f t="shared" si="0"/>
        <v>24</v>
      </c>
      <c r="AB10" s="49">
        <f t="shared" si="0"/>
        <v>25</v>
      </c>
      <c r="AC10" s="49">
        <f t="shared" si="0"/>
        <v>26</v>
      </c>
      <c r="AD10" s="49">
        <f t="shared" si="0"/>
        <v>27</v>
      </c>
      <c r="AE10" s="49">
        <f t="shared" si="0"/>
        <v>28</v>
      </c>
      <c r="AF10" s="49">
        <f t="shared" si="0"/>
        <v>29</v>
      </c>
      <c r="AG10" s="49">
        <f t="shared" si="0"/>
        <v>30</v>
      </c>
      <c r="AH10" s="49">
        <f t="shared" si="0"/>
        <v>31</v>
      </c>
      <c r="AI10" s="49">
        <f t="shared" si="0"/>
        <v>32</v>
      </c>
      <c r="AJ10" s="49">
        <f t="shared" si="0"/>
        <v>33</v>
      </c>
      <c r="AK10" s="49">
        <f t="shared" si="0"/>
        <v>34</v>
      </c>
      <c r="AL10" s="49">
        <f t="shared" si="0"/>
        <v>35</v>
      </c>
      <c r="AM10" s="49">
        <f t="shared" si="0"/>
        <v>36</v>
      </c>
      <c r="AN10" s="49">
        <f t="shared" si="0"/>
        <v>37</v>
      </c>
      <c r="AO10" s="49">
        <f t="shared" si="0"/>
        <v>38</v>
      </c>
      <c r="AP10" s="48">
        <f t="shared" si="0"/>
        <v>39</v>
      </c>
      <c r="AQ10" s="49">
        <f t="shared" si="0"/>
        <v>40</v>
      </c>
      <c r="AR10" s="49">
        <f t="shared" si="0"/>
        <v>41</v>
      </c>
      <c r="AS10" s="49">
        <f t="shared" si="0"/>
        <v>42</v>
      </c>
      <c r="AT10" s="49">
        <f t="shared" si="0"/>
        <v>43</v>
      </c>
      <c r="AU10" s="49">
        <f t="shared" si="0"/>
        <v>44</v>
      </c>
      <c r="AV10" s="49">
        <f t="shared" si="0"/>
        <v>45</v>
      </c>
      <c r="AW10" s="49">
        <f t="shared" si="0"/>
        <v>46</v>
      </c>
      <c r="AX10" s="49">
        <f t="shared" si="0"/>
        <v>47</v>
      </c>
      <c r="AY10" s="49">
        <f t="shared" si="0"/>
        <v>48</v>
      </c>
      <c r="AZ10" s="49">
        <f t="shared" si="0"/>
        <v>49</v>
      </c>
      <c r="BA10" s="49">
        <f t="shared" si="0"/>
        <v>50</v>
      </c>
      <c r="BB10" s="49">
        <f t="shared" si="0"/>
        <v>51</v>
      </c>
      <c r="BC10" s="49">
        <f t="shared" si="0"/>
        <v>52</v>
      </c>
      <c r="BD10" s="49">
        <f t="shared" si="0"/>
        <v>53</v>
      </c>
      <c r="BE10" s="48">
        <f t="shared" si="0"/>
        <v>54</v>
      </c>
      <c r="BF10" s="49">
        <f t="shared" si="0"/>
        <v>55</v>
      </c>
      <c r="BG10" s="48">
        <f t="shared" si="0"/>
        <v>56</v>
      </c>
      <c r="BH10" s="49">
        <f t="shared" si="0"/>
        <v>57</v>
      </c>
      <c r="BI10" s="49">
        <f t="shared" si="0"/>
        <v>58</v>
      </c>
      <c r="BJ10" s="49">
        <f t="shared" si="0"/>
        <v>59</v>
      </c>
      <c r="BK10" s="49">
        <f t="shared" si="0"/>
        <v>60</v>
      </c>
      <c r="BL10" s="49">
        <f t="shared" si="0"/>
        <v>61</v>
      </c>
      <c r="BM10" s="49">
        <f t="shared" si="0"/>
        <v>62</v>
      </c>
      <c r="BN10" s="49">
        <f t="shared" si="0"/>
        <v>63</v>
      </c>
      <c r="BO10" s="49">
        <f t="shared" si="0"/>
        <v>64</v>
      </c>
      <c r="BP10" s="49">
        <f t="shared" si="0"/>
        <v>65</v>
      </c>
      <c r="BQ10" s="49">
        <f t="shared" ref="BQ10:DR10" si="1">BP10+1</f>
        <v>66</v>
      </c>
      <c r="BR10" s="49">
        <f t="shared" si="1"/>
        <v>67</v>
      </c>
      <c r="BS10" s="49">
        <f t="shared" si="1"/>
        <v>68</v>
      </c>
      <c r="BT10" s="49">
        <f t="shared" si="1"/>
        <v>69</v>
      </c>
      <c r="BU10" s="49">
        <f t="shared" si="1"/>
        <v>70</v>
      </c>
      <c r="BV10" s="49">
        <f t="shared" si="1"/>
        <v>71</v>
      </c>
      <c r="BW10" s="49">
        <f t="shared" si="1"/>
        <v>72</v>
      </c>
      <c r="BX10" s="49">
        <f t="shared" si="1"/>
        <v>73</v>
      </c>
      <c r="BY10" s="49">
        <f t="shared" si="1"/>
        <v>74</v>
      </c>
      <c r="BZ10" s="49">
        <f t="shared" si="1"/>
        <v>75</v>
      </c>
      <c r="CA10" s="49">
        <f t="shared" si="1"/>
        <v>76</v>
      </c>
      <c r="CB10" s="49">
        <f t="shared" si="1"/>
        <v>77</v>
      </c>
      <c r="CC10" s="49">
        <f t="shared" si="1"/>
        <v>78</v>
      </c>
      <c r="CD10" s="49">
        <f t="shared" si="1"/>
        <v>79</v>
      </c>
      <c r="CE10" s="49">
        <f t="shared" si="1"/>
        <v>80</v>
      </c>
      <c r="CF10" s="49">
        <f t="shared" si="1"/>
        <v>81</v>
      </c>
      <c r="CG10" s="49">
        <f t="shared" si="1"/>
        <v>82</v>
      </c>
      <c r="CH10" s="49">
        <f t="shared" si="1"/>
        <v>83</v>
      </c>
      <c r="CI10" s="48">
        <f t="shared" si="1"/>
        <v>84</v>
      </c>
      <c r="CJ10" s="49">
        <f t="shared" si="1"/>
        <v>85</v>
      </c>
      <c r="CK10" s="49">
        <f t="shared" si="1"/>
        <v>86</v>
      </c>
      <c r="CL10" s="49">
        <f t="shared" si="1"/>
        <v>87</v>
      </c>
      <c r="CM10" s="49">
        <f t="shared" si="1"/>
        <v>88</v>
      </c>
      <c r="CN10" s="49">
        <f t="shared" si="1"/>
        <v>89</v>
      </c>
      <c r="CO10" s="49">
        <f t="shared" si="1"/>
        <v>90</v>
      </c>
      <c r="CP10" s="49">
        <f t="shared" si="1"/>
        <v>91</v>
      </c>
      <c r="CQ10" s="1958">
        <f t="shared" si="1"/>
        <v>92</v>
      </c>
      <c r="CR10" s="1932">
        <f t="shared" si="1"/>
        <v>93</v>
      </c>
      <c r="CS10" s="1932">
        <f t="shared" si="1"/>
        <v>94</v>
      </c>
      <c r="CT10" s="1932">
        <f t="shared" si="1"/>
        <v>95</v>
      </c>
      <c r="CU10" s="1932">
        <f t="shared" si="1"/>
        <v>96</v>
      </c>
      <c r="CV10" s="1932">
        <f t="shared" si="1"/>
        <v>97</v>
      </c>
      <c r="CW10" s="1932">
        <f t="shared" si="1"/>
        <v>98</v>
      </c>
      <c r="CX10" s="1959">
        <f t="shared" si="1"/>
        <v>99</v>
      </c>
      <c r="CY10" s="1949">
        <f t="shared" si="1"/>
        <v>100</v>
      </c>
      <c r="CZ10" s="49">
        <f t="shared" si="1"/>
        <v>101</v>
      </c>
      <c r="DA10" s="49">
        <f t="shared" si="1"/>
        <v>102</v>
      </c>
      <c r="DB10" s="49">
        <f t="shared" si="1"/>
        <v>103</v>
      </c>
      <c r="DC10" s="49">
        <f t="shared" si="1"/>
        <v>104</v>
      </c>
      <c r="DD10" s="49">
        <f t="shared" si="1"/>
        <v>105</v>
      </c>
      <c r="DE10" s="49">
        <f t="shared" si="1"/>
        <v>106</v>
      </c>
      <c r="DF10" s="49">
        <f t="shared" si="1"/>
        <v>107</v>
      </c>
      <c r="DG10" s="49">
        <f t="shared" si="1"/>
        <v>108</v>
      </c>
      <c r="DH10" s="49">
        <f t="shared" si="1"/>
        <v>109</v>
      </c>
      <c r="DI10" s="48">
        <f t="shared" si="1"/>
        <v>110</v>
      </c>
      <c r="DJ10" s="49">
        <f t="shared" si="1"/>
        <v>111</v>
      </c>
      <c r="DK10" s="49">
        <f t="shared" si="1"/>
        <v>112</v>
      </c>
      <c r="DL10" s="49">
        <f t="shared" si="1"/>
        <v>113</v>
      </c>
      <c r="DM10" s="49">
        <f t="shared" si="1"/>
        <v>114</v>
      </c>
      <c r="DN10" s="49">
        <f t="shared" si="1"/>
        <v>115</v>
      </c>
      <c r="DO10" s="49">
        <f t="shared" si="1"/>
        <v>116</v>
      </c>
      <c r="DP10" s="49">
        <f t="shared" si="1"/>
        <v>117</v>
      </c>
      <c r="DQ10" s="49">
        <f t="shared" si="1"/>
        <v>118</v>
      </c>
      <c r="DR10" s="49">
        <f t="shared" si="1"/>
        <v>119</v>
      </c>
      <c r="DS10" s="50"/>
      <c r="DT10" s="1328" t="s">
        <v>1189</v>
      </c>
      <c r="DU10" s="1329" t="s">
        <v>1190</v>
      </c>
      <c r="DV10" s="2564"/>
      <c r="DW10" s="2550">
        <f>DK10+1</f>
        <v>113</v>
      </c>
      <c r="DX10" s="2551">
        <f>DW10+1</f>
        <v>114</v>
      </c>
      <c r="DY10" s="2552">
        <f>DX10+1</f>
        <v>115</v>
      </c>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row>
    <row r="11" spans="1:245" s="146" customFormat="1" ht="15" customHeight="1" thickBot="1">
      <c r="A11" s="39"/>
      <c r="B11" s="1617"/>
      <c r="C11" s="1426">
        <v>1</v>
      </c>
      <c r="D11" s="131">
        <v>116</v>
      </c>
      <c r="E11" s="147" t="s">
        <v>972</v>
      </c>
      <c r="F11" s="148">
        <v>120</v>
      </c>
      <c r="G11" s="147" t="s">
        <v>972</v>
      </c>
      <c r="H11" s="149" t="s">
        <v>972</v>
      </c>
      <c r="I11" s="149" t="s">
        <v>972</v>
      </c>
      <c r="J11" s="149">
        <v>3</v>
      </c>
      <c r="K11" s="149" t="s">
        <v>972</v>
      </c>
      <c r="L11" s="149" t="s">
        <v>972</v>
      </c>
      <c r="M11" s="149" t="s">
        <v>972</v>
      </c>
      <c r="N11" s="149" t="s">
        <v>972</v>
      </c>
      <c r="O11" s="149" t="s">
        <v>972</v>
      </c>
      <c r="P11" s="149" t="s">
        <v>972</v>
      </c>
      <c r="Q11" s="149" t="s">
        <v>972</v>
      </c>
      <c r="R11" s="149" t="s">
        <v>972</v>
      </c>
      <c r="S11" s="149" t="s">
        <v>972</v>
      </c>
      <c r="T11" s="149" t="s">
        <v>972</v>
      </c>
      <c r="U11" s="149" t="s">
        <v>972</v>
      </c>
      <c r="V11" s="149" t="s">
        <v>972</v>
      </c>
      <c r="W11" s="147" t="s">
        <v>972</v>
      </c>
      <c r="X11" s="149" t="s">
        <v>972</v>
      </c>
      <c r="Y11" s="147" t="s">
        <v>972</v>
      </c>
      <c r="Z11" s="150">
        <v>138</v>
      </c>
      <c r="AA11" s="141">
        <v>157</v>
      </c>
      <c r="AB11" s="141" t="s">
        <v>972</v>
      </c>
      <c r="AC11" s="141" t="s">
        <v>972</v>
      </c>
      <c r="AD11" s="141">
        <v>2</v>
      </c>
      <c r="AE11" s="149" t="s">
        <v>972</v>
      </c>
      <c r="AF11" s="147" t="s">
        <v>972</v>
      </c>
      <c r="AG11" s="147" t="s">
        <v>972</v>
      </c>
      <c r="AH11" s="147" t="s">
        <v>972</v>
      </c>
      <c r="AI11" s="147" t="s">
        <v>972</v>
      </c>
      <c r="AJ11" s="147"/>
      <c r="AK11" s="147"/>
      <c r="AL11" s="147" t="s">
        <v>972</v>
      </c>
      <c r="AM11" s="147" t="s">
        <v>972</v>
      </c>
      <c r="AN11" s="141" t="s">
        <v>972</v>
      </c>
      <c r="AO11" s="141" t="s">
        <v>972</v>
      </c>
      <c r="AP11" s="150" t="s">
        <v>972</v>
      </c>
      <c r="AQ11" s="141" t="s">
        <v>972</v>
      </c>
      <c r="AR11" s="141" t="s">
        <v>972</v>
      </c>
      <c r="AS11" s="141" t="s">
        <v>972</v>
      </c>
      <c r="AT11" s="141" t="s">
        <v>972</v>
      </c>
      <c r="AU11" s="141" t="s">
        <v>972</v>
      </c>
      <c r="AV11" s="141" t="s">
        <v>972</v>
      </c>
      <c r="AW11" s="141" t="s">
        <v>972</v>
      </c>
      <c r="AX11" s="141" t="s">
        <v>972</v>
      </c>
      <c r="AY11" s="141" t="s">
        <v>972</v>
      </c>
      <c r="AZ11" s="147" t="s">
        <v>972</v>
      </c>
      <c r="BA11" s="147" t="s">
        <v>972</v>
      </c>
      <c r="BB11" s="147" t="s">
        <v>972</v>
      </c>
      <c r="BC11" s="147" t="s">
        <v>972</v>
      </c>
      <c r="BD11" s="147" t="s">
        <v>972</v>
      </c>
      <c r="BE11" s="150" t="s">
        <v>972</v>
      </c>
      <c r="BF11" s="141" t="s">
        <v>972</v>
      </c>
      <c r="BG11" s="142">
        <v>3.9E-2</v>
      </c>
      <c r="BH11" s="143" t="s">
        <v>1423</v>
      </c>
      <c r="BI11" s="147">
        <v>30.5</v>
      </c>
      <c r="BJ11" s="147">
        <v>43.2</v>
      </c>
      <c r="BK11" s="147" t="s">
        <v>972</v>
      </c>
      <c r="BL11" s="144" t="s">
        <v>972</v>
      </c>
      <c r="BM11" s="141" t="s">
        <v>972</v>
      </c>
      <c r="BN11" s="141">
        <v>0.04</v>
      </c>
      <c r="BO11" s="141" t="s">
        <v>1423</v>
      </c>
      <c r="BP11" s="147">
        <v>30</v>
      </c>
      <c r="BQ11" s="147">
        <v>40.4</v>
      </c>
      <c r="BR11" s="141" t="s">
        <v>972</v>
      </c>
      <c r="BS11" s="141" t="s">
        <v>972</v>
      </c>
      <c r="BT11" s="141" t="s">
        <v>972</v>
      </c>
      <c r="BU11" s="141" t="s">
        <v>972</v>
      </c>
      <c r="BV11" s="141" t="s">
        <v>972</v>
      </c>
      <c r="BW11" s="141" t="s">
        <v>972</v>
      </c>
      <c r="BX11" s="141" t="s">
        <v>972</v>
      </c>
      <c r="BY11" s="141" t="s">
        <v>972</v>
      </c>
      <c r="BZ11" s="141" t="s">
        <v>972</v>
      </c>
      <c r="CA11" s="141" t="s">
        <v>972</v>
      </c>
      <c r="CB11" s="143">
        <v>0.61699999999999999</v>
      </c>
      <c r="CC11" s="143">
        <v>3.25</v>
      </c>
      <c r="CD11" s="147">
        <v>8.9499999999999993</v>
      </c>
      <c r="CE11" s="147">
        <v>9.83</v>
      </c>
      <c r="CF11" s="141" t="s">
        <v>972</v>
      </c>
      <c r="CG11" s="141" t="s">
        <v>972</v>
      </c>
      <c r="CH11" s="141" t="s">
        <v>972</v>
      </c>
      <c r="CI11" s="150" t="s">
        <v>972</v>
      </c>
      <c r="CJ11" s="141" t="s">
        <v>972</v>
      </c>
      <c r="CK11" s="141" t="s">
        <v>972</v>
      </c>
      <c r="CL11" s="141" t="s">
        <v>972</v>
      </c>
      <c r="CM11" s="141" t="s">
        <v>972</v>
      </c>
      <c r="CN11" s="141" t="s">
        <v>972</v>
      </c>
      <c r="CO11" s="141" t="s">
        <v>972</v>
      </c>
      <c r="CP11" s="141" t="s">
        <v>972</v>
      </c>
      <c r="CQ11" s="1938" t="s">
        <v>972</v>
      </c>
      <c r="CR11" s="1939" t="s">
        <v>972</v>
      </c>
      <c r="CS11" s="1939" t="s">
        <v>972</v>
      </c>
      <c r="CT11" s="1939" t="s">
        <v>972</v>
      </c>
      <c r="CU11" s="1941" t="s">
        <v>972</v>
      </c>
      <c r="CV11" s="1940" t="s">
        <v>972</v>
      </c>
      <c r="CW11" s="1941" t="s">
        <v>972</v>
      </c>
      <c r="CX11" s="1942" t="s">
        <v>972</v>
      </c>
      <c r="CY11" s="1934">
        <v>7.57</v>
      </c>
      <c r="CZ11" s="141" t="s">
        <v>972</v>
      </c>
      <c r="DA11" s="141" t="s">
        <v>972</v>
      </c>
      <c r="DB11" s="141" t="s">
        <v>972</v>
      </c>
      <c r="DC11" s="141" t="s">
        <v>972</v>
      </c>
      <c r="DD11" s="141" t="s">
        <v>972</v>
      </c>
      <c r="DE11" s="141" t="s">
        <v>972</v>
      </c>
      <c r="DF11" s="141" t="s">
        <v>972</v>
      </c>
      <c r="DG11" s="141" t="s">
        <v>972</v>
      </c>
      <c r="DH11" s="141" t="s">
        <v>972</v>
      </c>
      <c r="DI11" s="145">
        <v>1.69</v>
      </c>
      <c r="DJ11" s="147">
        <v>75</v>
      </c>
      <c r="DK11" s="147">
        <v>23.5</v>
      </c>
      <c r="DL11" s="147">
        <v>74.3</v>
      </c>
      <c r="DM11" s="141" t="s">
        <v>972</v>
      </c>
      <c r="DN11" s="141" t="s">
        <v>972</v>
      </c>
      <c r="DO11" s="141">
        <v>2980</v>
      </c>
      <c r="DP11" s="147" t="s">
        <v>972</v>
      </c>
      <c r="DQ11" s="141">
        <v>180</v>
      </c>
      <c r="DR11" s="141" t="s">
        <v>972</v>
      </c>
      <c r="DS11" s="1330">
        <v>1</v>
      </c>
      <c r="DT11" s="1333" t="s">
        <v>1424</v>
      </c>
      <c r="DU11" s="1334" t="s">
        <v>1425</v>
      </c>
      <c r="DV11" s="352"/>
      <c r="DW11" s="2553">
        <v>37.04</v>
      </c>
      <c r="DX11" s="2559">
        <v>36.43</v>
      </c>
      <c r="DY11" s="2560">
        <v>10.87</v>
      </c>
    </row>
    <row r="12" spans="1:245" s="146" customFormat="1" ht="15" customHeight="1">
      <c r="A12" s="39"/>
      <c r="B12" s="1617"/>
      <c r="C12" s="1429">
        <v>2</v>
      </c>
      <c r="D12" s="131">
        <v>114</v>
      </c>
      <c r="E12" s="132" t="s">
        <v>972</v>
      </c>
      <c r="F12" s="133">
        <v>116</v>
      </c>
      <c r="G12" s="132" t="s">
        <v>972</v>
      </c>
      <c r="H12" s="134" t="s">
        <v>972</v>
      </c>
      <c r="I12" s="149" t="s">
        <v>972</v>
      </c>
      <c r="J12" s="134">
        <v>3</v>
      </c>
      <c r="K12" s="134" t="s">
        <v>972</v>
      </c>
      <c r="L12" s="134" t="s">
        <v>972</v>
      </c>
      <c r="M12" s="134" t="s">
        <v>972</v>
      </c>
      <c r="N12" s="134" t="s">
        <v>972</v>
      </c>
      <c r="O12" s="134" t="s">
        <v>972</v>
      </c>
      <c r="P12" s="134" t="s">
        <v>972</v>
      </c>
      <c r="Q12" s="134" t="s">
        <v>972</v>
      </c>
      <c r="R12" s="134" t="s">
        <v>972</v>
      </c>
      <c r="S12" s="134" t="s">
        <v>972</v>
      </c>
      <c r="T12" s="134" t="s">
        <v>972</v>
      </c>
      <c r="U12" s="134" t="s">
        <v>972</v>
      </c>
      <c r="V12" s="134" t="s">
        <v>972</v>
      </c>
      <c r="W12" s="132" t="s">
        <v>972</v>
      </c>
      <c r="X12" s="134" t="s">
        <v>972</v>
      </c>
      <c r="Y12" s="132" t="s">
        <v>972</v>
      </c>
      <c r="Z12" s="131">
        <v>137</v>
      </c>
      <c r="AA12" s="134">
        <v>143</v>
      </c>
      <c r="AB12" s="134" t="s">
        <v>972</v>
      </c>
      <c r="AC12" s="134" t="s">
        <v>972</v>
      </c>
      <c r="AD12" s="134">
        <v>2</v>
      </c>
      <c r="AE12" s="134" t="s">
        <v>972</v>
      </c>
      <c r="AF12" s="132" t="s">
        <v>972</v>
      </c>
      <c r="AG12" s="132" t="s">
        <v>972</v>
      </c>
      <c r="AH12" s="132" t="s">
        <v>972</v>
      </c>
      <c r="AI12" s="132" t="s">
        <v>972</v>
      </c>
      <c r="AJ12" s="132"/>
      <c r="AK12" s="132"/>
      <c r="AL12" s="132" t="s">
        <v>972</v>
      </c>
      <c r="AM12" s="132" t="s">
        <v>972</v>
      </c>
      <c r="AN12" s="135" t="s">
        <v>972</v>
      </c>
      <c r="AO12" s="135" t="s">
        <v>972</v>
      </c>
      <c r="AP12" s="136" t="s">
        <v>972</v>
      </c>
      <c r="AQ12" s="135" t="s">
        <v>972</v>
      </c>
      <c r="AR12" s="135" t="s">
        <v>972</v>
      </c>
      <c r="AS12" s="135" t="s">
        <v>972</v>
      </c>
      <c r="AT12" s="135" t="s">
        <v>972</v>
      </c>
      <c r="AU12" s="135" t="s">
        <v>972</v>
      </c>
      <c r="AV12" s="135" t="s">
        <v>972</v>
      </c>
      <c r="AW12" s="135" t="s">
        <v>972</v>
      </c>
      <c r="AX12" s="135" t="s">
        <v>972</v>
      </c>
      <c r="AY12" s="135" t="s">
        <v>972</v>
      </c>
      <c r="AZ12" s="132" t="s">
        <v>972</v>
      </c>
      <c r="BA12" s="132" t="s">
        <v>972</v>
      </c>
      <c r="BB12" s="132" t="s">
        <v>972</v>
      </c>
      <c r="BC12" s="132" t="s">
        <v>972</v>
      </c>
      <c r="BD12" s="132" t="s">
        <v>972</v>
      </c>
      <c r="BE12" s="136" t="s">
        <v>972</v>
      </c>
      <c r="BF12" s="135" t="s">
        <v>972</v>
      </c>
      <c r="BG12" s="137">
        <v>4.1000000000000002E-2</v>
      </c>
      <c r="BH12" s="138">
        <v>1.0999999999999999E-2</v>
      </c>
      <c r="BI12" s="132">
        <v>22</v>
      </c>
      <c r="BJ12" s="132">
        <v>36</v>
      </c>
      <c r="BK12" s="132" t="s">
        <v>972</v>
      </c>
      <c r="BL12" s="139" t="s">
        <v>972</v>
      </c>
      <c r="BM12" s="135" t="s">
        <v>972</v>
      </c>
      <c r="BN12" s="138">
        <v>4.2999999999999997E-2</v>
      </c>
      <c r="BO12" s="138" t="s">
        <v>1423</v>
      </c>
      <c r="BP12" s="132">
        <v>23.2</v>
      </c>
      <c r="BQ12" s="132">
        <v>35.4</v>
      </c>
      <c r="BR12" s="135" t="s">
        <v>972</v>
      </c>
      <c r="BS12" s="135" t="s">
        <v>972</v>
      </c>
      <c r="BT12" s="135" t="s">
        <v>972</v>
      </c>
      <c r="BU12" s="135" t="s">
        <v>972</v>
      </c>
      <c r="BV12" s="135" t="s">
        <v>972</v>
      </c>
      <c r="BW12" s="135" t="s">
        <v>972</v>
      </c>
      <c r="BX12" s="135" t="s">
        <v>972</v>
      </c>
      <c r="BY12" s="135" t="s">
        <v>972</v>
      </c>
      <c r="BZ12" s="135" t="s">
        <v>972</v>
      </c>
      <c r="CA12" s="135" t="s">
        <v>972</v>
      </c>
      <c r="CB12" s="138">
        <v>0.73599999999999999</v>
      </c>
      <c r="CC12" s="138">
        <v>4.51</v>
      </c>
      <c r="CD12" s="1622">
        <v>8.42</v>
      </c>
      <c r="CE12" s="1622">
        <v>9.81</v>
      </c>
      <c r="CF12" s="135" t="s">
        <v>972</v>
      </c>
      <c r="CG12" s="135" t="s">
        <v>972</v>
      </c>
      <c r="CH12" s="135" t="s">
        <v>972</v>
      </c>
      <c r="CI12" s="136" t="s">
        <v>972</v>
      </c>
      <c r="CJ12" s="135" t="s">
        <v>972</v>
      </c>
      <c r="CK12" s="135" t="s">
        <v>972</v>
      </c>
      <c r="CL12" s="135" t="s">
        <v>972</v>
      </c>
      <c r="CM12" s="135" t="s">
        <v>972</v>
      </c>
      <c r="CN12" s="135" t="s">
        <v>972</v>
      </c>
      <c r="CO12" s="135" t="s">
        <v>972</v>
      </c>
      <c r="CP12" s="135" t="s">
        <v>972</v>
      </c>
      <c r="CQ12" s="1467" t="s">
        <v>972</v>
      </c>
      <c r="CR12" s="135" t="s">
        <v>972</v>
      </c>
      <c r="CS12" s="135" t="s">
        <v>972</v>
      </c>
      <c r="CT12" s="135" t="s">
        <v>972</v>
      </c>
      <c r="CU12" s="134" t="s">
        <v>972</v>
      </c>
      <c r="CV12" s="132" t="s">
        <v>972</v>
      </c>
      <c r="CW12" s="134" t="s">
        <v>972</v>
      </c>
      <c r="CX12" s="1943" t="s">
        <v>972</v>
      </c>
      <c r="CY12" s="1935">
        <v>7.6</v>
      </c>
      <c r="CZ12" s="135" t="s">
        <v>972</v>
      </c>
      <c r="DA12" s="135" t="s">
        <v>972</v>
      </c>
      <c r="DB12" s="135" t="s">
        <v>972</v>
      </c>
      <c r="DC12" s="135" t="s">
        <v>972</v>
      </c>
      <c r="DD12" s="135" t="s">
        <v>972</v>
      </c>
      <c r="DE12" s="135" t="s">
        <v>972</v>
      </c>
      <c r="DF12" s="135" t="s">
        <v>972</v>
      </c>
      <c r="DG12" s="135" t="s">
        <v>972</v>
      </c>
      <c r="DH12" s="135" t="s">
        <v>972</v>
      </c>
      <c r="DI12" s="140">
        <v>1.7</v>
      </c>
      <c r="DJ12" s="132">
        <v>73.5</v>
      </c>
      <c r="DK12" s="132">
        <v>22.2</v>
      </c>
      <c r="DL12" s="132">
        <v>74.5</v>
      </c>
      <c r="DM12" s="135" t="s">
        <v>972</v>
      </c>
      <c r="DN12" s="135" t="s">
        <v>972</v>
      </c>
      <c r="DO12" s="135">
        <v>3120</v>
      </c>
      <c r="DP12" s="132" t="s">
        <v>972</v>
      </c>
      <c r="DQ12" s="135">
        <v>242</v>
      </c>
      <c r="DR12" s="135" t="s">
        <v>972</v>
      </c>
      <c r="DS12" s="1331">
        <v>2</v>
      </c>
      <c r="DT12" s="1335" t="s">
        <v>1424</v>
      </c>
      <c r="DU12" s="1336" t="s">
        <v>1425</v>
      </c>
      <c r="DV12" s="2557"/>
      <c r="DW12" s="2554">
        <v>26.71</v>
      </c>
      <c r="DX12" s="2558">
        <v>28.17</v>
      </c>
      <c r="DY12" s="2561">
        <v>10.220000000000001</v>
      </c>
    </row>
    <row r="13" spans="1:245" s="146" customFormat="1" ht="15" customHeight="1">
      <c r="A13" s="39"/>
      <c r="B13" s="1617"/>
      <c r="C13" s="1429">
        <v>3</v>
      </c>
      <c r="D13" s="131">
        <v>130</v>
      </c>
      <c r="E13" s="132" t="s">
        <v>972</v>
      </c>
      <c r="F13" s="133">
        <v>132</v>
      </c>
      <c r="G13" s="132" t="s">
        <v>972</v>
      </c>
      <c r="H13" s="134">
        <v>72</v>
      </c>
      <c r="I13" s="134">
        <v>70</v>
      </c>
      <c r="J13" s="134">
        <v>3</v>
      </c>
      <c r="K13" s="134" t="s">
        <v>972</v>
      </c>
      <c r="L13" s="134">
        <v>2530</v>
      </c>
      <c r="M13" s="134">
        <v>3130</v>
      </c>
      <c r="N13" s="134">
        <v>2310</v>
      </c>
      <c r="O13" s="134">
        <v>2630</v>
      </c>
      <c r="P13" s="134">
        <v>2660</v>
      </c>
      <c r="Q13" s="134">
        <v>3330</v>
      </c>
      <c r="R13" s="134">
        <v>2610</v>
      </c>
      <c r="S13" s="134">
        <v>2790</v>
      </c>
      <c r="T13" s="134">
        <v>2340</v>
      </c>
      <c r="U13" s="134">
        <v>2510</v>
      </c>
      <c r="V13" s="134">
        <v>5360</v>
      </c>
      <c r="W13" s="132" t="s">
        <v>972</v>
      </c>
      <c r="X13" s="134">
        <v>4340</v>
      </c>
      <c r="Y13" s="132" t="s">
        <v>972</v>
      </c>
      <c r="Z13" s="131">
        <v>153</v>
      </c>
      <c r="AA13" s="134">
        <v>164</v>
      </c>
      <c r="AB13" s="134" t="s">
        <v>972</v>
      </c>
      <c r="AC13" s="134" t="s">
        <v>972</v>
      </c>
      <c r="AD13" s="134">
        <v>2</v>
      </c>
      <c r="AE13" s="134" t="s">
        <v>972</v>
      </c>
      <c r="AF13" s="132" t="s">
        <v>972</v>
      </c>
      <c r="AG13" s="132" t="s">
        <v>972</v>
      </c>
      <c r="AH13" s="132" t="s">
        <v>972</v>
      </c>
      <c r="AI13" s="132" t="s">
        <v>972</v>
      </c>
      <c r="AJ13" s="132"/>
      <c r="AK13" s="132"/>
      <c r="AL13" s="132" t="s">
        <v>972</v>
      </c>
      <c r="AM13" s="132" t="s">
        <v>972</v>
      </c>
      <c r="AN13" s="135" t="s">
        <v>972</v>
      </c>
      <c r="AO13" s="135" t="s">
        <v>972</v>
      </c>
      <c r="AP13" s="136" t="s">
        <v>972</v>
      </c>
      <c r="AQ13" s="135" t="s">
        <v>972</v>
      </c>
      <c r="AR13" s="135" t="s">
        <v>972</v>
      </c>
      <c r="AS13" s="135" t="s">
        <v>972</v>
      </c>
      <c r="AT13" s="135" t="s">
        <v>972</v>
      </c>
      <c r="AU13" s="135" t="s">
        <v>972</v>
      </c>
      <c r="AV13" s="135" t="s">
        <v>972</v>
      </c>
      <c r="AW13" s="135" t="s">
        <v>972</v>
      </c>
      <c r="AX13" s="135" t="s">
        <v>972</v>
      </c>
      <c r="AY13" s="135" t="s">
        <v>972</v>
      </c>
      <c r="AZ13" s="132" t="s">
        <v>972</v>
      </c>
      <c r="BA13" s="132" t="s">
        <v>972</v>
      </c>
      <c r="BB13" s="132" t="s">
        <v>972</v>
      </c>
      <c r="BC13" s="132" t="s">
        <v>972</v>
      </c>
      <c r="BD13" s="132" t="s">
        <v>972</v>
      </c>
      <c r="BE13" s="136" t="s">
        <v>972</v>
      </c>
      <c r="BF13" s="135" t="s">
        <v>972</v>
      </c>
      <c r="BG13" s="137">
        <v>5.2999999999999999E-2</v>
      </c>
      <c r="BH13" s="138">
        <v>1.4E-2</v>
      </c>
      <c r="BI13" s="132">
        <v>25.2</v>
      </c>
      <c r="BJ13" s="132">
        <v>38.200000000000003</v>
      </c>
      <c r="BK13" s="132" t="s">
        <v>972</v>
      </c>
      <c r="BL13" s="139" t="s">
        <v>972</v>
      </c>
      <c r="BM13" s="135" t="s">
        <v>972</v>
      </c>
      <c r="BN13" s="138">
        <v>5.1999999999999998E-2</v>
      </c>
      <c r="BO13" s="138" t="s">
        <v>1423</v>
      </c>
      <c r="BP13" s="132">
        <v>24.6</v>
      </c>
      <c r="BQ13" s="132">
        <v>38</v>
      </c>
      <c r="BR13" s="135" t="s">
        <v>972</v>
      </c>
      <c r="BS13" s="139" t="s">
        <v>972</v>
      </c>
      <c r="BT13" s="135" t="s">
        <v>972</v>
      </c>
      <c r="BU13" s="135" t="s">
        <v>972</v>
      </c>
      <c r="BV13" s="135" t="s">
        <v>972</v>
      </c>
      <c r="BW13" s="135" t="s">
        <v>972</v>
      </c>
      <c r="BX13" s="135" t="s">
        <v>972</v>
      </c>
      <c r="BY13" s="139" t="s">
        <v>972</v>
      </c>
      <c r="BZ13" s="135" t="s">
        <v>972</v>
      </c>
      <c r="CA13" s="135" t="s">
        <v>972</v>
      </c>
      <c r="CB13" s="138">
        <v>0.63900000000000001</v>
      </c>
      <c r="CC13" s="138">
        <v>3.37</v>
      </c>
      <c r="CD13" s="132">
        <v>9.14</v>
      </c>
      <c r="CE13" s="132">
        <v>10.8</v>
      </c>
      <c r="CF13" s="135" t="s">
        <v>972</v>
      </c>
      <c r="CG13" s="135" t="s">
        <v>972</v>
      </c>
      <c r="CH13" s="135" t="s">
        <v>972</v>
      </c>
      <c r="CI13" s="136" t="s">
        <v>972</v>
      </c>
      <c r="CJ13" s="135" t="s">
        <v>972</v>
      </c>
      <c r="CK13" s="135" t="s">
        <v>972</v>
      </c>
      <c r="CL13" s="135" t="s">
        <v>972</v>
      </c>
      <c r="CM13" s="135" t="s">
        <v>972</v>
      </c>
      <c r="CN13" s="135" t="s">
        <v>972</v>
      </c>
      <c r="CO13" s="135" t="s">
        <v>972</v>
      </c>
      <c r="CP13" s="135" t="s">
        <v>972</v>
      </c>
      <c r="CQ13" s="1467" t="s">
        <v>972</v>
      </c>
      <c r="CR13" s="135" t="s">
        <v>972</v>
      </c>
      <c r="CS13" s="135" t="s">
        <v>972</v>
      </c>
      <c r="CT13" s="135" t="s">
        <v>972</v>
      </c>
      <c r="CU13" s="134" t="s">
        <v>972</v>
      </c>
      <c r="CV13" s="132" t="s">
        <v>972</v>
      </c>
      <c r="CW13" s="134" t="s">
        <v>972</v>
      </c>
      <c r="CX13" s="1943" t="s">
        <v>972</v>
      </c>
      <c r="CY13" s="1935">
        <v>7.6</v>
      </c>
      <c r="CZ13" s="135" t="s">
        <v>972</v>
      </c>
      <c r="DA13" s="135" t="s">
        <v>972</v>
      </c>
      <c r="DB13" s="135" t="s">
        <v>972</v>
      </c>
      <c r="DC13" s="135" t="s">
        <v>972</v>
      </c>
      <c r="DD13" s="135" t="s">
        <v>972</v>
      </c>
      <c r="DE13" s="135" t="s">
        <v>972</v>
      </c>
      <c r="DF13" s="135" t="s">
        <v>972</v>
      </c>
      <c r="DG13" s="135" t="s">
        <v>972</v>
      </c>
      <c r="DH13" s="135" t="s">
        <v>972</v>
      </c>
      <c r="DI13" s="140">
        <v>1.8</v>
      </c>
      <c r="DJ13" s="132">
        <v>70.7</v>
      </c>
      <c r="DK13" s="132">
        <v>23.9</v>
      </c>
      <c r="DL13" s="132">
        <v>74.7</v>
      </c>
      <c r="DM13" s="135" t="s">
        <v>972</v>
      </c>
      <c r="DN13" s="135" t="s">
        <v>972</v>
      </c>
      <c r="DO13" s="135">
        <v>3320</v>
      </c>
      <c r="DP13" s="132" t="s">
        <v>972</v>
      </c>
      <c r="DQ13" s="135">
        <v>164</v>
      </c>
      <c r="DR13" s="135" t="s">
        <v>972</v>
      </c>
      <c r="DS13" s="1332">
        <v>3</v>
      </c>
      <c r="DT13" s="1335" t="s">
        <v>1424</v>
      </c>
      <c r="DU13" s="1336" t="s">
        <v>1425</v>
      </c>
      <c r="DV13" s="2557"/>
      <c r="DW13" s="2554">
        <v>30.6</v>
      </c>
      <c r="DX13" s="2558">
        <v>29.87</v>
      </c>
      <c r="DY13" s="2561">
        <v>11.1</v>
      </c>
    </row>
    <row r="14" spans="1:245" s="146" customFormat="1" ht="15" customHeight="1">
      <c r="A14" s="39"/>
      <c r="B14" s="1617"/>
      <c r="C14" s="1429">
        <v>4</v>
      </c>
      <c r="D14" s="131">
        <v>133</v>
      </c>
      <c r="E14" s="132">
        <v>83.5</v>
      </c>
      <c r="F14" s="133">
        <v>152</v>
      </c>
      <c r="G14" s="132">
        <v>84.2</v>
      </c>
      <c r="H14" s="134">
        <v>68</v>
      </c>
      <c r="I14" s="134">
        <v>86</v>
      </c>
      <c r="J14" s="134">
        <v>5</v>
      </c>
      <c r="K14" s="134">
        <v>160</v>
      </c>
      <c r="L14" s="134">
        <v>3380</v>
      </c>
      <c r="M14" s="134">
        <v>3040</v>
      </c>
      <c r="N14" s="134">
        <v>3130</v>
      </c>
      <c r="O14" s="134">
        <v>2330</v>
      </c>
      <c r="P14" s="134">
        <v>2380</v>
      </c>
      <c r="Q14" s="134">
        <v>4120</v>
      </c>
      <c r="R14" s="134">
        <v>4380</v>
      </c>
      <c r="S14" s="134">
        <v>3760</v>
      </c>
      <c r="T14" s="134">
        <v>3160</v>
      </c>
      <c r="U14" s="134">
        <v>3420</v>
      </c>
      <c r="V14" s="134">
        <v>5480</v>
      </c>
      <c r="W14" s="132">
        <v>83.6</v>
      </c>
      <c r="X14" s="134">
        <v>5980</v>
      </c>
      <c r="Y14" s="132">
        <v>84.6</v>
      </c>
      <c r="Z14" s="131">
        <v>327</v>
      </c>
      <c r="AA14" s="134">
        <v>141</v>
      </c>
      <c r="AB14" s="134">
        <v>92</v>
      </c>
      <c r="AC14" s="134">
        <v>93</v>
      </c>
      <c r="AD14" s="134">
        <v>2</v>
      </c>
      <c r="AE14" s="134">
        <v>3940</v>
      </c>
      <c r="AF14" s="132">
        <v>2.84</v>
      </c>
      <c r="AG14" s="132">
        <v>84.7</v>
      </c>
      <c r="AH14" s="132">
        <v>1.88</v>
      </c>
      <c r="AI14" s="132">
        <v>72.3</v>
      </c>
      <c r="AJ14" s="132"/>
      <c r="AK14" s="132"/>
      <c r="AL14" s="132" t="s">
        <v>972</v>
      </c>
      <c r="AM14" s="132" t="s">
        <v>972</v>
      </c>
      <c r="AN14" s="135" t="s">
        <v>972</v>
      </c>
      <c r="AO14" s="135" t="s">
        <v>972</v>
      </c>
      <c r="AP14" s="136">
        <v>150</v>
      </c>
      <c r="AQ14" s="135" t="s">
        <v>972</v>
      </c>
      <c r="AR14" s="135">
        <v>240</v>
      </c>
      <c r="AS14" s="135">
        <v>180</v>
      </c>
      <c r="AT14" s="135">
        <v>100</v>
      </c>
      <c r="AU14" s="135">
        <v>2500</v>
      </c>
      <c r="AV14" s="135" t="s">
        <v>972</v>
      </c>
      <c r="AW14" s="135">
        <v>2400</v>
      </c>
      <c r="AX14" s="135">
        <v>2600</v>
      </c>
      <c r="AY14" s="135">
        <v>2700</v>
      </c>
      <c r="AZ14" s="132">
        <v>7</v>
      </c>
      <c r="BA14" s="132" t="s">
        <v>972</v>
      </c>
      <c r="BB14" s="132">
        <v>6.85</v>
      </c>
      <c r="BC14" s="132">
        <v>7</v>
      </c>
      <c r="BD14" s="132">
        <v>7.1</v>
      </c>
      <c r="BE14" s="136" t="s">
        <v>972</v>
      </c>
      <c r="BF14" s="135" t="s">
        <v>972</v>
      </c>
      <c r="BG14" s="137">
        <v>3.6999999999999998E-2</v>
      </c>
      <c r="BH14" s="138">
        <v>2.9000000000000001E-2</v>
      </c>
      <c r="BI14" s="132">
        <v>26.4</v>
      </c>
      <c r="BJ14" s="132">
        <v>46.3</v>
      </c>
      <c r="BK14" s="132" t="s">
        <v>972</v>
      </c>
      <c r="BL14" s="139" t="s">
        <v>972</v>
      </c>
      <c r="BM14" s="135" t="s">
        <v>972</v>
      </c>
      <c r="BN14" s="138">
        <v>0.04</v>
      </c>
      <c r="BO14" s="138" t="s">
        <v>1423</v>
      </c>
      <c r="BP14" s="132">
        <v>26.4</v>
      </c>
      <c r="BQ14" s="132">
        <v>40.799999999999997</v>
      </c>
      <c r="BR14" s="135" t="s">
        <v>972</v>
      </c>
      <c r="BS14" s="135" t="s">
        <v>972</v>
      </c>
      <c r="BT14" s="135" t="s">
        <v>972</v>
      </c>
      <c r="BU14" s="135" t="s">
        <v>972</v>
      </c>
      <c r="BV14" s="135" t="s">
        <v>972</v>
      </c>
      <c r="BW14" s="135" t="s">
        <v>972</v>
      </c>
      <c r="BX14" s="135" t="s">
        <v>972</v>
      </c>
      <c r="BY14" s="135" t="s">
        <v>972</v>
      </c>
      <c r="BZ14" s="135" t="s">
        <v>972</v>
      </c>
      <c r="CA14" s="135" t="s">
        <v>972</v>
      </c>
      <c r="CB14" s="138">
        <v>0.64700000000000002</v>
      </c>
      <c r="CC14" s="138">
        <v>3.47</v>
      </c>
      <c r="CD14" s="132">
        <v>8.49</v>
      </c>
      <c r="CE14" s="132">
        <v>10.7</v>
      </c>
      <c r="CF14" s="135" t="s">
        <v>972</v>
      </c>
      <c r="CG14" s="135" t="s">
        <v>972</v>
      </c>
      <c r="CH14" s="135" t="s">
        <v>972</v>
      </c>
      <c r="CI14" s="136" t="s">
        <v>972</v>
      </c>
      <c r="CJ14" s="135" t="s">
        <v>972</v>
      </c>
      <c r="CK14" s="135" t="s">
        <v>972</v>
      </c>
      <c r="CL14" s="135" t="s">
        <v>972</v>
      </c>
      <c r="CM14" s="135" t="s">
        <v>972</v>
      </c>
      <c r="CN14" s="135" t="s">
        <v>972</v>
      </c>
      <c r="CO14" s="135" t="s">
        <v>972</v>
      </c>
      <c r="CP14" s="135" t="s">
        <v>972</v>
      </c>
      <c r="CQ14" s="1467">
        <v>34.4</v>
      </c>
      <c r="CR14" s="135">
        <v>41.9</v>
      </c>
      <c r="CS14" s="135">
        <v>48</v>
      </c>
      <c r="CT14" s="135">
        <v>34</v>
      </c>
      <c r="CU14" s="134">
        <v>4280</v>
      </c>
      <c r="CV14" s="132">
        <v>5.67</v>
      </c>
      <c r="CW14" s="134" t="s">
        <v>972</v>
      </c>
      <c r="CX14" s="1943" t="s">
        <v>972</v>
      </c>
      <c r="CY14" s="1935" t="s">
        <v>972</v>
      </c>
      <c r="CZ14" s="135" t="s">
        <v>972</v>
      </c>
      <c r="DA14" s="135" t="s">
        <v>972</v>
      </c>
      <c r="DB14" s="135" t="s">
        <v>972</v>
      </c>
      <c r="DC14" s="135" t="s">
        <v>972</v>
      </c>
      <c r="DD14" s="135" t="s">
        <v>972</v>
      </c>
      <c r="DE14" s="135" t="s">
        <v>972</v>
      </c>
      <c r="DF14" s="135" t="s">
        <v>972</v>
      </c>
      <c r="DG14" s="135" t="s">
        <v>972</v>
      </c>
      <c r="DH14" s="135" t="s">
        <v>972</v>
      </c>
      <c r="DI14" s="140" t="s">
        <v>972</v>
      </c>
      <c r="DJ14" s="132" t="s">
        <v>972</v>
      </c>
      <c r="DK14" s="132" t="s">
        <v>972</v>
      </c>
      <c r="DL14" s="132" t="s">
        <v>972</v>
      </c>
      <c r="DM14" s="135" t="s">
        <v>972</v>
      </c>
      <c r="DN14" s="135" t="s">
        <v>972</v>
      </c>
      <c r="DO14" s="135" t="s">
        <v>972</v>
      </c>
      <c r="DP14" s="132" t="s">
        <v>972</v>
      </c>
      <c r="DQ14" s="135" t="s">
        <v>972</v>
      </c>
      <c r="DR14" s="135" t="s">
        <v>972</v>
      </c>
      <c r="DS14" s="1332">
        <v>4</v>
      </c>
      <c r="DT14" s="1335" t="s">
        <v>1424</v>
      </c>
      <c r="DU14" s="1336" t="s">
        <v>1425</v>
      </c>
      <c r="DV14" s="2557"/>
      <c r="DW14" s="2554">
        <v>32.06</v>
      </c>
      <c r="DX14" s="2558">
        <v>32.06</v>
      </c>
      <c r="DY14" s="2561">
        <v>10.31</v>
      </c>
    </row>
    <row r="15" spans="1:245" s="146" customFormat="1" ht="15" customHeight="1">
      <c r="A15" s="39"/>
      <c r="B15" s="1617"/>
      <c r="C15" s="1429">
        <v>5</v>
      </c>
      <c r="D15" s="131">
        <v>132</v>
      </c>
      <c r="E15" s="132" t="s">
        <v>972</v>
      </c>
      <c r="F15" s="133">
        <v>126</v>
      </c>
      <c r="G15" s="132" t="s">
        <v>972</v>
      </c>
      <c r="H15" s="134">
        <v>48</v>
      </c>
      <c r="I15" s="134">
        <v>82</v>
      </c>
      <c r="J15" s="134">
        <v>5</v>
      </c>
      <c r="K15" s="134">
        <v>210</v>
      </c>
      <c r="L15" s="134">
        <v>3360</v>
      </c>
      <c r="M15" s="134">
        <v>3330</v>
      </c>
      <c r="N15" s="134">
        <v>2680</v>
      </c>
      <c r="O15" s="134">
        <v>2430</v>
      </c>
      <c r="P15" s="134">
        <v>2560</v>
      </c>
      <c r="Q15" s="134">
        <v>4210</v>
      </c>
      <c r="R15" s="134">
        <v>4730</v>
      </c>
      <c r="S15" s="134">
        <v>3990</v>
      </c>
      <c r="T15" s="134">
        <v>3360</v>
      </c>
      <c r="U15" s="134">
        <v>3530</v>
      </c>
      <c r="V15" s="134">
        <v>6160</v>
      </c>
      <c r="W15" s="132" t="s">
        <v>972</v>
      </c>
      <c r="X15" s="134">
        <v>4740</v>
      </c>
      <c r="Y15" s="132" t="s">
        <v>972</v>
      </c>
      <c r="Z15" s="131">
        <v>140</v>
      </c>
      <c r="AA15" s="134">
        <v>166</v>
      </c>
      <c r="AB15" s="134">
        <v>72</v>
      </c>
      <c r="AC15" s="134">
        <v>204</v>
      </c>
      <c r="AD15" s="134">
        <v>3</v>
      </c>
      <c r="AE15" s="134">
        <v>2200</v>
      </c>
      <c r="AF15" s="132">
        <v>2.89</v>
      </c>
      <c r="AG15" s="132">
        <v>84.9</v>
      </c>
      <c r="AH15" s="132">
        <v>1.72</v>
      </c>
      <c r="AI15" s="132">
        <v>73.8</v>
      </c>
      <c r="AJ15" s="132"/>
      <c r="AK15" s="132"/>
      <c r="AL15" s="132" t="s">
        <v>972</v>
      </c>
      <c r="AM15" s="132" t="s">
        <v>972</v>
      </c>
      <c r="AN15" s="135" t="s">
        <v>972</v>
      </c>
      <c r="AO15" s="135" t="s">
        <v>972</v>
      </c>
      <c r="AP15" s="136" t="s">
        <v>972</v>
      </c>
      <c r="AQ15" s="135" t="s">
        <v>972</v>
      </c>
      <c r="AR15" s="135" t="s">
        <v>972</v>
      </c>
      <c r="AS15" s="135" t="s">
        <v>972</v>
      </c>
      <c r="AT15" s="135" t="s">
        <v>972</v>
      </c>
      <c r="AU15" s="135" t="s">
        <v>972</v>
      </c>
      <c r="AV15" s="135" t="s">
        <v>972</v>
      </c>
      <c r="AW15" s="135" t="s">
        <v>972</v>
      </c>
      <c r="AX15" s="135" t="s">
        <v>972</v>
      </c>
      <c r="AY15" s="135" t="s">
        <v>972</v>
      </c>
      <c r="AZ15" s="132" t="s">
        <v>972</v>
      </c>
      <c r="BA15" s="132" t="s">
        <v>972</v>
      </c>
      <c r="BB15" s="132" t="s">
        <v>972</v>
      </c>
      <c r="BC15" s="132" t="s">
        <v>972</v>
      </c>
      <c r="BD15" s="132" t="s">
        <v>972</v>
      </c>
      <c r="BE15" s="136">
        <v>92</v>
      </c>
      <c r="BF15" s="135">
        <v>191</v>
      </c>
      <c r="BG15" s="137">
        <v>2.5000000000000001E-2</v>
      </c>
      <c r="BH15" s="138">
        <v>2.4E-2</v>
      </c>
      <c r="BI15" s="132">
        <v>25.4</v>
      </c>
      <c r="BJ15" s="132">
        <v>40.4</v>
      </c>
      <c r="BK15" s="132" t="s">
        <v>972</v>
      </c>
      <c r="BL15" s="139" t="s">
        <v>972</v>
      </c>
      <c r="BM15" s="135" t="s">
        <v>972</v>
      </c>
      <c r="BN15" s="138">
        <v>3.2000000000000001E-2</v>
      </c>
      <c r="BO15" s="138" t="s">
        <v>1423</v>
      </c>
      <c r="BP15" s="132">
        <v>25.7</v>
      </c>
      <c r="BQ15" s="132">
        <v>39.299999999999997</v>
      </c>
      <c r="BR15" s="135" t="s">
        <v>972</v>
      </c>
      <c r="BS15" s="135" t="s">
        <v>972</v>
      </c>
      <c r="BT15" s="135" t="s">
        <v>972</v>
      </c>
      <c r="BU15" s="135" t="s">
        <v>972</v>
      </c>
      <c r="BV15" s="135" t="s">
        <v>972</v>
      </c>
      <c r="BW15" s="135" t="s">
        <v>972</v>
      </c>
      <c r="BX15" s="135" t="s">
        <v>972</v>
      </c>
      <c r="BY15" s="135" t="s">
        <v>972</v>
      </c>
      <c r="BZ15" s="135" t="s">
        <v>972</v>
      </c>
      <c r="CA15" s="135" t="s">
        <v>972</v>
      </c>
      <c r="CB15" s="138">
        <v>0.71599999999999997</v>
      </c>
      <c r="CC15" s="138">
        <v>4.55</v>
      </c>
      <c r="CD15" s="132">
        <v>6.92</v>
      </c>
      <c r="CE15" s="132">
        <v>8.57</v>
      </c>
      <c r="CF15" s="135" t="s">
        <v>972</v>
      </c>
      <c r="CG15" s="135" t="s">
        <v>972</v>
      </c>
      <c r="CH15" s="135" t="s">
        <v>972</v>
      </c>
      <c r="CI15" s="136" t="s">
        <v>972</v>
      </c>
      <c r="CJ15" s="135" t="s">
        <v>972</v>
      </c>
      <c r="CK15" s="135" t="s">
        <v>972</v>
      </c>
      <c r="CL15" s="135" t="s">
        <v>972</v>
      </c>
      <c r="CM15" s="135" t="s">
        <v>972</v>
      </c>
      <c r="CN15" s="135" t="s">
        <v>972</v>
      </c>
      <c r="CO15" s="135" t="s">
        <v>972</v>
      </c>
      <c r="CP15" s="135" t="s">
        <v>972</v>
      </c>
      <c r="CQ15" s="1467" t="s">
        <v>972</v>
      </c>
      <c r="CR15" s="135" t="s">
        <v>972</v>
      </c>
      <c r="CS15" s="135" t="s">
        <v>972</v>
      </c>
      <c r="CT15" s="135" t="s">
        <v>972</v>
      </c>
      <c r="CU15" s="134" t="s">
        <v>972</v>
      </c>
      <c r="CV15" s="132" t="s">
        <v>972</v>
      </c>
      <c r="CW15" s="134" t="s">
        <v>972</v>
      </c>
      <c r="CX15" s="1943" t="s">
        <v>972</v>
      </c>
      <c r="CY15" s="1935" t="s">
        <v>972</v>
      </c>
      <c r="CZ15" s="135" t="s">
        <v>972</v>
      </c>
      <c r="DA15" s="135" t="s">
        <v>972</v>
      </c>
      <c r="DB15" s="135" t="s">
        <v>972</v>
      </c>
      <c r="DC15" s="135" t="s">
        <v>972</v>
      </c>
      <c r="DD15" s="135" t="s">
        <v>972</v>
      </c>
      <c r="DE15" s="135" t="s">
        <v>972</v>
      </c>
      <c r="DF15" s="135" t="s">
        <v>972</v>
      </c>
      <c r="DG15" s="135" t="s">
        <v>972</v>
      </c>
      <c r="DH15" s="135" t="s">
        <v>972</v>
      </c>
      <c r="DI15" s="140" t="s">
        <v>972</v>
      </c>
      <c r="DJ15" s="132" t="s">
        <v>972</v>
      </c>
      <c r="DK15" s="132" t="s">
        <v>972</v>
      </c>
      <c r="DL15" s="132" t="s">
        <v>972</v>
      </c>
      <c r="DM15" s="135" t="s">
        <v>972</v>
      </c>
      <c r="DN15" s="135" t="s">
        <v>972</v>
      </c>
      <c r="DO15" s="135" t="s">
        <v>972</v>
      </c>
      <c r="DP15" s="132" t="s">
        <v>972</v>
      </c>
      <c r="DQ15" s="135" t="s">
        <v>972</v>
      </c>
      <c r="DR15" s="135" t="s">
        <v>972</v>
      </c>
      <c r="DS15" s="1332">
        <v>5</v>
      </c>
      <c r="DT15" s="1335" t="s">
        <v>1424</v>
      </c>
      <c r="DU15" s="1336" t="s">
        <v>1425</v>
      </c>
      <c r="DV15" s="2557"/>
      <c r="DW15" s="2554">
        <v>30.84</v>
      </c>
      <c r="DX15" s="2558">
        <v>31.21</v>
      </c>
      <c r="DY15" s="2561">
        <v>8.4</v>
      </c>
    </row>
    <row r="16" spans="1:245" s="146" customFormat="1" ht="15" customHeight="1">
      <c r="A16" s="39"/>
      <c r="B16" s="1617"/>
      <c r="C16" s="1429">
        <v>6</v>
      </c>
      <c r="D16" s="131">
        <v>238</v>
      </c>
      <c r="E16" s="132">
        <v>80.7</v>
      </c>
      <c r="F16" s="133">
        <v>184</v>
      </c>
      <c r="G16" s="132">
        <v>80.400000000000006</v>
      </c>
      <c r="H16" s="134">
        <v>48</v>
      </c>
      <c r="I16" s="134">
        <v>108</v>
      </c>
      <c r="J16" s="134">
        <v>4</v>
      </c>
      <c r="K16" s="134">
        <v>102</v>
      </c>
      <c r="L16" s="134">
        <v>3290</v>
      </c>
      <c r="M16" s="134">
        <v>3260</v>
      </c>
      <c r="N16" s="134">
        <v>2680</v>
      </c>
      <c r="O16" s="134">
        <v>2780</v>
      </c>
      <c r="P16" s="134">
        <v>2880</v>
      </c>
      <c r="Q16" s="134">
        <v>3890</v>
      </c>
      <c r="R16" s="134">
        <v>4120</v>
      </c>
      <c r="S16" s="134">
        <v>3490</v>
      </c>
      <c r="T16" s="134">
        <v>3660</v>
      </c>
      <c r="U16" s="134">
        <v>4130</v>
      </c>
      <c r="V16" s="134">
        <v>5500</v>
      </c>
      <c r="W16" s="132">
        <v>80</v>
      </c>
      <c r="X16" s="134">
        <v>5140</v>
      </c>
      <c r="Y16" s="132">
        <v>79</v>
      </c>
      <c r="Z16" s="131">
        <v>177</v>
      </c>
      <c r="AA16" s="134">
        <v>174</v>
      </c>
      <c r="AB16" s="134">
        <v>98</v>
      </c>
      <c r="AC16" s="134">
        <v>171</v>
      </c>
      <c r="AD16" s="134">
        <v>3</v>
      </c>
      <c r="AE16" s="134">
        <v>1680</v>
      </c>
      <c r="AF16" s="132">
        <v>2.83</v>
      </c>
      <c r="AG16" s="132">
        <v>83.8</v>
      </c>
      <c r="AH16" s="132">
        <v>1.8</v>
      </c>
      <c r="AI16" s="132">
        <v>73.5</v>
      </c>
      <c r="AJ16" s="132"/>
      <c r="AK16" s="132"/>
      <c r="AL16" s="132" t="s">
        <v>972</v>
      </c>
      <c r="AM16" s="132" t="s">
        <v>972</v>
      </c>
      <c r="AN16" s="135" t="s">
        <v>972</v>
      </c>
      <c r="AO16" s="135" t="s">
        <v>972</v>
      </c>
      <c r="AP16" s="136" t="s">
        <v>972</v>
      </c>
      <c r="AQ16" s="135" t="s">
        <v>972</v>
      </c>
      <c r="AR16" s="135" t="s">
        <v>972</v>
      </c>
      <c r="AS16" s="135" t="s">
        <v>972</v>
      </c>
      <c r="AT16" s="135" t="s">
        <v>972</v>
      </c>
      <c r="AU16" s="135" t="s">
        <v>972</v>
      </c>
      <c r="AV16" s="135" t="s">
        <v>972</v>
      </c>
      <c r="AW16" s="135" t="s">
        <v>972</v>
      </c>
      <c r="AX16" s="135" t="s">
        <v>972</v>
      </c>
      <c r="AY16" s="135" t="s">
        <v>972</v>
      </c>
      <c r="AZ16" s="132" t="s">
        <v>972</v>
      </c>
      <c r="BA16" s="132" t="s">
        <v>972</v>
      </c>
      <c r="BB16" s="132" t="s">
        <v>972</v>
      </c>
      <c r="BC16" s="132" t="s">
        <v>972</v>
      </c>
      <c r="BD16" s="132" t="s">
        <v>972</v>
      </c>
      <c r="BE16" s="136" t="s">
        <v>972</v>
      </c>
      <c r="BF16" s="135" t="s">
        <v>972</v>
      </c>
      <c r="BG16" s="137">
        <v>2.8000000000000001E-2</v>
      </c>
      <c r="BH16" s="138">
        <v>5.7000000000000002E-2</v>
      </c>
      <c r="BI16" s="132">
        <v>26.4</v>
      </c>
      <c r="BJ16" s="132">
        <v>39.200000000000003</v>
      </c>
      <c r="BK16" s="132">
        <v>2.87</v>
      </c>
      <c r="BL16" s="139">
        <v>5.08</v>
      </c>
      <c r="BM16" s="135">
        <v>377</v>
      </c>
      <c r="BN16" s="138">
        <v>2.8000000000000001E-2</v>
      </c>
      <c r="BO16" s="138">
        <v>4.2000000000000003E-2</v>
      </c>
      <c r="BP16" s="132">
        <v>25.7</v>
      </c>
      <c r="BQ16" s="132">
        <v>36.6</v>
      </c>
      <c r="BR16" s="135">
        <v>2.83</v>
      </c>
      <c r="BS16" s="135">
        <v>4.63</v>
      </c>
      <c r="BT16" s="135">
        <v>389</v>
      </c>
      <c r="BU16" s="135">
        <v>3.1E-2</v>
      </c>
      <c r="BV16" s="135">
        <v>0.74</v>
      </c>
      <c r="BW16" s="135">
        <v>25.02</v>
      </c>
      <c r="BX16" s="135">
        <v>34.9</v>
      </c>
      <c r="BY16" s="135">
        <v>3.52</v>
      </c>
      <c r="BZ16" s="135">
        <v>5.6</v>
      </c>
      <c r="CA16" s="135">
        <v>346</v>
      </c>
      <c r="CB16" s="138">
        <v>0.67100000000000004</v>
      </c>
      <c r="CC16" s="138">
        <v>4.43</v>
      </c>
      <c r="CD16" s="132">
        <v>7.14</v>
      </c>
      <c r="CE16" s="132">
        <v>8.7200000000000006</v>
      </c>
      <c r="CF16" s="135">
        <v>2.56</v>
      </c>
      <c r="CG16" s="135">
        <v>2.75</v>
      </c>
      <c r="CH16" s="135">
        <v>36</v>
      </c>
      <c r="CI16" s="136" t="s">
        <v>972</v>
      </c>
      <c r="CJ16" s="135" t="s">
        <v>972</v>
      </c>
      <c r="CK16" s="135" t="s">
        <v>972</v>
      </c>
      <c r="CL16" s="135" t="s">
        <v>972</v>
      </c>
      <c r="CM16" s="135" t="s">
        <v>972</v>
      </c>
      <c r="CN16" s="135" t="s">
        <v>972</v>
      </c>
      <c r="CO16" s="135" t="s">
        <v>972</v>
      </c>
      <c r="CP16" s="135" t="s">
        <v>972</v>
      </c>
      <c r="CQ16" s="1467" t="s">
        <v>972</v>
      </c>
      <c r="CR16" s="135" t="s">
        <v>972</v>
      </c>
      <c r="CS16" s="135" t="s">
        <v>972</v>
      </c>
      <c r="CT16" s="135" t="s">
        <v>972</v>
      </c>
      <c r="CU16" s="134" t="s">
        <v>972</v>
      </c>
      <c r="CV16" s="132" t="s">
        <v>972</v>
      </c>
      <c r="CW16" s="134" t="s">
        <v>972</v>
      </c>
      <c r="CX16" s="1943" t="s">
        <v>972</v>
      </c>
      <c r="CY16" s="1935" t="s">
        <v>972</v>
      </c>
      <c r="CZ16" s="135" t="s">
        <v>972</v>
      </c>
      <c r="DA16" s="135" t="s">
        <v>972</v>
      </c>
      <c r="DB16" s="135" t="s">
        <v>972</v>
      </c>
      <c r="DC16" s="135" t="s">
        <v>972</v>
      </c>
      <c r="DD16" s="135" t="s">
        <v>972</v>
      </c>
      <c r="DE16" s="135" t="s">
        <v>972</v>
      </c>
      <c r="DF16" s="135" t="s">
        <v>972</v>
      </c>
      <c r="DG16" s="135" t="s">
        <v>972</v>
      </c>
      <c r="DH16" s="135" t="s">
        <v>972</v>
      </c>
      <c r="DI16" s="140" t="s">
        <v>972</v>
      </c>
      <c r="DJ16" s="132" t="s">
        <v>972</v>
      </c>
      <c r="DK16" s="132" t="s">
        <v>972</v>
      </c>
      <c r="DL16" s="132" t="s">
        <v>972</v>
      </c>
      <c r="DM16" s="135" t="s">
        <v>972</v>
      </c>
      <c r="DN16" s="135" t="s">
        <v>972</v>
      </c>
      <c r="DO16" s="135" t="s">
        <v>972</v>
      </c>
      <c r="DP16" s="132" t="s">
        <v>972</v>
      </c>
      <c r="DQ16" s="135" t="s">
        <v>972</v>
      </c>
      <c r="DR16" s="135" t="s">
        <v>972</v>
      </c>
      <c r="DS16" s="1332">
        <v>9</v>
      </c>
      <c r="DT16" s="1335" t="s">
        <v>1424</v>
      </c>
      <c r="DU16" s="1336" t="s">
        <v>312</v>
      </c>
      <c r="DV16" s="2557"/>
      <c r="DW16" s="2554">
        <v>32.06</v>
      </c>
      <c r="DX16" s="2558">
        <v>31.21</v>
      </c>
      <c r="DY16" s="2561">
        <v>8.67</v>
      </c>
    </row>
    <row r="17" spans="1:129" s="146" customFormat="1" ht="15" customHeight="1">
      <c r="A17" s="39"/>
      <c r="B17" s="1617"/>
      <c r="C17" s="1429">
        <v>7</v>
      </c>
      <c r="D17" s="131">
        <v>152</v>
      </c>
      <c r="E17" s="132" t="s">
        <v>972</v>
      </c>
      <c r="F17" s="133">
        <v>148</v>
      </c>
      <c r="G17" s="132" t="s">
        <v>972</v>
      </c>
      <c r="H17" s="134">
        <v>63</v>
      </c>
      <c r="I17" s="134">
        <v>60</v>
      </c>
      <c r="J17" s="134">
        <v>4</v>
      </c>
      <c r="K17" s="134">
        <v>90</v>
      </c>
      <c r="L17" s="134">
        <v>3300</v>
      </c>
      <c r="M17" s="134">
        <v>3300</v>
      </c>
      <c r="N17" s="134">
        <v>3620</v>
      </c>
      <c r="O17" s="134">
        <v>2660</v>
      </c>
      <c r="P17" s="134">
        <v>1340</v>
      </c>
      <c r="Q17" s="134">
        <v>1810</v>
      </c>
      <c r="R17" s="134">
        <v>1860</v>
      </c>
      <c r="S17" s="134">
        <v>1700</v>
      </c>
      <c r="T17" s="134">
        <v>2010</v>
      </c>
      <c r="U17" s="134">
        <v>4170</v>
      </c>
      <c r="V17" s="134">
        <v>3920</v>
      </c>
      <c r="W17" s="132" t="s">
        <v>972</v>
      </c>
      <c r="X17" s="134">
        <v>7750</v>
      </c>
      <c r="Y17" s="132" t="s">
        <v>972</v>
      </c>
      <c r="Z17" s="131">
        <v>167</v>
      </c>
      <c r="AA17" s="134">
        <v>143</v>
      </c>
      <c r="AB17" s="134">
        <v>106</v>
      </c>
      <c r="AC17" s="134">
        <v>106</v>
      </c>
      <c r="AD17" s="134">
        <v>2</v>
      </c>
      <c r="AE17" s="134">
        <v>1150</v>
      </c>
      <c r="AF17" s="132">
        <v>2.88</v>
      </c>
      <c r="AG17" s="132">
        <v>85.9</v>
      </c>
      <c r="AH17" s="132">
        <v>1.8</v>
      </c>
      <c r="AI17" s="132">
        <v>73.3</v>
      </c>
      <c r="AJ17" s="132"/>
      <c r="AK17" s="132"/>
      <c r="AL17" s="132" t="s">
        <v>972</v>
      </c>
      <c r="AM17" s="132" t="s">
        <v>972</v>
      </c>
      <c r="AN17" s="135" t="s">
        <v>972</v>
      </c>
      <c r="AO17" s="135" t="s">
        <v>972</v>
      </c>
      <c r="AP17" s="136">
        <v>190</v>
      </c>
      <c r="AQ17" s="135" t="s">
        <v>972</v>
      </c>
      <c r="AR17" s="135">
        <v>180</v>
      </c>
      <c r="AS17" s="135">
        <v>200</v>
      </c>
      <c r="AT17" s="135">
        <v>110</v>
      </c>
      <c r="AU17" s="135">
        <v>2600</v>
      </c>
      <c r="AV17" s="135" t="s">
        <v>972</v>
      </c>
      <c r="AW17" s="135">
        <v>2600</v>
      </c>
      <c r="AX17" s="135">
        <v>2700</v>
      </c>
      <c r="AY17" s="135">
        <v>2800</v>
      </c>
      <c r="AZ17" s="132">
        <v>7.1</v>
      </c>
      <c r="BA17" s="132" t="s">
        <v>972</v>
      </c>
      <c r="BB17" s="132">
        <v>6.88</v>
      </c>
      <c r="BC17" s="132">
        <v>7</v>
      </c>
      <c r="BD17" s="132">
        <v>7.1</v>
      </c>
      <c r="BE17" s="136" t="s">
        <v>972</v>
      </c>
      <c r="BF17" s="135" t="s">
        <v>972</v>
      </c>
      <c r="BG17" s="137">
        <v>2.7E-2</v>
      </c>
      <c r="BH17" s="138">
        <v>5.8000000000000003E-2</v>
      </c>
      <c r="BI17" s="132">
        <v>25.4</v>
      </c>
      <c r="BJ17" s="132">
        <v>39.5</v>
      </c>
      <c r="BK17" s="132" t="s">
        <v>972</v>
      </c>
      <c r="BL17" s="139" t="s">
        <v>972</v>
      </c>
      <c r="BM17" s="135" t="s">
        <v>972</v>
      </c>
      <c r="BN17" s="138">
        <v>3.3000000000000002E-2</v>
      </c>
      <c r="BO17" s="138">
        <v>3.7999999999999999E-2</v>
      </c>
      <c r="BP17" s="132">
        <v>25.5</v>
      </c>
      <c r="BQ17" s="132">
        <v>39.299999999999997</v>
      </c>
      <c r="BR17" s="135" t="s">
        <v>972</v>
      </c>
      <c r="BS17" s="135" t="s">
        <v>972</v>
      </c>
      <c r="BT17" s="135" t="s">
        <v>972</v>
      </c>
      <c r="BU17" s="135" t="s">
        <v>972</v>
      </c>
      <c r="BV17" s="135" t="s">
        <v>972</v>
      </c>
      <c r="BW17" s="135" t="s">
        <v>972</v>
      </c>
      <c r="BX17" s="135" t="s">
        <v>972</v>
      </c>
      <c r="BY17" s="135" t="s">
        <v>972</v>
      </c>
      <c r="BZ17" s="135" t="s">
        <v>972</v>
      </c>
      <c r="CA17" s="135" t="s">
        <v>972</v>
      </c>
      <c r="CB17" s="138">
        <v>0.64700000000000002</v>
      </c>
      <c r="CC17" s="138">
        <v>3.33</v>
      </c>
      <c r="CD17" s="132">
        <v>9.2799999999999994</v>
      </c>
      <c r="CE17" s="132">
        <v>10.7</v>
      </c>
      <c r="CF17" s="135" t="s">
        <v>972</v>
      </c>
      <c r="CG17" s="135" t="s">
        <v>972</v>
      </c>
      <c r="CH17" s="135" t="s">
        <v>972</v>
      </c>
      <c r="CI17" s="136" t="s">
        <v>972</v>
      </c>
      <c r="CJ17" s="135" t="s">
        <v>972</v>
      </c>
      <c r="CK17" s="135" t="s">
        <v>972</v>
      </c>
      <c r="CL17" s="135" t="s">
        <v>972</v>
      </c>
      <c r="CM17" s="135" t="s">
        <v>972</v>
      </c>
      <c r="CN17" s="135" t="s">
        <v>972</v>
      </c>
      <c r="CO17" s="135" t="s">
        <v>972</v>
      </c>
      <c r="CP17" s="135" t="s">
        <v>972</v>
      </c>
      <c r="CQ17" s="1467" t="s">
        <v>972</v>
      </c>
      <c r="CR17" s="135" t="s">
        <v>972</v>
      </c>
      <c r="CS17" s="135">
        <v>17</v>
      </c>
      <c r="CT17" s="135">
        <v>14</v>
      </c>
      <c r="CU17" s="134">
        <v>3020</v>
      </c>
      <c r="CV17" s="132">
        <v>5.6</v>
      </c>
      <c r="CW17" s="134" t="s">
        <v>972</v>
      </c>
      <c r="CX17" s="1943" t="s">
        <v>972</v>
      </c>
      <c r="CY17" s="1935" t="s">
        <v>972</v>
      </c>
      <c r="CZ17" s="135" t="s">
        <v>972</v>
      </c>
      <c r="DA17" s="135" t="s">
        <v>972</v>
      </c>
      <c r="DB17" s="135" t="s">
        <v>972</v>
      </c>
      <c r="DC17" s="135" t="s">
        <v>972</v>
      </c>
      <c r="DD17" s="135" t="s">
        <v>972</v>
      </c>
      <c r="DE17" s="135" t="s">
        <v>972</v>
      </c>
      <c r="DF17" s="135" t="s">
        <v>972</v>
      </c>
      <c r="DG17" s="135" t="s">
        <v>972</v>
      </c>
      <c r="DH17" s="135" t="s">
        <v>972</v>
      </c>
      <c r="DI17" s="140" t="s">
        <v>972</v>
      </c>
      <c r="DJ17" s="132" t="s">
        <v>972</v>
      </c>
      <c r="DK17" s="132" t="s">
        <v>972</v>
      </c>
      <c r="DL17" s="132" t="s">
        <v>972</v>
      </c>
      <c r="DM17" s="135" t="s">
        <v>972</v>
      </c>
      <c r="DN17" s="135" t="s">
        <v>972</v>
      </c>
      <c r="DO17" s="135" t="s">
        <v>972</v>
      </c>
      <c r="DP17" s="132" t="s">
        <v>972</v>
      </c>
      <c r="DQ17" s="135" t="s">
        <v>972</v>
      </c>
      <c r="DR17" s="135" t="s">
        <v>972</v>
      </c>
      <c r="DS17" s="1332">
        <v>7</v>
      </c>
      <c r="DT17" s="1335" t="s">
        <v>1424</v>
      </c>
      <c r="DU17" s="1336" t="s">
        <v>1425</v>
      </c>
      <c r="DV17" s="2557"/>
      <c r="DW17" s="2554">
        <v>30.84</v>
      </c>
      <c r="DX17" s="2558">
        <v>30.96</v>
      </c>
      <c r="DY17" s="2561">
        <v>11.27</v>
      </c>
    </row>
    <row r="18" spans="1:129" s="146" customFormat="1" ht="15" customHeight="1">
      <c r="A18" s="39"/>
      <c r="B18" s="1617"/>
      <c r="C18" s="1429">
        <v>8</v>
      </c>
      <c r="D18" s="131">
        <v>166</v>
      </c>
      <c r="E18" s="132" t="s">
        <v>972</v>
      </c>
      <c r="F18" s="133">
        <v>136</v>
      </c>
      <c r="G18" s="132" t="s">
        <v>972</v>
      </c>
      <c r="H18" s="134" t="s">
        <v>972</v>
      </c>
      <c r="I18" s="134" t="s">
        <v>972</v>
      </c>
      <c r="J18" s="134">
        <v>4</v>
      </c>
      <c r="K18" s="134" t="s">
        <v>972</v>
      </c>
      <c r="L18" s="134" t="s">
        <v>972</v>
      </c>
      <c r="M18" s="134" t="s">
        <v>972</v>
      </c>
      <c r="N18" s="134" t="s">
        <v>972</v>
      </c>
      <c r="O18" s="134" t="s">
        <v>972</v>
      </c>
      <c r="P18" s="134" t="s">
        <v>972</v>
      </c>
      <c r="Q18" s="134" t="s">
        <v>972</v>
      </c>
      <c r="R18" s="134" t="s">
        <v>972</v>
      </c>
      <c r="S18" s="134" t="s">
        <v>972</v>
      </c>
      <c r="T18" s="134" t="s">
        <v>972</v>
      </c>
      <c r="U18" s="134" t="s">
        <v>972</v>
      </c>
      <c r="V18" s="134" t="s">
        <v>972</v>
      </c>
      <c r="W18" s="132" t="s">
        <v>972</v>
      </c>
      <c r="X18" s="134" t="s">
        <v>972</v>
      </c>
      <c r="Y18" s="132" t="s">
        <v>972</v>
      </c>
      <c r="Z18" s="131">
        <v>135</v>
      </c>
      <c r="AA18" s="134">
        <v>133</v>
      </c>
      <c r="AB18" s="134" t="s">
        <v>972</v>
      </c>
      <c r="AC18" s="134" t="s">
        <v>972</v>
      </c>
      <c r="AD18" s="134">
        <v>3</v>
      </c>
      <c r="AE18" s="134" t="s">
        <v>972</v>
      </c>
      <c r="AF18" s="132" t="s">
        <v>972</v>
      </c>
      <c r="AG18" s="132" t="s">
        <v>972</v>
      </c>
      <c r="AH18" s="132" t="s">
        <v>972</v>
      </c>
      <c r="AI18" s="132" t="s">
        <v>972</v>
      </c>
      <c r="AJ18" s="132"/>
      <c r="AK18" s="132"/>
      <c r="AL18" s="132" t="s">
        <v>972</v>
      </c>
      <c r="AM18" s="132" t="s">
        <v>972</v>
      </c>
      <c r="AN18" s="135" t="s">
        <v>972</v>
      </c>
      <c r="AO18" s="135" t="s">
        <v>972</v>
      </c>
      <c r="AP18" s="136" t="s">
        <v>972</v>
      </c>
      <c r="AQ18" s="135" t="s">
        <v>972</v>
      </c>
      <c r="AR18" s="135" t="s">
        <v>972</v>
      </c>
      <c r="AS18" s="135" t="s">
        <v>972</v>
      </c>
      <c r="AT18" s="135" t="s">
        <v>972</v>
      </c>
      <c r="AU18" s="135" t="s">
        <v>972</v>
      </c>
      <c r="AV18" s="135" t="s">
        <v>972</v>
      </c>
      <c r="AW18" s="135" t="s">
        <v>972</v>
      </c>
      <c r="AX18" s="135" t="s">
        <v>972</v>
      </c>
      <c r="AY18" s="135" t="s">
        <v>972</v>
      </c>
      <c r="AZ18" s="132" t="s">
        <v>972</v>
      </c>
      <c r="BA18" s="132" t="s">
        <v>972</v>
      </c>
      <c r="BB18" s="132" t="s">
        <v>972</v>
      </c>
      <c r="BC18" s="132" t="s">
        <v>972</v>
      </c>
      <c r="BD18" s="132" t="s">
        <v>972</v>
      </c>
      <c r="BE18" s="136" t="s">
        <v>972</v>
      </c>
      <c r="BF18" s="135" t="s">
        <v>972</v>
      </c>
      <c r="BG18" s="137">
        <v>3.9E-2</v>
      </c>
      <c r="BH18" s="138">
        <v>3.1E-2</v>
      </c>
      <c r="BI18" s="132">
        <v>26.4</v>
      </c>
      <c r="BJ18" s="132">
        <v>41.6</v>
      </c>
      <c r="BK18" s="132" t="s">
        <v>972</v>
      </c>
      <c r="BL18" s="139" t="s">
        <v>972</v>
      </c>
      <c r="BM18" s="135" t="s">
        <v>972</v>
      </c>
      <c r="BN18" s="138">
        <v>3.5999999999999997E-2</v>
      </c>
      <c r="BO18" s="138">
        <v>0.03</v>
      </c>
      <c r="BP18" s="132">
        <v>24.8</v>
      </c>
      <c r="BQ18" s="132">
        <v>37.9</v>
      </c>
      <c r="BR18" s="135" t="s">
        <v>972</v>
      </c>
      <c r="BS18" s="135" t="s">
        <v>972</v>
      </c>
      <c r="BT18" s="135" t="s">
        <v>972</v>
      </c>
      <c r="BU18" s="135" t="s">
        <v>972</v>
      </c>
      <c r="BV18" s="135" t="s">
        <v>972</v>
      </c>
      <c r="BW18" s="135" t="s">
        <v>972</v>
      </c>
      <c r="BX18" s="135" t="s">
        <v>972</v>
      </c>
      <c r="BY18" s="139" t="s">
        <v>972</v>
      </c>
      <c r="BZ18" s="135" t="s">
        <v>972</v>
      </c>
      <c r="CA18" s="135" t="s">
        <v>972</v>
      </c>
      <c r="CB18" s="138">
        <v>0.621</v>
      </c>
      <c r="CC18" s="138">
        <v>3.61</v>
      </c>
      <c r="CD18" s="132">
        <v>8.59</v>
      </c>
      <c r="CE18" s="132">
        <v>9.81</v>
      </c>
      <c r="CF18" s="135" t="s">
        <v>972</v>
      </c>
      <c r="CG18" s="139" t="s">
        <v>972</v>
      </c>
      <c r="CH18" s="135" t="s">
        <v>972</v>
      </c>
      <c r="CI18" s="136" t="s">
        <v>972</v>
      </c>
      <c r="CJ18" s="135" t="s">
        <v>972</v>
      </c>
      <c r="CK18" s="135" t="s">
        <v>972</v>
      </c>
      <c r="CL18" s="135" t="s">
        <v>972</v>
      </c>
      <c r="CM18" s="135" t="s">
        <v>972</v>
      </c>
      <c r="CN18" s="135" t="s">
        <v>972</v>
      </c>
      <c r="CO18" s="135" t="s">
        <v>972</v>
      </c>
      <c r="CP18" s="135" t="s">
        <v>972</v>
      </c>
      <c r="CQ18" s="1467" t="s">
        <v>972</v>
      </c>
      <c r="CR18" s="135" t="s">
        <v>972</v>
      </c>
      <c r="CS18" s="135" t="s">
        <v>972</v>
      </c>
      <c r="CT18" s="135" t="s">
        <v>972</v>
      </c>
      <c r="CU18" s="134" t="s">
        <v>972</v>
      </c>
      <c r="CV18" s="132" t="s">
        <v>972</v>
      </c>
      <c r="CW18" s="134" t="s">
        <v>972</v>
      </c>
      <c r="CX18" s="1943" t="s">
        <v>972</v>
      </c>
      <c r="CY18" s="1935" t="s">
        <v>972</v>
      </c>
      <c r="CZ18" s="135" t="s">
        <v>972</v>
      </c>
      <c r="DA18" s="135" t="s">
        <v>972</v>
      </c>
      <c r="DB18" s="135" t="s">
        <v>972</v>
      </c>
      <c r="DC18" s="135" t="s">
        <v>972</v>
      </c>
      <c r="DD18" s="135" t="s">
        <v>972</v>
      </c>
      <c r="DE18" s="135" t="s">
        <v>972</v>
      </c>
      <c r="DF18" s="135" t="s">
        <v>972</v>
      </c>
      <c r="DG18" s="135" t="s">
        <v>972</v>
      </c>
      <c r="DH18" s="135" t="s">
        <v>972</v>
      </c>
      <c r="DI18" s="140" t="s">
        <v>972</v>
      </c>
      <c r="DJ18" s="132" t="s">
        <v>972</v>
      </c>
      <c r="DK18" s="132" t="s">
        <v>972</v>
      </c>
      <c r="DL18" s="132" t="s">
        <v>972</v>
      </c>
      <c r="DM18" s="135" t="s">
        <v>972</v>
      </c>
      <c r="DN18" s="135" t="s">
        <v>972</v>
      </c>
      <c r="DO18" s="135" t="s">
        <v>972</v>
      </c>
      <c r="DP18" s="132" t="s">
        <v>972</v>
      </c>
      <c r="DQ18" s="135" t="s">
        <v>972</v>
      </c>
      <c r="DR18" s="135" t="s">
        <v>972</v>
      </c>
      <c r="DS18" s="1332">
        <v>8</v>
      </c>
      <c r="DT18" s="1335" t="s">
        <v>1424</v>
      </c>
      <c r="DU18" s="1336" t="s">
        <v>1425</v>
      </c>
      <c r="DV18" s="2557"/>
      <c r="DW18" s="2554">
        <v>32.06</v>
      </c>
      <c r="DX18" s="2558">
        <v>30.11</v>
      </c>
      <c r="DY18" s="2561">
        <v>10.43</v>
      </c>
    </row>
    <row r="19" spans="1:129" s="146" customFormat="1" ht="15" customHeight="1">
      <c r="A19" s="39"/>
      <c r="B19" s="1617"/>
      <c r="C19" s="1429">
        <v>9</v>
      </c>
      <c r="D19" s="131">
        <v>192</v>
      </c>
      <c r="E19" s="132" t="s">
        <v>972</v>
      </c>
      <c r="F19" s="133">
        <v>140</v>
      </c>
      <c r="G19" s="132" t="s">
        <v>972</v>
      </c>
      <c r="H19" s="134" t="s">
        <v>972</v>
      </c>
      <c r="I19" s="134" t="s">
        <v>972</v>
      </c>
      <c r="J19" s="134">
        <v>8</v>
      </c>
      <c r="K19" s="134" t="s">
        <v>972</v>
      </c>
      <c r="L19" s="134" t="s">
        <v>972</v>
      </c>
      <c r="M19" s="134" t="s">
        <v>972</v>
      </c>
      <c r="N19" s="134" t="s">
        <v>972</v>
      </c>
      <c r="O19" s="134" t="s">
        <v>972</v>
      </c>
      <c r="P19" s="134" t="s">
        <v>972</v>
      </c>
      <c r="Q19" s="134" t="s">
        <v>972</v>
      </c>
      <c r="R19" s="134" t="s">
        <v>972</v>
      </c>
      <c r="S19" s="134" t="s">
        <v>972</v>
      </c>
      <c r="T19" s="134" t="s">
        <v>972</v>
      </c>
      <c r="U19" s="134" t="s">
        <v>972</v>
      </c>
      <c r="V19" s="134" t="s">
        <v>972</v>
      </c>
      <c r="W19" s="132" t="s">
        <v>972</v>
      </c>
      <c r="X19" s="134" t="s">
        <v>972</v>
      </c>
      <c r="Y19" s="132" t="s">
        <v>972</v>
      </c>
      <c r="Z19" s="131">
        <v>165</v>
      </c>
      <c r="AA19" s="134">
        <v>149</v>
      </c>
      <c r="AB19" s="134" t="s">
        <v>972</v>
      </c>
      <c r="AC19" s="134" t="s">
        <v>972</v>
      </c>
      <c r="AD19" s="134">
        <v>4</v>
      </c>
      <c r="AE19" s="134" t="s">
        <v>972</v>
      </c>
      <c r="AF19" s="132" t="s">
        <v>972</v>
      </c>
      <c r="AG19" s="132" t="s">
        <v>972</v>
      </c>
      <c r="AH19" s="132" t="s">
        <v>972</v>
      </c>
      <c r="AI19" s="132" t="s">
        <v>972</v>
      </c>
      <c r="AJ19" s="132"/>
      <c r="AK19" s="132"/>
      <c r="AL19" s="132" t="s">
        <v>972</v>
      </c>
      <c r="AM19" s="132" t="s">
        <v>972</v>
      </c>
      <c r="AN19" s="135" t="s">
        <v>972</v>
      </c>
      <c r="AO19" s="135" t="s">
        <v>972</v>
      </c>
      <c r="AP19" s="136" t="s">
        <v>972</v>
      </c>
      <c r="AQ19" s="135" t="s">
        <v>972</v>
      </c>
      <c r="AR19" s="135" t="s">
        <v>972</v>
      </c>
      <c r="AS19" s="135" t="s">
        <v>972</v>
      </c>
      <c r="AT19" s="135" t="s">
        <v>972</v>
      </c>
      <c r="AU19" s="135" t="s">
        <v>972</v>
      </c>
      <c r="AV19" s="135" t="s">
        <v>972</v>
      </c>
      <c r="AW19" s="135" t="s">
        <v>972</v>
      </c>
      <c r="AX19" s="135" t="s">
        <v>972</v>
      </c>
      <c r="AY19" s="135" t="s">
        <v>972</v>
      </c>
      <c r="AZ19" s="132" t="s">
        <v>972</v>
      </c>
      <c r="BA19" s="132" t="s">
        <v>972</v>
      </c>
      <c r="BB19" s="132" t="s">
        <v>972</v>
      </c>
      <c r="BC19" s="132" t="s">
        <v>972</v>
      </c>
      <c r="BD19" s="132" t="s">
        <v>972</v>
      </c>
      <c r="BE19" s="136" t="s">
        <v>972</v>
      </c>
      <c r="BF19" s="135" t="s">
        <v>972</v>
      </c>
      <c r="BG19" s="137">
        <v>4.5999999999999999E-2</v>
      </c>
      <c r="BH19" s="138">
        <v>9.0999999999999998E-2</v>
      </c>
      <c r="BI19" s="132">
        <v>26.7</v>
      </c>
      <c r="BJ19" s="132">
        <v>49.4</v>
      </c>
      <c r="BK19" s="132" t="s">
        <v>972</v>
      </c>
      <c r="BL19" s="139" t="s">
        <v>972</v>
      </c>
      <c r="BM19" s="135" t="s">
        <v>972</v>
      </c>
      <c r="BN19" s="138">
        <v>0.04</v>
      </c>
      <c r="BO19" s="138">
        <v>7.0000000000000007E-2</v>
      </c>
      <c r="BP19" s="132">
        <v>23.9</v>
      </c>
      <c r="BQ19" s="132">
        <v>38.9</v>
      </c>
      <c r="BR19" s="135" t="s">
        <v>972</v>
      </c>
      <c r="BS19" s="135" t="s">
        <v>972</v>
      </c>
      <c r="BT19" s="135" t="s">
        <v>972</v>
      </c>
      <c r="BU19" s="135" t="s">
        <v>972</v>
      </c>
      <c r="BV19" s="135" t="s">
        <v>972</v>
      </c>
      <c r="BW19" s="135" t="s">
        <v>972</v>
      </c>
      <c r="BX19" s="135" t="s">
        <v>972</v>
      </c>
      <c r="BY19" s="135" t="s">
        <v>972</v>
      </c>
      <c r="BZ19" s="135" t="s">
        <v>972</v>
      </c>
      <c r="CA19" s="135" t="s">
        <v>972</v>
      </c>
      <c r="CB19" s="138">
        <v>0.53600000000000003</v>
      </c>
      <c r="CC19" s="138">
        <v>3.24</v>
      </c>
      <c r="CD19" s="132">
        <v>10.199999999999999</v>
      </c>
      <c r="CE19" s="132">
        <v>12.3</v>
      </c>
      <c r="CF19" s="135" t="s">
        <v>972</v>
      </c>
      <c r="CG19" s="135" t="s">
        <v>972</v>
      </c>
      <c r="CH19" s="135" t="s">
        <v>972</v>
      </c>
      <c r="CI19" s="136" t="s">
        <v>972</v>
      </c>
      <c r="CJ19" s="135" t="s">
        <v>972</v>
      </c>
      <c r="CK19" s="135" t="s">
        <v>972</v>
      </c>
      <c r="CL19" s="135" t="s">
        <v>972</v>
      </c>
      <c r="CM19" s="135" t="s">
        <v>972</v>
      </c>
      <c r="CN19" s="135" t="s">
        <v>972</v>
      </c>
      <c r="CO19" s="135" t="s">
        <v>972</v>
      </c>
      <c r="CP19" s="135" t="s">
        <v>972</v>
      </c>
      <c r="CQ19" s="1467" t="s">
        <v>972</v>
      </c>
      <c r="CR19" s="135" t="s">
        <v>972</v>
      </c>
      <c r="CS19" s="135" t="s">
        <v>972</v>
      </c>
      <c r="CT19" s="135" t="s">
        <v>972</v>
      </c>
      <c r="CU19" s="134" t="s">
        <v>972</v>
      </c>
      <c r="CV19" s="132" t="s">
        <v>972</v>
      </c>
      <c r="CW19" s="134" t="s">
        <v>972</v>
      </c>
      <c r="CX19" s="1943" t="s">
        <v>972</v>
      </c>
      <c r="CY19" s="1935" t="s">
        <v>972</v>
      </c>
      <c r="CZ19" s="135" t="s">
        <v>972</v>
      </c>
      <c r="DA19" s="135" t="s">
        <v>972</v>
      </c>
      <c r="DB19" s="135" t="s">
        <v>972</v>
      </c>
      <c r="DC19" s="135" t="s">
        <v>972</v>
      </c>
      <c r="DD19" s="135" t="s">
        <v>972</v>
      </c>
      <c r="DE19" s="135" t="s">
        <v>972</v>
      </c>
      <c r="DF19" s="135" t="s">
        <v>972</v>
      </c>
      <c r="DG19" s="135" t="s">
        <v>972</v>
      </c>
      <c r="DH19" s="135" t="s">
        <v>972</v>
      </c>
      <c r="DI19" s="140" t="s">
        <v>972</v>
      </c>
      <c r="DJ19" s="132" t="s">
        <v>972</v>
      </c>
      <c r="DK19" s="132" t="s">
        <v>972</v>
      </c>
      <c r="DL19" s="132" t="s">
        <v>972</v>
      </c>
      <c r="DM19" s="135" t="s">
        <v>972</v>
      </c>
      <c r="DN19" s="135" t="s">
        <v>972</v>
      </c>
      <c r="DO19" s="135" t="s">
        <v>972</v>
      </c>
      <c r="DP19" s="132" t="s">
        <v>972</v>
      </c>
      <c r="DQ19" s="129" t="s">
        <v>972</v>
      </c>
      <c r="DR19" s="135" t="s">
        <v>972</v>
      </c>
      <c r="DS19" s="1332">
        <v>9</v>
      </c>
      <c r="DT19" s="1335" t="s">
        <v>1424</v>
      </c>
      <c r="DU19" s="1336" t="s">
        <v>1425</v>
      </c>
      <c r="DV19" s="2557"/>
      <c r="DW19" s="2554">
        <v>32.42</v>
      </c>
      <c r="DX19" s="2558">
        <v>29.02</v>
      </c>
      <c r="DY19" s="2561">
        <v>12.39</v>
      </c>
    </row>
    <row r="20" spans="1:129" s="146" customFormat="1" ht="15" customHeight="1">
      <c r="A20" s="39"/>
      <c r="B20" s="1617"/>
      <c r="C20" s="1429">
        <v>10</v>
      </c>
      <c r="D20" s="131">
        <v>120</v>
      </c>
      <c r="E20" s="132" t="s">
        <v>972</v>
      </c>
      <c r="F20" s="133">
        <v>84</v>
      </c>
      <c r="G20" s="132" t="s">
        <v>972</v>
      </c>
      <c r="H20" s="134">
        <v>122</v>
      </c>
      <c r="I20" s="134">
        <v>114</v>
      </c>
      <c r="J20" s="134">
        <v>18</v>
      </c>
      <c r="K20" s="134" t="s">
        <v>972</v>
      </c>
      <c r="L20" s="134">
        <v>1690</v>
      </c>
      <c r="M20" s="134">
        <v>1420</v>
      </c>
      <c r="N20" s="134">
        <v>1480</v>
      </c>
      <c r="O20" s="134">
        <v>2160</v>
      </c>
      <c r="P20" s="134">
        <v>2180</v>
      </c>
      <c r="Q20" s="134">
        <v>4330</v>
      </c>
      <c r="R20" s="134">
        <v>1470</v>
      </c>
      <c r="S20" s="134">
        <v>1510</v>
      </c>
      <c r="T20" s="134">
        <v>3080</v>
      </c>
      <c r="U20" s="134">
        <v>2810</v>
      </c>
      <c r="V20" s="134">
        <v>5600</v>
      </c>
      <c r="W20" s="132" t="s">
        <v>972</v>
      </c>
      <c r="X20" s="134">
        <v>10100</v>
      </c>
      <c r="Y20" s="132" t="s">
        <v>972</v>
      </c>
      <c r="Z20" s="131">
        <v>79</v>
      </c>
      <c r="AA20" s="134">
        <v>69</v>
      </c>
      <c r="AB20" s="134" t="s">
        <v>972</v>
      </c>
      <c r="AC20" s="134" t="s">
        <v>972</v>
      </c>
      <c r="AD20" s="134">
        <v>12</v>
      </c>
      <c r="AE20" s="134" t="s">
        <v>972</v>
      </c>
      <c r="AF20" s="132" t="s">
        <v>972</v>
      </c>
      <c r="AG20" s="132" t="s">
        <v>972</v>
      </c>
      <c r="AH20" s="132" t="s">
        <v>972</v>
      </c>
      <c r="AI20" s="132" t="s">
        <v>972</v>
      </c>
      <c r="AJ20" s="132"/>
      <c r="AK20" s="132"/>
      <c r="AL20" s="132" t="s">
        <v>972</v>
      </c>
      <c r="AM20" s="132" t="s">
        <v>972</v>
      </c>
      <c r="AN20" s="135" t="s">
        <v>972</v>
      </c>
      <c r="AO20" s="135" t="s">
        <v>972</v>
      </c>
      <c r="AP20" s="136" t="s">
        <v>972</v>
      </c>
      <c r="AQ20" s="135" t="s">
        <v>972</v>
      </c>
      <c r="AR20" s="135" t="s">
        <v>972</v>
      </c>
      <c r="AS20" s="135" t="s">
        <v>972</v>
      </c>
      <c r="AT20" s="135" t="s">
        <v>972</v>
      </c>
      <c r="AU20" s="135" t="s">
        <v>972</v>
      </c>
      <c r="AV20" s="135" t="s">
        <v>972</v>
      </c>
      <c r="AW20" s="135" t="s">
        <v>972</v>
      </c>
      <c r="AX20" s="135" t="s">
        <v>972</v>
      </c>
      <c r="AY20" s="135" t="s">
        <v>972</v>
      </c>
      <c r="AZ20" s="132" t="s">
        <v>972</v>
      </c>
      <c r="BA20" s="132" t="s">
        <v>972</v>
      </c>
      <c r="BB20" s="132" t="s">
        <v>972</v>
      </c>
      <c r="BC20" s="132" t="s">
        <v>972</v>
      </c>
      <c r="BD20" s="132" t="s">
        <v>972</v>
      </c>
      <c r="BE20" s="136" t="s">
        <v>972</v>
      </c>
      <c r="BF20" s="135" t="s">
        <v>972</v>
      </c>
      <c r="BG20" s="137">
        <v>0.06</v>
      </c>
      <c r="BH20" s="138">
        <v>0.35699999999999998</v>
      </c>
      <c r="BI20" s="132">
        <v>7.6</v>
      </c>
      <c r="BJ20" s="132">
        <v>18.5</v>
      </c>
      <c r="BK20" s="132" t="s">
        <v>972</v>
      </c>
      <c r="BL20" s="139" t="s">
        <v>972</v>
      </c>
      <c r="BM20" s="135" t="s">
        <v>972</v>
      </c>
      <c r="BN20" s="138">
        <v>6.6000000000000003E-2</v>
      </c>
      <c r="BO20" s="138">
        <v>0.32700000000000001</v>
      </c>
      <c r="BP20" s="132">
        <v>8.9</v>
      </c>
      <c r="BQ20" s="132">
        <v>18.8</v>
      </c>
      <c r="BR20" s="135" t="s">
        <v>972</v>
      </c>
      <c r="BS20" s="135" t="s">
        <v>972</v>
      </c>
      <c r="BT20" s="135" t="s">
        <v>972</v>
      </c>
      <c r="BU20" s="135" t="s">
        <v>972</v>
      </c>
      <c r="BV20" s="135" t="s">
        <v>972</v>
      </c>
      <c r="BW20" s="132" t="s">
        <v>972</v>
      </c>
      <c r="BX20" s="135" t="s">
        <v>972</v>
      </c>
      <c r="BY20" s="139" t="s">
        <v>972</v>
      </c>
      <c r="BZ20" s="135" t="s">
        <v>972</v>
      </c>
      <c r="CA20" s="135" t="s">
        <v>972</v>
      </c>
      <c r="CB20" s="138">
        <v>0.39200000000000002</v>
      </c>
      <c r="CC20" s="138">
        <v>2.7</v>
      </c>
      <c r="CD20" s="132">
        <v>5.49</v>
      </c>
      <c r="CE20" s="132">
        <v>8.2200000000000006</v>
      </c>
      <c r="CF20" s="135" t="s">
        <v>972</v>
      </c>
      <c r="CG20" s="139" t="s">
        <v>972</v>
      </c>
      <c r="CH20" s="135" t="s">
        <v>972</v>
      </c>
      <c r="CI20" s="136" t="s">
        <v>972</v>
      </c>
      <c r="CJ20" s="135" t="s">
        <v>972</v>
      </c>
      <c r="CK20" s="135" t="s">
        <v>972</v>
      </c>
      <c r="CL20" s="135" t="s">
        <v>972</v>
      </c>
      <c r="CM20" s="135" t="s">
        <v>972</v>
      </c>
      <c r="CN20" s="135" t="s">
        <v>972</v>
      </c>
      <c r="CO20" s="135" t="s">
        <v>972</v>
      </c>
      <c r="CP20" s="135" t="s">
        <v>972</v>
      </c>
      <c r="CQ20" s="1944" t="s">
        <v>972</v>
      </c>
      <c r="CR20" s="135" t="s">
        <v>972</v>
      </c>
      <c r="CS20" s="135" t="s">
        <v>972</v>
      </c>
      <c r="CT20" s="135" t="s">
        <v>972</v>
      </c>
      <c r="CU20" s="134" t="s">
        <v>972</v>
      </c>
      <c r="CV20" s="132" t="s">
        <v>972</v>
      </c>
      <c r="CW20" s="134" t="s">
        <v>972</v>
      </c>
      <c r="CX20" s="1943" t="s">
        <v>972</v>
      </c>
      <c r="CY20" s="1935" t="s">
        <v>972</v>
      </c>
      <c r="CZ20" s="135" t="s">
        <v>972</v>
      </c>
      <c r="DA20" s="135" t="s">
        <v>972</v>
      </c>
      <c r="DB20" s="135" t="s">
        <v>972</v>
      </c>
      <c r="DC20" s="135" t="s">
        <v>972</v>
      </c>
      <c r="DD20" s="135" t="s">
        <v>972</v>
      </c>
      <c r="DE20" s="135" t="s">
        <v>972</v>
      </c>
      <c r="DF20" s="135" t="s">
        <v>972</v>
      </c>
      <c r="DG20" s="135" t="s">
        <v>972</v>
      </c>
      <c r="DH20" s="135" t="s">
        <v>972</v>
      </c>
      <c r="DI20" s="140" t="s">
        <v>972</v>
      </c>
      <c r="DJ20" s="132" t="s">
        <v>972</v>
      </c>
      <c r="DK20" s="132" t="s">
        <v>972</v>
      </c>
      <c r="DL20" s="132" t="s">
        <v>972</v>
      </c>
      <c r="DM20" s="135" t="s">
        <v>972</v>
      </c>
      <c r="DN20" s="135" t="s">
        <v>972</v>
      </c>
      <c r="DO20" s="135" t="s">
        <v>972</v>
      </c>
      <c r="DP20" s="132" t="s">
        <v>972</v>
      </c>
      <c r="DQ20" s="135" t="s">
        <v>972</v>
      </c>
      <c r="DR20" s="135" t="s">
        <v>972</v>
      </c>
      <c r="DS20" s="1332">
        <v>10</v>
      </c>
      <c r="DT20" s="1335" t="s">
        <v>1424</v>
      </c>
      <c r="DU20" s="1336" t="s">
        <v>1425</v>
      </c>
      <c r="DV20" s="2557"/>
      <c r="DW20" s="2554">
        <v>9.23</v>
      </c>
      <c r="DX20" s="2558">
        <v>10.81</v>
      </c>
      <c r="DY20" s="2561">
        <v>6.67</v>
      </c>
    </row>
    <row r="21" spans="1:129" s="146" customFormat="1" ht="15" customHeight="1">
      <c r="A21" s="39"/>
      <c r="B21" s="1617"/>
      <c r="C21" s="1429">
        <v>11</v>
      </c>
      <c r="D21" s="131">
        <v>116</v>
      </c>
      <c r="E21" s="132">
        <v>77.599999999999994</v>
      </c>
      <c r="F21" s="133">
        <v>115</v>
      </c>
      <c r="G21" s="132">
        <v>82.7</v>
      </c>
      <c r="H21" s="134">
        <v>64</v>
      </c>
      <c r="I21" s="134">
        <v>80</v>
      </c>
      <c r="J21" s="134">
        <v>6</v>
      </c>
      <c r="K21" s="134">
        <v>240</v>
      </c>
      <c r="L21" s="134">
        <v>2310</v>
      </c>
      <c r="M21" s="134">
        <v>2180</v>
      </c>
      <c r="N21" s="134">
        <v>1710</v>
      </c>
      <c r="O21" s="134">
        <v>3130</v>
      </c>
      <c r="P21" s="134">
        <v>3200</v>
      </c>
      <c r="Q21" s="134">
        <v>4280</v>
      </c>
      <c r="R21" s="134">
        <v>3910</v>
      </c>
      <c r="S21" s="134">
        <v>4190</v>
      </c>
      <c r="T21" s="134">
        <v>3890</v>
      </c>
      <c r="U21" s="134">
        <v>4750</v>
      </c>
      <c r="V21" s="134">
        <v>3280</v>
      </c>
      <c r="W21" s="132">
        <v>80.5</v>
      </c>
      <c r="X21" s="134">
        <v>5860</v>
      </c>
      <c r="Y21" s="132">
        <v>80.900000000000006</v>
      </c>
      <c r="Z21" s="131">
        <v>114</v>
      </c>
      <c r="AA21" s="134">
        <v>111</v>
      </c>
      <c r="AB21" s="134">
        <v>54</v>
      </c>
      <c r="AC21" s="134">
        <v>72</v>
      </c>
      <c r="AD21" s="134">
        <v>3</v>
      </c>
      <c r="AE21" s="134">
        <v>840</v>
      </c>
      <c r="AF21" s="132">
        <v>3.46</v>
      </c>
      <c r="AG21" s="132">
        <v>80.400000000000006</v>
      </c>
      <c r="AH21" s="132">
        <v>1.68</v>
      </c>
      <c r="AI21" s="132">
        <v>71.3</v>
      </c>
      <c r="AJ21" s="132"/>
      <c r="AK21" s="132"/>
      <c r="AL21" s="132" t="s">
        <v>972</v>
      </c>
      <c r="AM21" s="132" t="s">
        <v>972</v>
      </c>
      <c r="AN21" s="135" t="s">
        <v>972</v>
      </c>
      <c r="AO21" s="135" t="s">
        <v>972</v>
      </c>
      <c r="AP21" s="136">
        <v>130</v>
      </c>
      <c r="AQ21" s="135" t="s">
        <v>972</v>
      </c>
      <c r="AR21" s="135">
        <v>180</v>
      </c>
      <c r="AS21" s="135">
        <v>110</v>
      </c>
      <c r="AT21" s="135">
        <v>140</v>
      </c>
      <c r="AU21" s="135">
        <v>2700</v>
      </c>
      <c r="AV21" s="135" t="s">
        <v>972</v>
      </c>
      <c r="AW21" s="135">
        <v>2400</v>
      </c>
      <c r="AX21" s="135">
        <v>2800</v>
      </c>
      <c r="AY21" s="135">
        <v>2900</v>
      </c>
      <c r="AZ21" s="132">
        <v>7.1</v>
      </c>
      <c r="BA21" s="132" t="s">
        <v>972</v>
      </c>
      <c r="BB21" s="132">
        <v>6.9</v>
      </c>
      <c r="BC21" s="132">
        <v>7.1</v>
      </c>
      <c r="BD21" s="132">
        <v>7.1</v>
      </c>
      <c r="BE21" s="136" t="s">
        <v>972</v>
      </c>
      <c r="BF21" s="135" t="s">
        <v>972</v>
      </c>
      <c r="BG21" s="137">
        <v>0.125</v>
      </c>
      <c r="BH21" s="138">
        <v>0.26800000000000002</v>
      </c>
      <c r="BI21" s="132">
        <v>18.5</v>
      </c>
      <c r="BJ21" s="132">
        <v>36.200000000000003</v>
      </c>
      <c r="BK21" s="132" t="s">
        <v>972</v>
      </c>
      <c r="BL21" s="139" t="s">
        <v>972</v>
      </c>
      <c r="BM21" s="135" t="s">
        <v>972</v>
      </c>
      <c r="BN21" s="138">
        <v>9.9000000000000005E-2</v>
      </c>
      <c r="BO21" s="138">
        <v>0.223</v>
      </c>
      <c r="BP21" s="132">
        <v>17.399999999999999</v>
      </c>
      <c r="BQ21" s="132">
        <v>36.299999999999997</v>
      </c>
      <c r="BR21" s="135" t="s">
        <v>972</v>
      </c>
      <c r="BS21" s="135" t="s">
        <v>972</v>
      </c>
      <c r="BT21" s="135" t="s">
        <v>972</v>
      </c>
      <c r="BU21" s="135" t="s">
        <v>972</v>
      </c>
      <c r="BV21" s="135" t="s">
        <v>972</v>
      </c>
      <c r="BW21" s="135" t="s">
        <v>972</v>
      </c>
      <c r="BX21" s="135" t="s">
        <v>972</v>
      </c>
      <c r="BY21" s="135" t="s">
        <v>972</v>
      </c>
      <c r="BZ21" s="135" t="s">
        <v>972</v>
      </c>
      <c r="CA21" s="135" t="s">
        <v>972</v>
      </c>
      <c r="CB21" s="138">
        <v>0.50600000000000001</v>
      </c>
      <c r="CC21" s="138">
        <v>3.35</v>
      </c>
      <c r="CD21" s="132">
        <v>7.93</v>
      </c>
      <c r="CE21" s="132">
        <v>9.39</v>
      </c>
      <c r="CF21" s="135" t="s">
        <v>972</v>
      </c>
      <c r="CG21" s="135" t="s">
        <v>972</v>
      </c>
      <c r="CH21" s="135" t="s">
        <v>972</v>
      </c>
      <c r="CI21" s="136" t="s">
        <v>972</v>
      </c>
      <c r="CJ21" s="135" t="s">
        <v>972</v>
      </c>
      <c r="CK21" s="135" t="s">
        <v>972</v>
      </c>
      <c r="CL21" s="135" t="s">
        <v>972</v>
      </c>
      <c r="CM21" s="135" t="s">
        <v>972</v>
      </c>
      <c r="CN21" s="135" t="s">
        <v>972</v>
      </c>
      <c r="CO21" s="135" t="s">
        <v>972</v>
      </c>
      <c r="CP21" s="135" t="s">
        <v>972</v>
      </c>
      <c r="CQ21" s="1467" t="s">
        <v>972</v>
      </c>
      <c r="CR21" s="135" t="s">
        <v>972</v>
      </c>
      <c r="CS21" s="135" t="s">
        <v>972</v>
      </c>
      <c r="CT21" s="134" t="s">
        <v>972</v>
      </c>
      <c r="CU21" s="134" t="s">
        <v>972</v>
      </c>
      <c r="CV21" s="132" t="s">
        <v>972</v>
      </c>
      <c r="CW21" s="134" t="s">
        <v>972</v>
      </c>
      <c r="CX21" s="1943" t="s">
        <v>972</v>
      </c>
      <c r="CY21" s="1935" t="s">
        <v>972</v>
      </c>
      <c r="CZ21" s="135" t="s">
        <v>972</v>
      </c>
      <c r="DA21" s="135" t="s">
        <v>972</v>
      </c>
      <c r="DB21" s="135" t="s">
        <v>972</v>
      </c>
      <c r="DC21" s="135" t="s">
        <v>972</v>
      </c>
      <c r="DD21" s="135" t="s">
        <v>972</v>
      </c>
      <c r="DE21" s="135" t="s">
        <v>972</v>
      </c>
      <c r="DF21" s="135" t="s">
        <v>972</v>
      </c>
      <c r="DG21" s="135" t="s">
        <v>972</v>
      </c>
      <c r="DH21" s="135" t="s">
        <v>972</v>
      </c>
      <c r="DI21" s="140" t="s">
        <v>972</v>
      </c>
      <c r="DJ21" s="132" t="s">
        <v>972</v>
      </c>
      <c r="DK21" s="132" t="s">
        <v>972</v>
      </c>
      <c r="DL21" s="132" t="s">
        <v>972</v>
      </c>
      <c r="DM21" s="135" t="s">
        <v>972</v>
      </c>
      <c r="DN21" s="135" t="s">
        <v>972</v>
      </c>
      <c r="DO21" s="135" t="s">
        <v>972</v>
      </c>
      <c r="DP21" s="132" t="s">
        <v>972</v>
      </c>
      <c r="DQ21" s="135" t="s">
        <v>972</v>
      </c>
      <c r="DR21" s="135" t="s">
        <v>972</v>
      </c>
      <c r="DS21" s="1332">
        <v>11</v>
      </c>
      <c r="DT21" s="1335" t="s">
        <v>1424</v>
      </c>
      <c r="DU21" s="1336" t="s">
        <v>1425</v>
      </c>
      <c r="DV21" s="2557"/>
      <c r="DW21" s="2554">
        <v>22.46</v>
      </c>
      <c r="DX21" s="2558">
        <v>21.13</v>
      </c>
      <c r="DY21" s="2561">
        <v>9.6300000000000008</v>
      </c>
    </row>
    <row r="22" spans="1:129" s="146" customFormat="1" ht="15" customHeight="1">
      <c r="A22" s="39"/>
      <c r="B22" s="1617"/>
      <c r="C22" s="1429">
        <v>12</v>
      </c>
      <c r="D22" s="131">
        <v>106</v>
      </c>
      <c r="E22" s="132" t="s">
        <v>972</v>
      </c>
      <c r="F22" s="133">
        <v>116</v>
      </c>
      <c r="G22" s="132" t="s">
        <v>972</v>
      </c>
      <c r="H22" s="134">
        <v>80</v>
      </c>
      <c r="I22" s="134">
        <v>82</v>
      </c>
      <c r="J22" s="134">
        <v>5</v>
      </c>
      <c r="K22" s="134">
        <v>250</v>
      </c>
      <c r="L22" s="134">
        <v>2300</v>
      </c>
      <c r="M22" s="134">
        <v>2140</v>
      </c>
      <c r="N22" s="134">
        <v>1950</v>
      </c>
      <c r="O22" s="134">
        <v>3270</v>
      </c>
      <c r="P22" s="134">
        <v>3610</v>
      </c>
      <c r="Q22" s="134">
        <v>3310</v>
      </c>
      <c r="R22" s="134">
        <v>4710</v>
      </c>
      <c r="S22" s="134">
        <v>4570</v>
      </c>
      <c r="T22" s="134">
        <v>4360</v>
      </c>
      <c r="U22" s="134">
        <v>5760</v>
      </c>
      <c r="V22" s="134">
        <v>3600</v>
      </c>
      <c r="W22" s="2382" t="s">
        <v>972</v>
      </c>
      <c r="X22" s="2381">
        <v>8000</v>
      </c>
      <c r="Y22" s="132" t="s">
        <v>972</v>
      </c>
      <c r="Z22" s="131">
        <v>117</v>
      </c>
      <c r="AA22" s="134">
        <v>116</v>
      </c>
      <c r="AB22" s="134">
        <v>81</v>
      </c>
      <c r="AC22" s="134">
        <v>74</v>
      </c>
      <c r="AD22" s="134">
        <v>2</v>
      </c>
      <c r="AE22" s="134">
        <v>1060</v>
      </c>
      <c r="AF22" s="132">
        <v>3.51</v>
      </c>
      <c r="AG22" s="132">
        <v>81.400000000000006</v>
      </c>
      <c r="AH22" s="132">
        <v>1.71</v>
      </c>
      <c r="AI22" s="132">
        <v>70.8</v>
      </c>
      <c r="AJ22" s="132"/>
      <c r="AK22" s="132"/>
      <c r="AL22" s="132" t="s">
        <v>972</v>
      </c>
      <c r="AM22" s="132" t="s">
        <v>972</v>
      </c>
      <c r="AN22" s="135" t="s">
        <v>972</v>
      </c>
      <c r="AO22" s="135" t="s">
        <v>972</v>
      </c>
      <c r="AP22" s="136" t="s">
        <v>972</v>
      </c>
      <c r="AQ22" s="135" t="s">
        <v>972</v>
      </c>
      <c r="AR22" s="135" t="s">
        <v>972</v>
      </c>
      <c r="AS22" s="135" t="s">
        <v>972</v>
      </c>
      <c r="AT22" s="135" t="s">
        <v>972</v>
      </c>
      <c r="AU22" s="135" t="s">
        <v>972</v>
      </c>
      <c r="AV22" s="135" t="s">
        <v>972</v>
      </c>
      <c r="AW22" s="135" t="s">
        <v>972</v>
      </c>
      <c r="AX22" s="135" t="s">
        <v>972</v>
      </c>
      <c r="AY22" s="135" t="s">
        <v>972</v>
      </c>
      <c r="AZ22" s="132" t="s">
        <v>972</v>
      </c>
      <c r="BA22" s="132" t="s">
        <v>972</v>
      </c>
      <c r="BB22" s="132" t="s">
        <v>972</v>
      </c>
      <c r="BC22" s="132" t="s">
        <v>972</v>
      </c>
      <c r="BD22" s="132" t="s">
        <v>972</v>
      </c>
      <c r="BE22" s="136">
        <v>312</v>
      </c>
      <c r="BF22" s="135">
        <v>389</v>
      </c>
      <c r="BG22" s="137">
        <v>8.4000000000000005E-2</v>
      </c>
      <c r="BH22" s="138">
        <v>0.108</v>
      </c>
      <c r="BI22" s="132">
        <v>19.8</v>
      </c>
      <c r="BJ22" s="132">
        <v>35.200000000000003</v>
      </c>
      <c r="BK22" s="132" t="s">
        <v>972</v>
      </c>
      <c r="BL22" s="139" t="s">
        <v>972</v>
      </c>
      <c r="BM22" s="135" t="s">
        <v>972</v>
      </c>
      <c r="BN22" s="138">
        <v>7.2999999999999995E-2</v>
      </c>
      <c r="BO22" s="138">
        <v>8.7999999999999995E-2</v>
      </c>
      <c r="BP22" s="132">
        <v>19.8</v>
      </c>
      <c r="BQ22" s="132">
        <v>34.6</v>
      </c>
      <c r="BR22" s="135" t="s">
        <v>972</v>
      </c>
      <c r="BS22" s="135" t="s">
        <v>972</v>
      </c>
      <c r="BT22" s="135" t="s">
        <v>972</v>
      </c>
      <c r="BU22" s="135">
        <v>5.0999999999999997E-2</v>
      </c>
      <c r="BV22" s="135">
        <v>1.2999999999999999E-2</v>
      </c>
      <c r="BW22" s="135">
        <v>21.9</v>
      </c>
      <c r="BX22" s="135" t="s">
        <v>972</v>
      </c>
      <c r="BY22" s="135" t="s">
        <v>972</v>
      </c>
      <c r="BZ22" s="135" t="s">
        <v>972</v>
      </c>
      <c r="CA22" s="135" t="s">
        <v>972</v>
      </c>
      <c r="CB22" s="138">
        <v>0.56100000000000005</v>
      </c>
      <c r="CC22" s="138">
        <v>3.61</v>
      </c>
      <c r="CD22" s="132">
        <v>10.7</v>
      </c>
      <c r="CE22" s="132">
        <v>12.9</v>
      </c>
      <c r="CF22" s="135" t="s">
        <v>972</v>
      </c>
      <c r="CG22" s="135" t="s">
        <v>972</v>
      </c>
      <c r="CH22" s="135" t="s">
        <v>972</v>
      </c>
      <c r="CI22" s="136" t="s">
        <v>972</v>
      </c>
      <c r="CJ22" s="135" t="s">
        <v>972</v>
      </c>
      <c r="CK22" s="135" t="s">
        <v>972</v>
      </c>
      <c r="CL22" s="135" t="s">
        <v>972</v>
      </c>
      <c r="CM22" s="135" t="s">
        <v>972</v>
      </c>
      <c r="CN22" s="135" t="s">
        <v>972</v>
      </c>
      <c r="CO22" s="135" t="s">
        <v>972</v>
      </c>
      <c r="CP22" s="135" t="s">
        <v>972</v>
      </c>
      <c r="CQ22" s="1467" t="s">
        <v>972</v>
      </c>
      <c r="CR22" s="135" t="s">
        <v>972</v>
      </c>
      <c r="CS22" s="135" t="s">
        <v>972</v>
      </c>
      <c r="CT22" s="135" t="s">
        <v>972</v>
      </c>
      <c r="CU22" s="134" t="s">
        <v>972</v>
      </c>
      <c r="CV22" s="132" t="s">
        <v>972</v>
      </c>
      <c r="CW22" s="134" t="s">
        <v>972</v>
      </c>
      <c r="CX22" s="1943" t="s">
        <v>972</v>
      </c>
      <c r="CY22" s="1935" t="s">
        <v>972</v>
      </c>
      <c r="CZ22" s="135" t="s">
        <v>972</v>
      </c>
      <c r="DA22" s="135" t="s">
        <v>972</v>
      </c>
      <c r="DB22" s="135" t="s">
        <v>972</v>
      </c>
      <c r="DC22" s="135" t="s">
        <v>972</v>
      </c>
      <c r="DD22" s="135" t="s">
        <v>972</v>
      </c>
      <c r="DE22" s="135" t="s">
        <v>972</v>
      </c>
      <c r="DF22" s="135" t="s">
        <v>972</v>
      </c>
      <c r="DG22" s="135" t="s">
        <v>972</v>
      </c>
      <c r="DH22" s="135" t="s">
        <v>972</v>
      </c>
      <c r="DI22" s="140" t="s">
        <v>972</v>
      </c>
      <c r="DJ22" s="132" t="s">
        <v>972</v>
      </c>
      <c r="DK22" s="132" t="s">
        <v>972</v>
      </c>
      <c r="DL22" s="132" t="s">
        <v>972</v>
      </c>
      <c r="DM22" s="135" t="s">
        <v>972</v>
      </c>
      <c r="DN22" s="135" t="s">
        <v>972</v>
      </c>
      <c r="DO22" s="135" t="s">
        <v>972</v>
      </c>
      <c r="DP22" s="132" t="s">
        <v>972</v>
      </c>
      <c r="DQ22" s="135" t="s">
        <v>972</v>
      </c>
      <c r="DR22" s="135" t="s">
        <v>972</v>
      </c>
      <c r="DS22" s="1332">
        <v>12</v>
      </c>
      <c r="DT22" s="1335" t="s">
        <v>1424</v>
      </c>
      <c r="DU22" s="1336" t="s">
        <v>1425</v>
      </c>
      <c r="DV22" s="2557"/>
      <c r="DW22" s="2554">
        <v>24.04</v>
      </c>
      <c r="DX22" s="2558">
        <v>24.04</v>
      </c>
      <c r="DY22" s="2561">
        <v>12.99</v>
      </c>
    </row>
    <row r="23" spans="1:129" s="146" customFormat="1" ht="15" customHeight="1">
      <c r="A23" s="39"/>
      <c r="B23" s="1617"/>
      <c r="C23" s="1429">
        <v>13</v>
      </c>
      <c r="D23" s="131">
        <v>130</v>
      </c>
      <c r="E23" s="132">
        <v>78.5</v>
      </c>
      <c r="F23" s="133">
        <v>148</v>
      </c>
      <c r="G23" s="132">
        <v>83.8</v>
      </c>
      <c r="H23" s="134">
        <v>54</v>
      </c>
      <c r="I23" s="134">
        <v>62</v>
      </c>
      <c r="J23" s="134">
        <v>21</v>
      </c>
      <c r="K23" s="134">
        <v>80</v>
      </c>
      <c r="L23" s="134">
        <v>2180</v>
      </c>
      <c r="M23" s="134">
        <v>2520</v>
      </c>
      <c r="N23" s="134">
        <v>1750</v>
      </c>
      <c r="O23" s="134">
        <v>3250</v>
      </c>
      <c r="P23" s="134">
        <v>3520</v>
      </c>
      <c r="Q23" s="134">
        <v>2230</v>
      </c>
      <c r="R23" s="134">
        <v>2160</v>
      </c>
      <c r="S23" s="134">
        <v>1800</v>
      </c>
      <c r="T23" s="134">
        <v>3280</v>
      </c>
      <c r="U23" s="134">
        <v>3550</v>
      </c>
      <c r="V23" s="134">
        <v>4300</v>
      </c>
      <c r="W23" s="2382">
        <v>80.599999999999994</v>
      </c>
      <c r="X23" s="2381">
        <v>9550</v>
      </c>
      <c r="Y23" s="132">
        <v>81.7</v>
      </c>
      <c r="Z23" s="131">
        <v>128</v>
      </c>
      <c r="AA23" s="134">
        <v>146</v>
      </c>
      <c r="AB23" s="134">
        <v>60</v>
      </c>
      <c r="AC23" s="134">
        <v>69</v>
      </c>
      <c r="AD23" s="134">
        <v>6</v>
      </c>
      <c r="AE23" s="134">
        <v>1850</v>
      </c>
      <c r="AF23" s="132">
        <v>3.14</v>
      </c>
      <c r="AG23" s="132">
        <v>81.7</v>
      </c>
      <c r="AH23" s="132">
        <v>1.72</v>
      </c>
      <c r="AI23" s="132">
        <v>74.400000000000006</v>
      </c>
      <c r="AJ23" s="132"/>
      <c r="AK23" s="132"/>
      <c r="AL23" s="132" t="s">
        <v>972</v>
      </c>
      <c r="AM23" s="132" t="s">
        <v>972</v>
      </c>
      <c r="AN23" s="135" t="s">
        <v>972</v>
      </c>
      <c r="AO23" s="135" t="s">
        <v>972</v>
      </c>
      <c r="AP23" s="136" t="s">
        <v>972</v>
      </c>
      <c r="AQ23" s="135" t="s">
        <v>972</v>
      </c>
      <c r="AR23" s="135" t="s">
        <v>972</v>
      </c>
      <c r="AS23" s="135" t="s">
        <v>972</v>
      </c>
      <c r="AT23" s="135" t="s">
        <v>972</v>
      </c>
      <c r="AU23" s="135" t="s">
        <v>972</v>
      </c>
      <c r="AV23" s="135" t="s">
        <v>972</v>
      </c>
      <c r="AW23" s="135" t="s">
        <v>972</v>
      </c>
      <c r="AX23" s="135" t="s">
        <v>972</v>
      </c>
      <c r="AY23" s="135" t="s">
        <v>972</v>
      </c>
      <c r="AZ23" s="132" t="s">
        <v>972</v>
      </c>
      <c r="BA23" s="132" t="s">
        <v>972</v>
      </c>
      <c r="BB23" s="132" t="s">
        <v>972</v>
      </c>
      <c r="BC23" s="132" t="s">
        <v>972</v>
      </c>
      <c r="BD23" s="132" t="s">
        <v>972</v>
      </c>
      <c r="BE23" s="136" t="s">
        <v>972</v>
      </c>
      <c r="BF23" s="135" t="s">
        <v>972</v>
      </c>
      <c r="BG23" s="137">
        <v>7.0000000000000007E-2</v>
      </c>
      <c r="BH23" s="138">
        <v>8.5000000000000006E-2</v>
      </c>
      <c r="BI23" s="132">
        <v>22.4</v>
      </c>
      <c r="BJ23" s="132">
        <v>34.700000000000003</v>
      </c>
      <c r="BK23" s="132" t="s">
        <v>972</v>
      </c>
      <c r="BL23" s="139" t="s">
        <v>972</v>
      </c>
      <c r="BM23" s="135" t="s">
        <v>972</v>
      </c>
      <c r="BN23" s="138">
        <v>6.2E-2</v>
      </c>
      <c r="BO23" s="138">
        <v>5.5E-2</v>
      </c>
      <c r="BP23" s="132">
        <v>23.9</v>
      </c>
      <c r="BQ23" s="132">
        <v>36.799999999999997</v>
      </c>
      <c r="BR23" s="135" t="s">
        <v>972</v>
      </c>
      <c r="BS23" s="135" t="s">
        <v>972</v>
      </c>
      <c r="BT23" s="135" t="s">
        <v>972</v>
      </c>
      <c r="BU23" s="135" t="s">
        <v>972</v>
      </c>
      <c r="BV23" s="135" t="s">
        <v>972</v>
      </c>
      <c r="BW23" s="135" t="s">
        <v>972</v>
      </c>
      <c r="BX23" s="135" t="s">
        <v>972</v>
      </c>
      <c r="BY23" s="135" t="s">
        <v>972</v>
      </c>
      <c r="BZ23" s="135" t="s">
        <v>972</v>
      </c>
      <c r="CA23" s="135" t="s">
        <v>972</v>
      </c>
      <c r="CB23" s="138">
        <v>0.56999999999999995</v>
      </c>
      <c r="CC23" s="138">
        <v>3.65</v>
      </c>
      <c r="CD23" s="132">
        <v>13.3</v>
      </c>
      <c r="CE23" s="132">
        <v>16.100000000000001</v>
      </c>
      <c r="CF23" s="135" t="s">
        <v>972</v>
      </c>
      <c r="CG23" s="135" t="s">
        <v>972</v>
      </c>
      <c r="CH23" s="135" t="s">
        <v>972</v>
      </c>
      <c r="CI23" s="136" t="s">
        <v>972</v>
      </c>
      <c r="CJ23" s="135" t="s">
        <v>972</v>
      </c>
      <c r="CK23" s="135" t="s">
        <v>972</v>
      </c>
      <c r="CL23" s="135" t="s">
        <v>972</v>
      </c>
      <c r="CM23" s="135" t="s">
        <v>972</v>
      </c>
      <c r="CN23" s="135" t="s">
        <v>972</v>
      </c>
      <c r="CO23" s="135" t="s">
        <v>972</v>
      </c>
      <c r="CP23" s="135" t="s">
        <v>972</v>
      </c>
      <c r="CQ23" s="1467" t="s">
        <v>972</v>
      </c>
      <c r="CR23" s="135" t="s">
        <v>972</v>
      </c>
      <c r="CS23" s="135" t="s">
        <v>972</v>
      </c>
      <c r="CT23" s="135" t="s">
        <v>972</v>
      </c>
      <c r="CU23" s="134" t="s">
        <v>972</v>
      </c>
      <c r="CV23" s="132" t="s">
        <v>972</v>
      </c>
      <c r="CW23" s="134" t="s">
        <v>972</v>
      </c>
      <c r="CX23" s="1943" t="s">
        <v>972</v>
      </c>
      <c r="CY23" s="1935" t="s">
        <v>972</v>
      </c>
      <c r="CZ23" s="135" t="s">
        <v>972</v>
      </c>
      <c r="DA23" s="135" t="s">
        <v>972</v>
      </c>
      <c r="DB23" s="135" t="s">
        <v>972</v>
      </c>
      <c r="DC23" s="135" t="s">
        <v>972</v>
      </c>
      <c r="DD23" s="135" t="s">
        <v>972</v>
      </c>
      <c r="DE23" s="135" t="s">
        <v>972</v>
      </c>
      <c r="DF23" s="135" t="s">
        <v>972</v>
      </c>
      <c r="DG23" s="135" t="s">
        <v>972</v>
      </c>
      <c r="DH23" s="135" t="s">
        <v>972</v>
      </c>
      <c r="DI23" s="140" t="s">
        <v>972</v>
      </c>
      <c r="DJ23" s="132" t="s">
        <v>972</v>
      </c>
      <c r="DK23" s="132" t="s">
        <v>972</v>
      </c>
      <c r="DL23" s="132" t="s">
        <v>972</v>
      </c>
      <c r="DM23" s="135" t="s">
        <v>972</v>
      </c>
      <c r="DN23" s="135" t="s">
        <v>972</v>
      </c>
      <c r="DO23" s="135" t="s">
        <v>972</v>
      </c>
      <c r="DP23" s="132" t="s">
        <v>972</v>
      </c>
      <c r="DQ23" s="135" t="s">
        <v>972</v>
      </c>
      <c r="DR23" s="135" t="s">
        <v>972</v>
      </c>
      <c r="DS23" s="1332">
        <f>+DS22+1</f>
        <v>13</v>
      </c>
      <c r="DT23" s="1335" t="s">
        <v>1424</v>
      </c>
      <c r="DU23" s="1336" t="s">
        <v>1425</v>
      </c>
      <c r="DV23" s="2557"/>
      <c r="DW23" s="2554">
        <v>27.2</v>
      </c>
      <c r="DX23" s="2558">
        <v>29.02</v>
      </c>
      <c r="DY23" s="2561">
        <v>16.149999999999999</v>
      </c>
    </row>
    <row r="24" spans="1:129" s="146" customFormat="1" ht="15" customHeight="1">
      <c r="A24" s="39"/>
      <c r="B24" s="1617"/>
      <c r="C24" s="1429">
        <v>14</v>
      </c>
      <c r="D24" s="131">
        <v>120</v>
      </c>
      <c r="E24" s="132" t="s">
        <v>972</v>
      </c>
      <c r="F24" s="133">
        <v>116</v>
      </c>
      <c r="G24" s="132" t="s">
        <v>972</v>
      </c>
      <c r="H24" s="134">
        <v>64</v>
      </c>
      <c r="I24" s="134">
        <v>76</v>
      </c>
      <c r="J24" s="134">
        <v>24</v>
      </c>
      <c r="K24" s="134">
        <v>100</v>
      </c>
      <c r="L24" s="134">
        <v>1930</v>
      </c>
      <c r="M24" s="134">
        <v>1800</v>
      </c>
      <c r="N24" s="134">
        <v>1690</v>
      </c>
      <c r="O24" s="134">
        <v>3150</v>
      </c>
      <c r="P24" s="134">
        <v>3720</v>
      </c>
      <c r="Q24" s="134">
        <v>1940</v>
      </c>
      <c r="R24" s="134">
        <v>1790</v>
      </c>
      <c r="S24" s="134">
        <v>1580</v>
      </c>
      <c r="T24" s="134">
        <v>3500</v>
      </c>
      <c r="U24" s="134">
        <v>3610</v>
      </c>
      <c r="V24" s="134">
        <v>3160</v>
      </c>
      <c r="W24" s="2382" t="s">
        <v>972</v>
      </c>
      <c r="X24" s="134">
        <v>8520</v>
      </c>
      <c r="Y24" s="132" t="s">
        <v>972</v>
      </c>
      <c r="Z24" s="131">
        <v>129</v>
      </c>
      <c r="AA24" s="134">
        <v>130</v>
      </c>
      <c r="AB24" s="134">
        <v>63</v>
      </c>
      <c r="AC24" s="134">
        <v>74</v>
      </c>
      <c r="AD24" s="134">
        <v>8</v>
      </c>
      <c r="AE24" s="134">
        <v>1930</v>
      </c>
      <c r="AF24" s="132">
        <v>3.05</v>
      </c>
      <c r="AG24" s="132">
        <v>83.7</v>
      </c>
      <c r="AH24" s="132">
        <v>1.83</v>
      </c>
      <c r="AI24" s="132">
        <v>69.599999999999994</v>
      </c>
      <c r="AJ24" s="132"/>
      <c r="AK24" s="132"/>
      <c r="AL24" s="132" t="s">
        <v>972</v>
      </c>
      <c r="AM24" s="132" t="s">
        <v>972</v>
      </c>
      <c r="AN24" s="135" t="s">
        <v>972</v>
      </c>
      <c r="AO24" s="135" t="s">
        <v>972</v>
      </c>
      <c r="AP24" s="136">
        <v>120</v>
      </c>
      <c r="AQ24" s="135" t="s">
        <v>972</v>
      </c>
      <c r="AR24" s="135">
        <v>170</v>
      </c>
      <c r="AS24" s="135">
        <v>210</v>
      </c>
      <c r="AT24" s="135">
        <v>110</v>
      </c>
      <c r="AU24" s="135">
        <v>2700</v>
      </c>
      <c r="AV24" s="135" t="s">
        <v>972</v>
      </c>
      <c r="AW24" s="135">
        <v>2700</v>
      </c>
      <c r="AX24" s="135">
        <v>2800</v>
      </c>
      <c r="AY24" s="135">
        <v>2900</v>
      </c>
      <c r="AZ24" s="132">
        <v>7.06</v>
      </c>
      <c r="BA24" s="132" t="s">
        <v>972</v>
      </c>
      <c r="BB24" s="132">
        <v>7</v>
      </c>
      <c r="BC24" s="132">
        <v>6.99</v>
      </c>
      <c r="BD24" s="132">
        <v>6.9</v>
      </c>
      <c r="BE24" s="136" t="s">
        <v>972</v>
      </c>
      <c r="BF24" s="135" t="s">
        <v>972</v>
      </c>
      <c r="BG24" s="137">
        <v>3.7999999999999999E-2</v>
      </c>
      <c r="BH24" s="138">
        <v>0.14099999999999999</v>
      </c>
      <c r="BI24" s="132">
        <v>24.5</v>
      </c>
      <c r="BJ24" s="132">
        <v>37.299999999999997</v>
      </c>
      <c r="BK24" s="132" t="s">
        <v>972</v>
      </c>
      <c r="BL24" s="139" t="s">
        <v>972</v>
      </c>
      <c r="BM24" s="135" t="s">
        <v>972</v>
      </c>
      <c r="BN24" s="138">
        <v>2.5999999999999999E-2</v>
      </c>
      <c r="BO24" s="138">
        <v>0.09</v>
      </c>
      <c r="BP24" s="132">
        <v>23.8</v>
      </c>
      <c r="BQ24" s="132">
        <v>36.700000000000003</v>
      </c>
      <c r="BR24" s="135" t="s">
        <v>972</v>
      </c>
      <c r="BS24" s="135" t="s">
        <v>972</v>
      </c>
      <c r="BT24" s="135" t="s">
        <v>972</v>
      </c>
      <c r="BU24" s="135" t="s">
        <v>972</v>
      </c>
      <c r="BV24" s="135" t="s">
        <v>972</v>
      </c>
      <c r="BW24" s="132" t="s">
        <v>972</v>
      </c>
      <c r="BX24" s="132" t="s">
        <v>972</v>
      </c>
      <c r="BY24" s="135" t="s">
        <v>972</v>
      </c>
      <c r="BZ24" s="135" t="s">
        <v>972</v>
      </c>
      <c r="CA24" s="135" t="s">
        <v>972</v>
      </c>
      <c r="CB24" s="138">
        <v>0.61099999999999999</v>
      </c>
      <c r="CC24" s="138">
        <v>4.29</v>
      </c>
      <c r="CD24" s="132">
        <v>12.4</v>
      </c>
      <c r="CE24" s="132">
        <v>16.899999999999999</v>
      </c>
      <c r="CF24" s="135" t="s">
        <v>972</v>
      </c>
      <c r="CG24" s="135" t="s">
        <v>972</v>
      </c>
      <c r="CH24" s="135" t="s">
        <v>972</v>
      </c>
      <c r="CI24" s="136" t="s">
        <v>972</v>
      </c>
      <c r="CJ24" s="135" t="s">
        <v>972</v>
      </c>
      <c r="CK24" s="135" t="s">
        <v>972</v>
      </c>
      <c r="CL24" s="135" t="s">
        <v>972</v>
      </c>
      <c r="CM24" s="135" t="s">
        <v>972</v>
      </c>
      <c r="CN24" s="135" t="s">
        <v>972</v>
      </c>
      <c r="CO24" s="135" t="s">
        <v>972</v>
      </c>
      <c r="CP24" s="135" t="s">
        <v>972</v>
      </c>
      <c r="CQ24" s="1467" t="s">
        <v>972</v>
      </c>
      <c r="CR24" s="135" t="s">
        <v>972</v>
      </c>
      <c r="CS24" s="135" t="s">
        <v>972</v>
      </c>
      <c r="CT24" s="135" t="s">
        <v>972</v>
      </c>
      <c r="CU24" s="134" t="s">
        <v>972</v>
      </c>
      <c r="CV24" s="132" t="s">
        <v>972</v>
      </c>
      <c r="CW24" s="134" t="s">
        <v>972</v>
      </c>
      <c r="CX24" s="1943" t="s">
        <v>972</v>
      </c>
      <c r="CY24" s="1935" t="s">
        <v>972</v>
      </c>
      <c r="CZ24" s="135" t="s">
        <v>972</v>
      </c>
      <c r="DA24" s="135" t="s">
        <v>972</v>
      </c>
      <c r="DB24" s="135" t="s">
        <v>972</v>
      </c>
      <c r="DC24" s="135" t="s">
        <v>972</v>
      </c>
      <c r="DD24" s="135" t="s">
        <v>972</v>
      </c>
      <c r="DE24" s="135" t="s">
        <v>972</v>
      </c>
      <c r="DF24" s="135" t="s">
        <v>972</v>
      </c>
      <c r="DG24" s="135" t="s">
        <v>972</v>
      </c>
      <c r="DH24" s="135" t="s">
        <v>972</v>
      </c>
      <c r="DI24" s="140" t="s">
        <v>972</v>
      </c>
      <c r="DJ24" s="132" t="s">
        <v>972</v>
      </c>
      <c r="DK24" s="132" t="s">
        <v>972</v>
      </c>
      <c r="DL24" s="132" t="s">
        <v>972</v>
      </c>
      <c r="DM24" s="135" t="s">
        <v>972</v>
      </c>
      <c r="DN24" s="135" t="s">
        <v>972</v>
      </c>
      <c r="DO24" s="135" t="s">
        <v>972</v>
      </c>
      <c r="DP24" s="132" t="s">
        <v>972</v>
      </c>
      <c r="DQ24" s="135" t="s">
        <v>972</v>
      </c>
      <c r="DR24" s="135" t="s">
        <v>972</v>
      </c>
      <c r="DS24" s="1332">
        <f t="shared" ref="DS24:DS40" si="2">+DS23+1</f>
        <v>14</v>
      </c>
      <c r="DT24" s="1335" t="s">
        <v>1424</v>
      </c>
      <c r="DU24" s="1336" t="s">
        <v>1425</v>
      </c>
      <c r="DV24" s="2557"/>
      <c r="DW24" s="2554">
        <v>29.75</v>
      </c>
      <c r="DX24" s="2558">
        <v>28.9</v>
      </c>
      <c r="DY24" s="2561">
        <v>15.06</v>
      </c>
    </row>
    <row r="25" spans="1:129" s="146" customFormat="1" ht="15" customHeight="1">
      <c r="A25" s="39"/>
      <c r="B25" s="1617"/>
      <c r="C25" s="1429">
        <v>15</v>
      </c>
      <c r="D25" s="131">
        <v>140</v>
      </c>
      <c r="E25" s="132" t="s">
        <v>972</v>
      </c>
      <c r="F25" s="133">
        <v>162</v>
      </c>
      <c r="G25" s="132" t="s">
        <v>972</v>
      </c>
      <c r="H25" s="134" t="s">
        <v>972</v>
      </c>
      <c r="I25" s="134" t="s">
        <v>972</v>
      </c>
      <c r="J25" s="134">
        <v>19</v>
      </c>
      <c r="K25" s="134" t="s">
        <v>972</v>
      </c>
      <c r="L25" s="134" t="s">
        <v>972</v>
      </c>
      <c r="M25" s="134" t="s">
        <v>972</v>
      </c>
      <c r="N25" s="134" t="s">
        <v>972</v>
      </c>
      <c r="O25" s="134" t="s">
        <v>972</v>
      </c>
      <c r="P25" s="134" t="s">
        <v>972</v>
      </c>
      <c r="Q25" s="134" t="s">
        <v>972</v>
      </c>
      <c r="R25" s="134" t="s">
        <v>972</v>
      </c>
      <c r="S25" s="134" t="s">
        <v>972</v>
      </c>
      <c r="T25" s="134" t="s">
        <v>972</v>
      </c>
      <c r="U25" s="134" t="s">
        <v>972</v>
      </c>
      <c r="V25" s="134" t="s">
        <v>972</v>
      </c>
      <c r="W25" s="2382" t="s">
        <v>972</v>
      </c>
      <c r="X25" s="134" t="s">
        <v>972</v>
      </c>
      <c r="Y25" s="132" t="s">
        <v>972</v>
      </c>
      <c r="Z25" s="131">
        <v>128</v>
      </c>
      <c r="AA25" s="134">
        <v>150</v>
      </c>
      <c r="AB25" s="134" t="s">
        <v>972</v>
      </c>
      <c r="AC25" s="134" t="s">
        <v>972</v>
      </c>
      <c r="AD25" s="134">
        <v>6</v>
      </c>
      <c r="AE25" s="134" t="s">
        <v>972</v>
      </c>
      <c r="AF25" s="132" t="s">
        <v>972</v>
      </c>
      <c r="AG25" s="132" t="s">
        <v>972</v>
      </c>
      <c r="AH25" s="132" t="s">
        <v>972</v>
      </c>
      <c r="AI25" s="132" t="s">
        <v>972</v>
      </c>
      <c r="AJ25" s="132"/>
      <c r="AK25" s="132"/>
      <c r="AL25" s="132" t="s">
        <v>972</v>
      </c>
      <c r="AM25" s="132" t="s">
        <v>972</v>
      </c>
      <c r="AN25" s="135" t="s">
        <v>972</v>
      </c>
      <c r="AO25" s="135" t="s">
        <v>972</v>
      </c>
      <c r="AP25" s="136" t="s">
        <v>972</v>
      </c>
      <c r="AQ25" s="135" t="s">
        <v>972</v>
      </c>
      <c r="AR25" s="135" t="s">
        <v>972</v>
      </c>
      <c r="AS25" s="135" t="s">
        <v>972</v>
      </c>
      <c r="AT25" s="135" t="s">
        <v>972</v>
      </c>
      <c r="AU25" s="135" t="s">
        <v>972</v>
      </c>
      <c r="AV25" s="135" t="s">
        <v>972</v>
      </c>
      <c r="AW25" s="135" t="s">
        <v>972</v>
      </c>
      <c r="AX25" s="135" t="s">
        <v>972</v>
      </c>
      <c r="AY25" s="135" t="s">
        <v>972</v>
      </c>
      <c r="AZ25" s="132" t="s">
        <v>972</v>
      </c>
      <c r="BA25" s="132" t="s">
        <v>972</v>
      </c>
      <c r="BB25" s="132" t="s">
        <v>972</v>
      </c>
      <c r="BC25" s="132" t="s">
        <v>972</v>
      </c>
      <c r="BD25" s="132" t="s">
        <v>972</v>
      </c>
      <c r="BE25" s="136" t="s">
        <v>972</v>
      </c>
      <c r="BF25" s="135" t="s">
        <v>972</v>
      </c>
      <c r="BG25" s="137">
        <v>2.5999999999999999E-2</v>
      </c>
      <c r="BH25" s="138">
        <v>0.189</v>
      </c>
      <c r="BI25" s="132">
        <v>20.7</v>
      </c>
      <c r="BJ25" s="132">
        <v>35.299999999999997</v>
      </c>
      <c r="BK25" s="132" t="s">
        <v>972</v>
      </c>
      <c r="BL25" s="139" t="s">
        <v>972</v>
      </c>
      <c r="BM25" s="135" t="s">
        <v>972</v>
      </c>
      <c r="BN25" s="138">
        <v>3.7999999999999999E-2</v>
      </c>
      <c r="BO25" s="138">
        <v>0.13700000000000001</v>
      </c>
      <c r="BP25" s="132">
        <v>20.8</v>
      </c>
      <c r="BQ25" s="132">
        <v>34.9</v>
      </c>
      <c r="BR25" s="135" t="s">
        <v>972</v>
      </c>
      <c r="BS25" s="135" t="s">
        <v>972</v>
      </c>
      <c r="BT25" s="135" t="s">
        <v>972</v>
      </c>
      <c r="BU25" s="135" t="s">
        <v>972</v>
      </c>
      <c r="BV25" s="135" t="s">
        <v>972</v>
      </c>
      <c r="BW25" s="135" t="s">
        <v>972</v>
      </c>
      <c r="BX25" s="135" t="s">
        <v>972</v>
      </c>
      <c r="BY25" s="135" t="s">
        <v>972</v>
      </c>
      <c r="BZ25" s="135" t="s">
        <v>972</v>
      </c>
      <c r="CA25" s="135" t="s">
        <v>972</v>
      </c>
      <c r="CB25" s="138">
        <v>0.63200000000000001</v>
      </c>
      <c r="CC25" s="138">
        <v>4.09</v>
      </c>
      <c r="CD25" s="132">
        <v>13.3</v>
      </c>
      <c r="CE25" s="132">
        <v>17</v>
      </c>
      <c r="CF25" s="135" t="s">
        <v>972</v>
      </c>
      <c r="CG25" s="135" t="s">
        <v>972</v>
      </c>
      <c r="CH25" s="135" t="s">
        <v>972</v>
      </c>
      <c r="CI25" s="136" t="s">
        <v>972</v>
      </c>
      <c r="CJ25" s="135" t="s">
        <v>972</v>
      </c>
      <c r="CK25" s="135" t="s">
        <v>972</v>
      </c>
      <c r="CL25" s="135" t="s">
        <v>972</v>
      </c>
      <c r="CM25" s="135" t="s">
        <v>972</v>
      </c>
      <c r="CN25" s="135" t="s">
        <v>972</v>
      </c>
      <c r="CO25" s="135" t="s">
        <v>972</v>
      </c>
      <c r="CP25" s="135" t="s">
        <v>972</v>
      </c>
      <c r="CQ25" s="1467" t="s">
        <v>972</v>
      </c>
      <c r="CR25" s="135" t="s">
        <v>972</v>
      </c>
      <c r="CS25" s="135" t="s">
        <v>972</v>
      </c>
      <c r="CT25" s="135" t="s">
        <v>972</v>
      </c>
      <c r="CU25" s="134" t="s">
        <v>972</v>
      </c>
      <c r="CV25" s="132" t="s">
        <v>972</v>
      </c>
      <c r="CW25" s="134" t="s">
        <v>972</v>
      </c>
      <c r="CX25" s="1943" t="s">
        <v>972</v>
      </c>
      <c r="CY25" s="1935" t="s">
        <v>972</v>
      </c>
      <c r="CZ25" s="135" t="s">
        <v>972</v>
      </c>
      <c r="DA25" s="135" t="s">
        <v>972</v>
      </c>
      <c r="DB25" s="135" t="s">
        <v>972</v>
      </c>
      <c r="DC25" s="135" t="s">
        <v>972</v>
      </c>
      <c r="DD25" s="135" t="s">
        <v>972</v>
      </c>
      <c r="DE25" s="135" t="s">
        <v>972</v>
      </c>
      <c r="DF25" s="135" t="s">
        <v>972</v>
      </c>
      <c r="DG25" s="135" t="s">
        <v>972</v>
      </c>
      <c r="DH25" s="135" t="s">
        <v>972</v>
      </c>
      <c r="DI25" s="140" t="s">
        <v>972</v>
      </c>
      <c r="DJ25" s="132" t="s">
        <v>972</v>
      </c>
      <c r="DK25" s="132" t="s">
        <v>972</v>
      </c>
      <c r="DL25" s="132" t="s">
        <v>972</v>
      </c>
      <c r="DM25" s="135" t="s">
        <v>972</v>
      </c>
      <c r="DN25" s="135" t="s">
        <v>972</v>
      </c>
      <c r="DO25" s="135" t="s">
        <v>972</v>
      </c>
      <c r="DP25" s="132" t="s">
        <v>972</v>
      </c>
      <c r="DQ25" s="135" t="s">
        <v>972</v>
      </c>
      <c r="DR25" s="135" t="s">
        <v>972</v>
      </c>
      <c r="DS25" s="1332">
        <f t="shared" si="2"/>
        <v>15</v>
      </c>
      <c r="DT25" s="1335" t="s">
        <v>1424</v>
      </c>
      <c r="DU25" s="1336" t="s">
        <v>1425</v>
      </c>
      <c r="DV25" s="2557"/>
      <c r="DW25" s="2554">
        <v>25.14</v>
      </c>
      <c r="DX25" s="2558">
        <v>25.26</v>
      </c>
      <c r="DY25" s="2561">
        <v>16.149999999999999</v>
      </c>
    </row>
    <row r="26" spans="1:129" s="146" customFormat="1" ht="15" customHeight="1">
      <c r="A26" s="39"/>
      <c r="B26" s="1617"/>
      <c r="C26" s="1429">
        <v>16</v>
      </c>
      <c r="D26" s="131">
        <v>128</v>
      </c>
      <c r="E26" s="132" t="s">
        <v>972</v>
      </c>
      <c r="F26" s="133">
        <v>120</v>
      </c>
      <c r="G26" s="132" t="s">
        <v>972</v>
      </c>
      <c r="H26" s="134" t="s">
        <v>972</v>
      </c>
      <c r="I26" s="134" t="s">
        <v>972</v>
      </c>
      <c r="J26" s="134">
        <v>52</v>
      </c>
      <c r="K26" s="134" t="s">
        <v>972</v>
      </c>
      <c r="L26" s="134" t="s">
        <v>972</v>
      </c>
      <c r="M26" s="134" t="s">
        <v>972</v>
      </c>
      <c r="N26" s="134" t="s">
        <v>972</v>
      </c>
      <c r="O26" s="134" t="s">
        <v>972</v>
      </c>
      <c r="P26" s="134" t="s">
        <v>972</v>
      </c>
      <c r="Q26" s="134" t="s">
        <v>972</v>
      </c>
      <c r="R26" s="134" t="s">
        <v>972</v>
      </c>
      <c r="S26" s="134" t="s">
        <v>972</v>
      </c>
      <c r="T26" s="134" t="s">
        <v>972</v>
      </c>
      <c r="U26" s="134" t="s">
        <v>972</v>
      </c>
      <c r="V26" s="134" t="s">
        <v>972</v>
      </c>
      <c r="W26" s="132" t="s">
        <v>972</v>
      </c>
      <c r="X26" s="134" t="s">
        <v>972</v>
      </c>
      <c r="Y26" s="132" t="s">
        <v>972</v>
      </c>
      <c r="Z26" s="131">
        <v>122</v>
      </c>
      <c r="AA26" s="134">
        <v>122</v>
      </c>
      <c r="AB26" s="134" t="s">
        <v>972</v>
      </c>
      <c r="AC26" s="134" t="s">
        <v>972</v>
      </c>
      <c r="AD26" s="134">
        <v>12</v>
      </c>
      <c r="AE26" s="134" t="s">
        <v>972</v>
      </c>
      <c r="AF26" s="132" t="s">
        <v>972</v>
      </c>
      <c r="AG26" s="132" t="s">
        <v>972</v>
      </c>
      <c r="AH26" s="132" t="s">
        <v>972</v>
      </c>
      <c r="AI26" s="132" t="s">
        <v>972</v>
      </c>
      <c r="AJ26" s="132"/>
      <c r="AK26" s="132"/>
      <c r="AL26" s="132" t="s">
        <v>972</v>
      </c>
      <c r="AM26" s="132" t="s">
        <v>972</v>
      </c>
      <c r="AN26" s="135" t="s">
        <v>972</v>
      </c>
      <c r="AO26" s="135" t="s">
        <v>972</v>
      </c>
      <c r="AP26" s="136" t="s">
        <v>972</v>
      </c>
      <c r="AQ26" s="135" t="s">
        <v>972</v>
      </c>
      <c r="AR26" s="135" t="s">
        <v>972</v>
      </c>
      <c r="AS26" s="135" t="s">
        <v>972</v>
      </c>
      <c r="AT26" s="135" t="s">
        <v>972</v>
      </c>
      <c r="AU26" s="135" t="s">
        <v>972</v>
      </c>
      <c r="AV26" s="135" t="s">
        <v>972</v>
      </c>
      <c r="AW26" s="135" t="s">
        <v>972</v>
      </c>
      <c r="AX26" s="135" t="s">
        <v>972</v>
      </c>
      <c r="AY26" s="135" t="s">
        <v>972</v>
      </c>
      <c r="AZ26" s="132" t="s">
        <v>972</v>
      </c>
      <c r="BA26" s="132" t="s">
        <v>972</v>
      </c>
      <c r="BB26" s="132" t="s">
        <v>972</v>
      </c>
      <c r="BC26" s="132" t="s">
        <v>972</v>
      </c>
      <c r="BD26" s="132" t="s">
        <v>972</v>
      </c>
      <c r="BE26" s="136" t="s">
        <v>972</v>
      </c>
      <c r="BF26" s="135" t="s">
        <v>972</v>
      </c>
      <c r="BG26" s="137">
        <v>4.2000000000000003E-2</v>
      </c>
      <c r="BH26" s="138">
        <v>0.32400000000000001</v>
      </c>
      <c r="BI26" s="132">
        <v>14.5</v>
      </c>
      <c r="BJ26" s="132">
        <v>26.4</v>
      </c>
      <c r="BK26" s="132" t="s">
        <v>972</v>
      </c>
      <c r="BL26" s="139" t="s">
        <v>972</v>
      </c>
      <c r="BM26" s="135" t="s">
        <v>972</v>
      </c>
      <c r="BN26" s="138">
        <v>4.3999999999999997E-2</v>
      </c>
      <c r="BO26" s="138">
        <v>0.28799999999999998</v>
      </c>
      <c r="BP26" s="132">
        <v>17</v>
      </c>
      <c r="BQ26" s="132">
        <v>28.8</v>
      </c>
      <c r="BR26" s="135" t="s">
        <v>972</v>
      </c>
      <c r="BS26" s="135" t="s">
        <v>972</v>
      </c>
      <c r="BT26" s="135" t="s">
        <v>972</v>
      </c>
      <c r="BU26" s="135" t="s">
        <v>972</v>
      </c>
      <c r="BV26" s="135" t="s">
        <v>972</v>
      </c>
      <c r="BW26" s="135" t="s">
        <v>972</v>
      </c>
      <c r="BX26" s="135" t="s">
        <v>972</v>
      </c>
      <c r="BY26" s="135" t="s">
        <v>972</v>
      </c>
      <c r="BZ26" s="135" t="s">
        <v>972</v>
      </c>
      <c r="CA26" s="135" t="s">
        <v>972</v>
      </c>
      <c r="CB26" s="138">
        <v>0.38600000000000001</v>
      </c>
      <c r="CC26" s="138">
        <v>2.4300000000000002</v>
      </c>
      <c r="CD26" s="132">
        <v>11.9</v>
      </c>
      <c r="CE26" s="132">
        <v>18.100000000000001</v>
      </c>
      <c r="CF26" s="135" t="s">
        <v>972</v>
      </c>
      <c r="CG26" s="135" t="s">
        <v>972</v>
      </c>
      <c r="CH26" s="135" t="s">
        <v>972</v>
      </c>
      <c r="CI26" s="136" t="s">
        <v>972</v>
      </c>
      <c r="CJ26" s="135" t="s">
        <v>972</v>
      </c>
      <c r="CK26" s="135" t="s">
        <v>972</v>
      </c>
      <c r="CL26" s="135" t="s">
        <v>972</v>
      </c>
      <c r="CM26" s="135" t="s">
        <v>972</v>
      </c>
      <c r="CN26" s="135" t="s">
        <v>972</v>
      </c>
      <c r="CO26" s="135" t="s">
        <v>972</v>
      </c>
      <c r="CP26" s="135" t="s">
        <v>972</v>
      </c>
      <c r="CQ26" s="1467" t="s">
        <v>972</v>
      </c>
      <c r="CR26" s="135" t="s">
        <v>972</v>
      </c>
      <c r="CS26" s="135" t="s">
        <v>972</v>
      </c>
      <c r="CT26" s="135" t="s">
        <v>972</v>
      </c>
      <c r="CU26" s="134" t="s">
        <v>972</v>
      </c>
      <c r="CV26" s="132" t="s">
        <v>972</v>
      </c>
      <c r="CW26" s="134" t="s">
        <v>972</v>
      </c>
      <c r="CX26" s="1943" t="s">
        <v>972</v>
      </c>
      <c r="CY26" s="1935" t="s">
        <v>972</v>
      </c>
      <c r="CZ26" s="135" t="s">
        <v>972</v>
      </c>
      <c r="DA26" s="135" t="s">
        <v>972</v>
      </c>
      <c r="DB26" s="135" t="s">
        <v>972</v>
      </c>
      <c r="DC26" s="135" t="s">
        <v>972</v>
      </c>
      <c r="DD26" s="135" t="s">
        <v>972</v>
      </c>
      <c r="DE26" s="135" t="s">
        <v>972</v>
      </c>
      <c r="DF26" s="135" t="s">
        <v>972</v>
      </c>
      <c r="DG26" s="135" t="s">
        <v>972</v>
      </c>
      <c r="DH26" s="135" t="s">
        <v>972</v>
      </c>
      <c r="DI26" s="140" t="s">
        <v>972</v>
      </c>
      <c r="DJ26" s="132" t="s">
        <v>972</v>
      </c>
      <c r="DK26" s="132" t="s">
        <v>972</v>
      </c>
      <c r="DL26" s="132" t="s">
        <v>972</v>
      </c>
      <c r="DM26" s="135" t="s">
        <v>972</v>
      </c>
      <c r="DN26" s="135" t="s">
        <v>972</v>
      </c>
      <c r="DO26" s="135" t="s">
        <v>972</v>
      </c>
      <c r="DP26" s="132" t="s">
        <v>972</v>
      </c>
      <c r="DQ26" s="135" t="s">
        <v>972</v>
      </c>
      <c r="DR26" s="135" t="s">
        <v>972</v>
      </c>
      <c r="DS26" s="1332">
        <f t="shared" si="2"/>
        <v>16</v>
      </c>
      <c r="DT26" s="1335" t="s">
        <v>1424</v>
      </c>
      <c r="DU26" s="1336" t="s">
        <v>1425</v>
      </c>
      <c r="DV26" s="2557"/>
      <c r="DW26" s="2554">
        <v>17.61</v>
      </c>
      <c r="DX26" s="2558">
        <v>20.64</v>
      </c>
      <c r="DY26" s="2561">
        <v>14.45</v>
      </c>
    </row>
    <row r="27" spans="1:129" s="146" customFormat="1" ht="15" customHeight="1">
      <c r="A27" s="39"/>
      <c r="B27" s="1617"/>
      <c r="C27" s="1429">
        <v>17</v>
      </c>
      <c r="D27" s="131">
        <v>136</v>
      </c>
      <c r="E27" s="132" t="s">
        <v>972</v>
      </c>
      <c r="F27" s="133">
        <v>144</v>
      </c>
      <c r="G27" s="132" t="s">
        <v>972</v>
      </c>
      <c r="H27" s="134" t="s">
        <v>972</v>
      </c>
      <c r="I27" s="134" t="s">
        <v>972</v>
      </c>
      <c r="J27" s="134">
        <v>17</v>
      </c>
      <c r="K27" s="134" t="s">
        <v>972</v>
      </c>
      <c r="L27" s="134" t="s">
        <v>972</v>
      </c>
      <c r="M27" s="134" t="s">
        <v>972</v>
      </c>
      <c r="N27" s="134" t="s">
        <v>972</v>
      </c>
      <c r="O27" s="134" t="s">
        <v>972</v>
      </c>
      <c r="P27" s="134" t="s">
        <v>972</v>
      </c>
      <c r="Q27" s="134" t="s">
        <v>972</v>
      </c>
      <c r="R27" s="134" t="s">
        <v>972</v>
      </c>
      <c r="S27" s="134" t="s">
        <v>972</v>
      </c>
      <c r="T27" s="134" t="s">
        <v>972</v>
      </c>
      <c r="U27" s="134" t="s">
        <v>972</v>
      </c>
      <c r="V27" s="134" t="s">
        <v>972</v>
      </c>
      <c r="W27" s="132" t="s">
        <v>972</v>
      </c>
      <c r="X27" s="134" t="s">
        <v>972</v>
      </c>
      <c r="Y27" s="132" t="s">
        <v>972</v>
      </c>
      <c r="Z27" s="131">
        <v>119</v>
      </c>
      <c r="AA27" s="134">
        <v>114</v>
      </c>
      <c r="AB27" s="134" t="s">
        <v>972</v>
      </c>
      <c r="AC27" s="134" t="s">
        <v>972</v>
      </c>
      <c r="AD27" s="134">
        <v>7</v>
      </c>
      <c r="AE27" s="134" t="s">
        <v>972</v>
      </c>
      <c r="AF27" s="132" t="s">
        <v>972</v>
      </c>
      <c r="AG27" s="132" t="s">
        <v>972</v>
      </c>
      <c r="AH27" s="132" t="s">
        <v>972</v>
      </c>
      <c r="AI27" s="132" t="s">
        <v>972</v>
      </c>
      <c r="AJ27" s="132"/>
      <c r="AK27" s="132"/>
      <c r="AL27" s="132" t="s">
        <v>972</v>
      </c>
      <c r="AM27" s="132" t="s">
        <v>972</v>
      </c>
      <c r="AN27" s="135" t="s">
        <v>972</v>
      </c>
      <c r="AO27" s="135" t="s">
        <v>972</v>
      </c>
      <c r="AP27" s="136" t="s">
        <v>972</v>
      </c>
      <c r="AQ27" s="135" t="s">
        <v>972</v>
      </c>
      <c r="AR27" s="135" t="s">
        <v>972</v>
      </c>
      <c r="AS27" s="135" t="s">
        <v>972</v>
      </c>
      <c r="AT27" s="135" t="s">
        <v>972</v>
      </c>
      <c r="AU27" s="135" t="s">
        <v>972</v>
      </c>
      <c r="AV27" s="135" t="s">
        <v>972</v>
      </c>
      <c r="AW27" s="135" t="s">
        <v>972</v>
      </c>
      <c r="AX27" s="135" t="s">
        <v>972</v>
      </c>
      <c r="AY27" s="135" t="s">
        <v>972</v>
      </c>
      <c r="AZ27" s="132" t="s">
        <v>972</v>
      </c>
      <c r="BA27" s="132" t="s">
        <v>972</v>
      </c>
      <c r="BB27" s="132" t="s">
        <v>972</v>
      </c>
      <c r="BC27" s="132" t="s">
        <v>972</v>
      </c>
      <c r="BD27" s="132" t="s">
        <v>972</v>
      </c>
      <c r="BE27" s="136" t="s">
        <v>972</v>
      </c>
      <c r="BF27" s="135" t="s">
        <v>972</v>
      </c>
      <c r="BG27" s="137">
        <v>2.7E-2</v>
      </c>
      <c r="BH27" s="138">
        <v>0.157</v>
      </c>
      <c r="BI27" s="132">
        <v>21.3</v>
      </c>
      <c r="BJ27" s="132">
        <v>37.9</v>
      </c>
      <c r="BK27" s="132" t="s">
        <v>972</v>
      </c>
      <c r="BL27" s="139" t="s">
        <v>972</v>
      </c>
      <c r="BM27" s="135" t="s">
        <v>972</v>
      </c>
      <c r="BN27" s="138">
        <v>3.5999999999999997E-2</v>
      </c>
      <c r="BO27" s="138">
        <v>0.112</v>
      </c>
      <c r="BP27" s="132">
        <v>21.2</v>
      </c>
      <c r="BQ27" s="132">
        <v>35.299999999999997</v>
      </c>
      <c r="BR27" s="135" t="s">
        <v>972</v>
      </c>
      <c r="BS27" s="135" t="s">
        <v>972</v>
      </c>
      <c r="BT27" s="135" t="s">
        <v>972</v>
      </c>
      <c r="BU27" s="135" t="s">
        <v>972</v>
      </c>
      <c r="BV27" s="135" t="s">
        <v>972</v>
      </c>
      <c r="BW27" s="135" t="s">
        <v>972</v>
      </c>
      <c r="BX27" s="135" t="s">
        <v>972</v>
      </c>
      <c r="BY27" s="135" t="s">
        <v>972</v>
      </c>
      <c r="BZ27" s="135" t="s">
        <v>972</v>
      </c>
      <c r="CA27" s="135" t="s">
        <v>972</v>
      </c>
      <c r="CB27" s="138">
        <v>0.50700000000000001</v>
      </c>
      <c r="CC27" s="138">
        <v>2.94</v>
      </c>
      <c r="CD27" s="132">
        <v>13.6</v>
      </c>
      <c r="CE27" s="132">
        <v>16.399999999999999</v>
      </c>
      <c r="CF27" s="135" t="s">
        <v>972</v>
      </c>
      <c r="CG27" s="135" t="s">
        <v>972</v>
      </c>
      <c r="CH27" s="135" t="s">
        <v>972</v>
      </c>
      <c r="CI27" s="136" t="s">
        <v>972</v>
      </c>
      <c r="CJ27" s="135" t="s">
        <v>972</v>
      </c>
      <c r="CK27" s="135" t="s">
        <v>972</v>
      </c>
      <c r="CL27" s="135" t="s">
        <v>972</v>
      </c>
      <c r="CM27" s="135" t="s">
        <v>972</v>
      </c>
      <c r="CN27" s="135" t="s">
        <v>972</v>
      </c>
      <c r="CO27" s="135" t="s">
        <v>972</v>
      </c>
      <c r="CP27" s="135" t="s">
        <v>972</v>
      </c>
      <c r="CQ27" s="1467" t="s">
        <v>972</v>
      </c>
      <c r="CR27" s="135" t="s">
        <v>972</v>
      </c>
      <c r="CS27" s="135" t="s">
        <v>972</v>
      </c>
      <c r="CT27" s="135" t="s">
        <v>972</v>
      </c>
      <c r="CU27" s="134" t="s">
        <v>972</v>
      </c>
      <c r="CV27" s="132" t="s">
        <v>972</v>
      </c>
      <c r="CW27" s="134" t="s">
        <v>972</v>
      </c>
      <c r="CX27" s="1943" t="s">
        <v>972</v>
      </c>
      <c r="CY27" s="1935" t="s">
        <v>972</v>
      </c>
      <c r="CZ27" s="135" t="s">
        <v>972</v>
      </c>
      <c r="DA27" s="135" t="s">
        <v>972</v>
      </c>
      <c r="DB27" s="135" t="s">
        <v>972</v>
      </c>
      <c r="DC27" s="135" t="s">
        <v>972</v>
      </c>
      <c r="DD27" s="135" t="s">
        <v>972</v>
      </c>
      <c r="DE27" s="135" t="s">
        <v>972</v>
      </c>
      <c r="DF27" s="135" t="s">
        <v>972</v>
      </c>
      <c r="DG27" s="135" t="s">
        <v>972</v>
      </c>
      <c r="DH27" s="135" t="s">
        <v>972</v>
      </c>
      <c r="DI27" s="140" t="s">
        <v>972</v>
      </c>
      <c r="DJ27" s="132" t="s">
        <v>972</v>
      </c>
      <c r="DK27" s="132" t="s">
        <v>972</v>
      </c>
      <c r="DL27" s="132" t="s">
        <v>972</v>
      </c>
      <c r="DM27" s="135" t="s">
        <v>972</v>
      </c>
      <c r="DN27" s="135" t="s">
        <v>972</v>
      </c>
      <c r="DO27" s="135" t="s">
        <v>972</v>
      </c>
      <c r="DP27" s="132" t="s">
        <v>972</v>
      </c>
      <c r="DQ27" s="135" t="s">
        <v>972</v>
      </c>
      <c r="DR27" s="135" t="s">
        <v>972</v>
      </c>
      <c r="DS27" s="1332">
        <f t="shared" si="2"/>
        <v>17</v>
      </c>
      <c r="DT27" s="1335" t="s">
        <v>1424</v>
      </c>
      <c r="DU27" s="1336" t="s">
        <v>1425</v>
      </c>
      <c r="DV27" s="2557"/>
      <c r="DW27" s="2554">
        <v>25.86</v>
      </c>
      <c r="DX27" s="2558">
        <v>25.74</v>
      </c>
      <c r="DY27" s="2561">
        <v>16.510000000000002</v>
      </c>
    </row>
    <row r="28" spans="1:129" s="146" customFormat="1" ht="15" customHeight="1">
      <c r="A28" s="39"/>
      <c r="B28" s="1617"/>
      <c r="C28" s="1429">
        <v>18</v>
      </c>
      <c r="D28" s="131">
        <v>148</v>
      </c>
      <c r="E28" s="132">
        <v>83.8</v>
      </c>
      <c r="F28" s="133">
        <v>132</v>
      </c>
      <c r="G28" s="132">
        <v>81.8</v>
      </c>
      <c r="H28" s="134">
        <v>72</v>
      </c>
      <c r="I28" s="134">
        <v>76</v>
      </c>
      <c r="J28" s="134">
        <v>28</v>
      </c>
      <c r="K28" s="134">
        <v>260</v>
      </c>
      <c r="L28" s="134">
        <v>2550</v>
      </c>
      <c r="M28" s="134">
        <v>2240</v>
      </c>
      <c r="N28" s="134">
        <v>1720</v>
      </c>
      <c r="O28" s="134">
        <v>4560</v>
      </c>
      <c r="P28" s="134">
        <v>3650</v>
      </c>
      <c r="Q28" s="134">
        <v>2760</v>
      </c>
      <c r="R28" s="134">
        <v>4110</v>
      </c>
      <c r="S28" s="134">
        <v>3790</v>
      </c>
      <c r="T28" s="134">
        <v>5730</v>
      </c>
      <c r="U28" s="134">
        <v>6550</v>
      </c>
      <c r="V28" s="134">
        <v>2980</v>
      </c>
      <c r="W28" s="132">
        <v>81.2</v>
      </c>
      <c r="X28" s="134">
        <v>8940</v>
      </c>
      <c r="Y28" s="132">
        <v>84.3</v>
      </c>
      <c r="Z28" s="131">
        <v>141</v>
      </c>
      <c r="AA28" s="134">
        <v>135</v>
      </c>
      <c r="AB28" s="134">
        <v>81</v>
      </c>
      <c r="AC28" s="134">
        <v>93</v>
      </c>
      <c r="AD28" s="134">
        <v>9</v>
      </c>
      <c r="AE28" s="134">
        <v>920</v>
      </c>
      <c r="AF28" s="132">
        <v>3.4</v>
      </c>
      <c r="AG28" s="132">
        <v>84.9</v>
      </c>
      <c r="AH28" s="132">
        <v>1.9</v>
      </c>
      <c r="AI28" s="132">
        <v>70.8</v>
      </c>
      <c r="AJ28" s="132"/>
      <c r="AK28" s="132"/>
      <c r="AL28" s="132" t="s">
        <v>972</v>
      </c>
      <c r="AM28" s="132" t="s">
        <v>972</v>
      </c>
      <c r="AN28" s="135" t="s">
        <v>972</v>
      </c>
      <c r="AO28" s="135" t="s">
        <v>972</v>
      </c>
      <c r="AP28" s="136">
        <v>520</v>
      </c>
      <c r="AQ28" s="135" t="s">
        <v>972</v>
      </c>
      <c r="AR28" s="135">
        <v>130</v>
      </c>
      <c r="AS28" s="135">
        <v>110</v>
      </c>
      <c r="AT28" s="135">
        <v>150</v>
      </c>
      <c r="AU28" s="135">
        <v>2500</v>
      </c>
      <c r="AV28" s="135" t="s">
        <v>972</v>
      </c>
      <c r="AW28" s="135">
        <v>3000</v>
      </c>
      <c r="AX28" s="135">
        <v>3100</v>
      </c>
      <c r="AY28" s="135">
        <v>2900</v>
      </c>
      <c r="AZ28" s="132">
        <v>7.1</v>
      </c>
      <c r="BA28" s="132" t="s">
        <v>972</v>
      </c>
      <c r="BB28" s="132">
        <v>7.1</v>
      </c>
      <c r="BC28" s="132">
        <v>7.1</v>
      </c>
      <c r="BD28" s="132">
        <v>7.1</v>
      </c>
      <c r="BE28" s="136" t="s">
        <v>972</v>
      </c>
      <c r="BF28" s="135" t="s">
        <v>972</v>
      </c>
      <c r="BG28" s="137">
        <v>5.0999999999999997E-2</v>
      </c>
      <c r="BH28" s="138">
        <v>7.8E-2</v>
      </c>
      <c r="BI28" s="132">
        <v>24.1</v>
      </c>
      <c r="BJ28" s="132">
        <v>37.799999999999997</v>
      </c>
      <c r="BK28" s="132" t="s">
        <v>972</v>
      </c>
      <c r="BL28" s="139" t="s">
        <v>972</v>
      </c>
      <c r="BM28" s="135" t="s">
        <v>972</v>
      </c>
      <c r="BN28" s="138">
        <v>0.04</v>
      </c>
      <c r="BO28" s="138">
        <v>6.9000000000000006E-2</v>
      </c>
      <c r="BP28" s="132">
        <v>24.2</v>
      </c>
      <c r="BQ28" s="132">
        <v>38.6</v>
      </c>
      <c r="BR28" s="135" t="s">
        <v>972</v>
      </c>
      <c r="BS28" s="135" t="s">
        <v>972</v>
      </c>
      <c r="BT28" s="135" t="s">
        <v>972</v>
      </c>
      <c r="BU28" s="135" t="s">
        <v>972</v>
      </c>
      <c r="BV28" s="135" t="s">
        <v>972</v>
      </c>
      <c r="BW28" s="135" t="s">
        <v>972</v>
      </c>
      <c r="BX28" s="135" t="s">
        <v>972</v>
      </c>
      <c r="BY28" s="135" t="s">
        <v>972</v>
      </c>
      <c r="BZ28" s="135" t="s">
        <v>972</v>
      </c>
      <c r="CA28" s="135" t="s">
        <v>972</v>
      </c>
      <c r="CB28" s="138">
        <v>0.503</v>
      </c>
      <c r="CC28" s="138">
        <v>3.03</v>
      </c>
      <c r="CD28" s="132">
        <v>15.1</v>
      </c>
      <c r="CE28" s="132">
        <v>17.600000000000001</v>
      </c>
      <c r="CF28" s="135" t="s">
        <v>972</v>
      </c>
      <c r="CG28" s="135" t="s">
        <v>972</v>
      </c>
      <c r="CH28" s="135" t="s">
        <v>972</v>
      </c>
      <c r="CI28" s="136" t="s">
        <v>972</v>
      </c>
      <c r="CJ28" s="135" t="s">
        <v>972</v>
      </c>
      <c r="CK28" s="135" t="s">
        <v>972</v>
      </c>
      <c r="CL28" s="135" t="s">
        <v>972</v>
      </c>
      <c r="CM28" s="135" t="s">
        <v>972</v>
      </c>
      <c r="CN28" s="135" t="s">
        <v>972</v>
      </c>
      <c r="CO28" s="135" t="s">
        <v>972</v>
      </c>
      <c r="CP28" s="135" t="s">
        <v>972</v>
      </c>
      <c r="CQ28" s="1467" t="s">
        <v>972</v>
      </c>
      <c r="CR28" s="135" t="s">
        <v>972</v>
      </c>
      <c r="CS28" s="135" t="s">
        <v>972</v>
      </c>
      <c r="CT28" s="135" t="s">
        <v>972</v>
      </c>
      <c r="CU28" s="134" t="s">
        <v>972</v>
      </c>
      <c r="CV28" s="132" t="s">
        <v>972</v>
      </c>
      <c r="CW28" s="134" t="s">
        <v>972</v>
      </c>
      <c r="CX28" s="1943" t="s">
        <v>972</v>
      </c>
      <c r="CY28" s="1935" t="s">
        <v>972</v>
      </c>
      <c r="CZ28" s="135" t="s">
        <v>972</v>
      </c>
      <c r="DA28" s="135" t="s">
        <v>972</v>
      </c>
      <c r="DB28" s="135" t="s">
        <v>972</v>
      </c>
      <c r="DC28" s="135" t="s">
        <v>972</v>
      </c>
      <c r="DD28" s="135" t="s">
        <v>972</v>
      </c>
      <c r="DE28" s="135" t="s">
        <v>972</v>
      </c>
      <c r="DF28" s="135" t="s">
        <v>972</v>
      </c>
      <c r="DG28" s="135" t="s">
        <v>972</v>
      </c>
      <c r="DH28" s="135" t="s">
        <v>972</v>
      </c>
      <c r="DI28" s="140" t="s">
        <v>972</v>
      </c>
      <c r="DJ28" s="132" t="s">
        <v>972</v>
      </c>
      <c r="DK28" s="132" t="s">
        <v>972</v>
      </c>
      <c r="DL28" s="132" t="s">
        <v>972</v>
      </c>
      <c r="DM28" s="135" t="s">
        <v>972</v>
      </c>
      <c r="DN28" s="135" t="s">
        <v>972</v>
      </c>
      <c r="DO28" s="135" t="s">
        <v>972</v>
      </c>
      <c r="DP28" s="132" t="s">
        <v>972</v>
      </c>
      <c r="DQ28" s="135" t="s">
        <v>972</v>
      </c>
      <c r="DR28" s="135" t="s">
        <v>972</v>
      </c>
      <c r="DS28" s="1332">
        <f t="shared" si="2"/>
        <v>18</v>
      </c>
      <c r="DT28" s="1335" t="s">
        <v>1424</v>
      </c>
      <c r="DU28" s="1336" t="s">
        <v>1425</v>
      </c>
      <c r="DV28" s="2557"/>
      <c r="DW28" s="2554">
        <v>29.26</v>
      </c>
      <c r="DX28" s="2558">
        <v>29.39</v>
      </c>
      <c r="DY28" s="2561">
        <v>18.34</v>
      </c>
    </row>
    <row r="29" spans="1:129" s="146" customFormat="1" ht="15" customHeight="1">
      <c r="A29" s="39"/>
      <c r="B29" s="1617"/>
      <c r="C29" s="1429">
        <v>19</v>
      </c>
      <c r="D29" s="131">
        <v>120</v>
      </c>
      <c r="E29" s="132" t="s">
        <v>972</v>
      </c>
      <c r="F29" s="133">
        <v>124</v>
      </c>
      <c r="G29" s="132" t="s">
        <v>972</v>
      </c>
      <c r="H29" s="134">
        <v>46</v>
      </c>
      <c r="I29" s="134">
        <v>84</v>
      </c>
      <c r="J29" s="134">
        <v>17</v>
      </c>
      <c r="K29" s="134">
        <v>128</v>
      </c>
      <c r="L29" s="134">
        <v>1930</v>
      </c>
      <c r="M29" s="134">
        <v>1490</v>
      </c>
      <c r="N29" s="134">
        <v>1660</v>
      </c>
      <c r="O29" s="134">
        <v>3660</v>
      </c>
      <c r="P29" s="134">
        <v>3900</v>
      </c>
      <c r="Q29" s="134">
        <v>2460</v>
      </c>
      <c r="R29" s="134">
        <v>2260</v>
      </c>
      <c r="S29" s="134">
        <v>2210</v>
      </c>
      <c r="T29" s="134">
        <v>5660</v>
      </c>
      <c r="U29" s="134">
        <v>5830</v>
      </c>
      <c r="V29" s="134">
        <v>3160</v>
      </c>
      <c r="W29" s="132" t="s">
        <v>972</v>
      </c>
      <c r="X29" s="134">
        <v>7180</v>
      </c>
      <c r="Y29" s="132" t="s">
        <v>972</v>
      </c>
      <c r="Z29" s="131">
        <v>146</v>
      </c>
      <c r="AA29" s="134">
        <v>166</v>
      </c>
      <c r="AB29" s="134">
        <v>73</v>
      </c>
      <c r="AC29" s="134">
        <v>104</v>
      </c>
      <c r="AD29" s="134">
        <v>8</v>
      </c>
      <c r="AE29" s="134">
        <v>1720</v>
      </c>
      <c r="AF29" s="132">
        <v>3.28</v>
      </c>
      <c r="AG29" s="132">
        <v>85.2</v>
      </c>
      <c r="AH29" s="132">
        <v>1.7</v>
      </c>
      <c r="AI29" s="132">
        <v>72.099999999999994</v>
      </c>
      <c r="AJ29" s="132"/>
      <c r="AK29" s="132"/>
      <c r="AL29" s="132" t="s">
        <v>972</v>
      </c>
      <c r="AM29" s="132" t="s">
        <v>972</v>
      </c>
      <c r="AN29" s="135" t="s">
        <v>972</v>
      </c>
      <c r="AO29" s="135" t="s">
        <v>972</v>
      </c>
      <c r="AP29" s="136" t="s">
        <v>972</v>
      </c>
      <c r="AQ29" s="135" t="s">
        <v>972</v>
      </c>
      <c r="AR29" s="135" t="s">
        <v>972</v>
      </c>
      <c r="AS29" s="135" t="s">
        <v>972</v>
      </c>
      <c r="AT29" s="135" t="s">
        <v>972</v>
      </c>
      <c r="AU29" s="135" t="s">
        <v>972</v>
      </c>
      <c r="AV29" s="135" t="s">
        <v>972</v>
      </c>
      <c r="AW29" s="135" t="s">
        <v>972</v>
      </c>
      <c r="AX29" s="135" t="s">
        <v>972</v>
      </c>
      <c r="AY29" s="135" t="s">
        <v>972</v>
      </c>
      <c r="AZ29" s="132" t="s">
        <v>972</v>
      </c>
      <c r="BA29" s="132" t="s">
        <v>972</v>
      </c>
      <c r="BB29" s="132" t="s">
        <v>972</v>
      </c>
      <c r="BC29" s="132" t="s">
        <v>972</v>
      </c>
      <c r="BD29" s="132" t="s">
        <v>972</v>
      </c>
      <c r="BE29" s="136">
        <v>94</v>
      </c>
      <c r="BF29" s="135">
        <v>122</v>
      </c>
      <c r="BG29" s="137" t="s">
        <v>1426</v>
      </c>
      <c r="BH29" s="138">
        <v>0.1</v>
      </c>
      <c r="BI29" s="132">
        <v>23.6</v>
      </c>
      <c r="BJ29" s="132">
        <v>38.4</v>
      </c>
      <c r="BK29" s="132">
        <v>2.82</v>
      </c>
      <c r="BL29" s="139">
        <v>4.53</v>
      </c>
      <c r="BM29" s="135">
        <v>393</v>
      </c>
      <c r="BN29" s="138" t="s">
        <v>1426</v>
      </c>
      <c r="BO29" s="138">
        <v>8.2000000000000003E-2</v>
      </c>
      <c r="BP29" s="132">
        <v>23.5</v>
      </c>
      <c r="BQ29" s="132">
        <v>37.6</v>
      </c>
      <c r="BR29" s="135">
        <v>2.61</v>
      </c>
      <c r="BS29" s="135">
        <v>4.72</v>
      </c>
      <c r="BT29" s="135">
        <v>414</v>
      </c>
      <c r="BU29" s="135" t="s">
        <v>1426</v>
      </c>
      <c r="BV29" s="135">
        <v>7.4999999999999997E-2</v>
      </c>
      <c r="BW29" s="135">
        <v>23.5</v>
      </c>
      <c r="BX29" s="135">
        <v>31.2</v>
      </c>
      <c r="BY29" s="135">
        <v>2.48</v>
      </c>
      <c r="BZ29" s="135">
        <v>4.4000000000000004</v>
      </c>
      <c r="CA29" s="135">
        <v>205</v>
      </c>
      <c r="CB29" s="138">
        <v>0.57799999999999996</v>
      </c>
      <c r="CC29" s="138">
        <v>3.57</v>
      </c>
      <c r="CD29" s="132">
        <v>12.8</v>
      </c>
      <c r="CE29" s="132">
        <v>16</v>
      </c>
      <c r="CF29" s="135">
        <v>1.66</v>
      </c>
      <c r="CG29" s="135">
        <v>2.37</v>
      </c>
      <c r="CH29" s="135">
        <v>52</v>
      </c>
      <c r="CI29" s="136" t="s">
        <v>972</v>
      </c>
      <c r="CJ29" s="135" t="s">
        <v>972</v>
      </c>
      <c r="CK29" s="135" t="s">
        <v>972</v>
      </c>
      <c r="CL29" s="135" t="s">
        <v>972</v>
      </c>
      <c r="CM29" s="135" t="s">
        <v>972</v>
      </c>
      <c r="CN29" s="135" t="s">
        <v>972</v>
      </c>
      <c r="CO29" s="135" t="s">
        <v>972</v>
      </c>
      <c r="CP29" s="135" t="s">
        <v>972</v>
      </c>
      <c r="CQ29" s="1467" t="s">
        <v>972</v>
      </c>
      <c r="CR29" s="135" t="s">
        <v>972</v>
      </c>
      <c r="CS29" s="135" t="s">
        <v>972</v>
      </c>
      <c r="CT29" s="135" t="s">
        <v>972</v>
      </c>
      <c r="CU29" s="134" t="s">
        <v>972</v>
      </c>
      <c r="CV29" s="132" t="s">
        <v>972</v>
      </c>
      <c r="CW29" s="134" t="s">
        <v>972</v>
      </c>
      <c r="CX29" s="1943" t="s">
        <v>972</v>
      </c>
      <c r="CY29" s="1935" t="s">
        <v>972</v>
      </c>
      <c r="CZ29" s="135" t="s">
        <v>972</v>
      </c>
      <c r="DA29" s="135" t="s">
        <v>972</v>
      </c>
      <c r="DB29" s="135" t="s">
        <v>972</v>
      </c>
      <c r="DC29" s="132" t="s">
        <v>972</v>
      </c>
      <c r="DD29" s="135" t="s">
        <v>972</v>
      </c>
      <c r="DE29" s="135" t="s">
        <v>972</v>
      </c>
      <c r="DF29" s="135" t="s">
        <v>972</v>
      </c>
      <c r="DG29" s="135" t="s">
        <v>972</v>
      </c>
      <c r="DH29" s="135" t="s">
        <v>972</v>
      </c>
      <c r="DI29" s="140" t="s">
        <v>972</v>
      </c>
      <c r="DJ29" s="132" t="s">
        <v>972</v>
      </c>
      <c r="DK29" s="132" t="s">
        <v>972</v>
      </c>
      <c r="DL29" s="132" t="s">
        <v>972</v>
      </c>
      <c r="DM29" s="135" t="s">
        <v>972</v>
      </c>
      <c r="DN29" s="135" t="s">
        <v>972</v>
      </c>
      <c r="DO29" s="135" t="s">
        <v>972</v>
      </c>
      <c r="DP29" s="132" t="s">
        <v>972</v>
      </c>
      <c r="DQ29" s="135" t="s">
        <v>972</v>
      </c>
      <c r="DR29" s="135" t="s">
        <v>972</v>
      </c>
      <c r="DS29" s="1332">
        <f t="shared" si="2"/>
        <v>19</v>
      </c>
      <c r="DT29" s="1335" t="s">
        <v>1424</v>
      </c>
      <c r="DU29" s="1336" t="s">
        <v>1425</v>
      </c>
      <c r="DV29" s="2557"/>
      <c r="DW29" s="2554">
        <v>28.66</v>
      </c>
      <c r="DX29" s="2558">
        <v>28.54</v>
      </c>
      <c r="DY29" s="2561">
        <v>15.54</v>
      </c>
    </row>
    <row r="30" spans="1:129" s="146" customFormat="1" ht="15" customHeight="1">
      <c r="A30" s="39"/>
      <c r="B30" s="1617"/>
      <c r="C30" s="1429">
        <v>20</v>
      </c>
      <c r="D30" s="131">
        <v>122</v>
      </c>
      <c r="E30" s="132">
        <v>78.7</v>
      </c>
      <c r="F30" s="133">
        <v>116</v>
      </c>
      <c r="G30" s="132">
        <v>82.8</v>
      </c>
      <c r="H30" s="134">
        <v>50</v>
      </c>
      <c r="I30" s="134">
        <v>82</v>
      </c>
      <c r="J30" s="134">
        <v>16</v>
      </c>
      <c r="K30" s="134">
        <v>132</v>
      </c>
      <c r="L30" s="134">
        <v>3910</v>
      </c>
      <c r="M30" s="134">
        <v>3920</v>
      </c>
      <c r="N30" s="134">
        <v>2290</v>
      </c>
      <c r="O30" s="134">
        <v>3450</v>
      </c>
      <c r="P30" s="134">
        <v>3940</v>
      </c>
      <c r="Q30" s="134">
        <v>2930</v>
      </c>
      <c r="R30" s="134">
        <v>3860</v>
      </c>
      <c r="S30" s="134">
        <v>3120</v>
      </c>
      <c r="T30" s="134">
        <v>4880</v>
      </c>
      <c r="U30" s="134">
        <v>5250</v>
      </c>
      <c r="V30" s="134">
        <v>3020</v>
      </c>
      <c r="W30" s="132">
        <v>77.5</v>
      </c>
      <c r="X30" s="134">
        <v>7460</v>
      </c>
      <c r="Y30" s="132">
        <v>80.400000000000006</v>
      </c>
      <c r="Z30" s="131">
        <v>138</v>
      </c>
      <c r="AA30" s="134">
        <v>200</v>
      </c>
      <c r="AB30" s="134">
        <v>75</v>
      </c>
      <c r="AC30" s="134">
        <v>103</v>
      </c>
      <c r="AD30" s="134">
        <v>8</v>
      </c>
      <c r="AE30" s="134">
        <v>1600</v>
      </c>
      <c r="AF30" s="132">
        <v>2.8</v>
      </c>
      <c r="AG30" s="132">
        <v>85.9</v>
      </c>
      <c r="AH30" s="132">
        <v>1.7</v>
      </c>
      <c r="AI30" s="132">
        <v>72.099999999999994</v>
      </c>
      <c r="AJ30" s="132"/>
      <c r="AK30" s="132"/>
      <c r="AL30" s="132" t="s">
        <v>972</v>
      </c>
      <c r="AM30" s="132" t="s">
        <v>972</v>
      </c>
      <c r="AN30" s="135" t="s">
        <v>972</v>
      </c>
      <c r="AO30" s="135" t="s">
        <v>972</v>
      </c>
      <c r="AP30" s="136" t="s">
        <v>972</v>
      </c>
      <c r="AQ30" s="135" t="s">
        <v>972</v>
      </c>
      <c r="AR30" s="135" t="s">
        <v>972</v>
      </c>
      <c r="AS30" s="135" t="s">
        <v>972</v>
      </c>
      <c r="AT30" s="135" t="s">
        <v>972</v>
      </c>
      <c r="AU30" s="135" t="s">
        <v>972</v>
      </c>
      <c r="AV30" s="135" t="s">
        <v>972</v>
      </c>
      <c r="AW30" s="135" t="s">
        <v>972</v>
      </c>
      <c r="AX30" s="135" t="s">
        <v>972</v>
      </c>
      <c r="AY30" s="135" t="s">
        <v>972</v>
      </c>
      <c r="AZ30" s="132" t="s">
        <v>972</v>
      </c>
      <c r="BA30" s="132" t="s">
        <v>972</v>
      </c>
      <c r="BB30" s="132" t="s">
        <v>972</v>
      </c>
      <c r="BC30" s="132" t="s">
        <v>972</v>
      </c>
      <c r="BD30" s="132" t="s">
        <v>972</v>
      </c>
      <c r="BE30" s="136" t="s">
        <v>972</v>
      </c>
      <c r="BF30" s="135" t="s">
        <v>972</v>
      </c>
      <c r="BG30" s="137">
        <v>5.5E-2</v>
      </c>
      <c r="BH30" s="138">
        <v>7.8E-2</v>
      </c>
      <c r="BI30" s="132">
        <v>22.9</v>
      </c>
      <c r="BJ30" s="132">
        <v>38</v>
      </c>
      <c r="BK30" s="132" t="s">
        <v>972</v>
      </c>
      <c r="BL30" s="139" t="s">
        <v>972</v>
      </c>
      <c r="BM30" s="135" t="s">
        <v>972</v>
      </c>
      <c r="BN30" s="138">
        <v>1.7999999999999999E-2</v>
      </c>
      <c r="BO30" s="138">
        <v>8.1000000000000003E-2</v>
      </c>
      <c r="BP30" s="132">
        <v>24.3</v>
      </c>
      <c r="BQ30" s="132">
        <v>38.700000000000003</v>
      </c>
      <c r="BR30" s="135" t="s">
        <v>972</v>
      </c>
      <c r="BS30" s="135" t="s">
        <v>972</v>
      </c>
      <c r="BT30" s="135" t="s">
        <v>972</v>
      </c>
      <c r="BU30" s="135" t="s">
        <v>972</v>
      </c>
      <c r="BV30" s="135" t="s">
        <v>972</v>
      </c>
      <c r="BW30" s="135" t="s">
        <v>972</v>
      </c>
      <c r="BX30" s="135" t="s">
        <v>972</v>
      </c>
      <c r="BY30" s="135" t="s">
        <v>972</v>
      </c>
      <c r="BZ30" s="135" t="s">
        <v>972</v>
      </c>
      <c r="CA30" s="135" t="s">
        <v>972</v>
      </c>
      <c r="CB30" s="138">
        <v>0.67500000000000004</v>
      </c>
      <c r="CC30" s="138">
        <v>3.48</v>
      </c>
      <c r="CD30" s="132">
        <v>14.5</v>
      </c>
      <c r="CE30" s="132">
        <v>17.3</v>
      </c>
      <c r="CF30" s="135" t="s">
        <v>972</v>
      </c>
      <c r="CG30" s="135" t="s">
        <v>972</v>
      </c>
      <c r="CH30" s="135" t="s">
        <v>972</v>
      </c>
      <c r="CI30" s="136" t="s">
        <v>972</v>
      </c>
      <c r="CJ30" s="135" t="s">
        <v>972</v>
      </c>
      <c r="CK30" s="135" t="s">
        <v>972</v>
      </c>
      <c r="CL30" s="135" t="s">
        <v>972</v>
      </c>
      <c r="CM30" s="135" t="s">
        <v>972</v>
      </c>
      <c r="CN30" s="135" t="s">
        <v>972</v>
      </c>
      <c r="CO30" s="135" t="s">
        <v>972</v>
      </c>
      <c r="CP30" s="135" t="s">
        <v>972</v>
      </c>
      <c r="CQ30" s="1467" t="s">
        <v>972</v>
      </c>
      <c r="CR30" s="135" t="s">
        <v>972</v>
      </c>
      <c r="CS30" s="135" t="s">
        <v>972</v>
      </c>
      <c r="CT30" s="135" t="s">
        <v>972</v>
      </c>
      <c r="CU30" s="134" t="s">
        <v>972</v>
      </c>
      <c r="CV30" s="132" t="s">
        <v>972</v>
      </c>
      <c r="CW30" s="134" t="s">
        <v>972</v>
      </c>
      <c r="CX30" s="1943" t="s">
        <v>972</v>
      </c>
      <c r="CY30" s="1935" t="s">
        <v>972</v>
      </c>
      <c r="CZ30" s="135" t="s">
        <v>972</v>
      </c>
      <c r="DA30" s="135" t="s">
        <v>972</v>
      </c>
      <c r="DB30" s="135" t="s">
        <v>972</v>
      </c>
      <c r="DC30" s="135" t="s">
        <v>972</v>
      </c>
      <c r="DD30" s="135" t="s">
        <v>972</v>
      </c>
      <c r="DE30" s="135" t="s">
        <v>972</v>
      </c>
      <c r="DF30" s="135" t="s">
        <v>972</v>
      </c>
      <c r="DG30" s="135" t="s">
        <v>972</v>
      </c>
      <c r="DH30" s="135" t="s">
        <v>972</v>
      </c>
      <c r="DI30" s="140" t="s">
        <v>972</v>
      </c>
      <c r="DJ30" s="132" t="s">
        <v>972</v>
      </c>
      <c r="DK30" s="132" t="s">
        <v>972</v>
      </c>
      <c r="DL30" s="132" t="s">
        <v>972</v>
      </c>
      <c r="DM30" s="135" t="s">
        <v>972</v>
      </c>
      <c r="DN30" s="135" t="s">
        <v>972</v>
      </c>
      <c r="DO30" s="135" t="s">
        <v>972</v>
      </c>
      <c r="DP30" s="132" t="s">
        <v>972</v>
      </c>
      <c r="DQ30" s="135" t="s">
        <v>972</v>
      </c>
      <c r="DR30" s="135" t="s">
        <v>972</v>
      </c>
      <c r="DS30" s="1332">
        <f t="shared" si="2"/>
        <v>20</v>
      </c>
      <c r="DT30" s="1337" t="s">
        <v>1424</v>
      </c>
      <c r="DU30" s="1336" t="s">
        <v>1425</v>
      </c>
      <c r="DV30" s="130"/>
      <c r="DW30" s="2554">
        <v>27.81</v>
      </c>
      <c r="DX30" s="2558">
        <v>29.51</v>
      </c>
      <c r="DY30" s="2561">
        <v>17.61</v>
      </c>
    </row>
    <row r="31" spans="1:129" s="146" customFormat="1" ht="15" customHeight="1">
      <c r="A31" s="39"/>
      <c r="B31" s="1617"/>
      <c r="C31" s="1429">
        <v>21</v>
      </c>
      <c r="D31" s="131">
        <v>156</v>
      </c>
      <c r="E31" s="132" t="s">
        <v>972</v>
      </c>
      <c r="F31" s="133">
        <v>160</v>
      </c>
      <c r="G31" s="132" t="s">
        <v>972</v>
      </c>
      <c r="H31" s="134">
        <v>52</v>
      </c>
      <c r="I31" s="134">
        <v>88</v>
      </c>
      <c r="J31" s="134">
        <v>10</v>
      </c>
      <c r="K31" s="134">
        <v>272</v>
      </c>
      <c r="L31" s="134">
        <v>2440</v>
      </c>
      <c r="M31" s="134">
        <v>2470</v>
      </c>
      <c r="N31" s="134">
        <v>1870</v>
      </c>
      <c r="O31" s="134">
        <v>4810</v>
      </c>
      <c r="P31" s="134">
        <v>3680</v>
      </c>
      <c r="Q31" s="134">
        <v>2680</v>
      </c>
      <c r="R31" s="134">
        <v>2530</v>
      </c>
      <c r="S31" s="134">
        <v>2460</v>
      </c>
      <c r="T31" s="134">
        <v>5340</v>
      </c>
      <c r="U31" s="134">
        <v>4810</v>
      </c>
      <c r="V31" s="134">
        <v>3040</v>
      </c>
      <c r="W31" s="132" t="s">
        <v>972</v>
      </c>
      <c r="X31" s="134">
        <v>8400</v>
      </c>
      <c r="Y31" s="132" t="s">
        <v>972</v>
      </c>
      <c r="Z31" s="131">
        <v>158</v>
      </c>
      <c r="AA31" s="134">
        <v>165</v>
      </c>
      <c r="AB31" s="134">
        <v>90</v>
      </c>
      <c r="AC31" s="134">
        <v>114</v>
      </c>
      <c r="AD31" s="134">
        <v>5</v>
      </c>
      <c r="AE31" s="134">
        <v>1850</v>
      </c>
      <c r="AF31" s="132">
        <v>2.95</v>
      </c>
      <c r="AG31" s="132">
        <v>85.1</v>
      </c>
      <c r="AH31" s="132">
        <v>1.59</v>
      </c>
      <c r="AI31" s="132">
        <v>72.5</v>
      </c>
      <c r="AJ31" s="132"/>
      <c r="AK31" s="132"/>
      <c r="AL31" s="132" t="s">
        <v>972</v>
      </c>
      <c r="AM31" s="132" t="s">
        <v>972</v>
      </c>
      <c r="AN31" s="135" t="s">
        <v>972</v>
      </c>
      <c r="AO31" s="135" t="s">
        <v>972</v>
      </c>
      <c r="AP31" s="136">
        <v>160</v>
      </c>
      <c r="AQ31" s="135" t="s">
        <v>972</v>
      </c>
      <c r="AR31" s="135">
        <v>130</v>
      </c>
      <c r="AS31" s="135">
        <v>150</v>
      </c>
      <c r="AT31" s="135">
        <v>200</v>
      </c>
      <c r="AU31" s="135">
        <v>2900</v>
      </c>
      <c r="AV31" s="135" t="s">
        <v>972</v>
      </c>
      <c r="AW31" s="135">
        <v>3000</v>
      </c>
      <c r="AX31" s="135">
        <v>3100</v>
      </c>
      <c r="AY31" s="135">
        <v>2800</v>
      </c>
      <c r="AZ31" s="132">
        <v>7.2</v>
      </c>
      <c r="BA31" s="132" t="s">
        <v>972</v>
      </c>
      <c r="BB31" s="132">
        <v>7.1</v>
      </c>
      <c r="BC31" s="132">
        <v>7.1</v>
      </c>
      <c r="BD31" s="132">
        <v>7.1</v>
      </c>
      <c r="BE31" s="136" t="s">
        <v>972</v>
      </c>
      <c r="BF31" s="135" t="s">
        <v>972</v>
      </c>
      <c r="BG31" s="137">
        <v>6.3E-2</v>
      </c>
      <c r="BH31" s="138">
        <v>0.154</v>
      </c>
      <c r="BI31" s="132">
        <v>24.8</v>
      </c>
      <c r="BJ31" s="132">
        <v>42.8</v>
      </c>
      <c r="BK31" s="132" t="s">
        <v>972</v>
      </c>
      <c r="BL31" s="139" t="s">
        <v>972</v>
      </c>
      <c r="BM31" s="135" t="s">
        <v>972</v>
      </c>
      <c r="BN31" s="138">
        <v>1.4E-2</v>
      </c>
      <c r="BO31" s="138">
        <v>9.7000000000000003E-2</v>
      </c>
      <c r="BP31" s="132">
        <v>25</v>
      </c>
      <c r="BQ31" s="132">
        <v>39.1</v>
      </c>
      <c r="BR31" s="135" t="s">
        <v>972</v>
      </c>
      <c r="BS31" s="135" t="s">
        <v>972</v>
      </c>
      <c r="BT31" s="135" t="s">
        <v>972</v>
      </c>
      <c r="BU31" s="135" t="s">
        <v>972</v>
      </c>
      <c r="BV31" s="135" t="s">
        <v>972</v>
      </c>
      <c r="BW31" s="135" t="s">
        <v>972</v>
      </c>
      <c r="BX31" s="135" t="s">
        <v>972</v>
      </c>
      <c r="BY31" s="135" t="s">
        <v>972</v>
      </c>
      <c r="BZ31" s="135" t="s">
        <v>972</v>
      </c>
      <c r="CA31" s="135" t="s">
        <v>972</v>
      </c>
      <c r="CB31" s="138">
        <v>0.68400000000000005</v>
      </c>
      <c r="CC31" s="138">
        <v>3.73</v>
      </c>
      <c r="CD31" s="132">
        <v>14.1</v>
      </c>
      <c r="CE31" s="132">
        <v>16.5</v>
      </c>
      <c r="CF31" s="135" t="s">
        <v>972</v>
      </c>
      <c r="CG31" s="135" t="s">
        <v>972</v>
      </c>
      <c r="CH31" s="135" t="s">
        <v>972</v>
      </c>
      <c r="CI31" s="136" t="s">
        <v>972</v>
      </c>
      <c r="CJ31" s="135" t="s">
        <v>972</v>
      </c>
      <c r="CK31" s="135" t="s">
        <v>972</v>
      </c>
      <c r="CL31" s="135" t="s">
        <v>972</v>
      </c>
      <c r="CM31" s="135" t="s">
        <v>972</v>
      </c>
      <c r="CN31" s="135" t="s">
        <v>972</v>
      </c>
      <c r="CO31" s="135" t="s">
        <v>972</v>
      </c>
      <c r="CP31" s="135" t="s">
        <v>972</v>
      </c>
      <c r="CQ31" s="1467">
        <v>3.17</v>
      </c>
      <c r="CR31" s="135">
        <v>26.5</v>
      </c>
      <c r="CS31" s="135">
        <v>16</v>
      </c>
      <c r="CT31" s="135">
        <v>15</v>
      </c>
      <c r="CU31" s="134">
        <v>1180</v>
      </c>
      <c r="CV31" s="132">
        <v>5.3</v>
      </c>
      <c r="CW31" s="134" t="s">
        <v>972</v>
      </c>
      <c r="CX31" s="1943" t="s">
        <v>972</v>
      </c>
      <c r="CY31" s="1935" t="s">
        <v>972</v>
      </c>
      <c r="CZ31" s="135" t="s">
        <v>972</v>
      </c>
      <c r="DA31" s="135" t="s">
        <v>972</v>
      </c>
      <c r="DB31" s="135" t="s">
        <v>972</v>
      </c>
      <c r="DC31" s="135" t="s">
        <v>972</v>
      </c>
      <c r="DD31" s="135" t="s">
        <v>972</v>
      </c>
      <c r="DE31" s="135" t="s">
        <v>972</v>
      </c>
      <c r="DF31" s="135" t="s">
        <v>972</v>
      </c>
      <c r="DG31" s="135" t="s">
        <v>972</v>
      </c>
      <c r="DH31" s="135" t="s">
        <v>972</v>
      </c>
      <c r="DI31" s="140" t="s">
        <v>972</v>
      </c>
      <c r="DJ31" s="132" t="s">
        <v>972</v>
      </c>
      <c r="DK31" s="132" t="s">
        <v>972</v>
      </c>
      <c r="DL31" s="132" t="s">
        <v>972</v>
      </c>
      <c r="DM31" s="135" t="s">
        <v>972</v>
      </c>
      <c r="DN31" s="135" t="s">
        <v>972</v>
      </c>
      <c r="DO31" s="135" t="s">
        <v>972</v>
      </c>
      <c r="DP31" s="132" t="s">
        <v>972</v>
      </c>
      <c r="DQ31" s="135" t="s">
        <v>972</v>
      </c>
      <c r="DR31" s="135" t="s">
        <v>972</v>
      </c>
      <c r="DS31" s="1332">
        <f t="shared" si="2"/>
        <v>21</v>
      </c>
      <c r="DT31" s="1335" t="s">
        <v>1424</v>
      </c>
      <c r="DU31" s="1336" t="s">
        <v>1425</v>
      </c>
      <c r="DV31" s="2557"/>
      <c r="DW31" s="2554">
        <v>30.11</v>
      </c>
      <c r="DX31" s="2558">
        <v>30.36</v>
      </c>
      <c r="DY31" s="2561">
        <v>17.12</v>
      </c>
    </row>
    <row r="32" spans="1:129" s="146" customFormat="1" ht="15" customHeight="1">
      <c r="A32" s="39"/>
      <c r="B32" s="1617"/>
      <c r="C32" s="1429">
        <v>22</v>
      </c>
      <c r="D32" s="131">
        <v>126</v>
      </c>
      <c r="E32" s="132" t="s">
        <v>972</v>
      </c>
      <c r="F32" s="133">
        <v>145</v>
      </c>
      <c r="G32" s="132" t="s">
        <v>972</v>
      </c>
      <c r="H32" s="134" t="s">
        <v>972</v>
      </c>
      <c r="I32" s="134" t="s">
        <v>972</v>
      </c>
      <c r="J32" s="134">
        <v>10</v>
      </c>
      <c r="K32" s="134" t="s">
        <v>972</v>
      </c>
      <c r="L32" s="134" t="s">
        <v>972</v>
      </c>
      <c r="M32" s="134" t="s">
        <v>972</v>
      </c>
      <c r="N32" s="134" t="s">
        <v>972</v>
      </c>
      <c r="O32" s="134" t="s">
        <v>972</v>
      </c>
      <c r="P32" s="134" t="s">
        <v>972</v>
      </c>
      <c r="Q32" s="134" t="s">
        <v>972</v>
      </c>
      <c r="R32" s="134" t="s">
        <v>972</v>
      </c>
      <c r="S32" s="134" t="s">
        <v>972</v>
      </c>
      <c r="T32" s="134" t="s">
        <v>972</v>
      </c>
      <c r="U32" s="134" t="s">
        <v>972</v>
      </c>
      <c r="V32" s="134" t="s">
        <v>972</v>
      </c>
      <c r="W32" s="132" t="s">
        <v>972</v>
      </c>
      <c r="X32" s="134" t="s">
        <v>972</v>
      </c>
      <c r="Y32" s="132" t="s">
        <v>972</v>
      </c>
      <c r="Z32" s="131">
        <v>156</v>
      </c>
      <c r="AA32" s="134">
        <v>134</v>
      </c>
      <c r="AB32" s="134" t="s">
        <v>972</v>
      </c>
      <c r="AC32" s="134" t="s">
        <v>972</v>
      </c>
      <c r="AD32" s="134">
        <v>4</v>
      </c>
      <c r="AE32" s="134" t="s">
        <v>972</v>
      </c>
      <c r="AF32" s="132" t="s">
        <v>972</v>
      </c>
      <c r="AG32" s="132" t="s">
        <v>972</v>
      </c>
      <c r="AH32" s="132" t="s">
        <v>972</v>
      </c>
      <c r="AI32" s="132" t="s">
        <v>972</v>
      </c>
      <c r="AJ32" s="132"/>
      <c r="AK32" s="132"/>
      <c r="AL32" s="132" t="s">
        <v>972</v>
      </c>
      <c r="AM32" s="132" t="s">
        <v>972</v>
      </c>
      <c r="AN32" s="135" t="s">
        <v>972</v>
      </c>
      <c r="AO32" s="135" t="s">
        <v>972</v>
      </c>
      <c r="AP32" s="136" t="s">
        <v>972</v>
      </c>
      <c r="AQ32" s="135" t="s">
        <v>972</v>
      </c>
      <c r="AR32" s="135" t="s">
        <v>972</v>
      </c>
      <c r="AS32" s="135" t="s">
        <v>972</v>
      </c>
      <c r="AT32" s="135" t="s">
        <v>972</v>
      </c>
      <c r="AU32" s="135" t="s">
        <v>972</v>
      </c>
      <c r="AV32" s="135" t="s">
        <v>972</v>
      </c>
      <c r="AW32" s="135" t="s">
        <v>972</v>
      </c>
      <c r="AX32" s="135" t="s">
        <v>972</v>
      </c>
      <c r="AY32" s="135" t="s">
        <v>972</v>
      </c>
      <c r="AZ32" s="132" t="s">
        <v>972</v>
      </c>
      <c r="BA32" s="132" t="s">
        <v>972</v>
      </c>
      <c r="BB32" s="132" t="s">
        <v>972</v>
      </c>
      <c r="BC32" s="132" t="s">
        <v>972</v>
      </c>
      <c r="BD32" s="132" t="s">
        <v>972</v>
      </c>
      <c r="BE32" s="136" t="s">
        <v>972</v>
      </c>
      <c r="BF32" s="135" t="s">
        <v>972</v>
      </c>
      <c r="BG32" s="137">
        <v>7.1999999999999995E-2</v>
      </c>
      <c r="BH32" s="138">
        <v>0.107</v>
      </c>
      <c r="BI32" s="132">
        <v>23.6</v>
      </c>
      <c r="BJ32" s="132">
        <v>39.9</v>
      </c>
      <c r="BK32" s="132" t="s">
        <v>972</v>
      </c>
      <c r="BL32" s="139" t="s">
        <v>972</v>
      </c>
      <c r="BM32" s="135" t="s">
        <v>972</v>
      </c>
      <c r="BN32" s="138">
        <v>2.5999999999999999E-2</v>
      </c>
      <c r="BO32" s="138">
        <v>7.9000000000000001E-2</v>
      </c>
      <c r="BP32" s="132">
        <v>25.2</v>
      </c>
      <c r="BQ32" s="132">
        <v>39.700000000000003</v>
      </c>
      <c r="BR32" s="135" t="s">
        <v>972</v>
      </c>
      <c r="BS32" s="135" t="s">
        <v>972</v>
      </c>
      <c r="BT32" s="135" t="s">
        <v>972</v>
      </c>
      <c r="BU32" s="135" t="s">
        <v>972</v>
      </c>
      <c r="BV32" s="135" t="s">
        <v>972</v>
      </c>
      <c r="BW32" s="135" t="s">
        <v>972</v>
      </c>
      <c r="BX32" s="135" t="s">
        <v>972</v>
      </c>
      <c r="BY32" s="135" t="s">
        <v>972</v>
      </c>
      <c r="BZ32" s="135" t="s">
        <v>972</v>
      </c>
      <c r="CA32" s="135" t="s">
        <v>972</v>
      </c>
      <c r="CB32" s="138">
        <v>0.71399999999999997</v>
      </c>
      <c r="CC32" s="138">
        <v>3.9</v>
      </c>
      <c r="CD32" s="132">
        <v>13.6</v>
      </c>
      <c r="CE32" s="132">
        <v>16.3</v>
      </c>
      <c r="CF32" s="135" t="s">
        <v>972</v>
      </c>
      <c r="CG32" s="135" t="s">
        <v>972</v>
      </c>
      <c r="CH32" s="135" t="s">
        <v>972</v>
      </c>
      <c r="CI32" s="136" t="s">
        <v>972</v>
      </c>
      <c r="CJ32" s="135" t="s">
        <v>972</v>
      </c>
      <c r="CK32" s="135" t="s">
        <v>972</v>
      </c>
      <c r="CL32" s="135" t="s">
        <v>972</v>
      </c>
      <c r="CM32" s="135" t="s">
        <v>972</v>
      </c>
      <c r="CN32" s="135" t="s">
        <v>972</v>
      </c>
      <c r="CO32" s="135" t="s">
        <v>972</v>
      </c>
      <c r="CP32" s="135" t="s">
        <v>972</v>
      </c>
      <c r="CQ32" s="1467" t="s">
        <v>972</v>
      </c>
      <c r="CR32" s="135" t="s">
        <v>972</v>
      </c>
      <c r="CS32" s="135" t="s">
        <v>972</v>
      </c>
      <c r="CT32" s="135" t="s">
        <v>972</v>
      </c>
      <c r="CU32" s="134" t="s">
        <v>972</v>
      </c>
      <c r="CV32" s="138" t="s">
        <v>972</v>
      </c>
      <c r="CW32" s="134" t="s">
        <v>972</v>
      </c>
      <c r="CX32" s="1943" t="s">
        <v>972</v>
      </c>
      <c r="CY32" s="1935" t="s">
        <v>972</v>
      </c>
      <c r="CZ32" s="135" t="s">
        <v>972</v>
      </c>
      <c r="DA32" s="135" t="s">
        <v>972</v>
      </c>
      <c r="DB32" s="135" t="s">
        <v>972</v>
      </c>
      <c r="DC32" s="135" t="s">
        <v>972</v>
      </c>
      <c r="DD32" s="135" t="s">
        <v>972</v>
      </c>
      <c r="DE32" s="135" t="s">
        <v>972</v>
      </c>
      <c r="DF32" s="135" t="s">
        <v>972</v>
      </c>
      <c r="DG32" s="135" t="s">
        <v>972</v>
      </c>
      <c r="DH32" s="135" t="s">
        <v>972</v>
      </c>
      <c r="DI32" s="140" t="s">
        <v>972</v>
      </c>
      <c r="DJ32" s="132" t="s">
        <v>972</v>
      </c>
      <c r="DK32" s="132" t="s">
        <v>972</v>
      </c>
      <c r="DL32" s="132" t="s">
        <v>972</v>
      </c>
      <c r="DM32" s="135" t="s">
        <v>972</v>
      </c>
      <c r="DN32" s="135" t="s">
        <v>972</v>
      </c>
      <c r="DO32" s="135" t="s">
        <v>972</v>
      </c>
      <c r="DP32" s="132" t="s">
        <v>972</v>
      </c>
      <c r="DQ32" s="135" t="s">
        <v>972</v>
      </c>
      <c r="DR32" s="135" t="s">
        <v>972</v>
      </c>
      <c r="DS32" s="1332">
        <f t="shared" si="2"/>
        <v>22</v>
      </c>
      <c r="DT32" s="1335" t="s">
        <v>1424</v>
      </c>
      <c r="DU32" s="1336" t="s">
        <v>1425</v>
      </c>
      <c r="DV32" s="2557"/>
      <c r="DW32" s="2554">
        <v>28.66</v>
      </c>
      <c r="DX32" s="2558">
        <v>30.6</v>
      </c>
      <c r="DY32" s="2561">
        <v>16.510000000000002</v>
      </c>
    </row>
    <row r="33" spans="1:245" s="146" customFormat="1" ht="15" customHeight="1">
      <c r="A33" s="39"/>
      <c r="B33" s="1617"/>
      <c r="C33" s="1429">
        <v>23</v>
      </c>
      <c r="D33" s="131">
        <v>164</v>
      </c>
      <c r="E33" s="132" t="s">
        <v>972</v>
      </c>
      <c r="F33" s="133">
        <v>132</v>
      </c>
      <c r="G33" s="132" t="s">
        <v>972</v>
      </c>
      <c r="H33" s="134" t="s">
        <v>972</v>
      </c>
      <c r="I33" s="134" t="s">
        <v>972</v>
      </c>
      <c r="J33" s="134">
        <v>90</v>
      </c>
      <c r="K33" s="134" t="s">
        <v>972</v>
      </c>
      <c r="L33" s="134" t="s">
        <v>972</v>
      </c>
      <c r="M33" s="134" t="s">
        <v>972</v>
      </c>
      <c r="N33" s="134" t="s">
        <v>972</v>
      </c>
      <c r="O33" s="134" t="s">
        <v>972</v>
      </c>
      <c r="P33" s="134" t="s">
        <v>972</v>
      </c>
      <c r="Q33" s="134" t="s">
        <v>972</v>
      </c>
      <c r="R33" s="134" t="s">
        <v>972</v>
      </c>
      <c r="S33" s="134" t="s">
        <v>972</v>
      </c>
      <c r="T33" s="134" t="s">
        <v>972</v>
      </c>
      <c r="U33" s="134" t="s">
        <v>972</v>
      </c>
      <c r="V33" s="134" t="s">
        <v>972</v>
      </c>
      <c r="W33" s="132" t="s">
        <v>972</v>
      </c>
      <c r="X33" s="134" t="s">
        <v>972</v>
      </c>
      <c r="Y33" s="132" t="s">
        <v>972</v>
      </c>
      <c r="Z33" s="131">
        <v>116</v>
      </c>
      <c r="AA33" s="134">
        <v>115</v>
      </c>
      <c r="AB33" s="134" t="s">
        <v>972</v>
      </c>
      <c r="AC33" s="134" t="s">
        <v>972</v>
      </c>
      <c r="AD33" s="134">
        <v>33</v>
      </c>
      <c r="AE33" s="134" t="s">
        <v>972</v>
      </c>
      <c r="AF33" s="132" t="s">
        <v>972</v>
      </c>
      <c r="AG33" s="132" t="s">
        <v>972</v>
      </c>
      <c r="AH33" s="132" t="s">
        <v>972</v>
      </c>
      <c r="AI33" s="132" t="s">
        <v>972</v>
      </c>
      <c r="AJ33" s="132"/>
      <c r="AK33" s="132"/>
      <c r="AL33" s="132" t="s">
        <v>972</v>
      </c>
      <c r="AM33" s="132" t="s">
        <v>972</v>
      </c>
      <c r="AN33" s="135" t="s">
        <v>972</v>
      </c>
      <c r="AO33" s="135" t="s">
        <v>972</v>
      </c>
      <c r="AP33" s="136" t="s">
        <v>972</v>
      </c>
      <c r="AQ33" s="135" t="s">
        <v>972</v>
      </c>
      <c r="AR33" s="135" t="s">
        <v>972</v>
      </c>
      <c r="AS33" s="135" t="s">
        <v>972</v>
      </c>
      <c r="AT33" s="135" t="s">
        <v>972</v>
      </c>
      <c r="AU33" s="135" t="s">
        <v>972</v>
      </c>
      <c r="AV33" s="135" t="s">
        <v>972</v>
      </c>
      <c r="AW33" s="135" t="s">
        <v>972</v>
      </c>
      <c r="AX33" s="135" t="s">
        <v>972</v>
      </c>
      <c r="AY33" s="135" t="s">
        <v>972</v>
      </c>
      <c r="AZ33" s="132" t="s">
        <v>972</v>
      </c>
      <c r="BA33" s="132" t="s">
        <v>972</v>
      </c>
      <c r="BB33" s="132" t="s">
        <v>972</v>
      </c>
      <c r="BC33" s="132" t="s">
        <v>972</v>
      </c>
      <c r="BD33" s="132" t="s">
        <v>972</v>
      </c>
      <c r="BE33" s="136" t="s">
        <v>972</v>
      </c>
      <c r="BF33" s="135" t="s">
        <v>972</v>
      </c>
      <c r="BG33" s="137">
        <v>7.2999999999999995E-2</v>
      </c>
      <c r="BH33" s="138">
        <v>0.114</v>
      </c>
      <c r="BI33" s="132">
        <v>11.6</v>
      </c>
      <c r="BJ33" s="132">
        <v>31.9</v>
      </c>
      <c r="BK33" s="132" t="s">
        <v>972</v>
      </c>
      <c r="BL33" s="139" t="s">
        <v>972</v>
      </c>
      <c r="BM33" s="135" t="s">
        <v>972</v>
      </c>
      <c r="BN33" s="138">
        <v>1.7999999999999999E-2</v>
      </c>
      <c r="BO33" s="138">
        <v>0.126</v>
      </c>
      <c r="BP33" s="132">
        <v>12.3</v>
      </c>
      <c r="BQ33" s="132">
        <v>29.2</v>
      </c>
      <c r="BR33" s="135" t="s">
        <v>972</v>
      </c>
      <c r="BS33" s="135" t="s">
        <v>972</v>
      </c>
      <c r="BT33" s="135" t="s">
        <v>972</v>
      </c>
      <c r="BU33" s="135" t="s">
        <v>972</v>
      </c>
      <c r="BV33" s="135" t="s">
        <v>972</v>
      </c>
      <c r="BW33" s="135" t="s">
        <v>972</v>
      </c>
      <c r="BX33" s="135" t="s">
        <v>972</v>
      </c>
      <c r="BY33" s="135" t="s">
        <v>972</v>
      </c>
      <c r="BZ33" s="135" t="s">
        <v>972</v>
      </c>
      <c r="CA33" s="135" t="s">
        <v>972</v>
      </c>
      <c r="CB33" s="138">
        <v>0.54100000000000004</v>
      </c>
      <c r="CC33" s="138">
        <v>2.3199999999999998</v>
      </c>
      <c r="CD33" s="132">
        <v>16.600000000000001</v>
      </c>
      <c r="CE33" s="132">
        <v>22.3</v>
      </c>
      <c r="CF33" s="135" t="s">
        <v>972</v>
      </c>
      <c r="CG33" s="135" t="s">
        <v>972</v>
      </c>
      <c r="CH33" s="135" t="s">
        <v>972</v>
      </c>
      <c r="CI33" s="136" t="s">
        <v>972</v>
      </c>
      <c r="CJ33" s="135" t="s">
        <v>972</v>
      </c>
      <c r="CK33" s="135" t="s">
        <v>972</v>
      </c>
      <c r="CL33" s="135" t="s">
        <v>972</v>
      </c>
      <c r="CM33" s="135" t="s">
        <v>972</v>
      </c>
      <c r="CN33" s="135" t="s">
        <v>972</v>
      </c>
      <c r="CO33" s="135" t="s">
        <v>972</v>
      </c>
      <c r="CP33" s="135" t="s">
        <v>972</v>
      </c>
      <c r="CQ33" s="1467" t="s">
        <v>972</v>
      </c>
      <c r="CR33" s="135" t="s">
        <v>972</v>
      </c>
      <c r="CS33" s="135" t="s">
        <v>972</v>
      </c>
      <c r="CT33" s="135" t="s">
        <v>972</v>
      </c>
      <c r="CU33" s="134" t="s">
        <v>972</v>
      </c>
      <c r="CV33" s="132" t="s">
        <v>972</v>
      </c>
      <c r="CW33" s="134" t="s">
        <v>972</v>
      </c>
      <c r="CX33" s="1943" t="s">
        <v>972</v>
      </c>
      <c r="CY33" s="1935" t="s">
        <v>972</v>
      </c>
      <c r="CZ33" s="135" t="s">
        <v>972</v>
      </c>
      <c r="DA33" s="135" t="s">
        <v>972</v>
      </c>
      <c r="DB33" s="135" t="s">
        <v>972</v>
      </c>
      <c r="DC33" s="135" t="s">
        <v>972</v>
      </c>
      <c r="DD33" s="135" t="s">
        <v>972</v>
      </c>
      <c r="DE33" s="135" t="s">
        <v>972</v>
      </c>
      <c r="DF33" s="135" t="s">
        <v>972</v>
      </c>
      <c r="DG33" s="135" t="s">
        <v>972</v>
      </c>
      <c r="DH33" s="135" t="s">
        <v>972</v>
      </c>
      <c r="DI33" s="140" t="s">
        <v>972</v>
      </c>
      <c r="DJ33" s="132" t="s">
        <v>972</v>
      </c>
      <c r="DK33" s="132" t="s">
        <v>972</v>
      </c>
      <c r="DL33" s="132" t="s">
        <v>972</v>
      </c>
      <c r="DM33" s="135" t="s">
        <v>972</v>
      </c>
      <c r="DN33" s="135" t="s">
        <v>972</v>
      </c>
      <c r="DO33" s="135" t="s">
        <v>972</v>
      </c>
      <c r="DP33" s="132" t="s">
        <v>972</v>
      </c>
      <c r="DQ33" s="135" t="s">
        <v>972</v>
      </c>
      <c r="DR33" s="135" t="s">
        <v>972</v>
      </c>
      <c r="DS33" s="1332">
        <f t="shared" si="2"/>
        <v>23</v>
      </c>
      <c r="DT33" s="1335" t="s">
        <v>1424</v>
      </c>
      <c r="DU33" s="1336" t="s">
        <v>1425</v>
      </c>
      <c r="DV33" s="2557"/>
      <c r="DW33" s="2554">
        <v>14.09</v>
      </c>
      <c r="DX33" s="2558">
        <v>14.94</v>
      </c>
      <c r="DY33" s="2561">
        <v>20.16</v>
      </c>
    </row>
    <row r="34" spans="1:245" s="146" customFormat="1" ht="15" customHeight="1">
      <c r="A34" s="39"/>
      <c r="B34" s="1617"/>
      <c r="C34" s="1429">
        <v>24</v>
      </c>
      <c r="D34" s="131">
        <v>132</v>
      </c>
      <c r="E34" s="132" t="s">
        <v>972</v>
      </c>
      <c r="F34" s="133">
        <v>128</v>
      </c>
      <c r="G34" s="132" t="s">
        <v>972</v>
      </c>
      <c r="H34" s="134">
        <v>84</v>
      </c>
      <c r="I34" s="134">
        <v>110</v>
      </c>
      <c r="J34" s="134">
        <v>22</v>
      </c>
      <c r="K34" s="134" t="s">
        <v>972</v>
      </c>
      <c r="L34" s="134">
        <v>1810</v>
      </c>
      <c r="M34" s="134">
        <v>2590</v>
      </c>
      <c r="N34" s="134">
        <v>2730</v>
      </c>
      <c r="O34" s="134">
        <v>2890</v>
      </c>
      <c r="P34" s="134">
        <v>2970</v>
      </c>
      <c r="Q34" s="134">
        <v>2020</v>
      </c>
      <c r="R34" s="134">
        <v>2790</v>
      </c>
      <c r="S34" s="134">
        <v>3100</v>
      </c>
      <c r="T34" s="134">
        <v>4520</v>
      </c>
      <c r="U34" s="134">
        <v>5370</v>
      </c>
      <c r="V34" s="134">
        <v>4600</v>
      </c>
      <c r="W34" s="132" t="s">
        <v>972</v>
      </c>
      <c r="X34" s="134">
        <v>6620</v>
      </c>
      <c r="Y34" s="132" t="s">
        <v>972</v>
      </c>
      <c r="Z34" s="131">
        <v>117</v>
      </c>
      <c r="AA34" s="134">
        <v>112</v>
      </c>
      <c r="AB34" s="134" t="s">
        <v>972</v>
      </c>
      <c r="AC34" s="134" t="s">
        <v>972</v>
      </c>
      <c r="AD34" s="134">
        <v>16</v>
      </c>
      <c r="AE34" s="134" t="s">
        <v>972</v>
      </c>
      <c r="AF34" s="132" t="s">
        <v>972</v>
      </c>
      <c r="AG34" s="132" t="s">
        <v>972</v>
      </c>
      <c r="AH34" s="132" t="s">
        <v>972</v>
      </c>
      <c r="AI34" s="132" t="s">
        <v>972</v>
      </c>
      <c r="AJ34" s="132"/>
      <c r="AK34" s="132"/>
      <c r="AL34" s="132" t="s">
        <v>972</v>
      </c>
      <c r="AM34" s="132" t="s">
        <v>972</v>
      </c>
      <c r="AN34" s="135" t="s">
        <v>972</v>
      </c>
      <c r="AO34" s="135" t="s">
        <v>972</v>
      </c>
      <c r="AP34" s="136" t="s">
        <v>972</v>
      </c>
      <c r="AQ34" s="135" t="s">
        <v>972</v>
      </c>
      <c r="AR34" s="135" t="s">
        <v>972</v>
      </c>
      <c r="AS34" s="135" t="s">
        <v>972</v>
      </c>
      <c r="AT34" s="135" t="s">
        <v>972</v>
      </c>
      <c r="AU34" s="135" t="s">
        <v>972</v>
      </c>
      <c r="AV34" s="135" t="s">
        <v>972</v>
      </c>
      <c r="AW34" s="135" t="s">
        <v>972</v>
      </c>
      <c r="AX34" s="135" t="s">
        <v>972</v>
      </c>
      <c r="AY34" s="135" t="s">
        <v>972</v>
      </c>
      <c r="AZ34" s="132" t="s">
        <v>972</v>
      </c>
      <c r="BA34" s="132" t="s">
        <v>972</v>
      </c>
      <c r="BB34" s="132" t="s">
        <v>972</v>
      </c>
      <c r="BC34" s="132" t="s">
        <v>972</v>
      </c>
      <c r="BD34" s="132" t="s">
        <v>972</v>
      </c>
      <c r="BE34" s="136" t="s">
        <v>972</v>
      </c>
      <c r="BF34" s="135" t="s">
        <v>972</v>
      </c>
      <c r="BG34" s="137">
        <v>0.121</v>
      </c>
      <c r="BH34" s="138">
        <v>0.13</v>
      </c>
      <c r="BI34" s="132">
        <v>10.6</v>
      </c>
      <c r="BJ34" s="132">
        <v>32.299999999999997</v>
      </c>
      <c r="BK34" s="132" t="s">
        <v>972</v>
      </c>
      <c r="BL34" s="139" t="s">
        <v>972</v>
      </c>
      <c r="BM34" s="135" t="s">
        <v>972</v>
      </c>
      <c r="BN34" s="138">
        <v>4.3999999999999997E-2</v>
      </c>
      <c r="BO34" s="138">
        <v>0.152</v>
      </c>
      <c r="BP34" s="132">
        <v>17.7</v>
      </c>
      <c r="BQ34" s="132">
        <v>31.3</v>
      </c>
      <c r="BR34" s="135" t="s">
        <v>972</v>
      </c>
      <c r="BS34" s="135" t="s">
        <v>972</v>
      </c>
      <c r="BT34" s="135" t="s">
        <v>972</v>
      </c>
      <c r="BU34" s="135" t="s">
        <v>972</v>
      </c>
      <c r="BV34" s="135" t="s">
        <v>972</v>
      </c>
      <c r="BW34" s="132" t="s">
        <v>972</v>
      </c>
      <c r="BX34" s="135" t="s">
        <v>972</v>
      </c>
      <c r="BY34" s="135" t="s">
        <v>972</v>
      </c>
      <c r="BZ34" s="135" t="s">
        <v>972</v>
      </c>
      <c r="CA34" s="135" t="s">
        <v>972</v>
      </c>
      <c r="CB34" s="138">
        <v>0.96</v>
      </c>
      <c r="CC34" s="138">
        <v>2.86</v>
      </c>
      <c r="CD34" s="132">
        <v>13.5</v>
      </c>
      <c r="CE34" s="132">
        <v>18.2</v>
      </c>
      <c r="CF34" s="135" t="s">
        <v>972</v>
      </c>
      <c r="CG34" s="135" t="s">
        <v>972</v>
      </c>
      <c r="CH34" s="135" t="s">
        <v>972</v>
      </c>
      <c r="CI34" s="136" t="s">
        <v>972</v>
      </c>
      <c r="CJ34" s="135" t="s">
        <v>972</v>
      </c>
      <c r="CK34" s="135" t="s">
        <v>972</v>
      </c>
      <c r="CL34" s="135" t="s">
        <v>972</v>
      </c>
      <c r="CM34" s="135" t="s">
        <v>972</v>
      </c>
      <c r="CN34" s="135" t="s">
        <v>972</v>
      </c>
      <c r="CO34" s="135" t="s">
        <v>972</v>
      </c>
      <c r="CP34" s="135" t="s">
        <v>972</v>
      </c>
      <c r="CQ34" s="1467" t="s">
        <v>972</v>
      </c>
      <c r="CR34" s="135" t="s">
        <v>972</v>
      </c>
      <c r="CS34" s="135" t="s">
        <v>972</v>
      </c>
      <c r="CT34" s="135" t="s">
        <v>972</v>
      </c>
      <c r="CU34" s="134" t="s">
        <v>972</v>
      </c>
      <c r="CV34" s="132" t="s">
        <v>972</v>
      </c>
      <c r="CW34" s="134" t="s">
        <v>972</v>
      </c>
      <c r="CX34" s="1943" t="s">
        <v>972</v>
      </c>
      <c r="CY34" s="1935" t="s">
        <v>972</v>
      </c>
      <c r="CZ34" s="135" t="s">
        <v>972</v>
      </c>
      <c r="DA34" s="135" t="s">
        <v>972</v>
      </c>
      <c r="DB34" s="135" t="s">
        <v>972</v>
      </c>
      <c r="DC34" s="135" t="s">
        <v>972</v>
      </c>
      <c r="DD34" s="135" t="s">
        <v>972</v>
      </c>
      <c r="DE34" s="135" t="s">
        <v>972</v>
      </c>
      <c r="DF34" s="135" t="s">
        <v>972</v>
      </c>
      <c r="DG34" s="135" t="s">
        <v>972</v>
      </c>
      <c r="DH34" s="135" t="s">
        <v>972</v>
      </c>
      <c r="DI34" s="140" t="s">
        <v>972</v>
      </c>
      <c r="DJ34" s="132" t="s">
        <v>972</v>
      </c>
      <c r="DK34" s="132" t="s">
        <v>972</v>
      </c>
      <c r="DL34" s="132" t="s">
        <v>972</v>
      </c>
      <c r="DM34" s="135" t="s">
        <v>972</v>
      </c>
      <c r="DN34" s="135" t="s">
        <v>972</v>
      </c>
      <c r="DO34" s="135" t="s">
        <v>972</v>
      </c>
      <c r="DP34" s="132" t="s">
        <v>972</v>
      </c>
      <c r="DQ34" s="135" t="s">
        <v>972</v>
      </c>
      <c r="DR34" s="135" t="s">
        <v>972</v>
      </c>
      <c r="DS34" s="1332">
        <f t="shared" si="2"/>
        <v>24</v>
      </c>
      <c r="DT34" s="1335" t="s">
        <v>1424</v>
      </c>
      <c r="DU34" s="1336" t="s">
        <v>1425</v>
      </c>
      <c r="DV34" s="2557"/>
      <c r="DW34" s="2554">
        <v>12.87</v>
      </c>
      <c r="DX34" s="2558">
        <v>21.49</v>
      </c>
      <c r="DY34" s="2561">
        <v>16.39</v>
      </c>
    </row>
    <row r="35" spans="1:245" s="146" customFormat="1" ht="15" customHeight="1">
      <c r="A35" s="39"/>
      <c r="B35" s="1617"/>
      <c r="C35" s="1429">
        <v>25</v>
      </c>
      <c r="D35" s="131">
        <v>146</v>
      </c>
      <c r="E35" s="132">
        <v>82.2</v>
      </c>
      <c r="F35" s="133">
        <v>144</v>
      </c>
      <c r="G35" s="132">
        <v>83.3</v>
      </c>
      <c r="H35" s="134">
        <v>82</v>
      </c>
      <c r="I35" s="134">
        <v>116</v>
      </c>
      <c r="J35" s="134">
        <v>9</v>
      </c>
      <c r="K35" s="134">
        <v>280</v>
      </c>
      <c r="L35" s="134">
        <v>1750</v>
      </c>
      <c r="M35" s="134">
        <v>2160</v>
      </c>
      <c r="N35" s="134">
        <v>1890</v>
      </c>
      <c r="O35" s="134">
        <v>2460</v>
      </c>
      <c r="P35" s="134">
        <v>2280</v>
      </c>
      <c r="Q35" s="134">
        <v>1940</v>
      </c>
      <c r="R35" s="134">
        <v>2480</v>
      </c>
      <c r="S35" s="134">
        <v>2590</v>
      </c>
      <c r="T35" s="134">
        <v>4810</v>
      </c>
      <c r="U35" s="134">
        <v>4240</v>
      </c>
      <c r="V35" s="134">
        <v>3340</v>
      </c>
      <c r="W35" s="132">
        <v>82.6</v>
      </c>
      <c r="X35" s="134">
        <v>5460</v>
      </c>
      <c r="Y35" s="132">
        <v>82.4</v>
      </c>
      <c r="Z35" s="131">
        <v>136</v>
      </c>
      <c r="AA35" s="134">
        <v>124</v>
      </c>
      <c r="AB35" s="134">
        <v>57</v>
      </c>
      <c r="AC35" s="134">
        <v>71</v>
      </c>
      <c r="AD35" s="134">
        <v>6</v>
      </c>
      <c r="AE35" s="134">
        <v>2040</v>
      </c>
      <c r="AF35" s="132">
        <v>4.4000000000000004</v>
      </c>
      <c r="AG35" s="132">
        <v>79.5</v>
      </c>
      <c r="AH35" s="132">
        <v>1.79</v>
      </c>
      <c r="AI35" s="132">
        <v>69.400000000000006</v>
      </c>
      <c r="AJ35" s="132"/>
      <c r="AK35" s="132"/>
      <c r="AL35" s="132" t="s">
        <v>972</v>
      </c>
      <c r="AM35" s="132" t="s">
        <v>972</v>
      </c>
      <c r="AN35" s="135" t="s">
        <v>972</v>
      </c>
      <c r="AO35" s="135" t="s">
        <v>972</v>
      </c>
      <c r="AP35" s="136">
        <v>160</v>
      </c>
      <c r="AQ35" s="135" t="s">
        <v>972</v>
      </c>
      <c r="AR35" s="135">
        <v>150</v>
      </c>
      <c r="AS35" s="135">
        <v>130</v>
      </c>
      <c r="AT35" s="135">
        <v>120</v>
      </c>
      <c r="AU35" s="135">
        <v>3000</v>
      </c>
      <c r="AV35" s="135" t="s">
        <v>972</v>
      </c>
      <c r="AW35" s="135">
        <v>3400</v>
      </c>
      <c r="AX35" s="135">
        <v>3200</v>
      </c>
      <c r="AY35" s="135">
        <v>3200</v>
      </c>
      <c r="AZ35" s="132">
        <v>6.9</v>
      </c>
      <c r="BA35" s="132" t="s">
        <v>972</v>
      </c>
      <c r="BB35" s="132">
        <v>7</v>
      </c>
      <c r="BC35" s="132">
        <v>6.9</v>
      </c>
      <c r="BD35" s="132">
        <v>6.8</v>
      </c>
      <c r="BE35" s="136" t="s">
        <v>972</v>
      </c>
      <c r="BF35" s="135" t="s">
        <v>972</v>
      </c>
      <c r="BG35" s="137">
        <v>9.8000000000000004E-2</v>
      </c>
      <c r="BH35" s="138">
        <v>5.2999999999999999E-2</v>
      </c>
      <c r="BI35" s="132">
        <v>11.6</v>
      </c>
      <c r="BJ35" s="132">
        <v>34.700000000000003</v>
      </c>
      <c r="BK35" s="132" t="s">
        <v>972</v>
      </c>
      <c r="BL35" s="139" t="s">
        <v>972</v>
      </c>
      <c r="BM35" s="135" t="s">
        <v>972</v>
      </c>
      <c r="BN35" s="138">
        <v>0.05</v>
      </c>
      <c r="BO35" s="138">
        <v>7.8E-2</v>
      </c>
      <c r="BP35" s="132">
        <v>12.4</v>
      </c>
      <c r="BQ35" s="132">
        <v>33.4</v>
      </c>
      <c r="BR35" s="135" t="s">
        <v>972</v>
      </c>
      <c r="BS35" s="135" t="s">
        <v>972</v>
      </c>
      <c r="BT35" s="135" t="s">
        <v>972</v>
      </c>
      <c r="BU35" s="135" t="s">
        <v>972</v>
      </c>
      <c r="BV35" s="135" t="s">
        <v>972</v>
      </c>
      <c r="BW35" s="135" t="s">
        <v>972</v>
      </c>
      <c r="BX35" s="135" t="s">
        <v>972</v>
      </c>
      <c r="BY35" s="135" t="s">
        <v>972</v>
      </c>
      <c r="BZ35" s="135" t="s">
        <v>972</v>
      </c>
      <c r="CA35" s="135" t="s">
        <v>972</v>
      </c>
      <c r="CB35" s="138">
        <v>1.07</v>
      </c>
      <c r="CC35" s="138">
        <v>3.37</v>
      </c>
      <c r="CD35" s="132">
        <v>10</v>
      </c>
      <c r="CE35" s="132">
        <v>12.1</v>
      </c>
      <c r="CF35" s="135" t="s">
        <v>972</v>
      </c>
      <c r="CG35" s="135" t="s">
        <v>972</v>
      </c>
      <c r="CH35" s="135" t="s">
        <v>972</v>
      </c>
      <c r="CI35" s="136" t="s">
        <v>972</v>
      </c>
      <c r="CJ35" s="135" t="s">
        <v>972</v>
      </c>
      <c r="CK35" s="135" t="s">
        <v>972</v>
      </c>
      <c r="CL35" s="135" t="s">
        <v>972</v>
      </c>
      <c r="CM35" s="135" t="s">
        <v>972</v>
      </c>
      <c r="CN35" s="135" t="s">
        <v>972</v>
      </c>
      <c r="CO35" s="135" t="s">
        <v>972</v>
      </c>
      <c r="CP35" s="135" t="s">
        <v>972</v>
      </c>
      <c r="CQ35" s="1467" t="s">
        <v>972</v>
      </c>
      <c r="CR35" s="135" t="s">
        <v>972</v>
      </c>
      <c r="CS35" s="135" t="s">
        <v>972</v>
      </c>
      <c r="CT35" s="135" t="s">
        <v>972</v>
      </c>
      <c r="CU35" s="134" t="s">
        <v>972</v>
      </c>
      <c r="CV35" s="132" t="s">
        <v>972</v>
      </c>
      <c r="CW35" s="134" t="s">
        <v>972</v>
      </c>
      <c r="CX35" s="1943" t="s">
        <v>972</v>
      </c>
      <c r="CY35" s="1935" t="s">
        <v>972</v>
      </c>
      <c r="CZ35" s="135" t="s">
        <v>972</v>
      </c>
      <c r="DA35" s="135" t="s">
        <v>972</v>
      </c>
      <c r="DB35" s="135" t="s">
        <v>972</v>
      </c>
      <c r="DC35" s="135" t="s">
        <v>972</v>
      </c>
      <c r="DD35" s="135" t="s">
        <v>972</v>
      </c>
      <c r="DE35" s="135" t="s">
        <v>972</v>
      </c>
      <c r="DF35" s="135" t="s">
        <v>972</v>
      </c>
      <c r="DG35" s="135" t="s">
        <v>972</v>
      </c>
      <c r="DH35" s="135" t="s">
        <v>972</v>
      </c>
      <c r="DI35" s="140" t="s">
        <v>972</v>
      </c>
      <c r="DJ35" s="132" t="s">
        <v>972</v>
      </c>
      <c r="DK35" s="132" t="s">
        <v>972</v>
      </c>
      <c r="DL35" s="132" t="s">
        <v>972</v>
      </c>
      <c r="DM35" s="135" t="s">
        <v>972</v>
      </c>
      <c r="DN35" s="135" t="s">
        <v>972</v>
      </c>
      <c r="DO35" s="135" t="s">
        <v>972</v>
      </c>
      <c r="DP35" s="132" t="s">
        <v>972</v>
      </c>
      <c r="DQ35" s="135" t="s">
        <v>972</v>
      </c>
      <c r="DR35" s="135" t="s">
        <v>972</v>
      </c>
      <c r="DS35" s="1332">
        <f t="shared" si="2"/>
        <v>25</v>
      </c>
      <c r="DT35" s="1335" t="s">
        <v>1424</v>
      </c>
      <c r="DU35" s="1336" t="s">
        <v>1425</v>
      </c>
      <c r="DV35" s="2557"/>
      <c r="DW35" s="2554">
        <v>14.09</v>
      </c>
      <c r="DX35" s="2558">
        <v>15.06</v>
      </c>
      <c r="DY35" s="2561">
        <v>12.14</v>
      </c>
    </row>
    <row r="36" spans="1:245" s="146" customFormat="1" ht="15" customHeight="1">
      <c r="A36" s="39"/>
      <c r="B36" s="1617"/>
      <c r="C36" s="1429">
        <v>26</v>
      </c>
      <c r="D36" s="131">
        <v>256</v>
      </c>
      <c r="E36" s="132" t="s">
        <v>972</v>
      </c>
      <c r="F36" s="133">
        <v>140</v>
      </c>
      <c r="G36" s="132" t="s">
        <v>972</v>
      </c>
      <c r="H36" s="134">
        <v>54</v>
      </c>
      <c r="I36" s="134">
        <v>138</v>
      </c>
      <c r="J36" s="134">
        <v>17</v>
      </c>
      <c r="K36" s="134">
        <v>194</v>
      </c>
      <c r="L36" s="134">
        <v>3700</v>
      </c>
      <c r="M36" s="134">
        <v>1730</v>
      </c>
      <c r="N36" s="134">
        <v>2840</v>
      </c>
      <c r="O36" s="134">
        <v>3400</v>
      </c>
      <c r="P36" s="134">
        <v>2510</v>
      </c>
      <c r="Q36" s="134">
        <v>4310</v>
      </c>
      <c r="R36" s="134">
        <v>4090</v>
      </c>
      <c r="S36" s="134">
        <v>2940</v>
      </c>
      <c r="T36" s="134">
        <v>4090</v>
      </c>
      <c r="U36" s="134">
        <v>3950</v>
      </c>
      <c r="V36" s="134">
        <v>3520</v>
      </c>
      <c r="W36" s="132" t="s">
        <v>972</v>
      </c>
      <c r="X36" s="134">
        <v>5920</v>
      </c>
      <c r="Y36" s="132" t="s">
        <v>972</v>
      </c>
      <c r="Z36" s="131">
        <v>193</v>
      </c>
      <c r="AA36" s="134">
        <v>125</v>
      </c>
      <c r="AB36" s="134">
        <v>83</v>
      </c>
      <c r="AC36" s="134">
        <v>81</v>
      </c>
      <c r="AD36" s="134">
        <v>10</v>
      </c>
      <c r="AE36" s="134">
        <v>2620</v>
      </c>
      <c r="AF36" s="132">
        <v>3.91</v>
      </c>
      <c r="AG36" s="132">
        <v>81.3</v>
      </c>
      <c r="AH36" s="132">
        <v>1.7</v>
      </c>
      <c r="AI36" s="132">
        <v>67.400000000000006</v>
      </c>
      <c r="AJ36" s="132"/>
      <c r="AK36" s="132"/>
      <c r="AL36" s="132" t="s">
        <v>972</v>
      </c>
      <c r="AM36" s="132" t="s">
        <v>972</v>
      </c>
      <c r="AN36" s="135" t="s">
        <v>972</v>
      </c>
      <c r="AO36" s="135" t="s">
        <v>972</v>
      </c>
      <c r="AP36" s="136" t="s">
        <v>972</v>
      </c>
      <c r="AQ36" s="135" t="s">
        <v>972</v>
      </c>
      <c r="AR36" s="135" t="s">
        <v>972</v>
      </c>
      <c r="AS36" s="135" t="s">
        <v>972</v>
      </c>
      <c r="AT36" s="135" t="s">
        <v>972</v>
      </c>
      <c r="AU36" s="135" t="s">
        <v>972</v>
      </c>
      <c r="AV36" s="135" t="s">
        <v>972</v>
      </c>
      <c r="AW36" s="135" t="s">
        <v>972</v>
      </c>
      <c r="AX36" s="135" t="s">
        <v>972</v>
      </c>
      <c r="AY36" s="135" t="s">
        <v>972</v>
      </c>
      <c r="AZ36" s="132" t="s">
        <v>972</v>
      </c>
      <c r="BA36" s="132" t="s">
        <v>972</v>
      </c>
      <c r="BB36" s="132" t="s">
        <v>972</v>
      </c>
      <c r="BC36" s="132" t="s">
        <v>972</v>
      </c>
      <c r="BD36" s="132" t="s">
        <v>972</v>
      </c>
      <c r="BE36" s="136">
        <v>1550</v>
      </c>
      <c r="BF36" s="135">
        <v>1510</v>
      </c>
      <c r="BG36" s="137">
        <v>5.8999999999999997E-2</v>
      </c>
      <c r="BH36" s="138">
        <v>0.29099999999999998</v>
      </c>
      <c r="BI36" s="132">
        <v>13</v>
      </c>
      <c r="BJ36" s="132">
        <v>38.1</v>
      </c>
      <c r="BK36" s="132" t="s">
        <v>972</v>
      </c>
      <c r="BL36" s="139" t="s">
        <v>972</v>
      </c>
      <c r="BM36" s="135" t="s">
        <v>972</v>
      </c>
      <c r="BN36" s="138">
        <v>5.7000000000000002E-2</v>
      </c>
      <c r="BO36" s="138">
        <v>0.309</v>
      </c>
      <c r="BP36" s="132">
        <v>14.2</v>
      </c>
      <c r="BQ36" s="132">
        <v>26.3</v>
      </c>
      <c r="BR36" s="135" t="s">
        <v>972</v>
      </c>
      <c r="BS36" s="135" t="s">
        <v>972</v>
      </c>
      <c r="BT36" s="135" t="s">
        <v>972</v>
      </c>
      <c r="BU36" s="135">
        <v>6.5000000000000002E-2</v>
      </c>
      <c r="BV36" s="135" t="s">
        <v>1423</v>
      </c>
      <c r="BW36" s="135">
        <v>25.4</v>
      </c>
      <c r="BX36" s="135" t="s">
        <v>972</v>
      </c>
      <c r="BY36" s="135" t="s">
        <v>972</v>
      </c>
      <c r="BZ36" s="135" t="s">
        <v>972</v>
      </c>
      <c r="CA36" s="135" t="s">
        <v>972</v>
      </c>
      <c r="CB36" s="138">
        <v>0.95699999999999996</v>
      </c>
      <c r="CC36" s="138">
        <v>2.4</v>
      </c>
      <c r="CD36" s="132">
        <v>10.1</v>
      </c>
      <c r="CE36" s="132">
        <v>12.9</v>
      </c>
      <c r="CF36" s="135" t="s">
        <v>972</v>
      </c>
      <c r="CG36" s="135" t="s">
        <v>972</v>
      </c>
      <c r="CH36" s="135" t="s">
        <v>972</v>
      </c>
      <c r="CI36" s="136" t="s">
        <v>972</v>
      </c>
      <c r="CJ36" s="135" t="s">
        <v>972</v>
      </c>
      <c r="CK36" s="135" t="s">
        <v>972</v>
      </c>
      <c r="CL36" s="135" t="s">
        <v>972</v>
      </c>
      <c r="CM36" s="135" t="s">
        <v>972</v>
      </c>
      <c r="CN36" s="135" t="s">
        <v>972</v>
      </c>
      <c r="CO36" s="135" t="s">
        <v>972</v>
      </c>
      <c r="CP36" s="135" t="s">
        <v>972</v>
      </c>
      <c r="CQ36" s="1467" t="s">
        <v>972</v>
      </c>
      <c r="CR36" s="135" t="s">
        <v>972</v>
      </c>
      <c r="CS36" s="135" t="s">
        <v>972</v>
      </c>
      <c r="CT36" s="135" t="s">
        <v>972</v>
      </c>
      <c r="CU36" s="134" t="s">
        <v>972</v>
      </c>
      <c r="CV36" s="132" t="s">
        <v>972</v>
      </c>
      <c r="CW36" s="134" t="s">
        <v>972</v>
      </c>
      <c r="CX36" s="1943" t="s">
        <v>972</v>
      </c>
      <c r="CY36" s="1935" t="s">
        <v>972</v>
      </c>
      <c r="CZ36" s="135" t="s">
        <v>972</v>
      </c>
      <c r="DA36" s="135" t="s">
        <v>972</v>
      </c>
      <c r="DB36" s="135" t="s">
        <v>972</v>
      </c>
      <c r="DC36" s="132" t="s">
        <v>972</v>
      </c>
      <c r="DD36" s="135" t="s">
        <v>972</v>
      </c>
      <c r="DE36" s="135" t="s">
        <v>972</v>
      </c>
      <c r="DF36" s="135" t="s">
        <v>972</v>
      </c>
      <c r="DG36" s="135" t="s">
        <v>972</v>
      </c>
      <c r="DH36" s="135" t="s">
        <v>972</v>
      </c>
      <c r="DI36" s="140" t="s">
        <v>972</v>
      </c>
      <c r="DJ36" s="132" t="s">
        <v>972</v>
      </c>
      <c r="DK36" s="132" t="s">
        <v>972</v>
      </c>
      <c r="DL36" s="132" t="s">
        <v>972</v>
      </c>
      <c r="DM36" s="135" t="s">
        <v>972</v>
      </c>
      <c r="DN36" s="135" t="s">
        <v>972</v>
      </c>
      <c r="DO36" s="135" t="s">
        <v>972</v>
      </c>
      <c r="DP36" s="132" t="s">
        <v>972</v>
      </c>
      <c r="DQ36" s="135" t="s">
        <v>972</v>
      </c>
      <c r="DR36" s="135" t="s">
        <v>972</v>
      </c>
      <c r="DS36" s="1332">
        <f t="shared" si="2"/>
        <v>26</v>
      </c>
      <c r="DT36" s="1335" t="s">
        <v>1424</v>
      </c>
      <c r="DU36" s="1336" t="s">
        <v>1425</v>
      </c>
      <c r="DV36" s="2557"/>
      <c r="DW36" s="2554">
        <v>15.79</v>
      </c>
      <c r="DX36" s="2558">
        <v>17.239999999999998</v>
      </c>
      <c r="DY36" s="2561">
        <v>12.26</v>
      </c>
    </row>
    <row r="37" spans="1:245" s="146" customFormat="1" ht="15" customHeight="1">
      <c r="A37" s="39"/>
      <c r="B37" s="1617"/>
      <c r="C37" s="1429">
        <v>27</v>
      </c>
      <c r="D37" s="131">
        <v>148</v>
      </c>
      <c r="E37" s="132">
        <v>85.1</v>
      </c>
      <c r="F37" s="133">
        <v>98</v>
      </c>
      <c r="G37" s="132">
        <v>78.599999999999994</v>
      </c>
      <c r="H37" s="134">
        <v>96</v>
      </c>
      <c r="I37" s="134">
        <v>68</v>
      </c>
      <c r="J37" s="134">
        <v>13</v>
      </c>
      <c r="K37" s="134">
        <v>84</v>
      </c>
      <c r="L37" s="134">
        <v>2550</v>
      </c>
      <c r="M37" s="134">
        <v>1900</v>
      </c>
      <c r="N37" s="134">
        <v>3310</v>
      </c>
      <c r="O37" s="134">
        <v>2660</v>
      </c>
      <c r="P37" s="134">
        <v>2240</v>
      </c>
      <c r="Q37" s="134">
        <v>4100</v>
      </c>
      <c r="R37" s="134">
        <v>4580</v>
      </c>
      <c r="S37" s="134">
        <v>3920</v>
      </c>
      <c r="T37" s="134">
        <v>4660</v>
      </c>
      <c r="U37" s="134">
        <v>5300</v>
      </c>
      <c r="V37" s="134">
        <v>5140</v>
      </c>
      <c r="W37" s="132">
        <v>83.7</v>
      </c>
      <c r="X37" s="134">
        <v>6020</v>
      </c>
      <c r="Y37" s="132">
        <v>82.7</v>
      </c>
      <c r="Z37" s="131">
        <v>131</v>
      </c>
      <c r="AA37" s="134">
        <v>128</v>
      </c>
      <c r="AB37" s="134">
        <v>49</v>
      </c>
      <c r="AC37" s="134">
        <v>60</v>
      </c>
      <c r="AD37" s="134">
        <v>8</v>
      </c>
      <c r="AE37" s="134">
        <v>2080</v>
      </c>
      <c r="AF37" s="132">
        <v>3.93</v>
      </c>
      <c r="AG37" s="132">
        <v>80.400000000000006</v>
      </c>
      <c r="AH37" s="132">
        <v>1.56</v>
      </c>
      <c r="AI37" s="132">
        <v>71.8</v>
      </c>
      <c r="AJ37" s="132"/>
      <c r="AK37" s="132"/>
      <c r="AL37" s="132" t="s">
        <v>972</v>
      </c>
      <c r="AM37" s="132" t="s">
        <v>972</v>
      </c>
      <c r="AN37" s="135" t="s">
        <v>972</v>
      </c>
      <c r="AO37" s="135" t="s">
        <v>972</v>
      </c>
      <c r="AP37" s="136" t="s">
        <v>972</v>
      </c>
      <c r="AQ37" s="135" t="s">
        <v>972</v>
      </c>
      <c r="AR37" s="135" t="s">
        <v>972</v>
      </c>
      <c r="AS37" s="135" t="s">
        <v>972</v>
      </c>
      <c r="AT37" s="135" t="s">
        <v>972</v>
      </c>
      <c r="AU37" s="135" t="s">
        <v>972</v>
      </c>
      <c r="AV37" s="135" t="s">
        <v>972</v>
      </c>
      <c r="AW37" s="135" t="s">
        <v>972</v>
      </c>
      <c r="AX37" s="135" t="s">
        <v>972</v>
      </c>
      <c r="AY37" s="135" t="s">
        <v>972</v>
      </c>
      <c r="AZ37" s="132" t="s">
        <v>972</v>
      </c>
      <c r="BA37" s="132" t="s">
        <v>972</v>
      </c>
      <c r="BB37" s="132" t="s">
        <v>972</v>
      </c>
      <c r="BC37" s="132" t="s">
        <v>972</v>
      </c>
      <c r="BD37" s="132" t="s">
        <v>972</v>
      </c>
      <c r="BE37" s="136" t="s">
        <v>972</v>
      </c>
      <c r="BF37" s="135" t="s">
        <v>972</v>
      </c>
      <c r="BG37" s="137">
        <v>6.0999999999999999E-2</v>
      </c>
      <c r="BH37" s="138">
        <v>0.42899999999999999</v>
      </c>
      <c r="BI37" s="132">
        <v>11.7</v>
      </c>
      <c r="BJ37" s="132">
        <v>25.7</v>
      </c>
      <c r="BK37" s="132" t="s">
        <v>972</v>
      </c>
      <c r="BL37" s="139" t="s">
        <v>972</v>
      </c>
      <c r="BM37" s="135" t="s">
        <v>972</v>
      </c>
      <c r="BN37" s="138">
        <v>7.0000000000000007E-2</v>
      </c>
      <c r="BO37" s="138">
        <v>0.40799999999999997</v>
      </c>
      <c r="BP37" s="132">
        <v>11.5</v>
      </c>
      <c r="BQ37" s="132">
        <v>23.7</v>
      </c>
      <c r="BR37" s="135" t="s">
        <v>972</v>
      </c>
      <c r="BS37" s="135" t="s">
        <v>972</v>
      </c>
      <c r="BT37" s="135" t="s">
        <v>972</v>
      </c>
      <c r="BU37" s="135" t="s">
        <v>972</v>
      </c>
      <c r="BV37" s="135" t="s">
        <v>972</v>
      </c>
      <c r="BW37" s="135" t="s">
        <v>972</v>
      </c>
      <c r="BX37" s="135" t="s">
        <v>972</v>
      </c>
      <c r="BY37" s="135" t="s">
        <v>972</v>
      </c>
      <c r="BZ37" s="135" t="s">
        <v>972</v>
      </c>
      <c r="CA37" s="135" t="s">
        <v>972</v>
      </c>
      <c r="CB37" s="138">
        <v>0.81899999999999995</v>
      </c>
      <c r="CC37" s="138">
        <v>2.38</v>
      </c>
      <c r="CD37" s="132">
        <v>7.88</v>
      </c>
      <c r="CE37" s="132">
        <v>10.6</v>
      </c>
      <c r="CF37" s="135" t="s">
        <v>972</v>
      </c>
      <c r="CG37" s="135" t="s">
        <v>972</v>
      </c>
      <c r="CH37" s="135" t="s">
        <v>972</v>
      </c>
      <c r="CI37" s="136" t="s">
        <v>972</v>
      </c>
      <c r="CJ37" s="135" t="s">
        <v>972</v>
      </c>
      <c r="CK37" s="135" t="s">
        <v>972</v>
      </c>
      <c r="CL37" s="135" t="s">
        <v>972</v>
      </c>
      <c r="CM37" s="135" t="s">
        <v>972</v>
      </c>
      <c r="CN37" s="135" t="s">
        <v>972</v>
      </c>
      <c r="CO37" s="135" t="s">
        <v>972</v>
      </c>
      <c r="CP37" s="135" t="s">
        <v>972</v>
      </c>
      <c r="CQ37" s="1467" t="s">
        <v>972</v>
      </c>
      <c r="CR37" s="135" t="s">
        <v>972</v>
      </c>
      <c r="CS37" s="135" t="s">
        <v>972</v>
      </c>
      <c r="CT37" s="135" t="s">
        <v>972</v>
      </c>
      <c r="CU37" s="134" t="s">
        <v>972</v>
      </c>
      <c r="CV37" s="132" t="s">
        <v>972</v>
      </c>
      <c r="CW37" s="134" t="s">
        <v>972</v>
      </c>
      <c r="CX37" s="1943" t="s">
        <v>972</v>
      </c>
      <c r="CY37" s="1935" t="s">
        <v>972</v>
      </c>
      <c r="CZ37" s="135" t="s">
        <v>972</v>
      </c>
      <c r="DA37" s="135" t="s">
        <v>972</v>
      </c>
      <c r="DB37" s="135" t="s">
        <v>972</v>
      </c>
      <c r="DC37" s="135" t="s">
        <v>972</v>
      </c>
      <c r="DD37" s="135" t="s">
        <v>972</v>
      </c>
      <c r="DE37" s="135" t="s">
        <v>972</v>
      </c>
      <c r="DF37" s="135" t="s">
        <v>972</v>
      </c>
      <c r="DG37" s="135" t="s">
        <v>972</v>
      </c>
      <c r="DH37" s="135" t="s">
        <v>972</v>
      </c>
      <c r="DI37" s="140" t="s">
        <v>972</v>
      </c>
      <c r="DJ37" s="132" t="s">
        <v>972</v>
      </c>
      <c r="DK37" s="132" t="s">
        <v>972</v>
      </c>
      <c r="DL37" s="132" t="s">
        <v>972</v>
      </c>
      <c r="DM37" s="135" t="s">
        <v>972</v>
      </c>
      <c r="DN37" s="135" t="s">
        <v>972</v>
      </c>
      <c r="DO37" s="135" t="s">
        <v>972</v>
      </c>
      <c r="DP37" s="132" t="s">
        <v>972</v>
      </c>
      <c r="DQ37" s="135" t="s">
        <v>972</v>
      </c>
      <c r="DR37" s="135" t="s">
        <v>972</v>
      </c>
      <c r="DS37" s="1332">
        <f t="shared" si="2"/>
        <v>27</v>
      </c>
      <c r="DT37" s="1335" t="s">
        <v>1424</v>
      </c>
      <c r="DU37" s="1336" t="s">
        <v>1425</v>
      </c>
      <c r="DV37" s="2557"/>
      <c r="DW37" s="2554">
        <v>14.21</v>
      </c>
      <c r="DX37" s="2558">
        <v>13.96</v>
      </c>
      <c r="DY37" s="2561">
        <v>9.57</v>
      </c>
    </row>
    <row r="38" spans="1:245" s="146" customFormat="1" ht="15" customHeight="1">
      <c r="A38" s="39"/>
      <c r="B38" s="1617"/>
      <c r="C38" s="1429">
        <v>28</v>
      </c>
      <c r="D38" s="131">
        <v>108</v>
      </c>
      <c r="E38" s="132" t="s">
        <v>972</v>
      </c>
      <c r="F38" s="133">
        <v>110</v>
      </c>
      <c r="G38" s="132" t="s">
        <v>972</v>
      </c>
      <c r="H38" s="134">
        <v>72</v>
      </c>
      <c r="I38" s="134">
        <v>84</v>
      </c>
      <c r="J38" s="134">
        <v>9</v>
      </c>
      <c r="K38" s="134">
        <v>190</v>
      </c>
      <c r="L38" s="134">
        <v>2380</v>
      </c>
      <c r="M38" s="134">
        <v>2160</v>
      </c>
      <c r="N38" s="134">
        <v>2380</v>
      </c>
      <c r="O38" s="134">
        <v>2350</v>
      </c>
      <c r="P38" s="134">
        <v>1920</v>
      </c>
      <c r="Q38" s="134">
        <v>2810</v>
      </c>
      <c r="R38" s="134">
        <v>3290</v>
      </c>
      <c r="S38" s="134">
        <v>3110</v>
      </c>
      <c r="T38" s="134">
        <v>4020</v>
      </c>
      <c r="U38" s="134">
        <v>4120</v>
      </c>
      <c r="V38" s="134">
        <v>4560</v>
      </c>
      <c r="W38" s="132" t="s">
        <v>972</v>
      </c>
      <c r="X38" s="134">
        <v>5540</v>
      </c>
      <c r="Y38" s="132" t="s">
        <v>972</v>
      </c>
      <c r="Z38" s="131">
        <v>132</v>
      </c>
      <c r="AA38" s="134">
        <v>128</v>
      </c>
      <c r="AB38" s="134">
        <v>68</v>
      </c>
      <c r="AC38" s="134">
        <v>73</v>
      </c>
      <c r="AD38" s="134">
        <v>8</v>
      </c>
      <c r="AE38" s="134">
        <v>2900</v>
      </c>
      <c r="AF38" s="132">
        <v>3.75</v>
      </c>
      <c r="AG38" s="132">
        <v>80</v>
      </c>
      <c r="AH38" s="132">
        <v>1.6</v>
      </c>
      <c r="AI38" s="132">
        <v>67.400000000000006</v>
      </c>
      <c r="AJ38" s="132"/>
      <c r="AK38" s="132"/>
      <c r="AL38" s="132" t="s">
        <v>972</v>
      </c>
      <c r="AM38" s="132" t="s">
        <v>972</v>
      </c>
      <c r="AN38" s="135" t="s">
        <v>972</v>
      </c>
      <c r="AO38" s="135" t="s">
        <v>972</v>
      </c>
      <c r="AP38" s="136">
        <v>230</v>
      </c>
      <c r="AQ38" s="135" t="s">
        <v>972</v>
      </c>
      <c r="AR38" s="135">
        <v>160</v>
      </c>
      <c r="AS38" s="135">
        <v>200</v>
      </c>
      <c r="AT38" s="135">
        <v>110</v>
      </c>
      <c r="AU38" s="135">
        <v>2800</v>
      </c>
      <c r="AV38" s="135" t="s">
        <v>972</v>
      </c>
      <c r="AW38" s="135">
        <v>2900</v>
      </c>
      <c r="AX38" s="135">
        <v>3200</v>
      </c>
      <c r="AY38" s="135">
        <v>3000</v>
      </c>
      <c r="AZ38" s="132">
        <v>6.9</v>
      </c>
      <c r="BA38" s="132" t="s">
        <v>972</v>
      </c>
      <c r="BB38" s="132">
        <v>7</v>
      </c>
      <c r="BC38" s="132">
        <v>7.1</v>
      </c>
      <c r="BD38" s="132">
        <v>7.1</v>
      </c>
      <c r="BE38" s="136" t="s">
        <v>972</v>
      </c>
      <c r="BF38" s="135" t="s">
        <v>972</v>
      </c>
      <c r="BG38" s="137">
        <v>8.5999999999999993E-2</v>
      </c>
      <c r="BH38" s="138">
        <v>0.25700000000000001</v>
      </c>
      <c r="BI38" s="132">
        <v>16.899999999999999</v>
      </c>
      <c r="BJ38" s="132">
        <v>31.3</v>
      </c>
      <c r="BK38" s="132" t="s">
        <v>972</v>
      </c>
      <c r="BL38" s="139" t="s">
        <v>972</v>
      </c>
      <c r="BM38" s="135" t="s">
        <v>972</v>
      </c>
      <c r="BN38" s="138">
        <v>4.7E-2</v>
      </c>
      <c r="BO38" s="138">
        <v>0.26600000000000001</v>
      </c>
      <c r="BP38" s="132">
        <v>17</v>
      </c>
      <c r="BQ38" s="132">
        <v>30</v>
      </c>
      <c r="BR38" s="135" t="s">
        <v>972</v>
      </c>
      <c r="BS38" s="135" t="s">
        <v>972</v>
      </c>
      <c r="BT38" s="135" t="s">
        <v>972</v>
      </c>
      <c r="BU38" s="135" t="s">
        <v>972</v>
      </c>
      <c r="BV38" s="135" t="s">
        <v>972</v>
      </c>
      <c r="BW38" s="132" t="s">
        <v>972</v>
      </c>
      <c r="BX38" s="135" t="s">
        <v>972</v>
      </c>
      <c r="BY38" s="135" t="s">
        <v>972</v>
      </c>
      <c r="BZ38" s="135" t="s">
        <v>972</v>
      </c>
      <c r="CA38" s="135" t="s">
        <v>972</v>
      </c>
      <c r="CB38" s="138">
        <v>0.72399999999999998</v>
      </c>
      <c r="CC38" s="138">
        <v>2.11</v>
      </c>
      <c r="CD38" s="132">
        <v>10.8</v>
      </c>
      <c r="CE38" s="132">
        <v>12.7</v>
      </c>
      <c r="CF38" s="135" t="s">
        <v>972</v>
      </c>
      <c r="CG38" s="135" t="s">
        <v>972</v>
      </c>
      <c r="CH38" s="135" t="s">
        <v>972</v>
      </c>
      <c r="CI38" s="136" t="s">
        <v>972</v>
      </c>
      <c r="CJ38" s="135" t="s">
        <v>972</v>
      </c>
      <c r="CK38" s="135" t="s">
        <v>972</v>
      </c>
      <c r="CL38" s="135" t="s">
        <v>972</v>
      </c>
      <c r="CM38" s="135" t="s">
        <v>972</v>
      </c>
      <c r="CN38" s="135" t="s">
        <v>972</v>
      </c>
      <c r="CO38" s="135" t="s">
        <v>972</v>
      </c>
      <c r="CP38" s="135" t="s">
        <v>972</v>
      </c>
      <c r="CQ38" s="1467" t="s">
        <v>972</v>
      </c>
      <c r="CR38" s="135" t="s">
        <v>972</v>
      </c>
      <c r="CS38" s="135" t="s">
        <v>972</v>
      </c>
      <c r="CT38" s="135" t="s">
        <v>972</v>
      </c>
      <c r="CU38" s="134" t="s">
        <v>972</v>
      </c>
      <c r="CV38" s="132" t="s">
        <v>972</v>
      </c>
      <c r="CW38" s="134" t="s">
        <v>972</v>
      </c>
      <c r="CX38" s="1943" t="s">
        <v>972</v>
      </c>
      <c r="CY38" s="1935" t="s">
        <v>972</v>
      </c>
      <c r="CZ38" s="135" t="s">
        <v>972</v>
      </c>
      <c r="DA38" s="135" t="s">
        <v>972</v>
      </c>
      <c r="DB38" s="135" t="s">
        <v>972</v>
      </c>
      <c r="DC38" s="135" t="s">
        <v>972</v>
      </c>
      <c r="DD38" s="135" t="s">
        <v>972</v>
      </c>
      <c r="DE38" s="135" t="s">
        <v>972</v>
      </c>
      <c r="DF38" s="135" t="s">
        <v>972</v>
      </c>
      <c r="DG38" s="135" t="s">
        <v>972</v>
      </c>
      <c r="DH38" s="135" t="s">
        <v>972</v>
      </c>
      <c r="DI38" s="140" t="s">
        <v>972</v>
      </c>
      <c r="DJ38" s="132" t="s">
        <v>972</v>
      </c>
      <c r="DK38" s="132" t="s">
        <v>972</v>
      </c>
      <c r="DL38" s="132" t="s">
        <v>972</v>
      </c>
      <c r="DM38" s="135" t="s">
        <v>972</v>
      </c>
      <c r="DN38" s="135" t="s">
        <v>972</v>
      </c>
      <c r="DO38" s="135" t="s">
        <v>972</v>
      </c>
      <c r="DP38" s="132" t="s">
        <v>972</v>
      </c>
      <c r="DQ38" s="135" t="s">
        <v>972</v>
      </c>
      <c r="DR38" s="135" t="s">
        <v>972</v>
      </c>
      <c r="DS38" s="1332">
        <f t="shared" si="2"/>
        <v>28</v>
      </c>
      <c r="DT38" s="1335" t="s">
        <v>1424</v>
      </c>
      <c r="DU38" s="1336" t="s">
        <v>1425</v>
      </c>
      <c r="DV38" s="2557"/>
      <c r="DW38" s="2554">
        <v>20.52</v>
      </c>
      <c r="DX38" s="2558">
        <v>20.64</v>
      </c>
      <c r="DY38" s="2561">
        <v>13.11</v>
      </c>
    </row>
    <row r="39" spans="1:245" s="146" customFormat="1" ht="15" customHeight="1">
      <c r="A39" s="39"/>
      <c r="B39" s="1617"/>
      <c r="C39" s="1429">
        <v>29</v>
      </c>
      <c r="D39" s="131">
        <v>176</v>
      </c>
      <c r="E39" s="132" t="s">
        <v>972</v>
      </c>
      <c r="F39" s="133">
        <v>124</v>
      </c>
      <c r="G39" s="132" t="s">
        <v>972</v>
      </c>
      <c r="H39" s="134" t="s">
        <v>972</v>
      </c>
      <c r="I39" s="134" t="s">
        <v>972</v>
      </c>
      <c r="J39" s="134">
        <v>8</v>
      </c>
      <c r="K39" s="134" t="s">
        <v>972</v>
      </c>
      <c r="L39" s="134" t="s">
        <v>972</v>
      </c>
      <c r="M39" s="134" t="s">
        <v>972</v>
      </c>
      <c r="N39" s="134" t="s">
        <v>972</v>
      </c>
      <c r="O39" s="134" t="s">
        <v>972</v>
      </c>
      <c r="P39" s="134" t="s">
        <v>972</v>
      </c>
      <c r="Q39" s="134" t="s">
        <v>972</v>
      </c>
      <c r="R39" s="134" t="s">
        <v>972</v>
      </c>
      <c r="S39" s="134" t="s">
        <v>972</v>
      </c>
      <c r="T39" s="134" t="s">
        <v>972</v>
      </c>
      <c r="U39" s="134" t="s">
        <v>972</v>
      </c>
      <c r="V39" s="134" t="s">
        <v>972</v>
      </c>
      <c r="W39" s="132" t="s">
        <v>972</v>
      </c>
      <c r="X39" s="134" t="s">
        <v>972</v>
      </c>
      <c r="Y39" s="132" t="s">
        <v>972</v>
      </c>
      <c r="Z39" s="131">
        <v>125</v>
      </c>
      <c r="AA39" s="134">
        <v>119</v>
      </c>
      <c r="AB39" s="134" t="s">
        <v>972</v>
      </c>
      <c r="AC39" s="134" t="s">
        <v>972</v>
      </c>
      <c r="AD39" s="134">
        <v>5</v>
      </c>
      <c r="AE39" s="134" t="s">
        <v>972</v>
      </c>
      <c r="AF39" s="132" t="s">
        <v>972</v>
      </c>
      <c r="AG39" s="132" t="s">
        <v>972</v>
      </c>
      <c r="AH39" s="132" t="s">
        <v>972</v>
      </c>
      <c r="AI39" s="132" t="s">
        <v>972</v>
      </c>
      <c r="AJ39" s="132"/>
      <c r="AK39" s="132"/>
      <c r="AL39" s="132" t="s">
        <v>972</v>
      </c>
      <c r="AM39" s="132" t="s">
        <v>972</v>
      </c>
      <c r="AN39" s="135" t="s">
        <v>972</v>
      </c>
      <c r="AO39" s="135" t="s">
        <v>972</v>
      </c>
      <c r="AP39" s="136" t="s">
        <v>972</v>
      </c>
      <c r="AQ39" s="135" t="s">
        <v>972</v>
      </c>
      <c r="AR39" s="135" t="s">
        <v>972</v>
      </c>
      <c r="AS39" s="135" t="s">
        <v>972</v>
      </c>
      <c r="AT39" s="135" t="s">
        <v>972</v>
      </c>
      <c r="AU39" s="135" t="s">
        <v>972</v>
      </c>
      <c r="AV39" s="135" t="s">
        <v>972</v>
      </c>
      <c r="AW39" s="135" t="s">
        <v>972</v>
      </c>
      <c r="AX39" s="135" t="s">
        <v>972</v>
      </c>
      <c r="AY39" s="135" t="s">
        <v>972</v>
      </c>
      <c r="AZ39" s="132" t="s">
        <v>972</v>
      </c>
      <c r="BA39" s="132" t="s">
        <v>972</v>
      </c>
      <c r="BB39" s="132" t="s">
        <v>972</v>
      </c>
      <c r="BC39" s="132" t="s">
        <v>972</v>
      </c>
      <c r="BD39" s="132" t="s">
        <v>972</v>
      </c>
      <c r="BE39" s="136" t="s">
        <v>972</v>
      </c>
      <c r="BF39" s="135" t="s">
        <v>972</v>
      </c>
      <c r="BG39" s="137">
        <v>6.2E-2</v>
      </c>
      <c r="BH39" s="138">
        <v>0.17399999999999999</v>
      </c>
      <c r="BI39" s="132">
        <v>20.399999999999999</v>
      </c>
      <c r="BJ39" s="132">
        <v>36.9</v>
      </c>
      <c r="BK39" s="132" t="s">
        <v>972</v>
      </c>
      <c r="BL39" s="139" t="s">
        <v>972</v>
      </c>
      <c r="BM39" s="135" t="s">
        <v>972</v>
      </c>
      <c r="BN39" s="138">
        <v>5.6000000000000001E-2</v>
      </c>
      <c r="BO39" s="138">
        <v>0.152</v>
      </c>
      <c r="BP39" s="132">
        <v>19</v>
      </c>
      <c r="BQ39" s="132">
        <v>33.299999999999997</v>
      </c>
      <c r="BR39" s="135" t="s">
        <v>972</v>
      </c>
      <c r="BS39" s="135" t="s">
        <v>972</v>
      </c>
      <c r="BT39" s="135" t="s">
        <v>972</v>
      </c>
      <c r="BU39" s="135" t="s">
        <v>972</v>
      </c>
      <c r="BV39" s="135" t="s">
        <v>972</v>
      </c>
      <c r="BW39" s="135" t="s">
        <v>972</v>
      </c>
      <c r="BX39" s="135" t="s">
        <v>972</v>
      </c>
      <c r="BY39" s="135" t="s">
        <v>972</v>
      </c>
      <c r="BZ39" s="135" t="s">
        <v>972</v>
      </c>
      <c r="CA39" s="135" t="s">
        <v>972</v>
      </c>
      <c r="CB39" s="138">
        <v>0.76500000000000001</v>
      </c>
      <c r="CC39" s="138">
        <v>2.5</v>
      </c>
      <c r="CD39" s="132">
        <v>10.7</v>
      </c>
      <c r="CE39" s="132">
        <v>13.3</v>
      </c>
      <c r="CF39" s="135" t="s">
        <v>972</v>
      </c>
      <c r="CG39" s="135" t="s">
        <v>972</v>
      </c>
      <c r="CH39" s="135" t="s">
        <v>972</v>
      </c>
      <c r="CI39" s="136" t="s">
        <v>972</v>
      </c>
      <c r="CJ39" s="135" t="s">
        <v>972</v>
      </c>
      <c r="CK39" s="135" t="s">
        <v>972</v>
      </c>
      <c r="CL39" s="135" t="s">
        <v>972</v>
      </c>
      <c r="CM39" s="135" t="s">
        <v>972</v>
      </c>
      <c r="CN39" s="135" t="s">
        <v>972</v>
      </c>
      <c r="CO39" s="135" t="s">
        <v>972</v>
      </c>
      <c r="CP39" s="135" t="s">
        <v>972</v>
      </c>
      <c r="CQ39" s="1467" t="s">
        <v>972</v>
      </c>
      <c r="CR39" s="135" t="s">
        <v>972</v>
      </c>
      <c r="CS39" s="135" t="s">
        <v>972</v>
      </c>
      <c r="CT39" s="135" t="s">
        <v>972</v>
      </c>
      <c r="CU39" s="134" t="s">
        <v>972</v>
      </c>
      <c r="CV39" s="132" t="s">
        <v>972</v>
      </c>
      <c r="CW39" s="134" t="s">
        <v>972</v>
      </c>
      <c r="CX39" s="1943" t="s">
        <v>972</v>
      </c>
      <c r="CY39" s="1935" t="s">
        <v>972</v>
      </c>
      <c r="CZ39" s="135" t="s">
        <v>972</v>
      </c>
      <c r="DA39" s="135" t="s">
        <v>972</v>
      </c>
      <c r="DB39" s="135" t="s">
        <v>972</v>
      </c>
      <c r="DC39" s="135" t="s">
        <v>972</v>
      </c>
      <c r="DD39" s="135" t="s">
        <v>972</v>
      </c>
      <c r="DE39" s="135" t="s">
        <v>972</v>
      </c>
      <c r="DF39" s="135" t="s">
        <v>972</v>
      </c>
      <c r="DG39" s="135" t="s">
        <v>972</v>
      </c>
      <c r="DH39" s="135" t="s">
        <v>972</v>
      </c>
      <c r="DI39" s="140" t="s">
        <v>972</v>
      </c>
      <c r="DJ39" s="132" t="s">
        <v>972</v>
      </c>
      <c r="DK39" s="132" t="s">
        <v>972</v>
      </c>
      <c r="DL39" s="132" t="s">
        <v>972</v>
      </c>
      <c r="DM39" s="135" t="s">
        <v>972</v>
      </c>
      <c r="DN39" s="135" t="s">
        <v>972</v>
      </c>
      <c r="DO39" s="135" t="s">
        <v>972</v>
      </c>
      <c r="DP39" s="132" t="s">
        <v>972</v>
      </c>
      <c r="DQ39" s="135" t="s">
        <v>972</v>
      </c>
      <c r="DR39" s="135" t="s">
        <v>972</v>
      </c>
      <c r="DS39" s="1332">
        <f t="shared" si="2"/>
        <v>29</v>
      </c>
      <c r="DT39" s="1335" t="s">
        <v>1424</v>
      </c>
      <c r="DU39" s="1336" t="s">
        <v>1425</v>
      </c>
      <c r="DV39" s="2557"/>
      <c r="DW39" s="2554">
        <v>24.77</v>
      </c>
      <c r="DX39" s="2558">
        <v>23.07</v>
      </c>
      <c r="DY39" s="2561">
        <v>12.99</v>
      </c>
    </row>
    <row r="40" spans="1:245" s="146" customFormat="1" ht="15" customHeight="1">
      <c r="A40" s="39"/>
      <c r="B40" s="1617"/>
      <c r="C40" s="1429">
        <v>30</v>
      </c>
      <c r="D40" s="131">
        <v>142</v>
      </c>
      <c r="E40" s="132" t="s">
        <v>972</v>
      </c>
      <c r="F40" s="133">
        <v>124</v>
      </c>
      <c r="G40" s="132" t="s">
        <v>972</v>
      </c>
      <c r="H40" s="134" t="s">
        <v>972</v>
      </c>
      <c r="I40" s="134" t="s">
        <v>972</v>
      </c>
      <c r="J40" s="134">
        <v>8</v>
      </c>
      <c r="K40" s="134" t="s">
        <v>972</v>
      </c>
      <c r="L40" s="134" t="s">
        <v>972</v>
      </c>
      <c r="M40" s="134" t="s">
        <v>972</v>
      </c>
      <c r="N40" s="134" t="s">
        <v>972</v>
      </c>
      <c r="O40" s="134" t="s">
        <v>972</v>
      </c>
      <c r="P40" s="134" t="s">
        <v>972</v>
      </c>
      <c r="Q40" s="134" t="s">
        <v>972</v>
      </c>
      <c r="R40" s="134" t="s">
        <v>972</v>
      </c>
      <c r="S40" s="134" t="s">
        <v>972</v>
      </c>
      <c r="T40" s="134" t="s">
        <v>972</v>
      </c>
      <c r="U40" s="134" t="s">
        <v>972</v>
      </c>
      <c r="V40" s="134" t="s">
        <v>972</v>
      </c>
      <c r="W40" s="132" t="s">
        <v>972</v>
      </c>
      <c r="X40" s="134" t="s">
        <v>972</v>
      </c>
      <c r="Y40" s="132" t="s">
        <v>972</v>
      </c>
      <c r="Z40" s="131">
        <v>113</v>
      </c>
      <c r="AA40" s="134">
        <v>121</v>
      </c>
      <c r="AB40" s="134" t="s">
        <v>972</v>
      </c>
      <c r="AC40" s="134" t="s">
        <v>972</v>
      </c>
      <c r="AD40" s="134">
        <v>4</v>
      </c>
      <c r="AE40" s="134" t="s">
        <v>972</v>
      </c>
      <c r="AF40" s="132" t="s">
        <v>972</v>
      </c>
      <c r="AG40" s="132" t="s">
        <v>972</v>
      </c>
      <c r="AH40" s="132" t="s">
        <v>972</v>
      </c>
      <c r="AI40" s="132" t="s">
        <v>972</v>
      </c>
      <c r="AJ40" s="132"/>
      <c r="AK40" s="132"/>
      <c r="AL40" s="132" t="s">
        <v>972</v>
      </c>
      <c r="AM40" s="132" t="s">
        <v>972</v>
      </c>
      <c r="AN40" s="135" t="s">
        <v>972</v>
      </c>
      <c r="AO40" s="135" t="s">
        <v>972</v>
      </c>
      <c r="AP40" s="136" t="s">
        <v>972</v>
      </c>
      <c r="AQ40" s="135" t="s">
        <v>972</v>
      </c>
      <c r="AR40" s="135" t="s">
        <v>972</v>
      </c>
      <c r="AS40" s="135" t="s">
        <v>972</v>
      </c>
      <c r="AT40" s="135" t="s">
        <v>972</v>
      </c>
      <c r="AU40" s="135" t="s">
        <v>972</v>
      </c>
      <c r="AV40" s="135" t="s">
        <v>972</v>
      </c>
      <c r="AW40" s="135" t="s">
        <v>972</v>
      </c>
      <c r="AX40" s="135" t="s">
        <v>972</v>
      </c>
      <c r="AY40" s="135" t="s">
        <v>972</v>
      </c>
      <c r="AZ40" s="132" t="s">
        <v>972</v>
      </c>
      <c r="BA40" s="132" t="s">
        <v>972</v>
      </c>
      <c r="BB40" s="132" t="s">
        <v>972</v>
      </c>
      <c r="BC40" s="132" t="s">
        <v>972</v>
      </c>
      <c r="BD40" s="132" t="s">
        <v>972</v>
      </c>
      <c r="BE40" s="136" t="s">
        <v>972</v>
      </c>
      <c r="BF40" s="135" t="s">
        <v>972</v>
      </c>
      <c r="BG40" s="137">
        <v>2.7E-2</v>
      </c>
      <c r="BH40" s="138">
        <v>0.17199999999999999</v>
      </c>
      <c r="BI40" s="132">
        <v>23.2</v>
      </c>
      <c r="BJ40" s="132">
        <v>37.4</v>
      </c>
      <c r="BK40" s="132" t="s">
        <v>972</v>
      </c>
      <c r="BL40" s="139" t="s">
        <v>972</v>
      </c>
      <c r="BM40" s="135" t="s">
        <v>972</v>
      </c>
      <c r="BN40" s="138">
        <v>1.7000000000000001E-2</v>
      </c>
      <c r="BO40" s="138">
        <v>0.14399999999999999</v>
      </c>
      <c r="BP40" s="132">
        <v>22.4</v>
      </c>
      <c r="BQ40" s="132">
        <v>35.700000000000003</v>
      </c>
      <c r="BR40" s="135" t="s">
        <v>972</v>
      </c>
      <c r="BS40" s="135" t="s">
        <v>972</v>
      </c>
      <c r="BT40" s="135" t="s">
        <v>972</v>
      </c>
      <c r="BU40" s="135" t="s">
        <v>972</v>
      </c>
      <c r="BV40" s="135" t="s">
        <v>972</v>
      </c>
      <c r="BW40" s="135" t="s">
        <v>972</v>
      </c>
      <c r="BX40" s="135" t="s">
        <v>972</v>
      </c>
      <c r="BY40" s="135" t="s">
        <v>972</v>
      </c>
      <c r="BZ40" s="135" t="s">
        <v>972</v>
      </c>
      <c r="CA40" s="135" t="s">
        <v>972</v>
      </c>
      <c r="CB40" s="138">
        <v>0.70099999999999996</v>
      </c>
      <c r="CC40" s="138">
        <v>2.8</v>
      </c>
      <c r="CD40" s="132">
        <v>11.6</v>
      </c>
      <c r="CE40" s="132">
        <v>13.6</v>
      </c>
      <c r="CF40" s="135" t="s">
        <v>972</v>
      </c>
      <c r="CG40" s="135" t="s">
        <v>972</v>
      </c>
      <c r="CH40" s="135" t="s">
        <v>972</v>
      </c>
      <c r="CI40" s="136" t="s">
        <v>972</v>
      </c>
      <c r="CJ40" s="135" t="s">
        <v>972</v>
      </c>
      <c r="CK40" s="135" t="s">
        <v>972</v>
      </c>
      <c r="CL40" s="135" t="s">
        <v>972</v>
      </c>
      <c r="CM40" s="135" t="s">
        <v>972</v>
      </c>
      <c r="CN40" s="135" t="s">
        <v>972</v>
      </c>
      <c r="CO40" s="135" t="s">
        <v>972</v>
      </c>
      <c r="CP40" s="135" t="s">
        <v>972</v>
      </c>
      <c r="CQ40" s="1467" t="s">
        <v>972</v>
      </c>
      <c r="CR40" s="135" t="s">
        <v>972</v>
      </c>
      <c r="CS40" s="135" t="s">
        <v>972</v>
      </c>
      <c r="CT40" s="135" t="s">
        <v>972</v>
      </c>
      <c r="CU40" s="134" t="s">
        <v>972</v>
      </c>
      <c r="CV40" s="132" t="s">
        <v>972</v>
      </c>
      <c r="CW40" s="134" t="s">
        <v>972</v>
      </c>
      <c r="CX40" s="1943" t="s">
        <v>972</v>
      </c>
      <c r="CY40" s="1935" t="s">
        <v>972</v>
      </c>
      <c r="CZ40" s="135" t="s">
        <v>972</v>
      </c>
      <c r="DA40" s="135" t="s">
        <v>972</v>
      </c>
      <c r="DB40" s="135" t="s">
        <v>972</v>
      </c>
      <c r="DC40" s="135" t="s">
        <v>972</v>
      </c>
      <c r="DD40" s="135" t="s">
        <v>972</v>
      </c>
      <c r="DE40" s="135" t="s">
        <v>972</v>
      </c>
      <c r="DF40" s="135" t="s">
        <v>972</v>
      </c>
      <c r="DG40" s="135" t="s">
        <v>972</v>
      </c>
      <c r="DH40" s="135" t="s">
        <v>972</v>
      </c>
      <c r="DI40" s="140" t="s">
        <v>972</v>
      </c>
      <c r="DJ40" s="132" t="s">
        <v>972</v>
      </c>
      <c r="DK40" s="132" t="s">
        <v>972</v>
      </c>
      <c r="DL40" s="132" t="s">
        <v>972</v>
      </c>
      <c r="DM40" s="135" t="s">
        <v>972</v>
      </c>
      <c r="DN40" s="135" t="s">
        <v>972</v>
      </c>
      <c r="DO40" s="135" t="s">
        <v>972</v>
      </c>
      <c r="DP40" s="132" t="s">
        <v>972</v>
      </c>
      <c r="DQ40" s="135" t="s">
        <v>972</v>
      </c>
      <c r="DR40" s="135" t="s">
        <v>972</v>
      </c>
      <c r="DS40" s="1332">
        <f t="shared" si="2"/>
        <v>30</v>
      </c>
      <c r="DT40" s="1335" t="s">
        <v>1424</v>
      </c>
      <c r="DU40" s="1336" t="s">
        <v>1425</v>
      </c>
      <c r="DV40" s="2557"/>
      <c r="DW40" s="2554">
        <v>28.17</v>
      </c>
      <c r="DX40" s="2558">
        <v>27.2</v>
      </c>
      <c r="DY40" s="2561">
        <v>14.09</v>
      </c>
    </row>
    <row r="41" spans="1:245" s="146" customFormat="1" ht="15" customHeight="1" thickBot="1">
      <c r="A41" s="39"/>
      <c r="B41" s="1617"/>
      <c r="C41" s="1429">
        <v>31</v>
      </c>
      <c r="D41" s="131">
        <v>132</v>
      </c>
      <c r="E41" s="132" t="s">
        <v>972</v>
      </c>
      <c r="F41" s="133">
        <v>130</v>
      </c>
      <c r="G41" s="132" t="s">
        <v>972</v>
      </c>
      <c r="H41" s="134">
        <v>60</v>
      </c>
      <c r="I41" s="134">
        <v>72</v>
      </c>
      <c r="J41" s="134">
        <v>12</v>
      </c>
      <c r="K41" s="134" t="s">
        <v>972</v>
      </c>
      <c r="L41" s="134">
        <v>2220</v>
      </c>
      <c r="M41" s="134">
        <v>2390</v>
      </c>
      <c r="N41" s="134">
        <v>2130</v>
      </c>
      <c r="O41" s="134">
        <v>2400</v>
      </c>
      <c r="P41" s="134">
        <v>1840</v>
      </c>
      <c r="Q41" s="134">
        <v>2130</v>
      </c>
      <c r="R41" s="134">
        <v>1950</v>
      </c>
      <c r="S41" s="134">
        <v>2160</v>
      </c>
      <c r="T41" s="134">
        <v>2350</v>
      </c>
      <c r="U41" s="134">
        <v>1930</v>
      </c>
      <c r="V41" s="134">
        <v>4200</v>
      </c>
      <c r="W41" s="132" t="s">
        <v>972</v>
      </c>
      <c r="X41" s="134">
        <v>6040</v>
      </c>
      <c r="Y41" s="132" t="s">
        <v>972</v>
      </c>
      <c r="Z41" s="131">
        <v>117</v>
      </c>
      <c r="AA41" s="134">
        <v>115</v>
      </c>
      <c r="AB41" s="134" t="s">
        <v>972</v>
      </c>
      <c r="AC41" s="134" t="s">
        <v>972</v>
      </c>
      <c r="AD41" s="134">
        <v>8</v>
      </c>
      <c r="AE41" s="134" t="s">
        <v>972</v>
      </c>
      <c r="AF41" s="132" t="s">
        <v>972</v>
      </c>
      <c r="AG41" s="132" t="s">
        <v>972</v>
      </c>
      <c r="AH41" s="132" t="s">
        <v>972</v>
      </c>
      <c r="AI41" s="132" t="s">
        <v>972</v>
      </c>
      <c r="AJ41" s="132"/>
      <c r="AK41" s="132"/>
      <c r="AL41" s="132" t="s">
        <v>972</v>
      </c>
      <c r="AM41" s="132" t="s">
        <v>972</v>
      </c>
      <c r="AN41" s="135" t="s">
        <v>972</v>
      </c>
      <c r="AO41" s="135" t="s">
        <v>972</v>
      </c>
      <c r="AP41" s="136" t="s">
        <v>972</v>
      </c>
      <c r="AQ41" s="135" t="s">
        <v>972</v>
      </c>
      <c r="AR41" s="135" t="s">
        <v>972</v>
      </c>
      <c r="AS41" s="135" t="s">
        <v>972</v>
      </c>
      <c r="AT41" s="135" t="s">
        <v>972</v>
      </c>
      <c r="AU41" s="135" t="s">
        <v>972</v>
      </c>
      <c r="AV41" s="135" t="s">
        <v>972</v>
      </c>
      <c r="AW41" s="135" t="s">
        <v>972</v>
      </c>
      <c r="AX41" s="135" t="s">
        <v>972</v>
      </c>
      <c r="AY41" s="135" t="s">
        <v>972</v>
      </c>
      <c r="AZ41" s="132" t="s">
        <v>972</v>
      </c>
      <c r="BA41" s="132" t="s">
        <v>972</v>
      </c>
      <c r="BB41" s="132" t="s">
        <v>972</v>
      </c>
      <c r="BC41" s="132" t="s">
        <v>972</v>
      </c>
      <c r="BD41" s="132" t="s">
        <v>972</v>
      </c>
      <c r="BE41" s="136" t="s">
        <v>972</v>
      </c>
      <c r="BF41" s="135" t="s">
        <v>972</v>
      </c>
      <c r="BG41" s="137">
        <v>1.4E-2</v>
      </c>
      <c r="BH41" s="138">
        <v>0.156</v>
      </c>
      <c r="BI41" s="132">
        <v>20.8</v>
      </c>
      <c r="BJ41" s="132">
        <v>36</v>
      </c>
      <c r="BK41" s="132" t="s">
        <v>972</v>
      </c>
      <c r="BL41" s="139" t="s">
        <v>972</v>
      </c>
      <c r="BM41" s="135" t="s">
        <v>972</v>
      </c>
      <c r="BN41" s="138">
        <v>2.5999999999999999E-2</v>
      </c>
      <c r="BO41" s="138">
        <v>0.14000000000000001</v>
      </c>
      <c r="BP41" s="132">
        <v>20.5</v>
      </c>
      <c r="BQ41" s="132">
        <v>33.5</v>
      </c>
      <c r="BR41" s="135" t="s">
        <v>972</v>
      </c>
      <c r="BS41" s="135" t="s">
        <v>972</v>
      </c>
      <c r="BT41" s="135" t="s">
        <v>972</v>
      </c>
      <c r="BU41" s="135" t="s">
        <v>972</v>
      </c>
      <c r="BV41" s="135" t="s">
        <v>972</v>
      </c>
      <c r="BW41" s="135" t="s">
        <v>972</v>
      </c>
      <c r="BX41" s="135" t="s">
        <v>972</v>
      </c>
      <c r="BY41" s="135" t="s">
        <v>972</v>
      </c>
      <c r="BZ41" s="135" t="s">
        <v>972</v>
      </c>
      <c r="CA41" s="135" t="s">
        <v>972</v>
      </c>
      <c r="CB41" s="138">
        <v>0.57099999999999995</v>
      </c>
      <c r="CC41" s="138">
        <v>2.0099999999999998</v>
      </c>
      <c r="CD41" s="132">
        <v>14.2</v>
      </c>
      <c r="CE41" s="132">
        <v>16.100000000000001</v>
      </c>
      <c r="CF41" s="135" t="s">
        <v>972</v>
      </c>
      <c r="CG41" s="135" t="s">
        <v>972</v>
      </c>
      <c r="CH41" s="135" t="s">
        <v>972</v>
      </c>
      <c r="CI41" s="136" t="s">
        <v>972</v>
      </c>
      <c r="CJ41" s="135" t="s">
        <v>972</v>
      </c>
      <c r="CK41" s="135" t="s">
        <v>972</v>
      </c>
      <c r="CL41" s="135" t="s">
        <v>972</v>
      </c>
      <c r="CM41" s="135" t="s">
        <v>972</v>
      </c>
      <c r="CN41" s="135" t="s">
        <v>972</v>
      </c>
      <c r="CO41" s="135" t="s">
        <v>972</v>
      </c>
      <c r="CP41" s="135" t="s">
        <v>972</v>
      </c>
      <c r="CQ41" s="1467" t="s">
        <v>972</v>
      </c>
      <c r="CR41" s="135" t="s">
        <v>972</v>
      </c>
      <c r="CS41" s="135" t="s">
        <v>972</v>
      </c>
      <c r="CT41" s="135" t="s">
        <v>972</v>
      </c>
      <c r="CU41" s="134" t="s">
        <v>972</v>
      </c>
      <c r="CV41" s="132" t="s">
        <v>972</v>
      </c>
      <c r="CW41" s="134" t="s">
        <v>972</v>
      </c>
      <c r="CX41" s="1943" t="s">
        <v>972</v>
      </c>
      <c r="CY41" s="1935" t="s">
        <v>972</v>
      </c>
      <c r="CZ41" s="135" t="s">
        <v>972</v>
      </c>
      <c r="DA41" s="135" t="s">
        <v>972</v>
      </c>
      <c r="DB41" s="135" t="s">
        <v>972</v>
      </c>
      <c r="DC41" s="135" t="s">
        <v>972</v>
      </c>
      <c r="DD41" s="135" t="s">
        <v>972</v>
      </c>
      <c r="DE41" s="135" t="s">
        <v>972</v>
      </c>
      <c r="DF41" s="135" t="s">
        <v>972</v>
      </c>
      <c r="DG41" s="135" t="s">
        <v>972</v>
      </c>
      <c r="DH41" s="135" t="s">
        <v>972</v>
      </c>
      <c r="DI41" s="140" t="s">
        <v>972</v>
      </c>
      <c r="DJ41" s="132" t="s">
        <v>972</v>
      </c>
      <c r="DK41" s="132" t="s">
        <v>972</v>
      </c>
      <c r="DL41" s="132" t="s">
        <v>972</v>
      </c>
      <c r="DM41" s="135" t="s">
        <v>972</v>
      </c>
      <c r="DN41" s="135" t="s">
        <v>972</v>
      </c>
      <c r="DO41" s="135" t="s">
        <v>972</v>
      </c>
      <c r="DP41" s="132" t="s">
        <v>972</v>
      </c>
      <c r="DQ41" s="135" t="s">
        <v>972</v>
      </c>
      <c r="DR41" s="135" t="s">
        <v>972</v>
      </c>
      <c r="DS41" s="1332">
        <v>31</v>
      </c>
      <c r="DT41" s="1335" t="s">
        <v>1424</v>
      </c>
      <c r="DU41" s="1336" t="s">
        <v>1425</v>
      </c>
      <c r="DV41" s="2557"/>
      <c r="DW41" s="2555">
        <v>25.26</v>
      </c>
      <c r="DX41" s="2562">
        <v>24.89</v>
      </c>
      <c r="DY41" s="2563">
        <v>17.239999999999998</v>
      </c>
    </row>
    <row r="42" spans="1:245" s="1818" customFormat="1" ht="15.75" customHeight="1" thickBot="1">
      <c r="A42" s="103"/>
      <c r="B42" s="1802"/>
      <c r="C42" s="1803" t="s">
        <v>369</v>
      </c>
      <c r="D42" s="1804">
        <f>IF(SUM(D11:D41)=0,"",ROUND(AVERAGE(D11:D41),0))</f>
        <v>143</v>
      </c>
      <c r="E42" s="1805">
        <f>IF(SUM(E11:E41)=0,"",ROUND(AVERAGE(E11:E41),1))</f>
        <v>81.3</v>
      </c>
      <c r="F42" s="1806">
        <f>IF(SUM(F11:F41)=0,"",ROUND(AVERAGE(F11:F41),0))</f>
        <v>131</v>
      </c>
      <c r="G42" s="1805">
        <f>IF(SUM(G11:G41)=0,"",ROUND(AVERAGE(G11:G41),1))</f>
        <v>82.2</v>
      </c>
      <c r="H42" s="1807">
        <f>IF(SUM(H11:H41)=0,"",ROUND(AVERAGE(H11:H41),0))</f>
        <v>68</v>
      </c>
      <c r="I42" s="1807">
        <f>IF(SUM(I11:I41)=0,"",ROUND(AVERAGE(I11:I41),0))</f>
        <v>87</v>
      </c>
      <c r="J42" s="1807">
        <f>IF(SUM(J11:J41)=0,"",ROUND(AVERAGE(J11:J41),0))</f>
        <v>15</v>
      </c>
      <c r="K42" s="1807">
        <f>IF(SUM(K11:K41)=0,"",ROUND(AVERAGE(K11:K41),0))</f>
        <v>173</v>
      </c>
      <c r="L42" s="1808">
        <f t="shared" ref="L42:V42" si="3">IF(SUM(L11:L41)=0,"",ROUND(AVERAGE(L11:L41),-2))</f>
        <v>2600</v>
      </c>
      <c r="M42" s="1807">
        <f t="shared" si="3"/>
        <v>2500</v>
      </c>
      <c r="N42" s="1807">
        <f t="shared" si="3"/>
        <v>2300</v>
      </c>
      <c r="O42" s="1807">
        <f t="shared" si="3"/>
        <v>3000</v>
      </c>
      <c r="P42" s="1809">
        <f t="shared" si="3"/>
        <v>2800</v>
      </c>
      <c r="Q42" s="1808">
        <f t="shared" si="3"/>
        <v>3100</v>
      </c>
      <c r="R42" s="1807">
        <f t="shared" si="3"/>
        <v>3200</v>
      </c>
      <c r="S42" s="1807">
        <f t="shared" si="3"/>
        <v>2900</v>
      </c>
      <c r="T42" s="1807">
        <f t="shared" si="3"/>
        <v>3900</v>
      </c>
      <c r="U42" s="1809">
        <f t="shared" si="3"/>
        <v>4300</v>
      </c>
      <c r="V42" s="1810">
        <f t="shared" si="3"/>
        <v>4200</v>
      </c>
      <c r="W42" s="1805">
        <f>IF(SUM(W11:W41)=0,"",ROUND(AVERAGE(W11:W41),1))</f>
        <v>81.2</v>
      </c>
      <c r="X42" s="1807">
        <f>IF(SUM(X11:X41)=0,"",ROUND(AVERAGE(X11:X41),-2))</f>
        <v>6900</v>
      </c>
      <c r="Y42" s="1805">
        <f>IF(SUM(Y11:Y41)=0,"",ROUND(AVERAGE(Y11:Y41),1))</f>
        <v>82</v>
      </c>
      <c r="Z42" s="1804">
        <f t="shared" ref="Z42:AE42" si="4">IF(SUM(Z11:Z41)=0,"",ROUND(AVERAGE(Z11:Z41),0))</f>
        <v>142</v>
      </c>
      <c r="AA42" s="1807">
        <f t="shared" si="4"/>
        <v>136</v>
      </c>
      <c r="AB42" s="1807">
        <f t="shared" si="4"/>
        <v>75</v>
      </c>
      <c r="AC42" s="1807">
        <f t="shared" si="4"/>
        <v>98</v>
      </c>
      <c r="AD42" s="1807">
        <f t="shared" si="4"/>
        <v>7</v>
      </c>
      <c r="AE42" s="1807">
        <f t="shared" si="4"/>
        <v>1899</v>
      </c>
      <c r="AF42" s="1811">
        <f t="shared" ref="AF42:AO42" si="5">IF(SUM(AF11:AF41)=0,"",ROUND(AVERAGE(AF11:AF41),1))</f>
        <v>3.3</v>
      </c>
      <c r="AG42" s="1811">
        <f t="shared" si="5"/>
        <v>83.1</v>
      </c>
      <c r="AH42" s="1811">
        <f t="shared" si="5"/>
        <v>1.7</v>
      </c>
      <c r="AI42" s="1811">
        <f t="shared" si="5"/>
        <v>71.400000000000006</v>
      </c>
      <c r="AJ42" s="1811" t="str">
        <f t="shared" si="5"/>
        <v/>
      </c>
      <c r="AK42" s="1811" t="str">
        <f t="shared" si="5"/>
        <v/>
      </c>
      <c r="AL42" s="1811" t="str">
        <f t="shared" si="5"/>
        <v/>
      </c>
      <c r="AM42" s="1811" t="str">
        <f t="shared" si="5"/>
        <v/>
      </c>
      <c r="AN42" s="1811" t="str">
        <f t="shared" si="5"/>
        <v/>
      </c>
      <c r="AO42" s="1811" t="str">
        <f t="shared" si="5"/>
        <v/>
      </c>
      <c r="AP42" s="1804">
        <f>IF(SUM(AP11:AP41)=0,"",ROUND(AVERAGE(AP11:AP41),-1))</f>
        <v>210</v>
      </c>
      <c r="AQ42" s="1807" t="str">
        <f>IF(SUM(AQ11:AQ41)=0,"",ROUND(AVERAGE(AQ11:AQ41),-1))</f>
        <v/>
      </c>
      <c r="AR42" s="1807">
        <f>IF(SUM(AR11:AR41)=0,"",ROUND(AVERAGE(AR11:AR41),-1))</f>
        <v>170</v>
      </c>
      <c r="AS42" s="1807">
        <f>IF(SUM(AS11:AS41)=0,"",ROUND(AVERAGE(AS11:AS41),-1))</f>
        <v>160</v>
      </c>
      <c r="AT42" s="1807">
        <f>IF(SUM(AT11:AT41)=0,"",ROUND(AVERAGE(AT11:AT41),-1))</f>
        <v>130</v>
      </c>
      <c r="AU42" s="1807">
        <f>IF(SUM(AU11:AU41)=0,"",ROUND(AVERAGE(AU11:AU41),-2))</f>
        <v>2700</v>
      </c>
      <c r="AV42" s="1807" t="str">
        <f>IF(SUM(AV11:AV41)=0,"",ROUND(AVERAGE(AV11:AV41),-2))</f>
        <v/>
      </c>
      <c r="AW42" s="1807">
        <f>IF(SUM(AW11:AW41)=0,"",ROUND(AVERAGE(AW11:AW41),-2))</f>
        <v>2800</v>
      </c>
      <c r="AX42" s="1807">
        <f>IF(SUM(AX11:AX41)=0,"",ROUND(AVERAGE(AX11:AX41),-2))</f>
        <v>2900</v>
      </c>
      <c r="AY42" s="1807">
        <f>IF(SUM(AY11:AY41)=0,"",ROUND(AVERAGE(AY11:AY41),-2))</f>
        <v>2900</v>
      </c>
      <c r="AZ42" s="1805">
        <f>IF(SUM(AZ11:AZ41)=0,"",ROUND(AVERAGE(AZ11:AZ41),1))</f>
        <v>7</v>
      </c>
      <c r="BA42" s="1805" t="str">
        <f>IF(SUM(BA11:BA41)=0,"",ROUND(AVERAGE(BA11:BA41),1))</f>
        <v/>
      </c>
      <c r="BB42" s="1805">
        <f>IF(SUM(BB11:BB41)=0,"",ROUND(AVERAGE(BB11:BB41),1))</f>
        <v>7</v>
      </c>
      <c r="BC42" s="1805">
        <f>IF(SUM(BC11:BC41)=0,"",ROUND(AVERAGE(BC11:BC41),1))</f>
        <v>7</v>
      </c>
      <c r="BD42" s="1805">
        <f>IF(SUM(BD11:BD41)=0,"",ROUND(AVERAGE(BD11:BD41),1))</f>
        <v>7</v>
      </c>
      <c r="BE42" s="1804">
        <f>IF(SUM(BE11:BE41)=0,"",ROUND(AVERAGE(BE11:BE41),-1))</f>
        <v>510</v>
      </c>
      <c r="BF42" s="1807">
        <f>IF(SUM(BF11:BF41)=0,"",ROUND(AVERAGE(BF11:BF41),-1))</f>
        <v>550</v>
      </c>
      <c r="BG42" s="1812">
        <f>IF(SUM(BG11:BG41)=0,"",ROUND(AVERAGE(BG11:BG41),2))</f>
        <v>0.05</v>
      </c>
      <c r="BH42" s="1813">
        <f>IF(SUM(BH11:BH41)=0,"",ROUND(AVERAGE(BH11:BH41),2))</f>
        <v>0.14000000000000001</v>
      </c>
      <c r="BI42" s="1805">
        <f>IF(SUM(BI11:BI41)=0,"",ROUND(AVERAGE(BI11:BI41),1))</f>
        <v>20.7</v>
      </c>
      <c r="BJ42" s="1805">
        <f>IF(SUM(BJ11:BJ41)=0,"",ROUND(AVERAGE(BJ11:BJ41),1))</f>
        <v>36.700000000000003</v>
      </c>
      <c r="BK42" s="1805">
        <f>IF(SUM(BK11:BK41)=0,"",ROUND(AVERAGE(BK11:BK41),1))</f>
        <v>2.8</v>
      </c>
      <c r="BL42" s="1805">
        <f>IF(SUM(BL11:BL41)=0,"",ROUND(AVERAGE(BL11:BL41),1))</f>
        <v>4.8</v>
      </c>
      <c r="BM42" s="1807">
        <f>IF(SUM(BM11:BM41)=0,"",ROUND(AVERAGE(BM11:BM41),0))</f>
        <v>385</v>
      </c>
      <c r="BN42" s="1813">
        <f>IF(SUM(BN11:BN41)=0,"",ROUND(AVERAGE(BN11:BN41),2))</f>
        <v>0.04</v>
      </c>
      <c r="BO42" s="1813">
        <f>IF(SUM(BO11:BO41)=0,"",ROUND(AVERAGE(BO11:BO41),2))</f>
        <v>0.14000000000000001</v>
      </c>
      <c r="BP42" s="1805">
        <f>IF(SUM(BP11:BP41)=0,"",ROUND(AVERAGE(BP11:BP41),1))</f>
        <v>21</v>
      </c>
      <c r="BQ42" s="1805">
        <f>IF(SUM(BQ11:BQ41)=0,"",ROUND(AVERAGE(BQ11:BQ41),1))</f>
        <v>34.799999999999997</v>
      </c>
      <c r="BR42" s="1805">
        <f>IF(SUM(BR11:BR41)=0,"",ROUND(AVERAGE(BR11:BR41),1))</f>
        <v>2.7</v>
      </c>
      <c r="BS42" s="1805">
        <f>IF(SUM(BS11:BS41)=0,"",ROUND(AVERAGE(BS11:BS41),1))</f>
        <v>4.7</v>
      </c>
      <c r="BT42" s="1807">
        <f>IF(SUM(BT11:BT41)=0,"",ROUND(AVERAGE(BT11:BT41),0))</f>
        <v>402</v>
      </c>
      <c r="BU42" s="1813">
        <f>IF(SUM(BU11:BU41)=0,"",ROUND(AVERAGE(BU11:BU41),2))</f>
        <v>0.05</v>
      </c>
      <c r="BV42" s="1813">
        <f>IF(SUM(BV11:BV41)=0,"",ROUND(AVERAGE(BV11:BV41),2))</f>
        <v>0.28000000000000003</v>
      </c>
      <c r="BW42" s="1805">
        <f>IF(SUM(BW11:BW41)=0,"",ROUND(AVERAGE(BW11:BW41),1))</f>
        <v>24</v>
      </c>
      <c r="BX42" s="1805">
        <f>IF(SUM(BX11:BX41)=0,"",ROUND(AVERAGE(BX11:BX41),1))</f>
        <v>33.1</v>
      </c>
      <c r="BY42" s="1805">
        <f>IF(SUM(BY11:BY41)=0,"",ROUND(AVERAGE(BY11:BY41),1))</f>
        <v>3</v>
      </c>
      <c r="BZ42" s="1805">
        <f>IF(SUM(BZ11:BZ41)=0,"",ROUND(AVERAGE(BZ11:BZ41),1))</f>
        <v>5</v>
      </c>
      <c r="CA42" s="1807">
        <f>IF(SUM(CA11:CA41)=0,"",ROUND(AVERAGE(CA11:CA41),0))</f>
        <v>276</v>
      </c>
      <c r="CB42" s="1813">
        <f>IF(SUM(CB11:CB41)=0,"",ROUND(AVERAGE(CB11:CB41),2))</f>
        <v>0.65</v>
      </c>
      <c r="CC42" s="1813">
        <f>IF(SUM(CC11:CC41)=0,"",ROUND(AVERAGE(CC11:CC41),2))</f>
        <v>3.27</v>
      </c>
      <c r="CD42" s="1805">
        <f>IF(SUM(CD11:CD41)=0,"",ROUND(AVERAGE(CD11:CD41),1))</f>
        <v>11</v>
      </c>
      <c r="CE42" s="1805">
        <f>IF(SUM(CE11:CE41)=0,"",ROUND(AVERAGE(CE11:CE41),1))</f>
        <v>13.6</v>
      </c>
      <c r="CF42" s="1805">
        <f>IF(SUM(CF11:CF41)=0,"",ROUND(AVERAGE(CF11:CF41),1))</f>
        <v>2.1</v>
      </c>
      <c r="CG42" s="1805">
        <f>IF(SUM(CG11:CG41)=0,"",ROUND(AVERAGE(CG11:CG41),1))</f>
        <v>2.6</v>
      </c>
      <c r="CH42" s="1807">
        <f>IF(SUM(CH11:CH41)=0,"",ROUND(AVERAGE(CH11:CH41),0))</f>
        <v>44</v>
      </c>
      <c r="CI42" s="1814" t="str">
        <f t="shared" ref="CI42:CQ42" si="6">IF(SUM(CI11:CI41)=0,"",ROUND(AVERAGE(CI11:CI41),1))</f>
        <v/>
      </c>
      <c r="CJ42" s="1805" t="str">
        <f t="shared" si="6"/>
        <v/>
      </c>
      <c r="CK42" s="1805" t="str">
        <f t="shared" si="6"/>
        <v/>
      </c>
      <c r="CL42" s="1805" t="str">
        <f t="shared" si="6"/>
        <v/>
      </c>
      <c r="CM42" s="1805" t="str">
        <f t="shared" si="6"/>
        <v/>
      </c>
      <c r="CN42" s="1805" t="str">
        <f t="shared" si="6"/>
        <v/>
      </c>
      <c r="CO42" s="1805" t="str">
        <f t="shared" si="6"/>
        <v/>
      </c>
      <c r="CP42" s="1805" t="str">
        <f t="shared" si="6"/>
        <v/>
      </c>
      <c r="CQ42" s="1945">
        <f t="shared" si="6"/>
        <v>18.8</v>
      </c>
      <c r="CR42" s="1807">
        <f>IF(SUM(CR11:CR41)=0,"",ROUND(AVERAGE(CR11:CR41),0))</f>
        <v>34</v>
      </c>
      <c r="CS42" s="1807">
        <f>IF(SUM(CS11:CS41)=0,"",ROUND(AVERAGE(CS11:CS41),0))</f>
        <v>27</v>
      </c>
      <c r="CT42" s="1807">
        <f>IF(SUM(CT11:CT41)=0,"",ROUND(AVERAGE(CT11:CT41),0))</f>
        <v>21</v>
      </c>
      <c r="CU42" s="1807">
        <f>IF(SUM(CU11:CU41)=0,"",ROUND(AVERAGE(CU11:CU41),2))</f>
        <v>2826.67</v>
      </c>
      <c r="CV42" s="1805">
        <f>IF(SUM(CV11:CV41)=0,"",ROUND(AVERAGE(CV11:CV41),2))</f>
        <v>5.52</v>
      </c>
      <c r="CW42" s="1807" t="str">
        <f>IF(SUM(CW11:CW41)=0,"",ROUND(AVERAGE(CW11:CW41),1))</f>
        <v/>
      </c>
      <c r="CX42" s="1809" t="str">
        <f>IF(SUM(CX11:CX41)=0,"",ROUND(AVERAGE(CX11:CX41),1))</f>
        <v/>
      </c>
      <c r="CY42" s="1936">
        <f>IF(SUM(CY11:CY41)=0,"",ROUND(AVERAGE(CY11:CY41),1))</f>
        <v>7.6</v>
      </c>
      <c r="CZ42" s="1807" t="str">
        <f>IF(SUM(CZ11:CZ41)=0,"",ROUND(AVERAGE(CZ11:CZ41),0))</f>
        <v/>
      </c>
      <c r="DA42" s="1807" t="str">
        <f>IF(SUM(DA11:DA41)=0,"",ROUND(AVERAGE(DA11:DA41),0))</f>
        <v/>
      </c>
      <c r="DB42" s="1807" t="str">
        <f>IF(SUM(DB11:DB41)=0,"",ROUND(AVERAGE(DB11:DB41),0))</f>
        <v/>
      </c>
      <c r="DC42" s="1805" t="str">
        <f>IF(SUM(DC11:DC41)=0,"",ROUND(AVERAGE(DC11:DC41),1))</f>
        <v/>
      </c>
      <c r="DD42" s="1805" t="str">
        <f>IF(SUM(DD11:DD41)=0,"",ROUND(AVERAGE(DD11:DD41),1))</f>
        <v/>
      </c>
      <c r="DE42" s="1805" t="str">
        <f>IF(SUM(DE11:DE41)=0,"",ROUND(AVERAGE(DE11:DE41),1))</f>
        <v/>
      </c>
      <c r="DF42" s="1807" t="str">
        <f>IF(SUM(DF11:DF41)=0,"",ROUND(AVERAGE(DF11:DF41),0))</f>
        <v/>
      </c>
      <c r="DG42" s="1807" t="str">
        <f>IF(SUM(DG11:DG41)=0,"",ROUND(AVERAGE(DG11:DG41),0))</f>
        <v/>
      </c>
      <c r="DH42" s="1807" t="str">
        <f>IF(SUM(DH11:DH41)=0,"",ROUND(AVERAGE(DH11:DH41),0))</f>
        <v/>
      </c>
      <c r="DI42" s="1814">
        <f>IF(SUM(DI11:DI41)=0,"",ROUND(AVERAGE(DI11:DI41),1))</f>
        <v>1.7</v>
      </c>
      <c r="DJ42" s="1805">
        <f>IF(SUM(DJ11:DJ41)=0,"",ROUND(AVERAGE(DJ11:DJ41),1))</f>
        <v>73.099999999999994</v>
      </c>
      <c r="DK42" s="1805">
        <f>IF(SUM(DK11:DK41)=0,"",ROUND(AVERAGE(DK11:DK41),1))</f>
        <v>23.2</v>
      </c>
      <c r="DL42" s="1805">
        <f>IF(SUM(DL11:DL41)=0,"",ROUND(AVERAGE(DL11:DL41),1))</f>
        <v>74.5</v>
      </c>
      <c r="DM42" s="1805"/>
      <c r="DN42" s="1805"/>
      <c r="DO42" s="1807">
        <f>IF(SUM(DO11:DO41)=0,"",ROUND(AVERAGE(DO11:DO41),1))</f>
        <v>3140</v>
      </c>
      <c r="DP42" s="1805" t="str">
        <f>IF(SUM(DP11:DP41)=0,"",ROUND(AVERAGE(DP11:DP41),-1))</f>
        <v/>
      </c>
      <c r="DQ42" s="1807">
        <f>IF(SUM(DQ11:DQ41)=0,"",ROUND(AVERAGE(DQ11:DQ41),0))</f>
        <v>195</v>
      </c>
      <c r="DR42" s="1807" t="str">
        <f>IF(SUM(DR11:DR41)=0,"",ROUND(AVERAGE(DR11:DR41),0))</f>
        <v/>
      </c>
      <c r="DS42" s="1815" t="s">
        <v>369</v>
      </c>
      <c r="DT42" s="1816"/>
      <c r="DU42" s="1817"/>
      <c r="DV42" s="1817"/>
      <c r="DW42" s="2556">
        <f>AVERAGE(DW11:DW41)</f>
        <v>25.167419354838707</v>
      </c>
      <c r="DX42" s="2556">
        <f t="shared" ref="DX42:DY42" si="7">AVERAGE(DX11:DX41)</f>
        <v>25.531290322580649</v>
      </c>
      <c r="DY42" s="2556">
        <f t="shared" si="7"/>
        <v>13.365806451612903</v>
      </c>
      <c r="DZ42" s="103"/>
      <c r="EA42" s="103"/>
      <c r="EB42" s="103"/>
      <c r="EC42" s="103"/>
      <c r="ED42" s="103"/>
      <c r="EE42" s="103"/>
      <c r="EF42" s="103"/>
      <c r="EG42" s="103"/>
      <c r="EH42" s="103"/>
      <c r="EI42" s="103"/>
      <c r="EJ42" s="103"/>
      <c r="EK42" s="103"/>
      <c r="EL42" s="103"/>
      <c r="EM42" s="103"/>
      <c r="EN42" s="103"/>
      <c r="EO42" s="103"/>
      <c r="EP42" s="103"/>
      <c r="EQ42" s="103"/>
      <c r="ER42" s="103"/>
      <c r="ES42" s="103"/>
      <c r="ET42" s="103"/>
      <c r="EU42" s="103"/>
      <c r="EV42" s="103"/>
      <c r="EW42" s="103"/>
      <c r="EX42" s="103"/>
      <c r="EY42" s="103"/>
      <c r="EZ42" s="103"/>
      <c r="FA42" s="103"/>
      <c r="FB42" s="103"/>
      <c r="FC42" s="103"/>
      <c r="FD42" s="103"/>
      <c r="FE42" s="103"/>
      <c r="FF42" s="103"/>
      <c r="FG42" s="103"/>
      <c r="FH42" s="103"/>
      <c r="FI42" s="103"/>
      <c r="FJ42" s="103"/>
      <c r="FK42" s="103"/>
      <c r="FL42" s="103"/>
      <c r="FM42" s="103"/>
      <c r="FN42" s="103"/>
      <c r="FO42" s="103"/>
      <c r="FP42" s="103"/>
      <c r="FQ42" s="103"/>
      <c r="FR42" s="103"/>
      <c r="FS42" s="103"/>
      <c r="FT42" s="103"/>
      <c r="FU42" s="103"/>
      <c r="FV42" s="103"/>
      <c r="FW42" s="103"/>
      <c r="FX42" s="103"/>
      <c r="FY42" s="103"/>
      <c r="FZ42" s="103"/>
      <c r="GA42" s="103"/>
      <c r="GB42" s="103"/>
      <c r="GC42" s="103"/>
      <c r="GD42" s="103"/>
      <c r="GE42" s="103"/>
      <c r="GF42" s="103"/>
      <c r="GG42" s="103"/>
      <c r="GH42" s="103"/>
      <c r="GI42" s="103"/>
      <c r="GJ42" s="103"/>
      <c r="GK42" s="103"/>
      <c r="GL42" s="103"/>
      <c r="GM42" s="103"/>
      <c r="GN42" s="103"/>
      <c r="GO42" s="103"/>
      <c r="GP42" s="103"/>
      <c r="GQ42" s="103"/>
      <c r="GR42" s="103"/>
      <c r="GS42" s="103"/>
      <c r="GT42" s="103"/>
      <c r="GU42" s="103"/>
      <c r="GV42" s="103"/>
      <c r="GW42" s="103"/>
      <c r="GX42" s="103"/>
      <c r="GY42" s="103"/>
      <c r="GZ42" s="103"/>
      <c r="HA42" s="103"/>
      <c r="HB42" s="103"/>
      <c r="HC42" s="103"/>
      <c r="HD42" s="103"/>
      <c r="HE42" s="103"/>
      <c r="HF42" s="103"/>
      <c r="HG42" s="103"/>
      <c r="HH42" s="103"/>
      <c r="HI42" s="103"/>
      <c r="HJ42" s="103"/>
      <c r="HK42" s="103"/>
      <c r="HL42" s="103"/>
      <c r="HM42" s="103"/>
      <c r="HN42" s="103"/>
      <c r="HO42" s="103"/>
      <c r="HP42" s="103"/>
      <c r="HQ42" s="103"/>
      <c r="HR42" s="103"/>
      <c r="HS42" s="103"/>
      <c r="HT42" s="103"/>
      <c r="HU42" s="103"/>
      <c r="HV42" s="103"/>
      <c r="HW42" s="103"/>
      <c r="HX42" s="103"/>
      <c r="HY42" s="103"/>
      <c r="HZ42" s="103"/>
      <c r="IA42" s="103"/>
      <c r="IB42" s="103"/>
      <c r="IC42" s="103"/>
      <c r="ID42" s="103"/>
      <c r="IE42" s="103"/>
      <c r="IF42" s="103"/>
      <c r="IG42" s="103"/>
      <c r="IH42" s="103"/>
      <c r="II42" s="103"/>
      <c r="IJ42" s="103"/>
      <c r="IK42" s="103"/>
    </row>
    <row r="43" spans="1:245" s="1458" customFormat="1" ht="26.25" customHeight="1" thickBot="1">
      <c r="A43" s="1448"/>
      <c r="B43" s="1448" t="s">
        <v>972</v>
      </c>
      <c r="C43" s="1449" t="s">
        <v>1454</v>
      </c>
      <c r="D43" s="2883" t="s">
        <v>1427</v>
      </c>
      <c r="E43" s="2883"/>
      <c r="F43" s="2883" t="s">
        <v>972</v>
      </c>
      <c r="G43" s="2883"/>
      <c r="H43" s="2883" t="s">
        <v>972</v>
      </c>
      <c r="I43" s="2883"/>
      <c r="J43" s="1450" t="s">
        <v>972</v>
      </c>
      <c r="K43" s="2889" t="s">
        <v>972</v>
      </c>
      <c r="L43" s="2890"/>
      <c r="M43" s="2890"/>
      <c r="N43" s="2890"/>
      <c r="O43" s="2890"/>
      <c r="P43" s="2890"/>
      <c r="Q43" s="2890"/>
      <c r="R43" s="2890"/>
      <c r="S43" s="2890"/>
      <c r="T43" s="2890"/>
      <c r="U43" s="2890"/>
      <c r="V43" s="2890"/>
      <c r="W43" s="2890"/>
      <c r="X43" s="2890"/>
      <c r="Y43" s="2891"/>
      <c r="Z43" s="2879" t="s">
        <v>1428</v>
      </c>
      <c r="AA43" s="2892"/>
      <c r="AB43" s="2892"/>
      <c r="AC43" s="2892"/>
      <c r="AD43" s="2880"/>
      <c r="AE43" s="1452" t="s">
        <v>1429</v>
      </c>
      <c r="AF43" s="2864" t="s">
        <v>972</v>
      </c>
      <c r="AG43" s="2865"/>
      <c r="AH43" s="2865"/>
      <c r="AI43" s="2866"/>
      <c r="AJ43" s="1450" t="s">
        <v>972</v>
      </c>
      <c r="AK43" s="1450" t="s">
        <v>972</v>
      </c>
      <c r="AL43" s="1450" t="s">
        <v>972</v>
      </c>
      <c r="AM43" s="1450" t="s">
        <v>972</v>
      </c>
      <c r="AN43" s="1452" t="s">
        <v>972</v>
      </c>
      <c r="AO43" s="1453" t="s">
        <v>972</v>
      </c>
      <c r="AP43" s="1453" t="s">
        <v>1430</v>
      </c>
      <c r="AQ43" s="1453" t="s">
        <v>972</v>
      </c>
      <c r="AR43" s="1453" t="s">
        <v>972</v>
      </c>
      <c r="AS43" s="1453" t="s">
        <v>972</v>
      </c>
      <c r="AT43" s="1453" t="s">
        <v>972</v>
      </c>
      <c r="AU43" s="1453" t="s">
        <v>1431</v>
      </c>
      <c r="AV43" s="2896" t="s">
        <v>972</v>
      </c>
      <c r="AW43" s="2897"/>
      <c r="AX43" s="2897"/>
      <c r="AY43" s="2897"/>
      <c r="AZ43" s="2898"/>
      <c r="BA43" s="2864" t="s">
        <v>972</v>
      </c>
      <c r="BB43" s="2865"/>
      <c r="BC43" s="2865"/>
      <c r="BD43" s="2866"/>
      <c r="BE43" s="2879" t="s">
        <v>1432</v>
      </c>
      <c r="BF43" s="2880"/>
      <c r="BG43" s="1453" t="s">
        <v>1433</v>
      </c>
      <c r="BH43" s="1453" t="s">
        <v>972</v>
      </c>
      <c r="BI43" s="1455" t="s">
        <v>972</v>
      </c>
      <c r="BJ43" s="1454" t="s">
        <v>1434</v>
      </c>
      <c r="BK43" s="2881" t="s">
        <v>1435</v>
      </c>
      <c r="BL43" s="2882"/>
      <c r="BM43" s="1450" t="s">
        <v>1436</v>
      </c>
      <c r="BN43" s="1450" t="s">
        <v>1433</v>
      </c>
      <c r="BO43" s="1450" t="s">
        <v>972</v>
      </c>
      <c r="BP43" s="1450" t="s">
        <v>972</v>
      </c>
      <c r="BQ43" s="1450" t="s">
        <v>1434</v>
      </c>
      <c r="BR43" s="2879" t="s">
        <v>1435</v>
      </c>
      <c r="BS43" s="2880"/>
      <c r="BT43" s="1450" t="s">
        <v>1436</v>
      </c>
      <c r="BU43" s="1455" t="s">
        <v>1433</v>
      </c>
      <c r="BV43" s="1455" t="s">
        <v>972</v>
      </c>
      <c r="BW43" s="1450" t="s">
        <v>972</v>
      </c>
      <c r="BX43" s="1450" t="s">
        <v>1434</v>
      </c>
      <c r="BY43" s="2881" t="s">
        <v>1435</v>
      </c>
      <c r="BZ43" s="2882"/>
      <c r="CA43" s="1453" t="s">
        <v>1436</v>
      </c>
      <c r="CB43" s="1453" t="s">
        <v>1433</v>
      </c>
      <c r="CC43" s="1452" t="s">
        <v>972</v>
      </c>
      <c r="CD43" s="1454" t="s">
        <v>972</v>
      </c>
      <c r="CE43" s="1452" t="s">
        <v>1434</v>
      </c>
      <c r="CF43" s="2881" t="s">
        <v>1435</v>
      </c>
      <c r="CG43" s="2882"/>
      <c r="CH43" s="1454" t="s">
        <v>1437</v>
      </c>
      <c r="CI43" s="1452" t="s">
        <v>972</v>
      </c>
      <c r="CJ43" s="1452" t="s">
        <v>972</v>
      </c>
      <c r="CK43" s="1452" t="s">
        <v>972</v>
      </c>
      <c r="CL43" s="1452" t="s">
        <v>972</v>
      </c>
      <c r="CM43" s="1452" t="s">
        <v>972</v>
      </c>
      <c r="CN43" s="1452" t="s">
        <v>972</v>
      </c>
      <c r="CO43" s="1452" t="s">
        <v>972</v>
      </c>
      <c r="CP43" s="1933" t="s">
        <v>972</v>
      </c>
      <c r="CQ43" s="1946" t="s">
        <v>1433</v>
      </c>
      <c r="CR43" s="1452" t="s">
        <v>972</v>
      </c>
      <c r="CS43" s="1452" t="s">
        <v>972</v>
      </c>
      <c r="CT43" s="1454" t="s">
        <v>1431</v>
      </c>
      <c r="CU43" s="1454" t="s">
        <v>1438</v>
      </c>
      <c r="CV43" s="1454" t="s">
        <v>1439</v>
      </c>
      <c r="CW43" s="1454" t="s">
        <v>972</v>
      </c>
      <c r="CX43" s="1947" t="s">
        <v>972</v>
      </c>
      <c r="CY43" s="1937" t="s">
        <v>1439</v>
      </c>
      <c r="CZ43" s="1452" t="s">
        <v>1433</v>
      </c>
      <c r="DA43" s="1452" t="s">
        <v>1431</v>
      </c>
      <c r="DB43" s="1453" t="s">
        <v>1435</v>
      </c>
      <c r="DC43" s="1452" t="s">
        <v>972</v>
      </c>
      <c r="DD43" s="1452" t="s">
        <v>972</v>
      </c>
      <c r="DE43" s="1452" t="s">
        <v>972</v>
      </c>
      <c r="DF43" s="1452" t="s">
        <v>972</v>
      </c>
      <c r="DG43" s="1452" t="s">
        <v>972</v>
      </c>
      <c r="DH43" s="1454" t="s">
        <v>972</v>
      </c>
      <c r="DI43" s="2864" t="s">
        <v>1429</v>
      </c>
      <c r="DJ43" s="2865"/>
      <c r="DK43" s="2865"/>
      <c r="DL43" s="2866"/>
      <c r="DM43" s="1454" t="s">
        <v>972</v>
      </c>
      <c r="DN43" s="1450" t="s">
        <v>972</v>
      </c>
      <c r="DO43" s="2879" t="s">
        <v>1427</v>
      </c>
      <c r="DP43" s="2880"/>
      <c r="DQ43" s="1453" t="s">
        <v>1428</v>
      </c>
      <c r="DR43" s="1453" t="s">
        <v>1434</v>
      </c>
      <c r="DS43" s="1453" t="s">
        <v>972</v>
      </c>
      <c r="DT43" s="1451" t="s">
        <v>972</v>
      </c>
      <c r="DU43" s="1451"/>
      <c r="DV43" s="1456"/>
      <c r="DW43" s="1457"/>
    </row>
    <row r="44" spans="1:245" s="146" customFormat="1" ht="14.1" customHeight="1" thickBot="1">
      <c r="A44" s="39"/>
      <c r="B44" s="39"/>
      <c r="C44" s="52"/>
      <c r="D44" s="126"/>
      <c r="E44" s="1432"/>
      <c r="F44" s="1432"/>
      <c r="G44" s="1433"/>
      <c r="H44" s="1433"/>
      <c r="I44" s="1433"/>
      <c r="J44" s="1433"/>
      <c r="K44" s="1322"/>
      <c r="N44" s="103"/>
      <c r="O44" s="1432"/>
      <c r="P44" s="1432"/>
      <c r="Q44" s="1432"/>
      <c r="R44" s="1432"/>
      <c r="S44" s="1432"/>
      <c r="T44" s="1433"/>
      <c r="U44" s="1432"/>
      <c r="V44" s="1432"/>
      <c r="W44" s="1432"/>
      <c r="X44" s="1403"/>
      <c r="Y44" s="126"/>
      <c r="Z44" s="126"/>
      <c r="AA44" s="126"/>
      <c r="AB44" s="126"/>
      <c r="AC44" s="126"/>
      <c r="AD44" s="126"/>
      <c r="AE44" s="104"/>
      <c r="AF44" s="105"/>
      <c r="AG44" s="105"/>
      <c r="AH44" s="105"/>
      <c r="AI44" s="126"/>
      <c r="AJ44" s="126"/>
      <c r="AK44" s="126"/>
      <c r="AL44" s="126"/>
      <c r="AM44" s="126"/>
      <c r="AN44" s="105"/>
      <c r="AO44" s="106"/>
      <c r="AP44" s="106"/>
      <c r="AQ44" s="106"/>
      <c r="AR44" s="106"/>
      <c r="AS44" s="106"/>
      <c r="AT44" s="106"/>
      <c r="AU44" s="106"/>
      <c r="AV44" s="106"/>
      <c r="AW44" s="106"/>
      <c r="AX44" s="106"/>
      <c r="AY44" s="105"/>
      <c r="AZ44" s="105"/>
      <c r="BA44" s="105"/>
      <c r="BB44" s="105"/>
      <c r="BC44" s="105"/>
      <c r="BD44" s="105"/>
      <c r="BE44" s="126"/>
      <c r="BF44" s="106"/>
      <c r="BG44" s="106"/>
      <c r="BH44" s="106"/>
      <c r="BI44" s="107"/>
      <c r="BJ44" s="108"/>
      <c r="BK44" s="108"/>
      <c r="BL44" s="106"/>
      <c r="BM44" s="126"/>
      <c r="BN44" s="126"/>
      <c r="BO44" s="126"/>
      <c r="BP44" s="126"/>
      <c r="BQ44" s="126"/>
      <c r="BR44" s="126"/>
      <c r="BS44" s="126"/>
      <c r="BT44" s="126"/>
      <c r="BU44" s="109"/>
      <c r="BV44" s="109"/>
      <c r="BW44" s="126"/>
      <c r="BX44" s="126"/>
      <c r="BY44" s="108"/>
      <c r="BZ44" s="108"/>
      <c r="CA44" s="106"/>
      <c r="CB44" s="105"/>
      <c r="CC44" s="105"/>
      <c r="CD44" s="105"/>
      <c r="CE44" s="105"/>
      <c r="CF44" s="108"/>
      <c r="CG44" s="108"/>
      <c r="CH44" s="108"/>
      <c r="CI44" s="105"/>
      <c r="CJ44" s="105"/>
      <c r="CK44" s="105"/>
      <c r="CL44" s="105"/>
      <c r="CM44" s="105"/>
      <c r="CN44" s="105"/>
      <c r="CO44" s="105"/>
      <c r="CP44" s="105"/>
      <c r="CQ44" s="105"/>
      <c r="CR44" s="105"/>
      <c r="CS44" s="105"/>
      <c r="CT44" s="108"/>
      <c r="CU44" s="108"/>
      <c r="CV44" s="108"/>
      <c r="CW44" s="108"/>
      <c r="CX44" s="108"/>
      <c r="CY44" s="105"/>
      <c r="CZ44" s="105"/>
      <c r="DA44" s="105"/>
      <c r="DB44" s="106"/>
      <c r="DC44" s="105"/>
      <c r="DD44" s="105"/>
      <c r="DE44" s="105"/>
      <c r="DF44" s="105"/>
      <c r="DG44" s="105"/>
      <c r="DH44" s="108"/>
      <c r="DI44" s="105"/>
      <c r="DJ44" s="105"/>
      <c r="DK44" s="105"/>
      <c r="DL44" s="105"/>
      <c r="DM44" s="108"/>
      <c r="DN44" s="126"/>
      <c r="DO44" s="126"/>
      <c r="DP44" s="106"/>
      <c r="DQ44" s="106"/>
      <c r="DR44" s="106"/>
      <c r="DS44" s="106"/>
      <c r="DT44" s="110"/>
      <c r="DW44" s="1324"/>
    </row>
    <row r="45" spans="1:245" s="146" customFormat="1" ht="14.1" customHeight="1" thickBot="1">
      <c r="A45" s="39"/>
      <c r="B45" s="39"/>
      <c r="C45" s="52"/>
      <c r="D45" s="126"/>
      <c r="E45" s="2860" t="s">
        <v>581</v>
      </c>
      <c r="F45" s="2861"/>
      <c r="G45" s="2861"/>
      <c r="H45" s="2873" t="s">
        <v>582</v>
      </c>
      <c r="I45" s="2874"/>
      <c r="J45" s="2875"/>
      <c r="K45" s="1322"/>
      <c r="N45" s="103"/>
      <c r="O45" s="1459"/>
      <c r="P45" s="2886" t="s">
        <v>1440</v>
      </c>
      <c r="Q45" s="2886"/>
      <c r="R45" s="2886"/>
      <c r="S45" s="2886"/>
      <c r="T45" s="2886"/>
      <c r="U45" s="2886"/>
      <c r="V45" s="2886"/>
      <c r="W45" s="2886"/>
      <c r="X45" s="1403"/>
      <c r="Y45" s="126"/>
      <c r="Z45" s="126"/>
      <c r="AA45" s="126"/>
      <c r="AB45" s="126"/>
      <c r="AC45" s="126"/>
      <c r="AD45" s="126"/>
      <c r="AE45" s="105"/>
      <c r="AF45" s="105"/>
      <c r="AG45" s="105"/>
      <c r="AH45" s="105"/>
      <c r="AI45" s="126"/>
      <c r="AJ45" s="126"/>
      <c r="AK45" s="126"/>
      <c r="AL45" s="126"/>
      <c r="AM45" s="126"/>
      <c r="AN45" s="105"/>
      <c r="AO45" s="106"/>
      <c r="AP45" s="106"/>
      <c r="AQ45" s="106"/>
      <c r="AR45" s="106"/>
      <c r="AS45" s="106"/>
      <c r="AT45" s="106"/>
      <c r="AU45" s="106"/>
      <c r="AV45" s="106"/>
      <c r="AW45" s="106"/>
      <c r="AX45" s="106"/>
      <c r="AY45" s="105"/>
      <c r="AZ45" s="105"/>
      <c r="BA45" s="105"/>
      <c r="BB45" s="105"/>
      <c r="BC45" s="105"/>
      <c r="BD45" s="105"/>
      <c r="BE45" s="126"/>
      <c r="BF45" s="106"/>
      <c r="BG45" s="106"/>
      <c r="BH45" s="106"/>
      <c r="BI45" s="106"/>
      <c r="BJ45" s="108"/>
      <c r="BK45" s="108"/>
      <c r="BL45" s="106"/>
      <c r="BM45" s="126"/>
      <c r="BN45" s="126"/>
      <c r="BO45" s="126"/>
      <c r="BP45" s="126"/>
      <c r="BQ45" s="126"/>
      <c r="BR45" s="126"/>
      <c r="BS45" s="126"/>
      <c r="BT45" s="126"/>
      <c r="BU45" s="109"/>
      <c r="BV45" s="109"/>
      <c r="BW45" s="126"/>
      <c r="BX45" s="126"/>
      <c r="BY45" s="108"/>
      <c r="BZ45" s="108"/>
      <c r="CA45" s="106"/>
      <c r="CB45" s="105"/>
      <c r="CC45" s="105"/>
      <c r="CD45" s="105"/>
      <c r="CE45" s="105"/>
      <c r="CF45" s="108"/>
      <c r="CG45" s="108"/>
      <c r="CH45" s="108"/>
      <c r="CI45" s="105"/>
      <c r="CJ45" s="105"/>
      <c r="CK45" s="105"/>
      <c r="CL45" s="105"/>
      <c r="CM45" s="105"/>
      <c r="CN45" s="105"/>
      <c r="CO45" s="105"/>
      <c r="CP45" s="105"/>
      <c r="CQ45" s="105"/>
      <c r="CR45" s="105"/>
      <c r="CS45" s="105"/>
      <c r="CT45" s="108"/>
      <c r="CU45" s="108"/>
      <c r="CV45" s="108"/>
      <c r="CW45" s="108"/>
      <c r="CX45" s="108"/>
      <c r="CY45" s="105"/>
      <c r="CZ45" s="105"/>
      <c r="DA45" s="105"/>
      <c r="DB45" s="106"/>
      <c r="DC45" s="105"/>
      <c r="DD45" s="105"/>
      <c r="DE45" s="105"/>
      <c r="DF45" s="105"/>
      <c r="DG45" s="105"/>
      <c r="DH45" s="108"/>
      <c r="DI45" s="105"/>
      <c r="DJ45" s="105"/>
      <c r="DK45" s="105"/>
      <c r="DL45" s="105"/>
      <c r="DM45" s="108"/>
      <c r="DN45" s="126"/>
      <c r="DO45" s="126"/>
      <c r="DP45" s="106"/>
      <c r="DQ45" s="106"/>
      <c r="DR45" s="106"/>
      <c r="DS45" s="106"/>
      <c r="DT45" s="110"/>
      <c r="DW45" s="1324"/>
    </row>
    <row r="46" spans="1:245" s="146" customFormat="1" ht="14.1" customHeight="1">
      <c r="A46" s="39"/>
      <c r="B46" s="39"/>
      <c r="C46" s="52"/>
      <c r="D46" s="126"/>
      <c r="E46" s="1475" t="s">
        <v>972</v>
      </c>
      <c r="F46" s="1476" t="s">
        <v>33</v>
      </c>
      <c r="G46" s="1477" t="s">
        <v>972</v>
      </c>
      <c r="H46" s="1478" t="s">
        <v>937</v>
      </c>
      <c r="I46" s="1476" t="s">
        <v>34</v>
      </c>
      <c r="J46" s="1479" t="s">
        <v>416</v>
      </c>
      <c r="K46" s="1322"/>
      <c r="N46" s="106"/>
      <c r="O46" s="1470" t="s">
        <v>972</v>
      </c>
      <c r="P46" s="2893" t="s">
        <v>590</v>
      </c>
      <c r="Q46" s="2895"/>
      <c r="R46" s="2893" t="s">
        <v>592</v>
      </c>
      <c r="S46" s="2895"/>
      <c r="T46" s="2893" t="s">
        <v>593</v>
      </c>
      <c r="U46" s="2895"/>
      <c r="V46" s="2893" t="s">
        <v>594</v>
      </c>
      <c r="W46" s="2894"/>
      <c r="X46" s="1403"/>
      <c r="Y46" s="126"/>
      <c r="Z46" s="126"/>
      <c r="AA46" s="126"/>
      <c r="AB46" s="126"/>
      <c r="AC46" s="126"/>
      <c r="AD46" s="126"/>
      <c r="AE46" s="105"/>
      <c r="AF46" s="105"/>
      <c r="AG46" s="105"/>
      <c r="AH46" s="105"/>
      <c r="AI46" s="126"/>
      <c r="AJ46" s="126"/>
      <c r="AK46" s="126"/>
      <c r="AL46" s="126"/>
      <c r="AM46" s="126"/>
      <c r="AN46" s="105"/>
      <c r="AO46" s="106"/>
      <c r="AP46" s="108"/>
      <c r="AQ46" s="106"/>
      <c r="AR46" s="108"/>
      <c r="AS46" s="106"/>
      <c r="AT46" s="108"/>
      <c r="AU46" s="106"/>
      <c r="AV46" s="106"/>
      <c r="AW46" s="106"/>
      <c r="AX46" s="106"/>
      <c r="AY46" s="105"/>
      <c r="AZ46" s="105"/>
      <c r="BA46" s="105"/>
      <c r="BB46" s="105"/>
      <c r="BC46" s="105"/>
      <c r="BD46" s="105"/>
      <c r="BE46" s="126"/>
      <c r="BF46" s="106"/>
      <c r="BG46" s="106"/>
      <c r="BH46" s="106"/>
      <c r="BI46" s="106"/>
      <c r="BJ46" s="108"/>
      <c r="BK46" s="108"/>
      <c r="BL46" s="106"/>
      <c r="BM46" s="126"/>
      <c r="BN46" s="126"/>
      <c r="BO46" s="126"/>
      <c r="BP46" s="126"/>
      <c r="BQ46" s="126"/>
      <c r="BR46" s="126"/>
      <c r="BS46" s="126"/>
      <c r="BT46" s="126"/>
      <c r="BU46" s="109"/>
      <c r="BV46" s="109"/>
      <c r="BW46" s="126"/>
      <c r="BX46" s="126"/>
      <c r="BY46" s="108"/>
      <c r="BZ46" s="108"/>
      <c r="CA46" s="106"/>
      <c r="CB46" s="105"/>
      <c r="CC46" s="105"/>
      <c r="CD46" s="105"/>
      <c r="CE46" s="105"/>
      <c r="CF46" s="108"/>
      <c r="CG46" s="108"/>
      <c r="CH46" s="108"/>
      <c r="CI46" s="105"/>
      <c r="CJ46" s="105"/>
      <c r="CK46" s="105"/>
      <c r="CL46" s="105"/>
      <c r="CM46" s="105"/>
      <c r="CN46" s="105"/>
      <c r="CO46" s="105"/>
      <c r="CP46" s="105"/>
      <c r="CQ46" s="105"/>
      <c r="CR46" s="105"/>
      <c r="CS46" s="105"/>
      <c r="CT46" s="108"/>
      <c r="CU46" s="108"/>
      <c r="CV46" s="108"/>
      <c r="CW46" s="108"/>
      <c r="CX46" s="108"/>
      <c r="CY46" s="105"/>
      <c r="CZ46" s="105"/>
      <c r="DA46" s="105"/>
      <c r="DB46" s="106"/>
      <c r="DC46" s="105"/>
      <c r="DD46" s="105"/>
      <c r="DE46" s="105"/>
      <c r="DF46" s="105"/>
      <c r="DG46" s="105"/>
      <c r="DH46" s="108"/>
      <c r="DI46" s="105"/>
      <c r="DJ46" s="105"/>
      <c r="DK46" s="105"/>
      <c r="DL46" s="105"/>
      <c r="DM46" s="108"/>
      <c r="DN46" s="126"/>
      <c r="DO46" s="126"/>
      <c r="DP46" s="106"/>
      <c r="DQ46" s="106"/>
      <c r="DR46" s="106"/>
      <c r="DS46" s="106"/>
      <c r="DT46" s="110"/>
      <c r="DW46" s="1324"/>
    </row>
    <row r="47" spans="1:245" s="146" customFormat="1" ht="14.1" customHeight="1">
      <c r="A47" s="39"/>
      <c r="B47" s="39"/>
      <c r="C47" s="52"/>
      <c r="D47" s="126"/>
      <c r="E47" s="1434" t="s">
        <v>1441</v>
      </c>
      <c r="F47" s="1690">
        <v>42375</v>
      </c>
      <c r="G47" s="1438">
        <v>186</v>
      </c>
      <c r="H47" s="1436" t="s">
        <v>1442</v>
      </c>
      <c r="I47" s="1435">
        <v>164</v>
      </c>
      <c r="J47" s="1643" t="s">
        <v>972</v>
      </c>
      <c r="K47" s="1322"/>
      <c r="L47" s="1322"/>
      <c r="M47" s="1322"/>
      <c r="N47" s="106"/>
      <c r="O47" s="1471" t="s">
        <v>937</v>
      </c>
      <c r="P47" s="1472" t="s">
        <v>1443</v>
      </c>
      <c r="Q47" s="1473" t="s">
        <v>1444</v>
      </c>
      <c r="R47" s="1472" t="s">
        <v>1443</v>
      </c>
      <c r="S47" s="1473" t="s">
        <v>1444</v>
      </c>
      <c r="T47" s="1472" t="s">
        <v>1443</v>
      </c>
      <c r="U47" s="1473" t="s">
        <v>1444</v>
      </c>
      <c r="V47" s="1472" t="s">
        <v>1443</v>
      </c>
      <c r="W47" s="1474" t="s">
        <v>1444</v>
      </c>
      <c r="X47" s="1403"/>
      <c r="Y47" s="126"/>
      <c r="Z47" s="126"/>
      <c r="AA47" s="126"/>
      <c r="AB47" s="126"/>
      <c r="AC47" s="126"/>
      <c r="AD47" s="126"/>
      <c r="AE47" s="105"/>
      <c r="AF47" s="105"/>
      <c r="AG47" s="105"/>
      <c r="AH47" s="105"/>
      <c r="AI47" s="126"/>
      <c r="AJ47" s="126"/>
      <c r="AK47" s="126"/>
      <c r="AL47" s="126"/>
      <c r="AM47" s="126"/>
      <c r="AN47" s="105"/>
      <c r="AO47" s="106"/>
      <c r="AP47" s="106"/>
      <c r="AQ47" s="106"/>
      <c r="AR47" s="106"/>
      <c r="AS47" s="106"/>
      <c r="AT47" s="106"/>
      <c r="AU47" s="106"/>
      <c r="AV47" s="106"/>
      <c r="AW47" s="106"/>
      <c r="AX47" s="106"/>
      <c r="AY47" s="105"/>
      <c r="AZ47" s="105"/>
      <c r="BA47" s="105"/>
      <c r="BB47" s="105"/>
      <c r="BC47" s="105"/>
      <c r="BD47" s="105"/>
      <c r="BE47" s="126"/>
      <c r="BF47" s="106"/>
      <c r="BG47" s="106"/>
      <c r="BH47" s="106"/>
      <c r="BI47" s="106"/>
      <c r="BJ47" s="108"/>
      <c r="BK47" s="108"/>
      <c r="BL47" s="106"/>
      <c r="BM47" s="126"/>
      <c r="BN47" s="126"/>
      <c r="BO47" s="126"/>
      <c r="BP47" s="126"/>
      <c r="BQ47" s="126"/>
      <c r="BR47" s="126"/>
      <c r="BS47" s="126"/>
      <c r="BT47" s="126"/>
      <c r="BU47" s="109"/>
      <c r="BV47" s="109"/>
      <c r="BW47" s="126"/>
      <c r="BX47" s="126"/>
      <c r="BY47" s="108"/>
      <c r="BZ47" s="108"/>
      <c r="CA47" s="106"/>
      <c r="CB47" s="105"/>
      <c r="CC47" s="105"/>
      <c r="CD47" s="105"/>
      <c r="CE47" s="105"/>
      <c r="CF47" s="108"/>
      <c r="CG47" s="108"/>
      <c r="CH47" s="108"/>
      <c r="CI47" s="105"/>
      <c r="CJ47" s="105"/>
      <c r="CK47" s="105"/>
      <c r="CL47" s="105"/>
      <c r="CM47" s="105"/>
      <c r="CN47" s="105"/>
      <c r="CO47" s="105"/>
      <c r="CP47" s="105"/>
      <c r="CQ47" s="105"/>
      <c r="CR47" s="105"/>
      <c r="CS47" s="105"/>
      <c r="CT47" s="108"/>
      <c r="CU47" s="108"/>
      <c r="CV47" s="108"/>
      <c r="CW47" s="108"/>
      <c r="CX47" s="108"/>
      <c r="CY47" s="105"/>
      <c r="CZ47" s="105"/>
      <c r="DA47" s="105"/>
      <c r="DB47" s="106"/>
      <c r="DC47" s="105"/>
      <c r="DD47" s="105"/>
      <c r="DE47" s="105"/>
      <c r="DF47" s="105"/>
      <c r="DG47" s="105"/>
      <c r="DH47" s="108"/>
      <c r="DI47" s="105"/>
      <c r="DJ47" s="105"/>
      <c r="DK47" s="105"/>
      <c r="DL47" s="105"/>
      <c r="DM47" s="108"/>
      <c r="DN47" s="126"/>
      <c r="DO47" s="126"/>
      <c r="DP47" s="106"/>
      <c r="DQ47" s="106"/>
      <c r="DR47" s="106"/>
      <c r="DS47" s="106"/>
      <c r="DT47" s="110"/>
      <c r="DW47" s="1324"/>
    </row>
    <row r="48" spans="1:245" s="146" customFormat="1" ht="14.1" customHeight="1">
      <c r="A48" s="39"/>
      <c r="B48" s="39"/>
      <c r="C48" s="52"/>
      <c r="D48" s="126"/>
      <c r="E48" s="1437" t="s">
        <v>1445</v>
      </c>
      <c r="F48" s="1690" t="s">
        <v>972</v>
      </c>
      <c r="G48" s="1438">
        <v>193</v>
      </c>
      <c r="H48" s="1439" t="s">
        <v>1446</v>
      </c>
      <c r="I48" s="1440">
        <v>150</v>
      </c>
      <c r="J48" s="1643" t="s">
        <v>972</v>
      </c>
      <c r="K48" s="1405"/>
      <c r="L48" s="1405"/>
      <c r="M48" s="1405"/>
      <c r="N48" s="1402"/>
      <c r="O48" s="1462" t="s">
        <v>1447</v>
      </c>
      <c r="P48" s="1463">
        <v>57.6</v>
      </c>
      <c r="Q48" s="1464">
        <v>22.5</v>
      </c>
      <c r="R48" s="1463">
        <v>58.7</v>
      </c>
      <c r="S48" s="1464">
        <v>25</v>
      </c>
      <c r="T48" s="1463">
        <v>58.2</v>
      </c>
      <c r="U48" s="1464">
        <v>22.5</v>
      </c>
      <c r="V48" s="1463">
        <v>58.4</v>
      </c>
      <c r="W48" s="1465">
        <v>22.5</v>
      </c>
      <c r="X48" s="1403"/>
      <c r="Y48" s="126"/>
      <c r="Z48" s="106"/>
      <c r="AA48" s="126"/>
      <c r="AB48" s="126"/>
      <c r="AC48" s="126"/>
      <c r="AD48" s="126"/>
      <c r="AE48" s="126"/>
      <c r="AF48" s="126"/>
      <c r="AG48" s="105"/>
      <c r="AH48" s="105"/>
      <c r="AI48" s="105"/>
      <c r="AJ48" s="105"/>
      <c r="AK48" s="105"/>
      <c r="AL48" s="126"/>
      <c r="AM48" s="105"/>
      <c r="AN48" s="106"/>
      <c r="AO48" s="106"/>
      <c r="AP48" s="106"/>
      <c r="AQ48" s="106"/>
      <c r="AR48" s="106"/>
      <c r="AS48" s="106"/>
      <c r="AT48" s="106"/>
      <c r="AU48" s="106"/>
      <c r="AV48" s="105"/>
      <c r="AW48" s="105"/>
      <c r="AX48" s="105"/>
      <c r="AY48" s="105"/>
      <c r="AZ48" s="105"/>
      <c r="BA48" s="126"/>
      <c r="BB48" s="106"/>
      <c r="BC48" s="106"/>
      <c r="BD48" s="106"/>
      <c r="BE48" s="106"/>
      <c r="BF48" s="108"/>
      <c r="BG48" s="108"/>
      <c r="BH48" s="106"/>
      <c r="BI48" s="126"/>
      <c r="BJ48" s="126"/>
      <c r="BK48" s="126"/>
      <c r="BL48" s="126"/>
      <c r="BM48" s="126"/>
      <c r="BN48" s="108"/>
      <c r="BO48" s="108"/>
      <c r="BP48" s="106"/>
      <c r="BQ48" s="105"/>
      <c r="BR48" s="105"/>
      <c r="BS48" s="105"/>
      <c r="BT48" s="105"/>
      <c r="BU48" s="108"/>
      <c r="BV48" s="108"/>
      <c r="BW48" s="108"/>
      <c r="BX48" s="105"/>
      <c r="BY48" s="105"/>
      <c r="BZ48" s="105"/>
      <c r="CA48" s="105"/>
      <c r="CB48" s="105"/>
      <c r="CC48" s="105"/>
      <c r="CD48" s="105"/>
      <c r="CE48" s="105"/>
      <c r="CF48" s="105"/>
      <c r="CG48" s="105"/>
      <c r="CH48" s="105"/>
      <c r="CI48" s="108"/>
      <c r="CJ48" s="105"/>
      <c r="CK48" s="105"/>
      <c r="CL48" s="105"/>
      <c r="CM48" s="106"/>
      <c r="CN48" s="105"/>
      <c r="CO48" s="105"/>
      <c r="CP48" s="105"/>
      <c r="CQ48" s="105"/>
      <c r="CR48" s="105"/>
      <c r="CS48" s="108"/>
      <c r="CT48" s="105"/>
      <c r="CU48" s="105"/>
      <c r="CV48" s="105"/>
      <c r="CW48" s="105"/>
      <c r="CX48" s="108"/>
      <c r="CY48" s="126"/>
      <c r="CZ48" s="126"/>
      <c r="DA48" s="106"/>
      <c r="DB48" s="126"/>
      <c r="DC48" s="126"/>
      <c r="DD48" s="106"/>
      <c r="DE48" s="106"/>
      <c r="DF48" s="67"/>
      <c r="DW48" s="1324"/>
    </row>
    <row r="49" spans="1:115" s="146" customFormat="1" ht="14.1" customHeight="1" thickBot="1">
      <c r="A49" s="39"/>
      <c r="B49" s="39"/>
      <c r="C49" s="52"/>
      <c r="D49" s="103"/>
      <c r="E49" s="1441" t="s">
        <v>1448</v>
      </c>
      <c r="F49" s="1691" t="s">
        <v>972</v>
      </c>
      <c r="G49" s="1442">
        <v>7</v>
      </c>
      <c r="H49" s="1439" t="s">
        <v>1449</v>
      </c>
      <c r="I49" s="1440">
        <v>112</v>
      </c>
      <c r="J49" s="1643" t="s">
        <v>972</v>
      </c>
      <c r="K49" s="1405"/>
      <c r="L49" s="1405"/>
      <c r="M49" s="1405"/>
      <c r="N49" s="1403"/>
      <c r="O49" s="1466" t="s">
        <v>1450</v>
      </c>
      <c r="P49" s="1463">
        <v>44.5</v>
      </c>
      <c r="Q49" s="1464">
        <v>29.9</v>
      </c>
      <c r="R49" s="1463">
        <v>49.8</v>
      </c>
      <c r="S49" s="1464">
        <v>27.6</v>
      </c>
      <c r="T49" s="1463">
        <v>43</v>
      </c>
      <c r="U49" s="1464">
        <v>29.8</v>
      </c>
      <c r="V49" s="1463">
        <v>33.200000000000003</v>
      </c>
      <c r="W49" s="1465">
        <v>56.1</v>
      </c>
      <c r="X49" s="1404"/>
      <c r="Y49" s="103"/>
      <c r="Z49" s="69"/>
      <c r="AA49" s="103"/>
      <c r="AB49" s="103"/>
      <c r="AC49" s="103"/>
      <c r="AD49" s="103"/>
      <c r="AE49" s="103"/>
      <c r="AF49" s="103"/>
      <c r="AG49" s="70"/>
      <c r="AH49" s="70"/>
      <c r="AI49" s="70"/>
      <c r="AJ49" s="70"/>
      <c r="AK49" s="70"/>
      <c r="AL49" s="103"/>
      <c r="AM49" s="70"/>
      <c r="AN49" s="69"/>
      <c r="AO49" s="69"/>
      <c r="AP49" s="69"/>
      <c r="AQ49" s="69"/>
      <c r="AR49" s="69"/>
      <c r="AS49" s="69"/>
      <c r="AT49" s="69"/>
      <c r="AU49" s="69"/>
      <c r="AV49" s="70"/>
      <c r="AW49" s="70"/>
      <c r="AX49" s="70"/>
      <c r="AY49" s="70"/>
      <c r="AZ49" s="70"/>
      <c r="BA49" s="103"/>
      <c r="BB49" s="69"/>
      <c r="BC49" s="69"/>
      <c r="BD49" s="69"/>
      <c r="BE49" s="69"/>
      <c r="BF49" s="71"/>
      <c r="BG49" s="71"/>
      <c r="BH49" s="69"/>
      <c r="BI49" s="103"/>
      <c r="BJ49" s="103"/>
      <c r="BK49" s="103"/>
      <c r="BL49" s="103"/>
      <c r="BM49" s="103"/>
      <c r="BN49" s="71"/>
      <c r="BO49" s="71"/>
      <c r="BP49" s="69"/>
      <c r="BQ49" s="70"/>
      <c r="BR49" s="70"/>
      <c r="BS49" s="70"/>
      <c r="BT49" s="70"/>
      <c r="BU49" s="71"/>
      <c r="BV49" s="71"/>
      <c r="BW49" s="71"/>
      <c r="BX49" s="70"/>
      <c r="BY49" s="70"/>
      <c r="BZ49" s="70"/>
      <c r="CA49" s="70"/>
      <c r="CB49" s="70"/>
      <c r="CC49" s="70"/>
      <c r="CD49" s="70"/>
      <c r="CE49" s="70"/>
      <c r="CF49" s="70"/>
      <c r="CG49" s="70"/>
      <c r="CH49" s="70"/>
      <c r="CI49" s="71"/>
      <c r="CJ49" s="70"/>
      <c r="CK49" s="70"/>
      <c r="CL49" s="70"/>
      <c r="CM49" s="69"/>
      <c r="CN49" s="70"/>
      <c r="CO49" s="70"/>
      <c r="CP49" s="70"/>
      <c r="CQ49" s="70"/>
      <c r="CR49" s="70"/>
      <c r="CS49" s="71"/>
      <c r="CT49" s="70"/>
      <c r="CU49" s="70"/>
      <c r="CV49" s="70"/>
      <c r="CW49" s="70"/>
      <c r="CX49" s="71"/>
      <c r="CY49" s="103"/>
      <c r="CZ49" s="103"/>
      <c r="DA49" s="69"/>
      <c r="DB49" s="103"/>
      <c r="DC49" s="103"/>
      <c r="DD49" s="103"/>
      <c r="DE49" s="103"/>
      <c r="DF49" s="72"/>
    </row>
    <row r="50" spans="1:115" s="146" customFormat="1" ht="14.1" customHeight="1">
      <c r="A50" s="39"/>
      <c r="B50" s="39"/>
      <c r="C50" s="52"/>
      <c r="D50" s="103"/>
      <c r="E50" s="1443"/>
      <c r="F50" s="1444"/>
      <c r="G50" s="1444"/>
      <c r="H50" s="1439" t="s">
        <v>1451</v>
      </c>
      <c r="I50" s="1440">
        <v>140</v>
      </c>
      <c r="J50" s="1643" t="s">
        <v>972</v>
      </c>
      <c r="K50" s="1406"/>
      <c r="L50" s="1406"/>
      <c r="M50" s="1406"/>
      <c r="N50" s="1404"/>
      <c r="O50" s="1466" t="s">
        <v>1452</v>
      </c>
      <c r="P50" s="1463">
        <v>40.200000000000003</v>
      </c>
      <c r="Q50" s="1464">
        <v>34.4</v>
      </c>
      <c r="R50" s="1463">
        <v>49.3</v>
      </c>
      <c r="S50" s="1464">
        <v>35.299999999999997</v>
      </c>
      <c r="T50" s="1463">
        <v>42.6</v>
      </c>
      <c r="U50" s="1464">
        <v>32.700000000000003</v>
      </c>
      <c r="V50" s="1463">
        <v>33.700000000000003</v>
      </c>
      <c r="W50" s="1465">
        <v>45.6</v>
      </c>
      <c r="X50" s="1404"/>
      <c r="Y50" s="103"/>
      <c r="Z50" s="69"/>
      <c r="AA50" s="103"/>
      <c r="AB50" s="103"/>
      <c r="AC50" s="103"/>
      <c r="AD50" s="103"/>
      <c r="AE50" s="103"/>
      <c r="AF50" s="103"/>
      <c r="AG50" s="70"/>
      <c r="AH50" s="70"/>
      <c r="AI50" s="70"/>
      <c r="AJ50" s="70"/>
      <c r="AK50" s="70"/>
      <c r="AL50" s="103"/>
      <c r="AM50" s="70"/>
      <c r="AN50" s="69"/>
      <c r="AO50" s="69"/>
      <c r="AP50" s="69"/>
      <c r="AQ50" s="69"/>
      <c r="AR50" s="69"/>
      <c r="AS50" s="69"/>
      <c r="AT50" s="69"/>
      <c r="AU50" s="69"/>
      <c r="AV50" s="70"/>
      <c r="AW50" s="70"/>
      <c r="AX50" s="70"/>
      <c r="AY50" s="70"/>
      <c r="AZ50" s="70"/>
      <c r="BA50" s="103"/>
      <c r="BB50" s="69"/>
      <c r="BC50" s="69"/>
      <c r="BD50" s="69"/>
      <c r="BE50" s="69"/>
      <c r="BF50" s="71"/>
      <c r="BG50" s="71"/>
      <c r="BH50" s="69"/>
      <c r="BI50" s="103"/>
      <c r="BJ50" s="103"/>
      <c r="BK50" s="103"/>
      <c r="BL50" s="103"/>
      <c r="BM50" s="103"/>
      <c r="BN50" s="71"/>
      <c r="BO50" s="71"/>
      <c r="BP50" s="69"/>
      <c r="BQ50" s="70"/>
      <c r="BR50" s="70"/>
      <c r="BS50" s="70"/>
      <c r="BT50" s="70"/>
      <c r="BU50" s="71"/>
      <c r="BV50" s="71"/>
      <c r="BW50" s="71"/>
      <c r="BX50" s="70"/>
      <c r="BY50" s="70"/>
      <c r="BZ50" s="70"/>
      <c r="CA50" s="70"/>
      <c r="CB50" s="70"/>
      <c r="CC50" s="70"/>
      <c r="CD50" s="70"/>
      <c r="CE50" s="70"/>
      <c r="CF50" s="70"/>
      <c r="CG50" s="70"/>
      <c r="CH50" s="70"/>
      <c r="CI50" s="71"/>
      <c r="CJ50" s="70"/>
      <c r="CK50" s="70"/>
      <c r="CL50" s="70"/>
      <c r="CM50" s="69"/>
      <c r="CN50" s="70"/>
      <c r="CO50" s="70"/>
      <c r="CP50" s="70"/>
      <c r="CQ50" s="70"/>
      <c r="CR50" s="70"/>
      <c r="CS50" s="71"/>
      <c r="CT50" s="70"/>
      <c r="CU50" s="70"/>
      <c r="CV50" s="70"/>
      <c r="CW50" s="70"/>
      <c r="CX50" s="71"/>
      <c r="CY50" s="103"/>
      <c r="CZ50" s="103"/>
      <c r="DA50" s="69"/>
      <c r="DB50" s="103"/>
      <c r="DC50" s="103"/>
      <c r="DD50" s="103"/>
      <c r="DE50" s="103"/>
      <c r="DF50" s="72"/>
    </row>
    <row r="51" spans="1:115" s="146" customFormat="1" ht="14.1" customHeight="1">
      <c r="A51" s="39"/>
      <c r="B51" s="39"/>
      <c r="C51" s="52"/>
      <c r="D51" s="103"/>
      <c r="E51" s="1443"/>
      <c r="F51" s="1444"/>
      <c r="G51" s="1444"/>
      <c r="H51" s="1439" t="s">
        <v>972</v>
      </c>
      <c r="I51" s="1440" t="s">
        <v>972</v>
      </c>
      <c r="J51" s="1643" t="s">
        <v>972</v>
      </c>
      <c r="K51" s="1406"/>
      <c r="L51" s="1406"/>
      <c r="M51" s="1406"/>
      <c r="N51" s="1404"/>
      <c r="O51" s="1467" t="s">
        <v>1453</v>
      </c>
      <c r="P51" s="140">
        <v>55.7</v>
      </c>
      <c r="Q51" s="132">
        <v>15.9</v>
      </c>
      <c r="R51" s="140">
        <v>45</v>
      </c>
      <c r="S51" s="132">
        <v>32.9</v>
      </c>
      <c r="T51" s="140">
        <v>47.3</v>
      </c>
      <c r="U51" s="132">
        <v>25.9</v>
      </c>
      <c r="V51" s="140">
        <v>46.4</v>
      </c>
      <c r="W51" s="1468">
        <v>31.1</v>
      </c>
      <c r="X51" s="1404"/>
      <c r="Y51" s="103"/>
      <c r="Z51" s="69"/>
      <c r="AA51" s="103"/>
      <c r="AB51" s="103"/>
      <c r="AC51" s="103"/>
      <c r="AD51" s="103"/>
      <c r="AE51" s="103"/>
      <c r="AF51" s="103"/>
      <c r="AG51" s="70"/>
      <c r="AH51" s="70"/>
      <c r="AI51" s="70"/>
      <c r="AJ51" s="70"/>
      <c r="AK51" s="70"/>
      <c r="AL51" s="103"/>
      <c r="AM51" s="70"/>
      <c r="AN51" s="69"/>
      <c r="AO51" s="69"/>
      <c r="AP51" s="69"/>
      <c r="AQ51" s="69"/>
      <c r="AR51" s="69"/>
      <c r="AS51" s="69"/>
      <c r="AT51" s="69"/>
      <c r="AU51" s="69"/>
      <c r="AV51" s="70"/>
      <c r="AW51" s="70"/>
      <c r="AX51" s="70"/>
      <c r="AY51" s="70"/>
      <c r="AZ51" s="70"/>
      <c r="BA51" s="103"/>
      <c r="BB51" s="69"/>
      <c r="BC51" s="69"/>
      <c r="BD51" s="69"/>
      <c r="BE51" s="69"/>
      <c r="BF51" s="71"/>
      <c r="BG51" s="71"/>
      <c r="BH51" s="69"/>
      <c r="BI51" s="103"/>
      <c r="BJ51" s="103"/>
      <c r="BK51" s="103"/>
      <c r="BL51" s="103"/>
      <c r="BM51" s="103"/>
      <c r="BN51" s="71"/>
      <c r="BO51" s="71"/>
      <c r="BP51" s="69"/>
      <c r="BQ51" s="70"/>
      <c r="BR51" s="70"/>
      <c r="BS51" s="70"/>
      <c r="BT51" s="70"/>
      <c r="BU51" s="71"/>
      <c r="BV51" s="71"/>
      <c r="BW51" s="71"/>
      <c r="BX51" s="70"/>
      <c r="BY51" s="70"/>
      <c r="BZ51" s="70"/>
      <c r="CA51" s="70"/>
      <c r="CB51" s="70"/>
      <c r="CC51" s="70"/>
      <c r="CD51" s="70"/>
      <c r="CE51" s="70"/>
      <c r="CF51" s="70"/>
      <c r="CG51" s="70"/>
      <c r="CH51" s="70"/>
      <c r="CI51" s="71"/>
      <c r="CJ51" s="70"/>
      <c r="CK51" s="70"/>
      <c r="CL51" s="70"/>
      <c r="CM51" s="69"/>
      <c r="CN51" s="70"/>
      <c r="CO51" s="70"/>
      <c r="CP51" s="70"/>
      <c r="CQ51" s="70"/>
      <c r="CR51" s="70"/>
      <c r="CS51" s="71"/>
      <c r="CT51" s="70"/>
      <c r="CU51" s="70"/>
      <c r="CV51" s="70"/>
      <c r="CW51" s="70"/>
      <c r="CX51" s="71"/>
      <c r="CY51" s="103"/>
      <c r="CZ51" s="103"/>
      <c r="DA51" s="69"/>
      <c r="DB51" s="103"/>
      <c r="DC51" s="103"/>
      <c r="DD51" s="103"/>
      <c r="DE51" s="103"/>
      <c r="DF51" s="72"/>
    </row>
    <row r="52" spans="1:115" s="146" customFormat="1" ht="14.1" customHeight="1" thickBot="1">
      <c r="A52" s="39"/>
      <c r="B52" s="39"/>
      <c r="C52" s="52"/>
      <c r="D52" s="103"/>
      <c r="E52" s="1443"/>
      <c r="F52" s="1444"/>
      <c r="G52" s="1444"/>
      <c r="H52" s="1439" t="s">
        <v>972</v>
      </c>
      <c r="I52" s="1440" t="s">
        <v>972</v>
      </c>
      <c r="J52" s="1643" t="s">
        <v>972</v>
      </c>
      <c r="K52" s="1406"/>
      <c r="L52" s="1406"/>
      <c r="M52" s="1406"/>
      <c r="N52" s="1404"/>
      <c r="O52" s="1467" t="s">
        <v>972</v>
      </c>
      <c r="P52" s="136" t="s">
        <v>972</v>
      </c>
      <c r="Q52" s="135" t="s">
        <v>972</v>
      </c>
      <c r="R52" s="136" t="s">
        <v>972</v>
      </c>
      <c r="S52" s="134" t="s">
        <v>972</v>
      </c>
      <c r="T52" s="136" t="s">
        <v>972</v>
      </c>
      <c r="U52" s="135" t="s">
        <v>972</v>
      </c>
      <c r="V52" s="136" t="s">
        <v>972</v>
      </c>
      <c r="W52" s="1469" t="s">
        <v>972</v>
      </c>
      <c r="X52" s="1404"/>
      <c r="Y52" s="103"/>
      <c r="Z52" s="69"/>
      <c r="AA52" s="103"/>
      <c r="AB52" s="103"/>
      <c r="AC52" s="103"/>
      <c r="AD52" s="103"/>
      <c r="AE52" s="103"/>
      <c r="AF52" s="103"/>
      <c r="AG52" s="70"/>
      <c r="AH52" s="70"/>
      <c r="AI52" s="70"/>
      <c r="AJ52" s="70"/>
      <c r="AK52" s="70"/>
      <c r="AL52" s="103"/>
      <c r="AM52" s="70"/>
      <c r="AN52" s="69"/>
      <c r="AO52" s="69"/>
      <c r="AP52" s="69"/>
      <c r="AQ52" s="69"/>
      <c r="AR52" s="69"/>
      <c r="AS52" s="69"/>
      <c r="AT52" s="69"/>
      <c r="AU52" s="69"/>
      <c r="AV52" s="70"/>
      <c r="AW52" s="70"/>
      <c r="AX52" s="70"/>
      <c r="AY52" s="70"/>
      <c r="AZ52" s="70"/>
      <c r="BA52" s="103"/>
      <c r="BB52" s="69"/>
      <c r="BC52" s="69"/>
      <c r="BD52" s="69"/>
      <c r="BE52" s="69"/>
      <c r="BF52" s="71"/>
      <c r="BG52" s="71"/>
      <c r="BH52" s="69"/>
      <c r="BI52" s="103"/>
      <c r="BJ52" s="103"/>
      <c r="BK52" s="103"/>
      <c r="BL52" s="103"/>
      <c r="BM52" s="103"/>
      <c r="BN52" s="71"/>
      <c r="BO52" s="71"/>
      <c r="BP52" s="69"/>
      <c r="BQ52" s="70"/>
      <c r="BR52" s="70"/>
      <c r="BS52" s="70"/>
      <c r="BT52" s="70"/>
      <c r="BU52" s="71"/>
      <c r="BV52" s="71"/>
      <c r="BW52" s="71"/>
      <c r="BX52" s="70"/>
      <c r="BY52" s="70"/>
      <c r="BZ52" s="70"/>
      <c r="CA52" s="70"/>
      <c r="CB52" s="70"/>
      <c r="CC52" s="70"/>
      <c r="CD52" s="70"/>
      <c r="CE52" s="70"/>
      <c r="CF52" s="70"/>
      <c r="CG52" s="70"/>
      <c r="CH52" s="70"/>
      <c r="CI52" s="71"/>
      <c r="CJ52" s="70"/>
      <c r="CK52" s="70"/>
      <c r="CL52" s="70"/>
      <c r="CM52" s="69"/>
      <c r="CN52" s="70"/>
      <c r="CO52" s="70"/>
      <c r="CP52" s="70"/>
      <c r="CQ52" s="70"/>
      <c r="CR52" s="70"/>
      <c r="CS52" s="71"/>
      <c r="CT52" s="70"/>
      <c r="CU52" s="70"/>
      <c r="CV52" s="70"/>
      <c r="CW52" s="70"/>
      <c r="CX52" s="71"/>
      <c r="CY52" s="103"/>
      <c r="CZ52" s="103"/>
      <c r="DA52" s="69"/>
      <c r="DB52" s="103"/>
      <c r="DC52" s="103"/>
      <c r="DD52" s="103"/>
      <c r="DE52" s="103"/>
      <c r="DF52" s="72"/>
      <c r="DK52" s="21"/>
    </row>
    <row r="53" spans="1:115" s="146" customFormat="1" ht="14.1" customHeight="1" thickBot="1">
      <c r="A53" s="39"/>
      <c r="B53" s="39"/>
      <c r="C53" s="52"/>
      <c r="D53" s="103"/>
      <c r="E53" s="1443"/>
      <c r="F53" s="1444"/>
      <c r="G53" s="1444"/>
      <c r="H53" s="1447"/>
      <c r="I53" s="2887"/>
      <c r="J53" s="2888"/>
      <c r="K53" s="1406"/>
      <c r="L53" s="1406"/>
      <c r="M53" s="1406"/>
      <c r="N53" s="1404"/>
      <c r="O53" s="1467" t="s">
        <v>972</v>
      </c>
      <c r="P53" s="136" t="s">
        <v>972</v>
      </c>
      <c r="Q53" s="135" t="s">
        <v>972</v>
      </c>
      <c r="R53" s="136" t="s">
        <v>972</v>
      </c>
      <c r="S53" s="134" t="s">
        <v>972</v>
      </c>
      <c r="T53" s="136" t="s">
        <v>972</v>
      </c>
      <c r="U53" s="135" t="s">
        <v>972</v>
      </c>
      <c r="V53" s="136" t="s">
        <v>972</v>
      </c>
      <c r="W53" s="1469" t="s">
        <v>972</v>
      </c>
      <c r="X53" s="1404"/>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70"/>
      <c r="AX53" s="70"/>
      <c r="AY53" s="70"/>
      <c r="AZ53" s="70"/>
      <c r="BA53" s="103"/>
      <c r="BB53" s="103"/>
      <c r="BC53" s="103"/>
      <c r="BD53" s="103"/>
      <c r="BE53" s="103"/>
      <c r="BF53" s="103"/>
      <c r="BG53" s="103"/>
      <c r="BH53" s="103"/>
      <c r="BI53" s="103"/>
      <c r="BJ53" s="103"/>
      <c r="BK53" s="103"/>
      <c r="BL53" s="103"/>
      <c r="BM53" s="103"/>
      <c r="BN53" s="71"/>
      <c r="BO53" s="71"/>
      <c r="BP53" s="103"/>
      <c r="BQ53" s="70"/>
      <c r="BR53" s="70"/>
      <c r="BS53" s="70"/>
      <c r="BT53" s="70"/>
      <c r="BU53" s="71"/>
      <c r="BV53" s="71"/>
      <c r="BW53" s="103"/>
      <c r="BX53" s="70"/>
      <c r="BY53" s="70"/>
      <c r="BZ53" s="70"/>
      <c r="CA53" s="70"/>
      <c r="CB53" s="70"/>
      <c r="CC53" s="70"/>
      <c r="CD53" s="70"/>
      <c r="CE53" s="70"/>
      <c r="CF53" s="103"/>
      <c r="CG53" s="70"/>
      <c r="CH53" s="70"/>
      <c r="CI53" s="71"/>
      <c r="CJ53" s="70"/>
      <c r="CK53" s="70"/>
      <c r="CL53" s="70"/>
      <c r="CM53" s="103"/>
      <c r="CN53" s="70"/>
      <c r="CO53" s="70"/>
      <c r="CP53" s="70"/>
      <c r="CQ53" s="70"/>
      <c r="CR53" s="70"/>
      <c r="CS53" s="71"/>
      <c r="CT53" s="103"/>
      <c r="CU53" s="103"/>
      <c r="CV53" s="103"/>
      <c r="CW53" s="103"/>
      <c r="CX53" s="71"/>
      <c r="CY53" s="103"/>
      <c r="CZ53" s="103"/>
      <c r="DA53" s="69"/>
      <c r="DB53" s="103"/>
      <c r="DC53" s="103"/>
      <c r="DD53" s="103"/>
      <c r="DE53" s="103"/>
      <c r="DF53" s="72"/>
    </row>
    <row r="54" spans="1:115" s="146" customFormat="1" ht="14.1" customHeight="1" thickBot="1">
      <c r="A54" s="39"/>
      <c r="B54" s="39"/>
      <c r="C54" s="52"/>
      <c r="D54" s="103"/>
      <c r="E54" s="1443"/>
      <c r="F54" s="1443"/>
      <c r="G54" s="1443"/>
      <c r="H54" s="1445" t="s">
        <v>999</v>
      </c>
      <c r="I54" s="1445" t="s">
        <v>972</v>
      </c>
      <c r="J54" s="1819" t="s">
        <v>972</v>
      </c>
      <c r="K54" s="1404"/>
      <c r="L54" s="1404"/>
      <c r="M54" s="1404"/>
      <c r="N54" s="103"/>
      <c r="O54" s="1467" t="s">
        <v>999</v>
      </c>
      <c r="P54" s="136" t="s">
        <v>972</v>
      </c>
      <c r="Q54" s="135" t="s">
        <v>972</v>
      </c>
      <c r="R54" s="136" t="s">
        <v>972</v>
      </c>
      <c r="S54" s="134" t="s">
        <v>972</v>
      </c>
      <c r="T54" s="136" t="s">
        <v>972</v>
      </c>
      <c r="U54" s="135" t="s">
        <v>972</v>
      </c>
      <c r="V54" s="136" t="s">
        <v>972</v>
      </c>
      <c r="W54" s="1469" t="s">
        <v>972</v>
      </c>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c r="BK54" s="103"/>
      <c r="BL54" s="103"/>
      <c r="BM54" s="103"/>
      <c r="BN54" s="103"/>
      <c r="BO54" s="103"/>
      <c r="BP54" s="103"/>
      <c r="BQ54" s="103"/>
      <c r="BR54" s="103"/>
      <c r="BS54" s="103"/>
      <c r="BT54" s="103"/>
      <c r="BU54" s="103"/>
      <c r="BV54" s="103"/>
      <c r="BW54" s="103"/>
      <c r="BX54" s="103"/>
      <c r="BY54" s="103"/>
      <c r="BZ54" s="103"/>
      <c r="CA54" s="103"/>
      <c r="CB54" s="103"/>
      <c r="CC54" s="103"/>
      <c r="CD54" s="103"/>
      <c r="CE54" s="103"/>
      <c r="CF54" s="103"/>
      <c r="CG54" s="103"/>
      <c r="CH54" s="103"/>
      <c r="CI54" s="103"/>
      <c r="CJ54" s="103"/>
      <c r="CK54" s="103"/>
      <c r="CL54" s="103"/>
      <c r="CM54" s="103"/>
      <c r="CN54" s="103"/>
      <c r="CO54" s="103"/>
      <c r="CP54" s="103"/>
      <c r="CQ54" s="103"/>
      <c r="CR54" s="103"/>
      <c r="CS54" s="103"/>
      <c r="CT54" s="103"/>
      <c r="CU54" s="103"/>
      <c r="CV54" s="103"/>
      <c r="CW54" s="103"/>
      <c r="CX54" s="103"/>
      <c r="CY54" s="103"/>
      <c r="CZ54" s="103"/>
      <c r="DA54" s="103"/>
      <c r="DB54" s="103"/>
      <c r="DC54" s="103"/>
      <c r="DD54" s="103"/>
      <c r="DE54" s="103"/>
      <c r="DF54" s="72"/>
    </row>
    <row r="55" spans="1:115" s="146" customFormat="1" ht="14.1" customHeight="1" thickBot="1">
      <c r="A55" s="39"/>
      <c r="B55" s="39"/>
      <c r="C55" s="52"/>
      <c r="D55" s="126"/>
      <c r="E55" s="1445"/>
      <c r="F55" s="1445"/>
      <c r="G55" s="1443"/>
      <c r="H55" s="1445" t="s">
        <v>999</v>
      </c>
      <c r="I55" s="1445" t="s">
        <v>972</v>
      </c>
      <c r="J55" s="1819" t="s">
        <v>972</v>
      </c>
      <c r="K55" s="1404"/>
      <c r="L55" s="1404"/>
      <c r="M55" s="1404"/>
      <c r="N55" s="103"/>
      <c r="O55" s="1821" t="s">
        <v>972</v>
      </c>
      <c r="P55" s="2899" t="s">
        <v>972</v>
      </c>
      <c r="Q55" s="2900"/>
      <c r="R55" s="2900"/>
      <c r="S55" s="2900"/>
      <c r="T55" s="2900"/>
      <c r="U55" s="2900"/>
      <c r="V55" s="2900"/>
      <c r="W55" s="2901"/>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103"/>
      <c r="BL55" s="103"/>
      <c r="BM55" s="103"/>
      <c r="BN55" s="103"/>
      <c r="BO55" s="103"/>
      <c r="BP55" s="103"/>
      <c r="BQ55" s="103"/>
      <c r="BR55" s="103"/>
      <c r="BS55" s="103"/>
      <c r="BT55" s="103"/>
      <c r="BU55" s="103"/>
      <c r="BV55" s="103"/>
      <c r="BW55" s="103"/>
      <c r="BX55" s="103"/>
      <c r="BY55" s="103"/>
      <c r="BZ55" s="103"/>
      <c r="CA55" s="103"/>
      <c r="CB55" s="103"/>
      <c r="CC55" s="103"/>
      <c r="CD55" s="103"/>
      <c r="CE55" s="103"/>
      <c r="CF55" s="103"/>
      <c r="CG55" s="103"/>
      <c r="CH55" s="103"/>
      <c r="CI55" s="103"/>
      <c r="CJ55" s="103"/>
      <c r="CK55" s="103"/>
      <c r="CL55" s="103"/>
      <c r="CM55" s="103"/>
      <c r="CN55" s="103"/>
      <c r="CO55" s="103"/>
      <c r="CP55" s="103"/>
      <c r="CQ55" s="103"/>
      <c r="CR55" s="103"/>
      <c r="CS55" s="103"/>
      <c r="CT55" s="103"/>
      <c r="CU55" s="103"/>
      <c r="CV55" s="103"/>
      <c r="CW55" s="103"/>
      <c r="CX55" s="103"/>
      <c r="CY55" s="103"/>
      <c r="CZ55" s="103"/>
      <c r="DA55" s="103"/>
      <c r="DB55" s="103"/>
      <c r="DC55" s="103"/>
      <c r="DD55" s="103"/>
      <c r="DE55" s="103"/>
      <c r="DF55" s="72"/>
    </row>
    <row r="56" spans="1:115" s="146" customFormat="1">
      <c r="A56" s="21"/>
      <c r="B56" s="21"/>
      <c r="C56" s="21"/>
      <c r="D56" s="126"/>
      <c r="E56" s="1445"/>
      <c r="F56" s="1445"/>
      <c r="G56" s="1446"/>
      <c r="H56" s="1446"/>
      <c r="I56" s="2884" t="s">
        <v>972</v>
      </c>
      <c r="J56" s="2884"/>
      <c r="K56" s="1322"/>
      <c r="N56" s="1322"/>
      <c r="O56" s="1820"/>
      <c r="P56" s="2885" t="s">
        <v>972</v>
      </c>
      <c r="Q56" s="2885"/>
      <c r="R56" s="2885"/>
      <c r="S56" s="2885"/>
      <c r="T56" s="2885"/>
      <c r="U56" s="2885"/>
      <c r="V56" s="2885"/>
      <c r="W56" s="2885"/>
      <c r="X56" s="1322"/>
    </row>
    <row r="57" spans="1:115">
      <c r="H57" s="1215"/>
      <c r="I57" s="1215"/>
      <c r="J57" s="1215"/>
      <c r="K57" s="1215"/>
      <c r="N57" s="1215"/>
      <c r="O57" s="1460"/>
      <c r="P57" s="1460" t="s">
        <v>972</v>
      </c>
      <c r="Q57" s="1460" t="s">
        <v>972</v>
      </c>
      <c r="R57" s="1460" t="s">
        <v>972</v>
      </c>
      <c r="S57" s="1461" t="s">
        <v>972</v>
      </c>
      <c r="T57" s="1460" t="s">
        <v>972</v>
      </c>
      <c r="U57" s="1460" t="s">
        <v>972</v>
      </c>
      <c r="V57" s="1460" t="s">
        <v>972</v>
      </c>
      <c r="W57" s="1460" t="s">
        <v>972</v>
      </c>
      <c r="X57" s="1215"/>
    </row>
    <row r="58" spans="1:115">
      <c r="N58" s="1215"/>
      <c r="O58" s="1215"/>
      <c r="P58" s="1215"/>
      <c r="Q58" s="1215"/>
      <c r="R58" s="1215"/>
      <c r="S58" s="1215"/>
      <c r="T58" s="1215"/>
      <c r="U58" s="1215"/>
      <c r="V58" s="1215"/>
      <c r="W58" s="1215"/>
      <c r="X58" s="1215"/>
    </row>
  </sheetData>
  <mergeCells count="33">
    <mergeCell ref="I56:J56"/>
    <mergeCell ref="BE43:BF43"/>
    <mergeCell ref="P56:W56"/>
    <mergeCell ref="P45:W45"/>
    <mergeCell ref="I53:J53"/>
    <mergeCell ref="H43:I43"/>
    <mergeCell ref="K43:Y43"/>
    <mergeCell ref="Z43:AD43"/>
    <mergeCell ref="V46:W46"/>
    <mergeCell ref="P46:Q46"/>
    <mergeCell ref="R46:S46"/>
    <mergeCell ref="T46:U46"/>
    <mergeCell ref="BA43:BD43"/>
    <mergeCell ref="AV43:AZ43"/>
    <mergeCell ref="P55:W55"/>
    <mergeCell ref="I4:K4"/>
    <mergeCell ref="DT6:DV7"/>
    <mergeCell ref="H45:J45"/>
    <mergeCell ref="B6:B10"/>
    <mergeCell ref="CT8:CT9"/>
    <mergeCell ref="DI43:DL43"/>
    <mergeCell ref="DO43:DP43"/>
    <mergeCell ref="BR43:BS43"/>
    <mergeCell ref="CF43:CG43"/>
    <mergeCell ref="D43:E43"/>
    <mergeCell ref="F43:G43"/>
    <mergeCell ref="BK43:BL43"/>
    <mergeCell ref="BY43:BZ43"/>
    <mergeCell ref="DW7:DY7"/>
    <mergeCell ref="DW8:DY8"/>
    <mergeCell ref="E45:G45"/>
    <mergeCell ref="CU8:CU9"/>
    <mergeCell ref="AF43:AI43"/>
  </mergeCells>
  <phoneticPr fontId="41" type="noConversion"/>
  <printOptions horizontalCentered="1" verticalCentered="1"/>
  <pageMargins left="0.5" right="0.33333333333333331" top="0.5" bottom="0.45" header="0" footer="0"/>
  <pageSetup scale="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15"/>
  </sheetPr>
  <dimension ref="A1:DL82"/>
  <sheetViews>
    <sheetView showGridLines="0" defaultGridColor="0" view="pageBreakPreview" colorId="59" zoomScale="90" zoomScaleNormal="85" zoomScaleSheetLayoutView="90" workbookViewId="0">
      <pane xSplit="2" ySplit="10" topLeftCell="C11" activePane="bottomRight" state="frozen"/>
      <selection pane="topRight" activeCell="C1" sqref="C1"/>
      <selection pane="bottomLeft" activeCell="A11" sqref="A11"/>
      <selection pane="bottomRight" activeCell="M26" sqref="M26"/>
    </sheetView>
  </sheetViews>
  <sheetFormatPr defaultColWidth="9.6328125" defaultRowHeight="15"/>
  <cols>
    <col min="1" max="1" width="4.6328125" style="146" customWidth="1"/>
    <col min="2" max="2" width="5.6328125" style="146" customWidth="1"/>
    <col min="3" max="3" width="9.6328125" style="146" customWidth="1"/>
    <col min="4" max="6" width="9.6328125" style="146" hidden="1" customWidth="1"/>
    <col min="7" max="15" width="9.6328125" style="146" customWidth="1"/>
    <col min="16" max="16" width="5.6328125" style="146" customWidth="1"/>
    <col min="17" max="29" width="9.6328125" style="146" customWidth="1"/>
    <col min="30" max="30" width="3.90625" style="146" customWidth="1"/>
    <col min="31" max="38" width="9.6328125" style="146" customWidth="1"/>
    <col min="39" max="39" width="3.6328125" style="146" customWidth="1"/>
    <col min="40" max="41" width="7.6328125" style="146" customWidth="1"/>
    <col min="42" max="42" width="11.6328125" style="146" customWidth="1"/>
    <col min="43" max="44" width="9.6328125" style="146" customWidth="1"/>
    <col min="45" max="45" width="12.81640625" style="146" customWidth="1"/>
    <col min="46" max="51" width="9.6328125" style="146" customWidth="1"/>
    <col min="52" max="52" width="11.1796875" style="146" customWidth="1"/>
    <col min="53" max="53" width="4.6328125" style="146" customWidth="1"/>
    <col min="54" max="54" width="6.6328125" style="146" customWidth="1"/>
    <col min="55" max="64" width="11.6328125" style="146" customWidth="1"/>
    <col min="65" max="65" width="8.08984375" style="898" customWidth="1"/>
    <col min="66" max="66" width="6.81640625" style="898" customWidth="1"/>
    <col min="67" max="67" width="11.6328125" style="146" customWidth="1"/>
    <col min="68" max="68" width="7.81640625" style="146" customWidth="1"/>
    <col min="69" max="73" width="8.6328125" style="146" customWidth="1"/>
    <col min="74" max="115" width="5.08984375" style="146" customWidth="1"/>
    <col min="116" max="116" width="12.08984375" style="146" customWidth="1"/>
    <col min="117" max="121" width="5.08984375" style="146" customWidth="1"/>
    <col min="122" max="16384" width="9.6328125" style="146"/>
  </cols>
  <sheetData>
    <row r="1" spans="1:116" ht="3" customHeight="1"/>
    <row r="2" spans="1:116" ht="3" customHeight="1"/>
    <row r="3" spans="1:116" ht="3" customHeight="1"/>
    <row r="4" spans="1:116" ht="18" thickBot="1">
      <c r="C4" s="357" t="s">
        <v>615</v>
      </c>
    </row>
    <row r="5" spans="1:116" ht="17.399999999999999">
      <c r="C5" s="1621">
        <f>+DMREZ!AM5</f>
        <v>42370</v>
      </c>
      <c r="E5" s="897"/>
      <c r="F5" s="1178">
        <f>+DMREZ!I5</f>
        <v>42370</v>
      </c>
      <c r="G5" s="897">
        <f>+DMREZ!J5</f>
        <v>2016</v>
      </c>
      <c r="P5" s="898"/>
      <c r="R5" s="899"/>
      <c r="S5" s="900"/>
      <c r="T5" s="899"/>
      <c r="BC5" s="901" t="s">
        <v>669</v>
      </c>
      <c r="BD5" s="902"/>
      <c r="BE5" s="902"/>
      <c r="BF5" s="902"/>
      <c r="BG5" s="902"/>
      <c r="BH5" s="902"/>
      <c r="BI5" s="903"/>
      <c r="BJ5" s="902"/>
      <c r="BK5" s="903"/>
      <c r="BL5" s="904"/>
    </row>
    <row r="6" spans="1:116" ht="11.1" customHeight="1" thickBot="1">
      <c r="D6" s="898"/>
      <c r="E6" s="898"/>
      <c r="F6" s="898"/>
      <c r="P6" s="898"/>
      <c r="R6" s="899"/>
      <c r="S6" s="900"/>
      <c r="T6" s="899"/>
      <c r="U6" s="899"/>
      <c r="BC6" s="905" t="s">
        <v>670</v>
      </c>
      <c r="BD6" s="906" t="s">
        <v>452</v>
      </c>
      <c r="BE6" s="906" t="s">
        <v>452</v>
      </c>
      <c r="BF6" s="907" t="s">
        <v>423</v>
      </c>
      <c r="BG6" s="907" t="s">
        <v>423</v>
      </c>
      <c r="BH6" s="907" t="s">
        <v>423</v>
      </c>
      <c r="BI6" s="908" t="s">
        <v>423</v>
      </c>
      <c r="BJ6" s="907" t="s">
        <v>423</v>
      </c>
      <c r="BK6" s="908" t="s">
        <v>423</v>
      </c>
      <c r="BL6" s="904"/>
    </row>
    <row r="7" spans="1:116" ht="14.1" customHeight="1">
      <c r="A7" s="110"/>
      <c r="B7" s="909" t="s">
        <v>310</v>
      </c>
      <c r="C7" s="910" t="s">
        <v>616</v>
      </c>
      <c r="D7" s="911" t="s">
        <v>960</v>
      </c>
      <c r="E7" s="911"/>
      <c r="F7" s="912"/>
      <c r="G7" s="910" t="s">
        <v>416</v>
      </c>
      <c r="H7" s="912"/>
      <c r="I7" s="912"/>
      <c r="J7" s="912"/>
      <c r="K7" s="912"/>
      <c r="L7" s="912"/>
      <c r="M7" s="912"/>
      <c r="N7" s="912"/>
      <c r="O7" s="912"/>
      <c r="P7" s="910" t="s">
        <v>982</v>
      </c>
      <c r="Q7" s="912"/>
      <c r="R7" s="912"/>
      <c r="S7" s="911" t="s">
        <v>629</v>
      </c>
      <c r="T7" s="910" t="s">
        <v>631</v>
      </c>
      <c r="U7" s="912"/>
      <c r="V7" s="912"/>
      <c r="W7" s="912"/>
      <c r="X7" s="912"/>
      <c r="Y7" s="911" t="s">
        <v>634</v>
      </c>
      <c r="Z7" s="912"/>
      <c r="AA7" s="911" t="s">
        <v>369</v>
      </c>
      <c r="AB7" s="911" t="s">
        <v>1170</v>
      </c>
      <c r="AC7" s="910" t="s">
        <v>395</v>
      </c>
      <c r="AD7" s="910"/>
      <c r="AE7" s="911" t="s">
        <v>392</v>
      </c>
      <c r="AF7" s="910" t="s">
        <v>638</v>
      </c>
      <c r="AG7" s="912"/>
      <c r="AH7" s="911" t="s">
        <v>641</v>
      </c>
      <c r="AI7" s="911" t="s">
        <v>644</v>
      </c>
      <c r="AJ7" s="911" t="s">
        <v>645</v>
      </c>
      <c r="AK7" s="912"/>
      <c r="AL7" s="910" t="s">
        <v>649</v>
      </c>
      <c r="AM7" s="913"/>
      <c r="AN7" s="910" t="s">
        <v>651</v>
      </c>
      <c r="AO7" s="912"/>
      <c r="AP7" s="910" t="s">
        <v>377</v>
      </c>
      <c r="AQ7" s="911" t="s">
        <v>656</v>
      </c>
      <c r="AR7" s="912"/>
      <c r="AS7" s="1723" t="s">
        <v>542</v>
      </c>
      <c r="AT7" s="1727"/>
      <c r="AU7" s="911" t="s">
        <v>661</v>
      </c>
      <c r="AV7" s="912"/>
      <c r="AW7" s="911" t="s">
        <v>542</v>
      </c>
      <c r="AX7" s="911" t="s">
        <v>665</v>
      </c>
      <c r="AY7" s="912"/>
      <c r="AZ7" s="914" t="s">
        <v>534</v>
      </c>
      <c r="BA7" s="915"/>
      <c r="BC7" s="916" t="s">
        <v>464</v>
      </c>
      <c r="BD7" s="917" t="s">
        <v>464</v>
      </c>
      <c r="BE7" s="917" t="s">
        <v>464</v>
      </c>
      <c r="BF7" s="918" t="s">
        <v>671</v>
      </c>
      <c r="BG7" s="918" t="s">
        <v>672</v>
      </c>
      <c r="BH7" s="918" t="s">
        <v>673</v>
      </c>
      <c r="BI7" s="919" t="s">
        <v>674</v>
      </c>
      <c r="BJ7" s="918" t="s">
        <v>675</v>
      </c>
      <c r="BK7" s="919" t="s">
        <v>676</v>
      </c>
      <c r="BL7" s="904"/>
      <c r="BO7" s="2206">
        <v>1000</v>
      </c>
      <c r="DL7" s="2905" t="s">
        <v>1353</v>
      </c>
    </row>
    <row r="8" spans="1:116" ht="15.6" thickBot="1">
      <c r="A8" s="110"/>
      <c r="B8" s="920" t="s">
        <v>311</v>
      </c>
      <c r="C8" s="921" t="s">
        <v>617</v>
      </c>
      <c r="D8" s="922" t="s">
        <v>345</v>
      </c>
      <c r="E8" s="923"/>
      <c r="F8" s="922" t="s">
        <v>952</v>
      </c>
      <c r="G8" s="924" t="s">
        <v>619</v>
      </c>
      <c r="H8" s="923"/>
      <c r="I8" s="923"/>
      <c r="J8" s="922" t="s">
        <v>620</v>
      </c>
      <c r="K8" s="923"/>
      <c r="L8" s="923"/>
      <c r="M8" s="922" t="s">
        <v>621</v>
      </c>
      <c r="N8" s="923"/>
      <c r="O8" s="923"/>
      <c r="P8" s="924" t="s">
        <v>624</v>
      </c>
      <c r="Q8" s="922" t="s">
        <v>626</v>
      </c>
      <c r="R8" s="922" t="s">
        <v>628</v>
      </c>
      <c r="S8" s="925" t="s">
        <v>630</v>
      </c>
      <c r="T8" s="924" t="s">
        <v>359</v>
      </c>
      <c r="U8" s="922" t="s">
        <v>361</v>
      </c>
      <c r="V8" s="923"/>
      <c r="W8" s="923" t="s">
        <v>363</v>
      </c>
      <c r="X8" s="923"/>
      <c r="Y8" s="922" t="s">
        <v>942</v>
      </c>
      <c r="Z8" s="923" t="s">
        <v>942</v>
      </c>
      <c r="AA8" s="925" t="s">
        <v>635</v>
      </c>
      <c r="AB8" s="925" t="s">
        <v>1171</v>
      </c>
      <c r="AC8" s="921" t="s">
        <v>430</v>
      </c>
      <c r="AD8" s="921"/>
      <c r="AE8" s="925" t="s">
        <v>389</v>
      </c>
      <c r="AF8" s="924" t="s">
        <v>530</v>
      </c>
      <c r="AG8" s="922" t="s">
        <v>639</v>
      </c>
      <c r="AH8" s="925" t="s">
        <v>642</v>
      </c>
      <c r="AI8" s="925" t="s">
        <v>1186</v>
      </c>
      <c r="AJ8" s="925" t="s">
        <v>646</v>
      </c>
      <c r="AK8" s="926"/>
      <c r="AL8" s="921" t="s">
        <v>456</v>
      </c>
      <c r="AM8" s="913"/>
      <c r="AN8" s="924" t="s">
        <v>652</v>
      </c>
      <c r="AO8" s="923" t="s">
        <v>654</v>
      </c>
      <c r="AP8" s="924" t="s">
        <v>390</v>
      </c>
      <c r="AQ8" s="922" t="s">
        <v>657</v>
      </c>
      <c r="AR8" s="922" t="s">
        <v>659</v>
      </c>
      <c r="AS8" s="1724" t="s">
        <v>42</v>
      </c>
      <c r="AT8" s="1728" t="s">
        <v>45</v>
      </c>
      <c r="AU8" s="922" t="s">
        <v>662</v>
      </c>
      <c r="AV8" s="922" t="s">
        <v>664</v>
      </c>
      <c r="AW8" s="925" t="s">
        <v>933</v>
      </c>
      <c r="AX8" s="922" t="s">
        <v>495</v>
      </c>
      <c r="AY8" s="922" t="s">
        <v>494</v>
      </c>
      <c r="AZ8" s="927" t="s">
        <v>667</v>
      </c>
      <c r="BA8" s="928"/>
      <c r="BC8" s="929">
        <v>0.54</v>
      </c>
      <c r="BD8" s="930">
        <v>2.52</v>
      </c>
      <c r="BE8" s="930">
        <v>2.52</v>
      </c>
      <c r="BF8" s="931">
        <v>0.95</v>
      </c>
      <c r="BG8" s="931">
        <v>0.92</v>
      </c>
      <c r="BH8" s="931">
        <v>1.234</v>
      </c>
      <c r="BI8" s="932">
        <v>1.159</v>
      </c>
      <c r="BJ8" s="931">
        <v>1.155</v>
      </c>
      <c r="BK8" s="932">
        <v>1.095</v>
      </c>
      <c r="BL8" s="1538" t="s">
        <v>1338</v>
      </c>
      <c r="BM8" s="2904" t="s">
        <v>1294</v>
      </c>
      <c r="BN8" s="2904"/>
      <c r="BO8" s="2090" t="s">
        <v>1295</v>
      </c>
      <c r="BP8" s="21" t="s">
        <v>1315</v>
      </c>
      <c r="DL8" s="2906"/>
    </row>
    <row r="9" spans="1:116" ht="16.2" thickBot="1">
      <c r="A9" s="110"/>
      <c r="B9" s="920" t="s">
        <v>312</v>
      </c>
      <c r="C9" s="921" t="s">
        <v>431</v>
      </c>
      <c r="D9" s="925" t="s">
        <v>618</v>
      </c>
      <c r="E9" s="925" t="s">
        <v>346</v>
      </c>
      <c r="F9" s="925" t="s">
        <v>942</v>
      </c>
      <c r="G9" s="924" t="s">
        <v>131</v>
      </c>
      <c r="H9" s="922" t="s">
        <v>432</v>
      </c>
      <c r="I9" s="922" t="s">
        <v>256</v>
      </c>
      <c r="J9" s="922" t="s">
        <v>131</v>
      </c>
      <c r="K9" s="922" t="s">
        <v>432</v>
      </c>
      <c r="L9" s="922" t="s">
        <v>256</v>
      </c>
      <c r="M9" s="922" t="s">
        <v>369</v>
      </c>
      <c r="N9" s="922" t="s">
        <v>622</v>
      </c>
      <c r="O9" s="922" t="s">
        <v>623</v>
      </c>
      <c r="P9" s="921" t="s">
        <v>625</v>
      </c>
      <c r="Q9" s="925" t="s">
        <v>627</v>
      </c>
      <c r="R9" s="925" t="s">
        <v>516</v>
      </c>
      <c r="S9" s="925" t="s">
        <v>516</v>
      </c>
      <c r="T9" s="921" t="s">
        <v>952</v>
      </c>
      <c r="U9" s="922" t="s">
        <v>632</v>
      </c>
      <c r="V9" s="922" t="s">
        <v>633</v>
      </c>
      <c r="W9" s="922" t="s">
        <v>632</v>
      </c>
      <c r="X9" s="922" t="s">
        <v>633</v>
      </c>
      <c r="Y9" s="922" t="s">
        <v>361</v>
      </c>
      <c r="Z9" s="922" t="s">
        <v>363</v>
      </c>
      <c r="AA9" s="925" t="s">
        <v>636</v>
      </c>
      <c r="AB9" s="925" t="s">
        <v>460</v>
      </c>
      <c r="AC9" s="924" t="s">
        <v>510</v>
      </c>
      <c r="AD9" s="924"/>
      <c r="AE9" s="925" t="s">
        <v>637</v>
      </c>
      <c r="AF9" s="921" t="s">
        <v>1206</v>
      </c>
      <c r="AG9" s="925" t="s">
        <v>640</v>
      </c>
      <c r="AH9" s="925" t="s">
        <v>643</v>
      </c>
      <c r="AI9" s="925" t="s">
        <v>643</v>
      </c>
      <c r="AJ9" s="922" t="s">
        <v>647</v>
      </c>
      <c r="AK9" s="922" t="s">
        <v>648</v>
      </c>
      <c r="AL9" s="921" t="s">
        <v>650</v>
      </c>
      <c r="AM9" s="913"/>
      <c r="AN9" s="924" t="s">
        <v>653</v>
      </c>
      <c r="AO9" s="922" t="s">
        <v>655</v>
      </c>
      <c r="AP9" s="921" t="s">
        <v>513</v>
      </c>
      <c r="AQ9" s="925" t="s">
        <v>658</v>
      </c>
      <c r="AR9" s="925" t="s">
        <v>660</v>
      </c>
      <c r="AS9" s="1725" t="s">
        <v>460</v>
      </c>
      <c r="AT9" s="1729" t="s">
        <v>46</v>
      </c>
      <c r="AU9" s="925" t="s">
        <v>663</v>
      </c>
      <c r="AV9" s="925" t="s">
        <v>482</v>
      </c>
      <c r="AW9" s="925" t="s">
        <v>940</v>
      </c>
      <c r="AX9" s="925" t="s">
        <v>666</v>
      </c>
      <c r="AY9" s="925" t="s">
        <v>666</v>
      </c>
      <c r="AZ9" s="933" t="s">
        <v>668</v>
      </c>
      <c r="BA9" s="915"/>
      <c r="BC9" s="934"/>
      <c r="BD9" s="930" t="s">
        <v>361</v>
      </c>
      <c r="BE9" s="930" t="s">
        <v>363</v>
      </c>
      <c r="BF9" s="931">
        <v>0.01</v>
      </c>
      <c r="BG9" s="931">
        <v>0.01</v>
      </c>
      <c r="BH9" s="931">
        <v>1.4E-2</v>
      </c>
      <c r="BI9" s="932">
        <v>1.2999999999999999E-2</v>
      </c>
      <c r="BJ9" s="931">
        <v>1.2999999999999999E-2</v>
      </c>
      <c r="BK9" s="932">
        <v>1.2E-2</v>
      </c>
      <c r="BL9" s="1538" t="s">
        <v>1271</v>
      </c>
      <c r="BM9" s="2090" t="s">
        <v>1193</v>
      </c>
      <c r="BN9" s="2090" t="s">
        <v>363</v>
      </c>
      <c r="BO9" s="2090" t="s">
        <v>1293</v>
      </c>
      <c r="BP9" s="2139" t="s">
        <v>1316</v>
      </c>
      <c r="BR9" s="1861"/>
      <c r="BS9" s="2902" t="s">
        <v>1256</v>
      </c>
      <c r="BT9" s="2903"/>
      <c r="BW9" s="1324" t="s">
        <v>1259</v>
      </c>
      <c r="DL9" s="2906"/>
    </row>
    <row r="10" spans="1:116" ht="16.2" thickBot="1">
      <c r="A10" s="935"/>
      <c r="B10" s="936"/>
      <c r="C10" s="937">
        <v>1</v>
      </c>
      <c r="D10" s="938">
        <f t="shared" ref="D10:AI10" si="0">C10+1</f>
        <v>2</v>
      </c>
      <c r="E10" s="938">
        <f t="shared" si="0"/>
        <v>3</v>
      </c>
      <c r="F10" s="938">
        <f t="shared" si="0"/>
        <v>4</v>
      </c>
      <c r="G10" s="937">
        <f t="shared" si="0"/>
        <v>5</v>
      </c>
      <c r="H10" s="938">
        <f t="shared" si="0"/>
        <v>6</v>
      </c>
      <c r="I10" s="938">
        <f t="shared" si="0"/>
        <v>7</v>
      </c>
      <c r="J10" s="938">
        <f t="shared" si="0"/>
        <v>8</v>
      </c>
      <c r="K10" s="938">
        <f t="shared" si="0"/>
        <v>9</v>
      </c>
      <c r="L10" s="938">
        <f t="shared" si="0"/>
        <v>10</v>
      </c>
      <c r="M10" s="938">
        <f t="shared" si="0"/>
        <v>11</v>
      </c>
      <c r="N10" s="938">
        <f t="shared" si="0"/>
        <v>12</v>
      </c>
      <c r="O10" s="938">
        <f t="shared" si="0"/>
        <v>13</v>
      </c>
      <c r="P10" s="937">
        <f t="shared" si="0"/>
        <v>14</v>
      </c>
      <c r="Q10" s="938">
        <f t="shared" si="0"/>
        <v>15</v>
      </c>
      <c r="R10" s="938">
        <f t="shared" si="0"/>
        <v>16</v>
      </c>
      <c r="S10" s="938">
        <f t="shared" si="0"/>
        <v>17</v>
      </c>
      <c r="T10" s="937">
        <f t="shared" si="0"/>
        <v>18</v>
      </c>
      <c r="U10" s="938">
        <f t="shared" si="0"/>
        <v>19</v>
      </c>
      <c r="V10" s="938">
        <f t="shared" si="0"/>
        <v>20</v>
      </c>
      <c r="W10" s="938">
        <f t="shared" si="0"/>
        <v>21</v>
      </c>
      <c r="X10" s="938">
        <f t="shared" si="0"/>
        <v>22</v>
      </c>
      <c r="Y10" s="938">
        <f t="shared" si="0"/>
        <v>23</v>
      </c>
      <c r="Z10" s="938">
        <f t="shared" si="0"/>
        <v>24</v>
      </c>
      <c r="AA10" s="938">
        <f t="shared" si="0"/>
        <v>25</v>
      </c>
      <c r="AB10" s="938">
        <f t="shared" si="0"/>
        <v>26</v>
      </c>
      <c r="AC10" s="937">
        <f t="shared" si="0"/>
        <v>27</v>
      </c>
      <c r="AD10" s="937"/>
      <c r="AE10" s="938">
        <f>AC10+1</f>
        <v>28</v>
      </c>
      <c r="AF10" s="937">
        <f t="shared" si="0"/>
        <v>29</v>
      </c>
      <c r="AG10" s="938">
        <f t="shared" si="0"/>
        <v>30</v>
      </c>
      <c r="AH10" s="938">
        <f t="shared" si="0"/>
        <v>31</v>
      </c>
      <c r="AI10" s="938">
        <f t="shared" si="0"/>
        <v>32</v>
      </c>
      <c r="AJ10" s="938">
        <f>AH10+1</f>
        <v>32</v>
      </c>
      <c r="AK10" s="938">
        <f>AJ10+1</f>
        <v>33</v>
      </c>
      <c r="AL10" s="937">
        <f>AK10+1</f>
        <v>34</v>
      </c>
      <c r="AM10" s="913"/>
      <c r="AN10" s="937">
        <f>AL10+1</f>
        <v>35</v>
      </c>
      <c r="AO10" s="938">
        <f t="shared" ref="AO10:AZ10" si="1">AN10+1</f>
        <v>36</v>
      </c>
      <c r="AP10" s="937">
        <f t="shared" si="1"/>
        <v>37</v>
      </c>
      <c r="AQ10" s="938">
        <f t="shared" si="1"/>
        <v>38</v>
      </c>
      <c r="AR10" s="938">
        <f t="shared" si="1"/>
        <v>39</v>
      </c>
      <c r="AS10" s="1726" t="s">
        <v>43</v>
      </c>
      <c r="AT10" s="1726" t="s">
        <v>44</v>
      </c>
      <c r="AU10" s="938">
        <f>AR10+1</f>
        <v>40</v>
      </c>
      <c r="AV10" s="938">
        <f t="shared" si="1"/>
        <v>41</v>
      </c>
      <c r="AW10" s="938">
        <f t="shared" si="1"/>
        <v>42</v>
      </c>
      <c r="AX10" s="938">
        <f t="shared" si="1"/>
        <v>43</v>
      </c>
      <c r="AY10" s="938">
        <f t="shared" si="1"/>
        <v>44</v>
      </c>
      <c r="AZ10" s="939">
        <f t="shared" si="1"/>
        <v>45</v>
      </c>
      <c r="BA10" s="915"/>
      <c r="BC10" s="905">
        <v>1</v>
      </c>
      <c r="BD10" s="940">
        <f t="shared" ref="BD10:BK10" si="2">BC10+1</f>
        <v>2</v>
      </c>
      <c r="BE10" s="940">
        <f t="shared" si="2"/>
        <v>3</v>
      </c>
      <c r="BF10" s="940">
        <f t="shared" si="2"/>
        <v>4</v>
      </c>
      <c r="BG10" s="940">
        <f t="shared" si="2"/>
        <v>5</v>
      </c>
      <c r="BH10" s="940">
        <f t="shared" si="2"/>
        <v>6</v>
      </c>
      <c r="BI10" s="940">
        <f t="shared" si="2"/>
        <v>7</v>
      </c>
      <c r="BJ10" s="940">
        <f t="shared" si="2"/>
        <v>8</v>
      </c>
      <c r="BK10" s="940">
        <f t="shared" si="2"/>
        <v>9</v>
      </c>
      <c r="BL10" s="904"/>
      <c r="BR10" s="1862" t="s">
        <v>937</v>
      </c>
      <c r="BS10" s="1867" t="s">
        <v>686</v>
      </c>
      <c r="BT10" s="1868" t="s">
        <v>1257</v>
      </c>
      <c r="BV10" s="1875" t="s">
        <v>1258</v>
      </c>
      <c r="BW10" s="1876">
        <v>1</v>
      </c>
      <c r="BX10" s="1875">
        <f>+BW10+1</f>
        <v>2</v>
      </c>
      <c r="BY10" s="1875">
        <f t="shared" ref="BY10:CU10" si="3">+BX10+1</f>
        <v>3</v>
      </c>
      <c r="BZ10" s="1875">
        <f t="shared" si="3"/>
        <v>4</v>
      </c>
      <c r="CA10" s="1875">
        <f t="shared" si="3"/>
        <v>5</v>
      </c>
      <c r="CB10" s="1875">
        <f t="shared" si="3"/>
        <v>6</v>
      </c>
      <c r="CC10" s="1875">
        <f t="shared" si="3"/>
        <v>7</v>
      </c>
      <c r="CD10" s="1875">
        <f t="shared" si="3"/>
        <v>8</v>
      </c>
      <c r="CE10" s="1875">
        <f t="shared" si="3"/>
        <v>9</v>
      </c>
      <c r="CF10" s="1875">
        <f t="shared" si="3"/>
        <v>10</v>
      </c>
      <c r="CG10" s="1875">
        <f t="shared" si="3"/>
        <v>11</v>
      </c>
      <c r="CH10" s="1875">
        <f t="shared" si="3"/>
        <v>12</v>
      </c>
      <c r="CI10" s="1875">
        <f t="shared" si="3"/>
        <v>13</v>
      </c>
      <c r="CJ10" s="1875">
        <f t="shared" si="3"/>
        <v>14</v>
      </c>
      <c r="CK10" s="1875">
        <f t="shared" si="3"/>
        <v>15</v>
      </c>
      <c r="CL10" s="1875">
        <f t="shared" si="3"/>
        <v>16</v>
      </c>
      <c r="CM10" s="1875">
        <f t="shared" si="3"/>
        <v>17</v>
      </c>
      <c r="CN10" s="1875">
        <f t="shared" si="3"/>
        <v>18</v>
      </c>
      <c r="CO10" s="1875">
        <f t="shared" si="3"/>
        <v>19</v>
      </c>
      <c r="CP10" s="1875">
        <f t="shared" si="3"/>
        <v>20</v>
      </c>
      <c r="CQ10" s="1875">
        <f t="shared" si="3"/>
        <v>21</v>
      </c>
      <c r="CR10" s="1875">
        <f t="shared" si="3"/>
        <v>22</v>
      </c>
      <c r="CS10" s="1875">
        <f t="shared" si="3"/>
        <v>23</v>
      </c>
      <c r="CT10" s="1875">
        <f t="shared" si="3"/>
        <v>24</v>
      </c>
      <c r="CU10" s="1875">
        <f t="shared" si="3"/>
        <v>25</v>
      </c>
      <c r="CV10" s="1875">
        <f t="shared" ref="CV10:DJ10" si="4">+CU10+1</f>
        <v>26</v>
      </c>
      <c r="CW10" s="1875">
        <f t="shared" si="4"/>
        <v>27</v>
      </c>
      <c r="CX10" s="1875">
        <f t="shared" si="4"/>
        <v>28</v>
      </c>
      <c r="CY10" s="1875">
        <f t="shared" si="4"/>
        <v>29</v>
      </c>
      <c r="CZ10" s="1875">
        <f t="shared" si="4"/>
        <v>30</v>
      </c>
      <c r="DA10" s="1875">
        <f t="shared" si="4"/>
        <v>31</v>
      </c>
      <c r="DB10" s="1875">
        <f t="shared" si="4"/>
        <v>32</v>
      </c>
      <c r="DC10" s="1875">
        <f t="shared" si="4"/>
        <v>33</v>
      </c>
      <c r="DD10" s="1875">
        <f t="shared" si="4"/>
        <v>34</v>
      </c>
      <c r="DE10" s="1875">
        <f t="shared" si="4"/>
        <v>35</v>
      </c>
      <c r="DF10" s="1875">
        <f t="shared" si="4"/>
        <v>36</v>
      </c>
      <c r="DG10" s="1875">
        <f t="shared" si="4"/>
        <v>37</v>
      </c>
      <c r="DH10" s="1875">
        <f t="shared" si="4"/>
        <v>38</v>
      </c>
      <c r="DI10" s="1875">
        <f t="shared" si="4"/>
        <v>39</v>
      </c>
      <c r="DJ10" s="1875">
        <f t="shared" si="4"/>
        <v>40</v>
      </c>
      <c r="DL10" s="2444">
        <v>46</v>
      </c>
    </row>
    <row r="11" spans="1:116" ht="16.2" thickTop="1">
      <c r="B11" s="941">
        <v>1</v>
      </c>
      <c r="C11" s="942">
        <v>19</v>
      </c>
      <c r="D11" s="943" t="s">
        <v>972</v>
      </c>
      <c r="E11" s="943" t="s">
        <v>972</v>
      </c>
      <c r="F11" s="943">
        <v>0</v>
      </c>
      <c r="G11" s="944">
        <v>6.9</v>
      </c>
      <c r="H11" s="943">
        <v>7.1</v>
      </c>
      <c r="I11" s="943">
        <v>6.7</v>
      </c>
      <c r="J11" s="943">
        <v>6.8</v>
      </c>
      <c r="K11" s="943">
        <v>7.1</v>
      </c>
      <c r="L11" s="943">
        <v>6.7</v>
      </c>
      <c r="M11" s="943">
        <v>6.6</v>
      </c>
      <c r="N11" s="943">
        <v>6.7</v>
      </c>
      <c r="O11" s="943">
        <v>6.5</v>
      </c>
      <c r="P11" s="945" t="s">
        <v>972</v>
      </c>
      <c r="Q11" s="946">
        <v>16</v>
      </c>
      <c r="R11" s="947">
        <v>0.48</v>
      </c>
      <c r="S11" s="948">
        <v>0.45</v>
      </c>
      <c r="T11" s="944">
        <v>4.4800000000000004</v>
      </c>
      <c r="U11" s="943">
        <v>5.7</v>
      </c>
      <c r="V11" s="943">
        <v>6.72</v>
      </c>
      <c r="W11" s="943">
        <v>5.87</v>
      </c>
      <c r="X11" s="943">
        <v>5.68</v>
      </c>
      <c r="Y11" s="949">
        <v>290</v>
      </c>
      <c r="Z11" s="949">
        <v>400</v>
      </c>
      <c r="AA11" s="949">
        <v>330</v>
      </c>
      <c r="AB11" s="943" t="s">
        <v>972</v>
      </c>
      <c r="AC11" s="942">
        <v>104</v>
      </c>
      <c r="AD11" s="1423" t="s">
        <v>972</v>
      </c>
      <c r="AE11" s="2371">
        <v>74.5</v>
      </c>
      <c r="AF11" s="950" t="s">
        <v>972</v>
      </c>
      <c r="AG11" s="951" t="s">
        <v>972</v>
      </c>
      <c r="AH11" s="1615" t="s">
        <v>972</v>
      </c>
      <c r="AI11" s="949" t="s">
        <v>972</v>
      </c>
      <c r="AJ11" s="943">
        <v>147.20000000000002</v>
      </c>
      <c r="AK11" s="943" t="s">
        <v>972</v>
      </c>
      <c r="AL11" s="944">
        <v>93</v>
      </c>
      <c r="AM11" s="952"/>
      <c r="AN11" s="953">
        <v>3</v>
      </c>
      <c r="AO11" s="946">
        <v>51</v>
      </c>
      <c r="AP11" s="950">
        <v>606887</v>
      </c>
      <c r="AQ11" s="954">
        <v>469</v>
      </c>
      <c r="AR11" s="951">
        <v>74692</v>
      </c>
      <c r="AS11" s="951" t="s">
        <v>972</v>
      </c>
      <c r="AT11" s="951"/>
      <c r="AU11" s="2579">
        <v>3</v>
      </c>
      <c r="AV11" s="2580">
        <v>64.55</v>
      </c>
      <c r="AW11" s="1763">
        <v>0</v>
      </c>
      <c r="AX11" s="951" t="s">
        <v>972</v>
      </c>
      <c r="AY11" s="951"/>
      <c r="AZ11" s="955" t="s">
        <v>668</v>
      </c>
      <c r="BA11" s="956"/>
      <c r="BC11" s="972">
        <v>13</v>
      </c>
      <c r="BD11" s="957">
        <v>6</v>
      </c>
      <c r="BE11" s="957">
        <v>3</v>
      </c>
      <c r="BF11" s="957">
        <v>4</v>
      </c>
      <c r="BG11" s="957">
        <v>4</v>
      </c>
      <c r="BH11" s="957">
        <v>2</v>
      </c>
      <c r="BI11" s="957">
        <v>1</v>
      </c>
      <c r="BJ11" s="957">
        <v>4</v>
      </c>
      <c r="BK11" s="957">
        <v>2</v>
      </c>
      <c r="BL11" s="2201">
        <v>61.2</v>
      </c>
      <c r="BM11" s="2091">
        <v>2.306512538904899</v>
      </c>
      <c r="BN11" s="2091">
        <v>8.7921412103746391E-2</v>
      </c>
      <c r="BO11" s="2101">
        <v>58.56</v>
      </c>
      <c r="BP11" s="2091">
        <v>1.74</v>
      </c>
      <c r="BR11" s="1863">
        <v>1</v>
      </c>
      <c r="BS11" s="1859">
        <f>SUM(BW11:DJ11)*100</f>
        <v>1400</v>
      </c>
      <c r="BT11" s="1866">
        <f>COUNT(BW11:DJ11)</f>
        <v>2</v>
      </c>
      <c r="BV11" s="1875">
        <v>1</v>
      </c>
      <c r="BW11" s="1858">
        <v>7</v>
      </c>
      <c r="BX11" s="1858">
        <v>7</v>
      </c>
      <c r="BY11" s="1858"/>
      <c r="BZ11" s="1858"/>
      <c r="CA11" s="1858"/>
      <c r="CB11" s="1858"/>
      <c r="CC11" s="1858"/>
      <c r="CD11" s="1858"/>
      <c r="CE11" s="1858"/>
      <c r="CF11" s="1858"/>
      <c r="CG11" s="1858"/>
      <c r="CH11" s="1858"/>
      <c r="CI11" s="1858"/>
      <c r="CJ11" s="1858"/>
      <c r="CK11" s="1858"/>
      <c r="CL11" s="1858"/>
      <c r="CM11" s="1858"/>
      <c r="CN11" s="1858"/>
      <c r="CO11" s="1858"/>
      <c r="CP11" s="1858"/>
      <c r="CQ11" s="1858"/>
      <c r="CR11" s="1858"/>
      <c r="CS11" s="1858"/>
      <c r="CT11" s="1858"/>
      <c r="CU11" s="1858"/>
      <c r="CV11" s="1858"/>
      <c r="CW11" s="1858"/>
      <c r="CX11" s="1858"/>
      <c r="CY11" s="1858"/>
      <c r="CZ11" s="1858"/>
      <c r="DA11" s="1858"/>
      <c r="DB11" s="1858"/>
      <c r="DC11" s="1858"/>
      <c r="DD11" s="1858"/>
      <c r="DE11" s="1858"/>
      <c r="DF11" s="1858"/>
      <c r="DG11" s="1858"/>
      <c r="DH11" s="1858"/>
      <c r="DI11" s="1858"/>
      <c r="DJ11" s="1858"/>
      <c r="DL11" s="2440">
        <v>5.45</v>
      </c>
    </row>
    <row r="12" spans="1:116" ht="15.6">
      <c r="B12" s="958">
        <f t="shared" ref="B12:B41" si="5">B11+1</f>
        <v>2</v>
      </c>
      <c r="C12" s="959">
        <v>18.600000000000001</v>
      </c>
      <c r="D12" s="960" t="s">
        <v>972</v>
      </c>
      <c r="E12" s="960" t="s">
        <v>972</v>
      </c>
      <c r="F12" s="960">
        <v>0</v>
      </c>
      <c r="G12" s="961">
        <v>6.8</v>
      </c>
      <c r="H12" s="960">
        <v>6.9</v>
      </c>
      <c r="I12" s="960">
        <v>6.7</v>
      </c>
      <c r="J12" s="960">
        <v>6.8</v>
      </c>
      <c r="K12" s="960">
        <v>7</v>
      </c>
      <c r="L12" s="960">
        <v>6.6</v>
      </c>
      <c r="M12" s="960">
        <v>6.7</v>
      </c>
      <c r="N12" s="960">
        <v>6.9</v>
      </c>
      <c r="O12" s="960">
        <v>6.6</v>
      </c>
      <c r="P12" s="962" t="s">
        <v>972</v>
      </c>
      <c r="Q12" s="963">
        <v>1</v>
      </c>
      <c r="R12" s="964">
        <v>0.46</v>
      </c>
      <c r="S12" s="965">
        <v>0.47</v>
      </c>
      <c r="T12" s="961">
        <v>4.1500000000000004</v>
      </c>
      <c r="U12" s="960">
        <v>5.15</v>
      </c>
      <c r="V12" s="960">
        <v>4.7300000000000004</v>
      </c>
      <c r="W12" s="960">
        <v>5.69</v>
      </c>
      <c r="X12" s="960">
        <v>5.37</v>
      </c>
      <c r="Y12" s="966">
        <v>350</v>
      </c>
      <c r="Z12" s="966">
        <v>410</v>
      </c>
      <c r="AA12" s="966">
        <v>370</v>
      </c>
      <c r="AB12" s="960" t="s">
        <v>972</v>
      </c>
      <c r="AC12" s="959">
        <v>101</v>
      </c>
      <c r="AD12" s="1424" t="s">
        <v>1313</v>
      </c>
      <c r="AE12" s="2168">
        <v>68.599999999999994</v>
      </c>
      <c r="AF12" s="967" t="s">
        <v>972</v>
      </c>
      <c r="AG12" s="968" t="s">
        <v>972</v>
      </c>
      <c r="AH12" s="1616" t="s">
        <v>972</v>
      </c>
      <c r="AI12" s="966" t="s">
        <v>972</v>
      </c>
      <c r="AJ12" s="960">
        <v>140.80000000000001</v>
      </c>
      <c r="AK12" s="960" t="s">
        <v>972</v>
      </c>
      <c r="AL12" s="961">
        <v>93.7</v>
      </c>
      <c r="AM12" s="952"/>
      <c r="AN12" s="969">
        <v>2</v>
      </c>
      <c r="AO12" s="963">
        <v>39</v>
      </c>
      <c r="AP12" s="967">
        <v>413361</v>
      </c>
      <c r="AQ12" s="970">
        <v>270</v>
      </c>
      <c r="AR12" s="2464">
        <v>51687</v>
      </c>
      <c r="AS12" s="968" t="s">
        <v>972</v>
      </c>
      <c r="AT12" s="968"/>
      <c r="AU12" s="2581">
        <v>5</v>
      </c>
      <c r="AV12" s="2582">
        <v>115.21</v>
      </c>
      <c r="AW12" s="1764">
        <v>0</v>
      </c>
      <c r="AX12" s="968" t="s">
        <v>972</v>
      </c>
      <c r="AY12" s="968"/>
      <c r="AZ12" s="971" t="s">
        <v>668</v>
      </c>
      <c r="BA12" s="956"/>
      <c r="BC12" s="972">
        <v>13</v>
      </c>
      <c r="BD12" s="973">
        <v>6</v>
      </c>
      <c r="BE12" s="973">
        <v>3</v>
      </c>
      <c r="BF12" s="973">
        <v>4</v>
      </c>
      <c r="BG12" s="973">
        <v>4</v>
      </c>
      <c r="BH12" s="973">
        <v>2</v>
      </c>
      <c r="BI12" s="973">
        <v>1</v>
      </c>
      <c r="BJ12" s="973">
        <v>4</v>
      </c>
      <c r="BK12" s="973">
        <v>2</v>
      </c>
      <c r="BL12" s="2201">
        <v>61.1</v>
      </c>
      <c r="BM12" s="2091">
        <v>2.3086436685878962</v>
      </c>
      <c r="BN12" s="2091">
        <v>8.8177079250720464E-2</v>
      </c>
      <c r="BO12" s="2101">
        <v>58.891919999999999</v>
      </c>
      <c r="BP12" s="2091">
        <v>1.69</v>
      </c>
      <c r="BR12" s="1864">
        <f>+BR11+1</f>
        <v>2</v>
      </c>
      <c r="BS12" s="1859">
        <f t="shared" ref="BS12:BS39" si="6">SUM(BW12:DJ12)*100</f>
        <v>35000</v>
      </c>
      <c r="BT12" s="1866">
        <f t="shared" ref="BT12:BT41" si="7">COUNT(BW12:DJ12)</f>
        <v>14</v>
      </c>
      <c r="BV12" s="1875">
        <f>+BV11+1</f>
        <v>2</v>
      </c>
      <c r="BW12" s="1858">
        <v>30</v>
      </c>
      <c r="BX12" s="1858">
        <v>25</v>
      </c>
      <c r="BY12" s="1858">
        <v>30</v>
      </c>
      <c r="BZ12" s="1858">
        <v>10</v>
      </c>
      <c r="CA12" s="1858">
        <v>30</v>
      </c>
      <c r="CB12" s="1858">
        <v>30</v>
      </c>
      <c r="CC12" s="1858">
        <v>35</v>
      </c>
      <c r="CD12" s="1858">
        <v>30</v>
      </c>
      <c r="CE12" s="1858">
        <v>30</v>
      </c>
      <c r="CF12" s="1858">
        <v>10</v>
      </c>
      <c r="CG12" s="1858">
        <v>35</v>
      </c>
      <c r="CH12" s="1858">
        <v>30</v>
      </c>
      <c r="CI12" s="1858">
        <v>10</v>
      </c>
      <c r="CJ12" s="1858">
        <v>15</v>
      </c>
      <c r="CK12" s="1858"/>
      <c r="CL12" s="1858"/>
      <c r="CM12" s="1858"/>
      <c r="CN12" s="1858"/>
      <c r="CO12" s="1858"/>
      <c r="CP12" s="1858"/>
      <c r="CQ12" s="1858"/>
      <c r="CR12" s="1858"/>
      <c r="CS12" s="1858"/>
      <c r="CT12" s="1858"/>
      <c r="CU12" s="1858"/>
      <c r="CV12" s="1858"/>
      <c r="CW12" s="1858"/>
      <c r="CX12" s="1858"/>
      <c r="CY12" s="1858"/>
      <c r="CZ12" s="1858"/>
      <c r="DA12" s="1858"/>
      <c r="DB12" s="1858"/>
      <c r="DC12" s="1858"/>
      <c r="DD12" s="1858"/>
      <c r="DE12" s="1858"/>
      <c r="DF12" s="1858"/>
      <c r="DG12" s="1858"/>
      <c r="DH12" s="1858"/>
      <c r="DI12" s="1858"/>
      <c r="DJ12" s="1858"/>
      <c r="DL12" s="2441">
        <v>5.43</v>
      </c>
    </row>
    <row r="13" spans="1:116" ht="15.6">
      <c r="B13" s="958">
        <f t="shared" si="5"/>
        <v>3</v>
      </c>
      <c r="C13" s="959">
        <v>18.5</v>
      </c>
      <c r="D13" s="960" t="s">
        <v>972</v>
      </c>
      <c r="E13" s="960" t="s">
        <v>972</v>
      </c>
      <c r="F13" s="960">
        <v>0</v>
      </c>
      <c r="G13" s="961">
        <v>6.8</v>
      </c>
      <c r="H13" s="960">
        <v>6.9</v>
      </c>
      <c r="I13" s="960">
        <v>6.6</v>
      </c>
      <c r="J13" s="960">
        <v>6.8</v>
      </c>
      <c r="K13" s="960">
        <v>7</v>
      </c>
      <c r="L13" s="960">
        <v>6.6</v>
      </c>
      <c r="M13" s="960">
        <v>6.7</v>
      </c>
      <c r="N13" s="960">
        <v>6.8</v>
      </c>
      <c r="O13" s="960">
        <v>6.5</v>
      </c>
      <c r="P13" s="962" t="s">
        <v>972</v>
      </c>
      <c r="Q13" s="963">
        <v>98</v>
      </c>
      <c r="R13" s="964">
        <v>0.54</v>
      </c>
      <c r="S13" s="965">
        <v>0.46</v>
      </c>
      <c r="T13" s="961">
        <v>5.1100000000000003</v>
      </c>
      <c r="U13" s="960">
        <v>4.0599999999999996</v>
      </c>
      <c r="V13" s="960">
        <v>4.74</v>
      </c>
      <c r="W13" s="960">
        <v>4.51</v>
      </c>
      <c r="X13" s="960">
        <v>5.12</v>
      </c>
      <c r="Y13" s="966">
        <v>270</v>
      </c>
      <c r="Z13" s="966">
        <v>400</v>
      </c>
      <c r="AA13" s="966">
        <v>310</v>
      </c>
      <c r="AB13" s="960" t="s">
        <v>972</v>
      </c>
      <c r="AC13" s="959">
        <v>100</v>
      </c>
      <c r="AD13" s="1424" t="s">
        <v>1313</v>
      </c>
      <c r="AE13" s="2168">
        <v>66.400000000000006</v>
      </c>
      <c r="AF13" s="967" t="s">
        <v>972</v>
      </c>
      <c r="AG13" s="968" t="s">
        <v>972</v>
      </c>
      <c r="AH13" s="1616" t="s">
        <v>972</v>
      </c>
      <c r="AI13" s="966" t="s">
        <v>972</v>
      </c>
      <c r="AJ13" s="960">
        <v>134.4</v>
      </c>
      <c r="AK13" s="960" t="s">
        <v>972</v>
      </c>
      <c r="AL13" s="961">
        <v>92.6</v>
      </c>
      <c r="AM13" s="952"/>
      <c r="AN13" s="969">
        <v>4</v>
      </c>
      <c r="AO13" s="963">
        <v>56</v>
      </c>
      <c r="AP13" s="967">
        <v>268537</v>
      </c>
      <c r="AQ13" s="970">
        <v>170</v>
      </c>
      <c r="AR13" s="2464">
        <v>70351</v>
      </c>
      <c r="AS13" s="968" t="s">
        <v>972</v>
      </c>
      <c r="AT13" s="968"/>
      <c r="AU13" s="2581">
        <v>4</v>
      </c>
      <c r="AV13" s="2582">
        <v>91.27000000000001</v>
      </c>
      <c r="AW13" s="1764">
        <v>0</v>
      </c>
      <c r="AX13" s="968" t="s">
        <v>972</v>
      </c>
      <c r="AY13" s="968"/>
      <c r="AZ13" s="971" t="s">
        <v>668</v>
      </c>
      <c r="BA13" s="956"/>
      <c r="BC13" s="972">
        <v>13</v>
      </c>
      <c r="BD13" s="973">
        <v>6</v>
      </c>
      <c r="BE13" s="973">
        <v>3</v>
      </c>
      <c r="BF13" s="973">
        <v>4</v>
      </c>
      <c r="BG13" s="973">
        <v>4</v>
      </c>
      <c r="BH13" s="973">
        <v>2</v>
      </c>
      <c r="BI13" s="973">
        <v>1</v>
      </c>
      <c r="BJ13" s="973">
        <v>4</v>
      </c>
      <c r="BK13" s="973">
        <v>2</v>
      </c>
      <c r="BL13" s="2201">
        <v>61.2</v>
      </c>
      <c r="BM13" s="2091">
        <v>1.7396898602305475</v>
      </c>
      <c r="BN13" s="2091">
        <v>8.9358244956772345E-2</v>
      </c>
      <c r="BO13" s="2101">
        <v>58.459919999999997</v>
      </c>
      <c r="BP13" s="2091">
        <v>1.71</v>
      </c>
      <c r="BR13" s="1864">
        <f t="shared" ref="BR13:BR41" si="8">+BR12+1</f>
        <v>3</v>
      </c>
      <c r="BS13" s="1859">
        <f t="shared" si="6"/>
        <v>3422</v>
      </c>
      <c r="BT13" s="1866">
        <f t="shared" si="7"/>
        <v>7</v>
      </c>
      <c r="BV13" s="1875">
        <f t="shared" ref="BV13:BV41" si="9">+BV12+1</f>
        <v>3</v>
      </c>
      <c r="BW13" s="1858">
        <v>5</v>
      </c>
      <c r="BX13" s="1858">
        <v>10</v>
      </c>
      <c r="BY13" s="1858">
        <v>3</v>
      </c>
      <c r="BZ13" s="1858">
        <v>2.5</v>
      </c>
      <c r="CA13" s="1858">
        <v>5</v>
      </c>
      <c r="CB13" s="1858">
        <v>3.72</v>
      </c>
      <c r="CC13" s="1858">
        <v>5</v>
      </c>
      <c r="CD13" s="1858"/>
      <c r="CE13" s="1858"/>
      <c r="CF13" s="2202"/>
      <c r="CG13" s="2202"/>
      <c r="CH13" s="2202"/>
      <c r="CI13" s="1858"/>
      <c r="CJ13" s="1858"/>
      <c r="CK13" s="1858"/>
      <c r="CL13" s="1858"/>
      <c r="CM13" s="2429"/>
      <c r="CN13" s="1858"/>
      <c r="CO13" s="1858"/>
      <c r="CP13" s="1858"/>
      <c r="CQ13" s="1858"/>
      <c r="CR13" s="1858"/>
      <c r="CS13" s="1858"/>
      <c r="CT13" s="1858"/>
      <c r="CU13" s="1858"/>
      <c r="CV13" s="1858"/>
      <c r="CW13" s="1858"/>
      <c r="CX13" s="1858"/>
      <c r="CY13" s="1858"/>
      <c r="CZ13" s="1858"/>
      <c r="DA13" s="1858"/>
      <c r="DB13" s="1858"/>
      <c r="DC13" s="1858"/>
      <c r="DD13" s="1858"/>
      <c r="DE13" s="1858"/>
      <c r="DF13" s="1858"/>
      <c r="DG13" s="1858"/>
      <c r="DH13" s="1858"/>
      <c r="DI13" s="1858"/>
      <c r="DJ13" s="1858"/>
      <c r="DL13" s="2441">
        <v>5.36</v>
      </c>
    </row>
    <row r="14" spans="1:116" ht="15.6">
      <c r="B14" s="958">
        <f t="shared" si="5"/>
        <v>4</v>
      </c>
      <c r="C14" s="959">
        <v>18.559999999999999</v>
      </c>
      <c r="D14" s="960" t="s">
        <v>972</v>
      </c>
      <c r="E14" s="960" t="s">
        <v>972</v>
      </c>
      <c r="F14" s="960">
        <v>0</v>
      </c>
      <c r="G14" s="961">
        <v>6.7</v>
      </c>
      <c r="H14" s="960">
        <v>6.8</v>
      </c>
      <c r="I14" s="960">
        <v>6.7</v>
      </c>
      <c r="J14" s="960">
        <v>6.8</v>
      </c>
      <c r="K14" s="960">
        <v>7</v>
      </c>
      <c r="L14" s="960">
        <v>6.6</v>
      </c>
      <c r="M14" s="960">
        <v>6.5</v>
      </c>
      <c r="N14" s="960">
        <v>6.7</v>
      </c>
      <c r="O14" s="960">
        <v>6.4</v>
      </c>
      <c r="P14" s="962" t="s">
        <v>972</v>
      </c>
      <c r="Q14" s="963">
        <v>3</v>
      </c>
      <c r="R14" s="964">
        <v>0.42</v>
      </c>
      <c r="S14" s="965">
        <v>0.45</v>
      </c>
      <c r="T14" s="961">
        <v>5.92</v>
      </c>
      <c r="U14" s="960">
        <v>3.99</v>
      </c>
      <c r="V14" s="960">
        <v>4.68</v>
      </c>
      <c r="W14" s="960">
        <v>4.34</v>
      </c>
      <c r="X14" s="960">
        <v>5.33</v>
      </c>
      <c r="Y14" s="966">
        <v>490</v>
      </c>
      <c r="Z14" s="966">
        <v>290</v>
      </c>
      <c r="AA14" s="966">
        <v>420</v>
      </c>
      <c r="AB14" s="960" t="s">
        <v>972</v>
      </c>
      <c r="AC14" s="959">
        <v>98</v>
      </c>
      <c r="AD14" s="1424" t="s">
        <v>1313</v>
      </c>
      <c r="AE14" s="2168">
        <v>63.2</v>
      </c>
      <c r="AF14" s="967" t="s">
        <v>972</v>
      </c>
      <c r="AG14" s="968" t="s">
        <v>972</v>
      </c>
      <c r="AH14" s="1616" t="s">
        <v>972</v>
      </c>
      <c r="AI14" s="966" t="s">
        <v>972</v>
      </c>
      <c r="AJ14" s="960">
        <v>144</v>
      </c>
      <c r="AK14" s="960" t="s">
        <v>972</v>
      </c>
      <c r="AL14" s="961">
        <v>94.9</v>
      </c>
      <c r="AM14" s="952"/>
      <c r="AN14" s="969" t="s">
        <v>1455</v>
      </c>
      <c r="AO14" s="963" t="s">
        <v>1456</v>
      </c>
      <c r="AP14" s="967" t="s">
        <v>972</v>
      </c>
      <c r="AQ14" s="970">
        <v>0</v>
      </c>
      <c r="AR14" s="2464" t="s">
        <v>972</v>
      </c>
      <c r="AS14" s="968" t="s">
        <v>972</v>
      </c>
      <c r="AT14" s="968"/>
      <c r="AU14" s="2581">
        <v>2</v>
      </c>
      <c r="AV14" s="2582">
        <v>41.56</v>
      </c>
      <c r="AW14" s="1764">
        <v>0</v>
      </c>
      <c r="AX14" s="968" t="s">
        <v>972</v>
      </c>
      <c r="AY14" s="968"/>
      <c r="AZ14" s="971" t="s">
        <v>668</v>
      </c>
      <c r="BA14" s="956"/>
      <c r="BC14" s="972">
        <v>13</v>
      </c>
      <c r="BD14" s="973">
        <v>6</v>
      </c>
      <c r="BE14" s="973">
        <v>3</v>
      </c>
      <c r="BF14" s="973">
        <v>4</v>
      </c>
      <c r="BG14" s="973">
        <v>4</v>
      </c>
      <c r="BH14" s="973">
        <v>2</v>
      </c>
      <c r="BI14" s="973">
        <v>1</v>
      </c>
      <c r="BJ14" s="973">
        <v>4</v>
      </c>
      <c r="BK14" s="973">
        <v>2</v>
      </c>
      <c r="BL14" s="2201">
        <v>62.1</v>
      </c>
      <c r="BM14" s="2091">
        <v>2.3087083976945246</v>
      </c>
      <c r="BN14" s="2091">
        <v>8.9365291066282423E-2</v>
      </c>
      <c r="BO14" s="2101">
        <v>59.980080000000001</v>
      </c>
      <c r="BP14" s="2091">
        <v>1.24</v>
      </c>
      <c r="BR14" s="1864">
        <f t="shared" si="8"/>
        <v>4</v>
      </c>
      <c r="BS14" s="1859">
        <f t="shared" si="6"/>
        <v>60800</v>
      </c>
      <c r="BT14" s="1866">
        <f t="shared" si="7"/>
        <v>29</v>
      </c>
      <c r="BV14" s="1875">
        <f t="shared" si="9"/>
        <v>4</v>
      </c>
      <c r="BW14" s="1858">
        <v>35</v>
      </c>
      <c r="BX14" s="1858">
        <v>45</v>
      </c>
      <c r="BY14" s="1858">
        <v>25</v>
      </c>
      <c r="BZ14" s="1858">
        <v>30</v>
      </c>
      <c r="CA14" s="1858">
        <v>35</v>
      </c>
      <c r="CB14" s="1858">
        <v>5</v>
      </c>
      <c r="CC14" s="1858">
        <v>35</v>
      </c>
      <c r="CD14" s="1858">
        <v>6</v>
      </c>
      <c r="CE14" s="1858">
        <v>10</v>
      </c>
      <c r="CF14" s="1858">
        <v>35</v>
      </c>
      <c r="CG14" s="1858">
        <v>5</v>
      </c>
      <c r="CH14" s="1858">
        <v>5</v>
      </c>
      <c r="CI14" s="1858">
        <v>5</v>
      </c>
      <c r="CJ14" s="1858">
        <v>7</v>
      </c>
      <c r="CK14" s="1858">
        <v>9</v>
      </c>
      <c r="CL14" s="1858">
        <v>30</v>
      </c>
      <c r="CM14" s="1858">
        <v>35</v>
      </c>
      <c r="CN14" s="1858">
        <v>45</v>
      </c>
      <c r="CO14" s="1858">
        <v>30</v>
      </c>
      <c r="CP14" s="1858">
        <v>30</v>
      </c>
      <c r="CQ14" s="1858">
        <v>10</v>
      </c>
      <c r="CR14" s="1858">
        <v>45</v>
      </c>
      <c r="CS14" s="1858">
        <v>4</v>
      </c>
      <c r="CT14" s="1858">
        <v>5</v>
      </c>
      <c r="CU14" s="1858">
        <v>5</v>
      </c>
      <c r="CV14" s="1858">
        <v>5</v>
      </c>
      <c r="CW14" s="1858">
        <v>30</v>
      </c>
      <c r="CX14" s="1858">
        <v>7</v>
      </c>
      <c r="CY14" s="1858">
        <v>35</v>
      </c>
      <c r="CZ14" s="1858"/>
      <c r="DA14" s="1858"/>
      <c r="DB14" s="1858"/>
      <c r="DC14" s="1858"/>
      <c r="DD14" s="1858"/>
      <c r="DE14" s="1858"/>
      <c r="DF14" s="1858"/>
      <c r="DG14" s="1858"/>
      <c r="DH14" s="1858"/>
      <c r="DI14" s="1858"/>
      <c r="DJ14" s="1858"/>
      <c r="DL14" s="2441">
        <v>5.85</v>
      </c>
    </row>
    <row r="15" spans="1:116" ht="15.6">
      <c r="B15" s="958">
        <f t="shared" si="5"/>
        <v>5</v>
      </c>
      <c r="C15" s="959">
        <v>18</v>
      </c>
      <c r="D15" s="960" t="s">
        <v>972</v>
      </c>
      <c r="E15" s="960" t="s">
        <v>972</v>
      </c>
      <c r="F15" s="960">
        <v>0</v>
      </c>
      <c r="G15" s="961">
        <v>6.8</v>
      </c>
      <c r="H15" s="960">
        <v>7.1</v>
      </c>
      <c r="I15" s="960">
        <v>6.6</v>
      </c>
      <c r="J15" s="960">
        <v>6.9</v>
      </c>
      <c r="K15" s="960">
        <v>7.1</v>
      </c>
      <c r="L15" s="960">
        <v>6.7</v>
      </c>
      <c r="M15" s="960">
        <v>6.5</v>
      </c>
      <c r="N15" s="960">
        <v>7</v>
      </c>
      <c r="O15" s="960">
        <v>6.3</v>
      </c>
      <c r="P15" s="962" t="s">
        <v>972</v>
      </c>
      <c r="Q15" s="963">
        <v>3</v>
      </c>
      <c r="R15" s="964">
        <v>0.53</v>
      </c>
      <c r="S15" s="965">
        <v>0.49</v>
      </c>
      <c r="T15" s="961">
        <v>5.08</v>
      </c>
      <c r="U15" s="960">
        <v>4.75</v>
      </c>
      <c r="V15" s="960">
        <v>4.42</v>
      </c>
      <c r="W15" s="960">
        <v>4.9400000000000004</v>
      </c>
      <c r="X15" s="960">
        <v>6.98</v>
      </c>
      <c r="Y15" s="966">
        <v>410</v>
      </c>
      <c r="Z15" s="966">
        <v>270</v>
      </c>
      <c r="AA15" s="966">
        <v>360</v>
      </c>
      <c r="AB15" s="960" t="s">
        <v>972</v>
      </c>
      <c r="AC15" s="959">
        <v>100</v>
      </c>
      <c r="AD15" s="1424" t="s">
        <v>1313</v>
      </c>
      <c r="AE15" s="2168">
        <v>40.5</v>
      </c>
      <c r="AF15" s="967" t="s">
        <v>972</v>
      </c>
      <c r="AG15" s="968" t="s">
        <v>972</v>
      </c>
      <c r="AH15" s="1616" t="s">
        <v>972</v>
      </c>
      <c r="AI15" s="966" t="s">
        <v>972</v>
      </c>
      <c r="AJ15" s="960">
        <v>140.80000000000001</v>
      </c>
      <c r="AK15" s="960" t="s">
        <v>972</v>
      </c>
      <c r="AL15" s="961">
        <v>95.7</v>
      </c>
      <c r="AM15" s="952"/>
      <c r="AN15" s="969" t="s">
        <v>972</v>
      </c>
      <c r="AO15" s="963" t="s">
        <v>972</v>
      </c>
      <c r="AP15" s="967" t="s">
        <v>972</v>
      </c>
      <c r="AQ15" s="970">
        <v>0</v>
      </c>
      <c r="AR15" s="2464" t="s">
        <v>972</v>
      </c>
      <c r="AS15" s="968" t="s">
        <v>972</v>
      </c>
      <c r="AT15" s="968"/>
      <c r="AU15" s="2583"/>
      <c r="AV15" s="2583"/>
      <c r="AW15" s="1764">
        <v>0</v>
      </c>
      <c r="AX15" s="968" t="s">
        <v>972</v>
      </c>
      <c r="AY15" s="968">
        <v>101158</v>
      </c>
      <c r="AZ15" s="971" t="s">
        <v>668</v>
      </c>
      <c r="BA15" s="956"/>
      <c r="BC15" s="972">
        <v>14</v>
      </c>
      <c r="BD15" s="973">
        <v>6</v>
      </c>
      <c r="BE15" s="973">
        <v>3</v>
      </c>
      <c r="BF15" s="973">
        <v>4</v>
      </c>
      <c r="BG15" s="973">
        <v>4</v>
      </c>
      <c r="BH15" s="973">
        <v>2</v>
      </c>
      <c r="BI15" s="973">
        <v>1</v>
      </c>
      <c r="BJ15" s="973">
        <v>4</v>
      </c>
      <c r="BK15" s="973">
        <v>2</v>
      </c>
      <c r="BL15" s="2201">
        <v>59.1</v>
      </c>
      <c r="BM15" s="2091">
        <v>1.7858594380403461</v>
      </c>
      <c r="BN15" s="2091">
        <v>5.2310657060518732E-2</v>
      </c>
      <c r="BO15" s="2101">
        <v>59.323920000000001</v>
      </c>
      <c r="BP15" s="2091">
        <v>0.04</v>
      </c>
      <c r="BR15" s="1864">
        <f t="shared" si="8"/>
        <v>5</v>
      </c>
      <c r="BS15" s="1859">
        <f t="shared" si="6"/>
        <v>36000</v>
      </c>
      <c r="BT15" s="1866">
        <f t="shared" si="7"/>
        <v>22</v>
      </c>
      <c r="BV15" s="1875">
        <f t="shared" si="9"/>
        <v>5</v>
      </c>
      <c r="BW15" s="1858">
        <v>25</v>
      </c>
      <c r="BX15" s="1858">
        <v>3</v>
      </c>
      <c r="BY15" s="1858">
        <v>30</v>
      </c>
      <c r="BZ15" s="1858">
        <v>30</v>
      </c>
      <c r="CA15" s="1858">
        <v>30</v>
      </c>
      <c r="CB15" s="1858">
        <v>4</v>
      </c>
      <c r="CC15" s="1858">
        <v>6</v>
      </c>
      <c r="CD15" s="1858">
        <v>5</v>
      </c>
      <c r="CE15" s="1858">
        <v>10</v>
      </c>
      <c r="CF15" s="2203">
        <v>30</v>
      </c>
      <c r="CG15" s="2203">
        <v>35</v>
      </c>
      <c r="CH15" s="2203">
        <v>27</v>
      </c>
      <c r="CI15" s="1858">
        <v>7</v>
      </c>
      <c r="CJ15" s="1858">
        <v>3.5</v>
      </c>
      <c r="CK15" s="1858">
        <v>6</v>
      </c>
      <c r="CL15" s="1858">
        <v>3</v>
      </c>
      <c r="CM15" s="1858">
        <v>5</v>
      </c>
      <c r="CN15" s="1858">
        <v>30</v>
      </c>
      <c r="CO15" s="1858">
        <v>30</v>
      </c>
      <c r="CP15" s="1858">
        <v>3.5</v>
      </c>
      <c r="CQ15" s="1858">
        <v>7</v>
      </c>
      <c r="CR15" s="1858">
        <v>30</v>
      </c>
      <c r="CS15" s="1858"/>
      <c r="CT15" s="1858"/>
      <c r="CU15" s="1858"/>
      <c r="CV15" s="1858"/>
      <c r="CW15" s="1858"/>
      <c r="CX15" s="1858"/>
      <c r="CY15" s="1858"/>
      <c r="CZ15" s="1858"/>
      <c r="DA15" s="1858"/>
      <c r="DB15" s="1858"/>
      <c r="DC15" s="1858"/>
      <c r="DD15" s="1858"/>
      <c r="DE15" s="1858"/>
      <c r="DF15" s="1858"/>
      <c r="DG15" s="1858"/>
      <c r="DH15" s="1858"/>
      <c r="DI15" s="1858"/>
      <c r="DJ15" s="1858"/>
      <c r="DL15" s="2441"/>
    </row>
    <row r="16" spans="1:116" ht="15.6">
      <c r="B16" s="958">
        <f t="shared" si="5"/>
        <v>6</v>
      </c>
      <c r="C16" s="959">
        <v>19</v>
      </c>
      <c r="D16" s="960" t="s">
        <v>972</v>
      </c>
      <c r="E16" s="960" t="s">
        <v>972</v>
      </c>
      <c r="F16" s="960">
        <v>0</v>
      </c>
      <c r="G16" s="961">
        <v>6.8</v>
      </c>
      <c r="H16" s="960">
        <v>7</v>
      </c>
      <c r="I16" s="960">
        <v>6.6</v>
      </c>
      <c r="J16" s="960">
        <v>6.9</v>
      </c>
      <c r="K16" s="960">
        <v>7.2</v>
      </c>
      <c r="L16" s="960">
        <v>6.6</v>
      </c>
      <c r="M16" s="960">
        <v>6.6</v>
      </c>
      <c r="N16" s="960">
        <v>6.7</v>
      </c>
      <c r="O16" s="960">
        <v>6.5</v>
      </c>
      <c r="P16" s="962" t="s">
        <v>972</v>
      </c>
      <c r="Q16" s="963">
        <v>27</v>
      </c>
      <c r="R16" s="964">
        <v>0.34</v>
      </c>
      <c r="S16" s="965">
        <v>0.46</v>
      </c>
      <c r="T16" s="961">
        <v>5.73</v>
      </c>
      <c r="U16" s="960">
        <v>4.92</v>
      </c>
      <c r="V16" s="960">
        <v>5.13</v>
      </c>
      <c r="W16" s="960">
        <v>4.5199999999999996</v>
      </c>
      <c r="X16" s="960">
        <v>4.7300000000000004</v>
      </c>
      <c r="Y16" s="966">
        <v>370</v>
      </c>
      <c r="Z16" s="966">
        <v>310</v>
      </c>
      <c r="AA16" s="966">
        <v>350</v>
      </c>
      <c r="AB16" s="960" t="s">
        <v>972</v>
      </c>
      <c r="AC16" s="959">
        <v>101</v>
      </c>
      <c r="AD16" s="1424" t="s">
        <v>1313</v>
      </c>
      <c r="AE16" s="2168">
        <v>76</v>
      </c>
      <c r="AF16" s="967" t="s">
        <v>972</v>
      </c>
      <c r="AG16" s="968" t="s">
        <v>972</v>
      </c>
      <c r="AH16" s="1616" t="s">
        <v>972</v>
      </c>
      <c r="AI16" s="966" t="s">
        <v>972</v>
      </c>
      <c r="AJ16" s="960">
        <v>134.4</v>
      </c>
      <c r="AK16" s="960" t="s">
        <v>972</v>
      </c>
      <c r="AL16" s="961">
        <v>94.3</v>
      </c>
      <c r="AM16" s="952"/>
      <c r="AN16" s="969" t="s">
        <v>972</v>
      </c>
      <c r="AO16" s="963" t="s">
        <v>972</v>
      </c>
      <c r="AP16" s="967" t="s">
        <v>972</v>
      </c>
      <c r="AQ16" s="970">
        <v>0</v>
      </c>
      <c r="AR16" s="2464" t="s">
        <v>972</v>
      </c>
      <c r="AS16" s="968" t="s">
        <v>972</v>
      </c>
      <c r="AT16" s="968"/>
      <c r="AU16" s="2583"/>
      <c r="AV16" s="2583"/>
      <c r="AW16" s="1764">
        <v>0</v>
      </c>
      <c r="AX16" s="968" t="s">
        <v>972</v>
      </c>
      <c r="AY16" s="968">
        <v>93437</v>
      </c>
      <c r="AZ16" s="971" t="s">
        <v>668</v>
      </c>
      <c r="BA16" s="956"/>
      <c r="BC16" s="972">
        <v>14</v>
      </c>
      <c r="BD16" s="973">
        <v>6</v>
      </c>
      <c r="BE16" s="973">
        <v>3</v>
      </c>
      <c r="BF16" s="973">
        <v>4</v>
      </c>
      <c r="BG16" s="973">
        <v>4</v>
      </c>
      <c r="BH16" s="973">
        <v>2</v>
      </c>
      <c r="BI16" s="973">
        <v>1</v>
      </c>
      <c r="BJ16" s="973">
        <v>4</v>
      </c>
      <c r="BK16" s="973">
        <v>2</v>
      </c>
      <c r="BL16" s="2201">
        <v>63.1</v>
      </c>
      <c r="BM16" s="2091">
        <v>2.3254978141210372</v>
      </c>
      <c r="BN16" s="2091">
        <v>8.9455623919308364E-2</v>
      </c>
      <c r="BO16" s="2101">
        <v>57.988080000000004</v>
      </c>
      <c r="BP16" s="2091">
        <v>0.25</v>
      </c>
      <c r="BR16" s="1864">
        <f t="shared" si="8"/>
        <v>6</v>
      </c>
      <c r="BS16" s="1859">
        <f t="shared" si="6"/>
        <v>53325</v>
      </c>
      <c r="BT16" s="1866">
        <f t="shared" si="7"/>
        <v>26</v>
      </c>
      <c r="BV16" s="1875">
        <f t="shared" si="9"/>
        <v>6</v>
      </c>
      <c r="BW16" s="1858">
        <v>7</v>
      </c>
      <c r="BX16" s="1858">
        <v>30</v>
      </c>
      <c r="BY16" s="1858">
        <v>47</v>
      </c>
      <c r="BZ16" s="1858">
        <v>8</v>
      </c>
      <c r="CA16" s="1858">
        <v>3.75</v>
      </c>
      <c r="CB16" s="1858">
        <v>5</v>
      </c>
      <c r="CC16" s="1858">
        <v>5</v>
      </c>
      <c r="CD16" s="1858">
        <v>45</v>
      </c>
      <c r="CE16" s="1858">
        <v>30</v>
      </c>
      <c r="CF16" s="1858">
        <v>7</v>
      </c>
      <c r="CG16" s="1858">
        <v>27.5</v>
      </c>
      <c r="CH16" s="1858">
        <v>45</v>
      </c>
      <c r="CI16" s="1858">
        <v>3</v>
      </c>
      <c r="CJ16" s="1858">
        <v>7</v>
      </c>
      <c r="CK16" s="1858">
        <v>6</v>
      </c>
      <c r="CL16" s="1858">
        <v>30</v>
      </c>
      <c r="CM16" s="1858">
        <v>30</v>
      </c>
      <c r="CN16" s="1858">
        <v>25</v>
      </c>
      <c r="CO16" s="1858">
        <v>10</v>
      </c>
      <c r="CP16" s="1858">
        <v>30</v>
      </c>
      <c r="CQ16" s="1858">
        <v>28</v>
      </c>
      <c r="CR16" s="1858">
        <v>30</v>
      </c>
      <c r="CS16" s="1858">
        <v>35</v>
      </c>
      <c r="CT16" s="1858">
        <v>30</v>
      </c>
      <c r="CU16" s="1858">
        <v>5</v>
      </c>
      <c r="CV16" s="1858">
        <v>4</v>
      </c>
      <c r="CW16" s="1858"/>
      <c r="CX16" s="1858"/>
      <c r="CY16" s="1858"/>
      <c r="CZ16" s="1858"/>
      <c r="DA16" s="1858"/>
      <c r="DB16" s="1858"/>
      <c r="DC16" s="1858"/>
      <c r="DD16" s="1858"/>
      <c r="DE16" s="1858"/>
      <c r="DF16" s="1858"/>
      <c r="DG16" s="1858"/>
      <c r="DH16" s="1858"/>
      <c r="DI16" s="1858"/>
      <c r="DJ16" s="1858"/>
      <c r="DL16" s="2441"/>
    </row>
    <row r="17" spans="2:116" ht="15.6">
      <c r="B17" s="958">
        <f t="shared" si="5"/>
        <v>7</v>
      </c>
      <c r="C17" s="959">
        <v>19</v>
      </c>
      <c r="D17" s="960" t="s">
        <v>972</v>
      </c>
      <c r="E17" s="960" t="s">
        <v>972</v>
      </c>
      <c r="F17" s="960">
        <v>0</v>
      </c>
      <c r="G17" s="961">
        <v>6.7</v>
      </c>
      <c r="H17" s="960">
        <v>6.8</v>
      </c>
      <c r="I17" s="960">
        <v>6.6</v>
      </c>
      <c r="J17" s="960">
        <v>6.9</v>
      </c>
      <c r="K17" s="960">
        <v>7.4</v>
      </c>
      <c r="L17" s="960">
        <v>6.7</v>
      </c>
      <c r="M17" s="960">
        <v>6.5</v>
      </c>
      <c r="N17" s="960">
        <v>6.6</v>
      </c>
      <c r="O17" s="960">
        <v>6.3</v>
      </c>
      <c r="P17" s="962" t="s">
        <v>972</v>
      </c>
      <c r="Q17" s="963">
        <v>54</v>
      </c>
      <c r="R17" s="964">
        <v>0.34</v>
      </c>
      <c r="S17" s="965">
        <v>0.49</v>
      </c>
      <c r="T17" s="961">
        <v>4.6900000000000004</v>
      </c>
      <c r="U17" s="960">
        <v>4.45</v>
      </c>
      <c r="V17" s="960">
        <v>4.93</v>
      </c>
      <c r="W17" s="960">
        <v>3.63</v>
      </c>
      <c r="X17" s="960">
        <v>3.65</v>
      </c>
      <c r="Y17" s="966">
        <v>340</v>
      </c>
      <c r="Z17" s="966">
        <v>320</v>
      </c>
      <c r="AA17" s="966">
        <v>330</v>
      </c>
      <c r="AB17" s="960" t="s">
        <v>972</v>
      </c>
      <c r="AC17" s="959">
        <v>101</v>
      </c>
      <c r="AD17" s="1424" t="s">
        <v>1313</v>
      </c>
      <c r="AE17" s="2168">
        <v>59.8</v>
      </c>
      <c r="AF17" s="967" t="s">
        <v>972</v>
      </c>
      <c r="AG17" s="968" t="s">
        <v>972</v>
      </c>
      <c r="AH17" s="1616" t="s">
        <v>972</v>
      </c>
      <c r="AI17" s="966" t="s">
        <v>972</v>
      </c>
      <c r="AJ17" s="960">
        <v>128</v>
      </c>
      <c r="AK17" s="960" t="s">
        <v>972</v>
      </c>
      <c r="AL17" s="961">
        <v>93</v>
      </c>
      <c r="AM17" s="952"/>
      <c r="AN17" s="969" t="s">
        <v>972</v>
      </c>
      <c r="AO17" s="963" t="s">
        <v>972</v>
      </c>
      <c r="AP17" s="967" t="s">
        <v>972</v>
      </c>
      <c r="AQ17" s="970">
        <v>0</v>
      </c>
      <c r="AR17" s="2464" t="s">
        <v>972</v>
      </c>
      <c r="AS17" s="968" t="s">
        <v>972</v>
      </c>
      <c r="AT17" s="968"/>
      <c r="AU17" s="2583"/>
      <c r="AV17" s="2583"/>
      <c r="AW17" s="1764">
        <v>0</v>
      </c>
      <c r="AX17" s="968" t="s">
        <v>972</v>
      </c>
      <c r="AY17" s="968"/>
      <c r="AZ17" s="971" t="s">
        <v>668</v>
      </c>
      <c r="BA17" s="956"/>
      <c r="BC17" s="972">
        <v>14</v>
      </c>
      <c r="BD17" s="973">
        <v>6</v>
      </c>
      <c r="BE17" s="973">
        <v>3</v>
      </c>
      <c r="BF17" s="973">
        <v>4</v>
      </c>
      <c r="BG17" s="973">
        <v>4</v>
      </c>
      <c r="BH17" s="973">
        <v>2</v>
      </c>
      <c r="BI17" s="973">
        <v>1</v>
      </c>
      <c r="BJ17" s="973">
        <v>4</v>
      </c>
      <c r="BK17" s="973">
        <v>2</v>
      </c>
      <c r="BL17" s="2201">
        <v>62.6</v>
      </c>
      <c r="BM17" s="2091">
        <v>2.3019486224783861</v>
      </c>
      <c r="BN17" s="2091">
        <v>0.11071693804034581</v>
      </c>
      <c r="BO17" s="2101">
        <v>57.216000000000001</v>
      </c>
      <c r="BP17" s="2091">
        <v>0.24</v>
      </c>
      <c r="BR17" s="1864">
        <f t="shared" si="8"/>
        <v>7</v>
      </c>
      <c r="BS17" s="1859">
        <f t="shared" si="6"/>
        <v>53300</v>
      </c>
      <c r="BT17" s="1866">
        <f t="shared" si="7"/>
        <v>29</v>
      </c>
      <c r="BV17" s="1875">
        <f t="shared" si="9"/>
        <v>7</v>
      </c>
      <c r="BW17" s="1858">
        <v>9</v>
      </c>
      <c r="BX17" s="1858">
        <v>4.5</v>
      </c>
      <c r="BY17" s="1858">
        <v>7</v>
      </c>
      <c r="BZ17" s="1858">
        <v>30</v>
      </c>
      <c r="CA17" s="1858">
        <v>35</v>
      </c>
      <c r="CB17" s="1858">
        <v>8</v>
      </c>
      <c r="CC17" s="1858">
        <v>30</v>
      </c>
      <c r="CD17" s="1858">
        <v>10</v>
      </c>
      <c r="CE17" s="1858">
        <v>6</v>
      </c>
      <c r="CF17" s="1858">
        <v>6</v>
      </c>
      <c r="CG17" s="1858">
        <v>6</v>
      </c>
      <c r="CH17" s="1858">
        <v>30</v>
      </c>
      <c r="CI17" s="1858">
        <v>4.5</v>
      </c>
      <c r="CJ17" s="1858">
        <v>7</v>
      </c>
      <c r="CK17" s="1858">
        <v>34</v>
      </c>
      <c r="CL17" s="1858">
        <v>28</v>
      </c>
      <c r="CM17" s="1858">
        <v>24</v>
      </c>
      <c r="CN17" s="1858">
        <v>35</v>
      </c>
      <c r="CO17" s="1858">
        <v>35</v>
      </c>
      <c r="CP17" s="1858">
        <v>7</v>
      </c>
      <c r="CQ17" s="1858">
        <v>30</v>
      </c>
      <c r="CR17" s="1858">
        <v>6</v>
      </c>
      <c r="CS17" s="1858">
        <v>30</v>
      </c>
      <c r="CT17" s="1858">
        <v>35</v>
      </c>
      <c r="CU17" s="1858">
        <v>30</v>
      </c>
      <c r="CV17" s="1858">
        <v>30</v>
      </c>
      <c r="CW17" s="1858">
        <v>5</v>
      </c>
      <c r="CX17" s="1858">
        <v>6</v>
      </c>
      <c r="CY17" s="1858">
        <v>5</v>
      </c>
      <c r="CZ17" s="1858"/>
      <c r="DA17" s="1858"/>
      <c r="DB17" s="1858"/>
      <c r="DC17" s="1858"/>
      <c r="DD17" s="1858"/>
      <c r="DE17" s="1858"/>
      <c r="DF17" s="1858"/>
      <c r="DG17" s="1858"/>
      <c r="DH17" s="1858"/>
      <c r="DI17" s="1858"/>
      <c r="DJ17" s="1858"/>
      <c r="DL17" s="2441"/>
    </row>
    <row r="18" spans="2:116" ht="15.6">
      <c r="B18" s="958">
        <f t="shared" si="5"/>
        <v>8</v>
      </c>
      <c r="C18" s="959">
        <v>19</v>
      </c>
      <c r="D18" s="960" t="s">
        <v>972</v>
      </c>
      <c r="E18" s="960" t="s">
        <v>972</v>
      </c>
      <c r="F18" s="960">
        <v>0</v>
      </c>
      <c r="G18" s="961">
        <v>6.9</v>
      </c>
      <c r="H18" s="960">
        <v>7.4</v>
      </c>
      <c r="I18" s="960">
        <v>6.7</v>
      </c>
      <c r="J18" s="960">
        <v>7</v>
      </c>
      <c r="K18" s="960">
        <v>7.5</v>
      </c>
      <c r="L18" s="960">
        <v>6.7</v>
      </c>
      <c r="M18" s="960">
        <v>6.6</v>
      </c>
      <c r="N18" s="960">
        <v>6.7</v>
      </c>
      <c r="O18" s="960">
        <v>6.4</v>
      </c>
      <c r="P18" s="962" t="s">
        <v>972</v>
      </c>
      <c r="Q18" s="963">
        <v>36</v>
      </c>
      <c r="R18" s="964">
        <v>0.34</v>
      </c>
      <c r="S18" s="965">
        <v>0.46</v>
      </c>
      <c r="T18" s="961">
        <v>4.55</v>
      </c>
      <c r="U18" s="960">
        <v>4.71</v>
      </c>
      <c r="V18" s="960">
        <v>4.93</v>
      </c>
      <c r="W18" s="960">
        <v>2.2000000000000002</v>
      </c>
      <c r="X18" s="960">
        <v>4.0999999999999996</v>
      </c>
      <c r="Y18" s="966">
        <v>280</v>
      </c>
      <c r="Z18" s="966">
        <v>420</v>
      </c>
      <c r="AA18" s="966">
        <v>330</v>
      </c>
      <c r="AB18" s="960" t="s">
        <v>972</v>
      </c>
      <c r="AC18" s="959">
        <v>102</v>
      </c>
      <c r="AD18" s="1424" t="s">
        <v>1313</v>
      </c>
      <c r="AE18" s="2168">
        <v>57.5</v>
      </c>
      <c r="AF18" s="967" t="s">
        <v>972</v>
      </c>
      <c r="AG18" s="968" t="s">
        <v>972</v>
      </c>
      <c r="AH18" s="1616" t="s">
        <v>972</v>
      </c>
      <c r="AI18" s="966" t="s">
        <v>972</v>
      </c>
      <c r="AJ18" s="960">
        <v>134.4</v>
      </c>
      <c r="AK18" s="960" t="s">
        <v>972</v>
      </c>
      <c r="AL18" s="961">
        <v>93.2</v>
      </c>
      <c r="AM18" s="952"/>
      <c r="AN18" s="969" t="s">
        <v>972</v>
      </c>
      <c r="AO18" s="963" t="s">
        <v>972</v>
      </c>
      <c r="AP18" s="967" t="s">
        <v>972</v>
      </c>
      <c r="AQ18" s="970">
        <v>0</v>
      </c>
      <c r="AR18" s="2464" t="s">
        <v>972</v>
      </c>
      <c r="AS18" s="968" t="s">
        <v>972</v>
      </c>
      <c r="AT18" s="968"/>
      <c r="AU18" s="2581"/>
      <c r="AV18" s="2582"/>
      <c r="AW18" s="1764">
        <v>0</v>
      </c>
      <c r="AX18" s="968" t="s">
        <v>972</v>
      </c>
      <c r="AY18" s="968">
        <v>72000</v>
      </c>
      <c r="AZ18" s="971" t="s">
        <v>668</v>
      </c>
      <c r="BA18" s="956"/>
      <c r="BC18" s="972">
        <v>14</v>
      </c>
      <c r="BD18" s="973">
        <v>6</v>
      </c>
      <c r="BE18" s="973">
        <v>3</v>
      </c>
      <c r="BF18" s="973">
        <v>4</v>
      </c>
      <c r="BG18" s="973">
        <v>4</v>
      </c>
      <c r="BH18" s="973">
        <v>2</v>
      </c>
      <c r="BI18" s="973">
        <v>1</v>
      </c>
      <c r="BJ18" s="973">
        <v>4</v>
      </c>
      <c r="BK18" s="973">
        <v>2</v>
      </c>
      <c r="BL18" s="2201">
        <v>62.7</v>
      </c>
      <c r="BM18" s="2091">
        <v>2.3077561080691642</v>
      </c>
      <c r="BN18" s="2091">
        <v>0.15330153602305477</v>
      </c>
      <c r="BO18" s="2101">
        <v>56.932079999999999</v>
      </c>
      <c r="BP18" s="2091">
        <v>0.1</v>
      </c>
      <c r="BR18" s="1864">
        <f t="shared" si="8"/>
        <v>8</v>
      </c>
      <c r="BS18" s="1859">
        <f t="shared" si="6"/>
        <v>35400</v>
      </c>
      <c r="BT18" s="1866">
        <f t="shared" si="7"/>
        <v>18</v>
      </c>
      <c r="BV18" s="1875">
        <f t="shared" si="9"/>
        <v>8</v>
      </c>
      <c r="BW18" s="1858">
        <v>15</v>
      </c>
      <c r="BX18" s="1858">
        <v>7</v>
      </c>
      <c r="BY18" s="1858">
        <v>30</v>
      </c>
      <c r="BZ18" s="1858">
        <v>6</v>
      </c>
      <c r="CA18" s="1858">
        <v>45</v>
      </c>
      <c r="CB18" s="1858">
        <v>10</v>
      </c>
      <c r="CC18" s="1858">
        <v>10</v>
      </c>
      <c r="CD18" s="1858">
        <v>5</v>
      </c>
      <c r="CE18" s="1858">
        <v>35</v>
      </c>
      <c r="CF18" s="1858">
        <v>35</v>
      </c>
      <c r="CG18" s="1858">
        <v>30</v>
      </c>
      <c r="CH18" s="1858">
        <v>5</v>
      </c>
      <c r="CI18" s="1858">
        <v>30</v>
      </c>
      <c r="CJ18" s="1858">
        <v>15</v>
      </c>
      <c r="CK18" s="1858">
        <v>30</v>
      </c>
      <c r="CL18" s="1858">
        <v>30</v>
      </c>
      <c r="CM18" s="1858">
        <v>13</v>
      </c>
      <c r="CN18" s="1858">
        <v>3</v>
      </c>
      <c r="CO18" s="1858"/>
      <c r="CP18" s="1858"/>
      <c r="CQ18" s="1858"/>
      <c r="CR18" s="1858"/>
      <c r="CS18" s="1858"/>
      <c r="CT18" s="1858"/>
      <c r="CU18" s="1858"/>
      <c r="CV18" s="1858"/>
      <c r="CW18" s="1858"/>
      <c r="CX18" s="1858"/>
      <c r="CY18" s="1858"/>
      <c r="CZ18" s="1858"/>
      <c r="DA18" s="1858"/>
      <c r="DB18" s="1858"/>
      <c r="DC18" s="1858"/>
      <c r="DD18" s="1858"/>
      <c r="DE18" s="1858"/>
      <c r="DF18" s="1858"/>
      <c r="DG18" s="1858"/>
      <c r="DH18" s="1858"/>
      <c r="DI18" s="1858"/>
      <c r="DJ18" s="1858"/>
      <c r="DL18" s="2441"/>
    </row>
    <row r="19" spans="2:116" ht="15.6">
      <c r="B19" s="958">
        <f t="shared" si="5"/>
        <v>9</v>
      </c>
      <c r="C19" s="959">
        <v>19</v>
      </c>
      <c r="D19" s="960" t="s">
        <v>972</v>
      </c>
      <c r="E19" s="960" t="s">
        <v>972</v>
      </c>
      <c r="F19" s="960">
        <v>0</v>
      </c>
      <c r="G19" s="961">
        <v>6.8</v>
      </c>
      <c r="H19" s="960">
        <v>6.9</v>
      </c>
      <c r="I19" s="960">
        <v>6.7</v>
      </c>
      <c r="J19" s="960">
        <v>6.9</v>
      </c>
      <c r="K19" s="960">
        <v>7.3</v>
      </c>
      <c r="L19" s="960">
        <v>6.7</v>
      </c>
      <c r="M19" s="960">
        <v>6.7</v>
      </c>
      <c r="N19" s="960">
        <v>7.1</v>
      </c>
      <c r="O19" s="960">
        <v>6.4</v>
      </c>
      <c r="P19" s="962" t="s">
        <v>972</v>
      </c>
      <c r="Q19" s="963">
        <v>38</v>
      </c>
      <c r="R19" s="964">
        <v>0.42</v>
      </c>
      <c r="S19" s="965">
        <v>0.46</v>
      </c>
      <c r="T19" s="961">
        <v>4.9000000000000004</v>
      </c>
      <c r="U19" s="960">
        <v>5.75</v>
      </c>
      <c r="V19" s="960">
        <v>4.57</v>
      </c>
      <c r="W19" s="960">
        <v>3.9</v>
      </c>
      <c r="X19" s="960">
        <v>3.39</v>
      </c>
      <c r="Y19" s="966">
        <v>200</v>
      </c>
      <c r="Z19" s="966">
        <v>380</v>
      </c>
      <c r="AA19" s="966">
        <v>260</v>
      </c>
      <c r="AB19" s="960" t="s">
        <v>972</v>
      </c>
      <c r="AC19" s="959">
        <v>103</v>
      </c>
      <c r="AD19" s="1424" t="s">
        <v>972</v>
      </c>
      <c r="AE19" s="2168">
        <v>81.3</v>
      </c>
      <c r="AF19" s="967" t="s">
        <v>972</v>
      </c>
      <c r="AG19" s="968" t="s">
        <v>972</v>
      </c>
      <c r="AH19" s="1616" t="s">
        <v>972</v>
      </c>
      <c r="AI19" s="966" t="s">
        <v>972</v>
      </c>
      <c r="AJ19" s="960">
        <v>147.20000000000002</v>
      </c>
      <c r="AK19" s="960" t="s">
        <v>972</v>
      </c>
      <c r="AL19" s="961">
        <v>92.2</v>
      </c>
      <c r="AM19" s="952"/>
      <c r="AN19" s="969" t="s">
        <v>972</v>
      </c>
      <c r="AO19" s="963" t="s">
        <v>972</v>
      </c>
      <c r="AP19" s="967" t="s">
        <v>972</v>
      </c>
      <c r="AQ19" s="970">
        <v>0</v>
      </c>
      <c r="AR19" s="2464" t="s">
        <v>972</v>
      </c>
      <c r="AS19" s="968" t="s">
        <v>972</v>
      </c>
      <c r="AT19" s="968"/>
      <c r="AU19" s="2581"/>
      <c r="AV19" s="2582"/>
      <c r="AW19" s="1764">
        <v>0</v>
      </c>
      <c r="AX19" s="968" t="s">
        <v>972</v>
      </c>
      <c r="AY19" s="968">
        <v>95000</v>
      </c>
      <c r="AZ19" s="971" t="s">
        <v>667</v>
      </c>
      <c r="BA19" s="956"/>
      <c r="BC19" s="972">
        <v>14</v>
      </c>
      <c r="BD19" s="973">
        <v>6</v>
      </c>
      <c r="BE19" s="973">
        <v>3</v>
      </c>
      <c r="BF19" s="973">
        <v>4</v>
      </c>
      <c r="BG19" s="973">
        <v>4</v>
      </c>
      <c r="BH19" s="973">
        <v>2</v>
      </c>
      <c r="BI19" s="973">
        <v>1</v>
      </c>
      <c r="BJ19" s="973">
        <v>4</v>
      </c>
      <c r="BK19" s="973">
        <v>2</v>
      </c>
      <c r="BL19" s="2201">
        <v>62.8</v>
      </c>
      <c r="BM19" s="2091">
        <v>2.3092552521613832</v>
      </c>
      <c r="BN19" s="2091">
        <v>0.15388669020172913</v>
      </c>
      <c r="BO19" s="2101">
        <v>56.372160000000001</v>
      </c>
      <c r="BP19" s="2091">
        <v>0.24</v>
      </c>
      <c r="BR19" s="1864">
        <f t="shared" si="8"/>
        <v>9</v>
      </c>
      <c r="BS19" s="1859">
        <f t="shared" si="6"/>
        <v>18600</v>
      </c>
      <c r="BT19" s="1866">
        <f t="shared" si="7"/>
        <v>10</v>
      </c>
      <c r="BV19" s="1875">
        <f t="shared" si="9"/>
        <v>9</v>
      </c>
      <c r="BW19" s="1858">
        <v>30</v>
      </c>
      <c r="BX19" s="1858">
        <v>30</v>
      </c>
      <c r="BY19" s="1858">
        <v>10</v>
      </c>
      <c r="BZ19" s="1858">
        <v>15</v>
      </c>
      <c r="CA19" s="1858">
        <v>11</v>
      </c>
      <c r="CB19" s="1858">
        <v>35</v>
      </c>
      <c r="CC19" s="1858">
        <v>20</v>
      </c>
      <c r="CD19" s="1858">
        <v>15</v>
      </c>
      <c r="CE19" s="1858">
        <v>10</v>
      </c>
      <c r="CF19" s="1858">
        <v>10</v>
      </c>
      <c r="CG19" s="1858"/>
      <c r="CH19" s="1858"/>
      <c r="CI19" s="1858"/>
      <c r="CJ19" s="1858"/>
      <c r="CK19" s="1858"/>
      <c r="CL19" s="1858"/>
      <c r="CM19" s="1858"/>
      <c r="CN19" s="1858"/>
      <c r="CO19" s="1858"/>
      <c r="CP19" s="1858"/>
      <c r="CQ19" s="1858"/>
      <c r="CR19" s="1858"/>
      <c r="CS19" s="1858"/>
      <c r="CT19" s="1858"/>
      <c r="CU19" s="1858"/>
      <c r="CV19" s="1858"/>
      <c r="CW19" s="1858"/>
      <c r="CX19" s="1858"/>
      <c r="CY19" s="1858"/>
      <c r="CZ19" s="1858"/>
      <c r="DA19" s="1858"/>
      <c r="DB19" s="1858"/>
      <c r="DC19" s="1858"/>
      <c r="DD19" s="1858"/>
      <c r="DE19" s="1858"/>
      <c r="DF19" s="1858"/>
      <c r="DG19" s="1858"/>
      <c r="DH19" s="1858"/>
      <c r="DI19" s="1858"/>
      <c r="DJ19" s="1858"/>
      <c r="DL19" s="2441"/>
    </row>
    <row r="20" spans="2:116" ht="15.6">
      <c r="B20" s="958">
        <f t="shared" si="5"/>
        <v>10</v>
      </c>
      <c r="C20" s="959">
        <v>19</v>
      </c>
      <c r="D20" s="960" t="s">
        <v>972</v>
      </c>
      <c r="E20" s="960" t="s">
        <v>972</v>
      </c>
      <c r="F20" s="960">
        <v>0</v>
      </c>
      <c r="G20" s="961">
        <v>6.6</v>
      </c>
      <c r="H20" s="960">
        <v>6.8</v>
      </c>
      <c r="I20" s="960">
        <v>6.4</v>
      </c>
      <c r="J20" s="960">
        <v>6.7</v>
      </c>
      <c r="K20" s="960">
        <v>6.8</v>
      </c>
      <c r="L20" s="960">
        <v>6.3</v>
      </c>
      <c r="M20" s="960">
        <v>6.5</v>
      </c>
      <c r="N20" s="960">
        <v>6.7</v>
      </c>
      <c r="O20" s="960">
        <v>6.3</v>
      </c>
      <c r="P20" s="962" t="s">
        <v>972</v>
      </c>
      <c r="Q20" s="963">
        <v>232</v>
      </c>
      <c r="R20" s="964">
        <v>0.55000000000000004</v>
      </c>
      <c r="S20" s="965">
        <v>0.46</v>
      </c>
      <c r="T20" s="961">
        <v>4.09</v>
      </c>
      <c r="U20" s="960">
        <v>3.19</v>
      </c>
      <c r="V20" s="960">
        <v>7.39</v>
      </c>
      <c r="W20" s="960">
        <v>3.43</v>
      </c>
      <c r="X20" s="960">
        <v>7.03</v>
      </c>
      <c r="Y20" s="966">
        <v>150</v>
      </c>
      <c r="Z20" s="966">
        <v>240</v>
      </c>
      <c r="AA20" s="966">
        <v>180</v>
      </c>
      <c r="AB20" s="960" t="s">
        <v>972</v>
      </c>
      <c r="AC20" s="959">
        <v>102</v>
      </c>
      <c r="AD20" s="1424" t="s">
        <v>1313</v>
      </c>
      <c r="AE20" s="2168">
        <v>65.599999999999994</v>
      </c>
      <c r="AF20" s="967" t="s">
        <v>972</v>
      </c>
      <c r="AG20" s="968" t="s">
        <v>972</v>
      </c>
      <c r="AH20" s="1616" t="s">
        <v>972</v>
      </c>
      <c r="AI20" s="966" t="s">
        <v>972</v>
      </c>
      <c r="AJ20" s="960">
        <v>140.80000000000001</v>
      </c>
      <c r="AK20" s="960" t="s">
        <v>972</v>
      </c>
      <c r="AL20" s="961">
        <v>87.5</v>
      </c>
      <c r="AM20" s="952"/>
      <c r="AN20" s="969" t="s">
        <v>972</v>
      </c>
      <c r="AO20" s="963" t="s">
        <v>972</v>
      </c>
      <c r="AP20" s="967" t="s">
        <v>972</v>
      </c>
      <c r="AQ20" s="970">
        <v>0</v>
      </c>
      <c r="AR20" s="2464" t="s">
        <v>972</v>
      </c>
      <c r="AS20" s="968" t="s">
        <v>972</v>
      </c>
      <c r="AT20" s="968"/>
      <c r="AU20" s="2581"/>
      <c r="AV20" s="2582"/>
      <c r="AW20" s="1764">
        <v>0</v>
      </c>
      <c r="AX20" s="968" t="s">
        <v>972</v>
      </c>
      <c r="AY20" s="968"/>
      <c r="AZ20" s="971" t="s">
        <v>667</v>
      </c>
      <c r="BA20" s="956"/>
      <c r="BC20" s="972">
        <v>14</v>
      </c>
      <c r="BD20" s="973">
        <v>6</v>
      </c>
      <c r="BE20" s="973">
        <v>3</v>
      </c>
      <c r="BF20" s="973">
        <v>4</v>
      </c>
      <c r="BG20" s="973">
        <v>4</v>
      </c>
      <c r="BH20" s="973">
        <v>2</v>
      </c>
      <c r="BI20" s="973">
        <v>1</v>
      </c>
      <c r="BJ20" s="973">
        <v>4</v>
      </c>
      <c r="BK20" s="973">
        <v>2</v>
      </c>
      <c r="BL20" s="2201">
        <v>62.5</v>
      </c>
      <c r="BM20" s="2091">
        <v>2.3068685475504322</v>
      </c>
      <c r="BN20" s="2091">
        <v>0.15389559510086456</v>
      </c>
      <c r="BO20" s="2101">
        <v>54.680160000000001</v>
      </c>
      <c r="BP20" s="2091">
        <v>0.24</v>
      </c>
      <c r="BR20" s="1864">
        <f t="shared" si="8"/>
        <v>10</v>
      </c>
      <c r="BS20" s="1859">
        <f t="shared" si="6"/>
        <v>12200</v>
      </c>
      <c r="BT20" s="1866">
        <f t="shared" si="7"/>
        <v>11</v>
      </c>
      <c r="BV20" s="1875">
        <f t="shared" si="9"/>
        <v>10</v>
      </c>
      <c r="BW20" s="1858">
        <v>2.5</v>
      </c>
      <c r="BX20" s="1858">
        <v>4</v>
      </c>
      <c r="BY20" s="1858">
        <v>7</v>
      </c>
      <c r="BZ20" s="1858">
        <v>35</v>
      </c>
      <c r="CA20" s="1858">
        <v>10</v>
      </c>
      <c r="CB20" s="1858">
        <v>35</v>
      </c>
      <c r="CC20" s="1858">
        <v>8</v>
      </c>
      <c r="CD20" s="1858">
        <v>7</v>
      </c>
      <c r="CE20" s="1858">
        <v>3.5</v>
      </c>
      <c r="CF20" s="1858">
        <v>6</v>
      </c>
      <c r="CG20" s="1858">
        <v>4</v>
      </c>
      <c r="CH20" s="1858"/>
      <c r="CI20" s="1858"/>
      <c r="CJ20" s="1858"/>
      <c r="CK20" s="1858"/>
      <c r="CL20" s="1858"/>
      <c r="CM20" s="2202"/>
      <c r="CN20" s="1858"/>
      <c r="CO20" s="1858"/>
      <c r="CP20" s="1858"/>
      <c r="CQ20" s="1858"/>
      <c r="CR20" s="1858"/>
      <c r="CS20" s="1858"/>
      <c r="CT20" s="1858"/>
      <c r="CU20" s="1858"/>
      <c r="CV20" s="1858"/>
      <c r="CW20" s="1858"/>
      <c r="CX20" s="1858"/>
      <c r="CY20" s="1858"/>
      <c r="CZ20" s="1858"/>
      <c r="DA20" s="1858"/>
      <c r="DB20" s="1858"/>
      <c r="DC20" s="1858"/>
      <c r="DD20" s="1858"/>
      <c r="DE20" s="1858"/>
      <c r="DF20" s="1858"/>
      <c r="DG20" s="1858"/>
      <c r="DH20" s="1858"/>
      <c r="DI20" s="1858"/>
      <c r="DJ20" s="1858"/>
      <c r="DK20" s="2429"/>
      <c r="DL20" s="2441"/>
    </row>
    <row r="21" spans="2:116" ht="15.6">
      <c r="B21" s="958">
        <f t="shared" si="5"/>
        <v>11</v>
      </c>
      <c r="C21" s="959">
        <v>16</v>
      </c>
      <c r="D21" s="960" t="s">
        <v>972</v>
      </c>
      <c r="E21" s="960" t="s">
        <v>972</v>
      </c>
      <c r="F21" s="960">
        <v>0</v>
      </c>
      <c r="G21" s="961">
        <v>6.8</v>
      </c>
      <c r="H21" s="960">
        <v>7</v>
      </c>
      <c r="I21" s="960">
        <v>6.6</v>
      </c>
      <c r="J21" s="960">
        <v>7</v>
      </c>
      <c r="K21" s="960">
        <v>7.4</v>
      </c>
      <c r="L21" s="960">
        <v>6.6</v>
      </c>
      <c r="M21" s="960">
        <v>6.5</v>
      </c>
      <c r="N21" s="960">
        <v>6.7</v>
      </c>
      <c r="O21" s="960">
        <v>6.1</v>
      </c>
      <c r="P21" s="962" t="s">
        <v>972</v>
      </c>
      <c r="Q21" s="963">
        <v>13</v>
      </c>
      <c r="R21" s="964">
        <v>0.53</v>
      </c>
      <c r="S21" s="965">
        <v>0.44</v>
      </c>
      <c r="T21" s="961">
        <v>5.03</v>
      </c>
      <c r="U21" s="960">
        <v>6.56</v>
      </c>
      <c r="V21" s="960">
        <v>4.47</v>
      </c>
      <c r="W21" s="960">
        <v>4.63</v>
      </c>
      <c r="X21" s="960">
        <v>3.33</v>
      </c>
      <c r="Y21" s="966">
        <v>250</v>
      </c>
      <c r="Z21" s="966">
        <v>540</v>
      </c>
      <c r="AA21" s="966">
        <v>350</v>
      </c>
      <c r="AB21" s="960" t="s">
        <v>972</v>
      </c>
      <c r="AC21" s="959">
        <v>102</v>
      </c>
      <c r="AD21" s="1424" t="s">
        <v>972</v>
      </c>
      <c r="AE21" s="2168">
        <v>43.7</v>
      </c>
      <c r="AF21" s="967" t="s">
        <v>972</v>
      </c>
      <c r="AG21" s="968" t="s">
        <v>972</v>
      </c>
      <c r="AH21" s="1616" t="s">
        <v>972</v>
      </c>
      <c r="AI21" s="966" t="s">
        <v>972</v>
      </c>
      <c r="AJ21" s="960">
        <v>140.80000000000001</v>
      </c>
      <c r="AK21" s="960" t="s">
        <v>972</v>
      </c>
      <c r="AL21" s="961">
        <v>92.3</v>
      </c>
      <c r="AM21" s="952"/>
      <c r="AN21" s="969" t="s">
        <v>972</v>
      </c>
      <c r="AO21" s="963" t="s">
        <v>972</v>
      </c>
      <c r="AP21" s="967" t="s">
        <v>972</v>
      </c>
      <c r="AQ21" s="970">
        <v>0</v>
      </c>
      <c r="AR21" s="2464" t="s">
        <v>972</v>
      </c>
      <c r="AS21" s="968" t="s">
        <v>972</v>
      </c>
      <c r="AT21" s="968"/>
      <c r="AU21" s="2581"/>
      <c r="AV21" s="2582"/>
      <c r="AW21" s="1764">
        <v>0</v>
      </c>
      <c r="AX21" s="968" t="s">
        <v>972</v>
      </c>
      <c r="AY21" s="968">
        <v>89000</v>
      </c>
      <c r="AZ21" s="971" t="s">
        <v>668</v>
      </c>
      <c r="BA21" s="956"/>
      <c r="BC21" s="972">
        <v>14</v>
      </c>
      <c r="BD21" s="973">
        <v>6</v>
      </c>
      <c r="BE21" s="973">
        <v>3</v>
      </c>
      <c r="BF21" s="973">
        <v>3</v>
      </c>
      <c r="BG21" s="973">
        <v>4</v>
      </c>
      <c r="BH21" s="973">
        <v>2</v>
      </c>
      <c r="BI21" s="973">
        <v>1</v>
      </c>
      <c r="BJ21" s="973">
        <v>4</v>
      </c>
      <c r="BK21" s="973">
        <v>2</v>
      </c>
      <c r="BL21" s="2201">
        <v>60.9</v>
      </c>
      <c r="BM21" s="2091">
        <v>2.2141677550432277</v>
      </c>
      <c r="BN21" s="2091">
        <v>0.23063303458213255</v>
      </c>
      <c r="BO21" s="2101">
        <v>57.655919999999995</v>
      </c>
      <c r="BP21" s="2091">
        <v>0.12</v>
      </c>
      <c r="BR21" s="1864">
        <f t="shared" si="8"/>
        <v>11</v>
      </c>
      <c r="BS21" s="1859">
        <f t="shared" si="6"/>
        <v>53900</v>
      </c>
      <c r="BT21" s="1866">
        <f t="shared" si="7"/>
        <v>26</v>
      </c>
      <c r="BV21" s="1875">
        <f t="shared" si="9"/>
        <v>11</v>
      </c>
      <c r="BW21" s="1858">
        <v>7</v>
      </c>
      <c r="BX21" s="1858">
        <v>25</v>
      </c>
      <c r="BY21" s="1858">
        <v>30</v>
      </c>
      <c r="BZ21" s="1858">
        <v>35</v>
      </c>
      <c r="CA21" s="1858">
        <v>35</v>
      </c>
      <c r="CB21" s="1858">
        <v>30</v>
      </c>
      <c r="CC21" s="1858">
        <v>10</v>
      </c>
      <c r="CD21" s="1858">
        <v>46</v>
      </c>
      <c r="CE21" s="1858">
        <v>30</v>
      </c>
      <c r="CF21" s="1858">
        <v>8</v>
      </c>
      <c r="CG21" s="1858">
        <v>35</v>
      </c>
      <c r="CH21" s="1858">
        <v>9</v>
      </c>
      <c r="CI21" s="1858">
        <v>7</v>
      </c>
      <c r="CJ21" s="1858">
        <v>7</v>
      </c>
      <c r="CK21" s="1858">
        <v>5</v>
      </c>
      <c r="CL21" s="1858">
        <v>48</v>
      </c>
      <c r="CM21" s="1858">
        <v>20</v>
      </c>
      <c r="CN21" s="1858">
        <v>10</v>
      </c>
      <c r="CO21" s="1858">
        <v>35</v>
      </c>
      <c r="CP21" s="1858">
        <v>25</v>
      </c>
      <c r="CQ21" s="1858">
        <v>32</v>
      </c>
      <c r="CR21" s="1858">
        <v>30</v>
      </c>
      <c r="CS21" s="1858">
        <v>3</v>
      </c>
      <c r="CT21" s="1858">
        <v>5</v>
      </c>
      <c r="CU21" s="1858">
        <v>6</v>
      </c>
      <c r="CV21" s="1858">
        <v>6</v>
      </c>
      <c r="CW21" s="1858"/>
      <c r="CX21" s="1858"/>
      <c r="CY21" s="1858"/>
      <c r="CZ21" s="1858"/>
      <c r="DA21" s="1858"/>
      <c r="DB21" s="1858"/>
      <c r="DC21" s="1858"/>
      <c r="DD21" s="1858"/>
      <c r="DE21" s="1858"/>
      <c r="DF21" s="1858"/>
      <c r="DG21" s="1858"/>
      <c r="DH21" s="1858"/>
      <c r="DI21" s="1858"/>
      <c r="DJ21" s="1858"/>
      <c r="DL21" s="2441"/>
    </row>
    <row r="22" spans="2:116" ht="15.6">
      <c r="B22" s="958">
        <f t="shared" si="5"/>
        <v>12</v>
      </c>
      <c r="C22" s="959">
        <v>16</v>
      </c>
      <c r="D22" s="960" t="s">
        <v>972</v>
      </c>
      <c r="E22" s="960" t="s">
        <v>972</v>
      </c>
      <c r="F22" s="960">
        <v>0</v>
      </c>
      <c r="G22" s="961">
        <v>6.7</v>
      </c>
      <c r="H22" s="960">
        <v>7</v>
      </c>
      <c r="I22" s="960">
        <v>6.2</v>
      </c>
      <c r="J22" s="960">
        <v>6.8</v>
      </c>
      <c r="K22" s="960">
        <v>7</v>
      </c>
      <c r="L22" s="960">
        <v>6.6</v>
      </c>
      <c r="M22" s="960">
        <v>6.5</v>
      </c>
      <c r="N22" s="960">
        <v>6.6</v>
      </c>
      <c r="O22" s="960">
        <v>6.3</v>
      </c>
      <c r="P22" s="962" t="s">
        <v>972</v>
      </c>
      <c r="Q22" s="963">
        <v>2</v>
      </c>
      <c r="R22" s="964">
        <v>0.45</v>
      </c>
      <c r="S22" s="965">
        <v>0.45</v>
      </c>
      <c r="T22" s="961">
        <v>4.72</v>
      </c>
      <c r="U22" s="960">
        <v>6.39</v>
      </c>
      <c r="V22" s="960">
        <v>5.69</v>
      </c>
      <c r="W22" s="960">
        <v>3.97</v>
      </c>
      <c r="X22" s="960">
        <v>3.71</v>
      </c>
      <c r="Y22" s="966">
        <v>190</v>
      </c>
      <c r="Z22" s="966">
        <v>560</v>
      </c>
      <c r="AA22" s="966">
        <v>310</v>
      </c>
      <c r="AB22" s="960" t="s">
        <v>972</v>
      </c>
      <c r="AC22" s="959">
        <v>104</v>
      </c>
      <c r="AD22" s="1424" t="s">
        <v>972</v>
      </c>
      <c r="AE22" s="2168">
        <v>66.099999999999994</v>
      </c>
      <c r="AF22" s="967" t="s">
        <v>972</v>
      </c>
      <c r="AG22" s="968" t="s">
        <v>972</v>
      </c>
      <c r="AH22" s="1616" t="s">
        <v>972</v>
      </c>
      <c r="AI22" s="966" t="s">
        <v>972</v>
      </c>
      <c r="AJ22" s="960">
        <v>134.4</v>
      </c>
      <c r="AK22" s="960" t="s">
        <v>972</v>
      </c>
      <c r="AL22" s="961">
        <v>90.6</v>
      </c>
      <c r="AM22" s="952"/>
      <c r="AN22" s="969" t="s">
        <v>972</v>
      </c>
      <c r="AO22" s="963" t="s">
        <v>972</v>
      </c>
      <c r="AP22" s="967" t="s">
        <v>972</v>
      </c>
      <c r="AQ22" s="970">
        <v>0</v>
      </c>
      <c r="AR22" s="2464" t="s">
        <v>972</v>
      </c>
      <c r="AS22" s="968" t="s">
        <v>972</v>
      </c>
      <c r="AT22" s="968"/>
      <c r="AU22" s="2581">
        <v>1</v>
      </c>
      <c r="AV22" s="2582">
        <v>17</v>
      </c>
      <c r="AW22" s="1764">
        <v>0</v>
      </c>
      <c r="AX22" s="968" t="s">
        <v>972</v>
      </c>
      <c r="AY22" s="968">
        <v>94436</v>
      </c>
      <c r="AZ22" s="971" t="s">
        <v>668</v>
      </c>
      <c r="BA22" s="956"/>
      <c r="BC22" s="972">
        <v>14</v>
      </c>
      <c r="BD22" s="973">
        <v>5</v>
      </c>
      <c r="BE22" s="973">
        <v>3</v>
      </c>
      <c r="BF22" s="973">
        <v>3</v>
      </c>
      <c r="BG22" s="973">
        <v>4</v>
      </c>
      <c r="BH22" s="973">
        <v>2</v>
      </c>
      <c r="BI22" s="973">
        <v>1</v>
      </c>
      <c r="BJ22" s="973">
        <v>4</v>
      </c>
      <c r="BK22" s="973">
        <v>2</v>
      </c>
      <c r="BL22" s="2201">
        <v>61.1</v>
      </c>
      <c r="BM22" s="2091">
        <v>2.1159342219020174</v>
      </c>
      <c r="BN22" s="2091">
        <v>0.30335666570605185</v>
      </c>
      <c r="BO22" s="2101">
        <v>57.024000000000001</v>
      </c>
      <c r="BP22" s="2091">
        <v>0</v>
      </c>
      <c r="BR22" s="1864">
        <f t="shared" si="8"/>
        <v>12</v>
      </c>
      <c r="BS22" s="1859">
        <f t="shared" si="6"/>
        <v>48900</v>
      </c>
      <c r="BT22" s="1866">
        <f t="shared" si="7"/>
        <v>30</v>
      </c>
      <c r="BV22" s="1875">
        <f t="shared" si="9"/>
        <v>12</v>
      </c>
      <c r="BW22" s="1858">
        <v>7</v>
      </c>
      <c r="BX22" s="1858">
        <v>7</v>
      </c>
      <c r="BY22" s="1858">
        <v>7</v>
      </c>
      <c r="BZ22" s="1858">
        <v>30</v>
      </c>
      <c r="CA22" s="1858">
        <v>9.5</v>
      </c>
      <c r="CB22" s="1858">
        <v>8</v>
      </c>
      <c r="CC22" s="1858">
        <v>35</v>
      </c>
      <c r="CD22" s="1858">
        <v>2.5</v>
      </c>
      <c r="CE22" s="1858">
        <v>7</v>
      </c>
      <c r="CF22" s="1858">
        <v>35</v>
      </c>
      <c r="CG22" s="1858">
        <v>7</v>
      </c>
      <c r="CH22" s="1858">
        <v>35</v>
      </c>
      <c r="CI22" s="1858">
        <v>7</v>
      </c>
      <c r="CJ22" s="1858">
        <v>4</v>
      </c>
      <c r="CK22" s="1858">
        <v>25</v>
      </c>
      <c r="CL22" s="1858">
        <v>30</v>
      </c>
      <c r="CM22" s="1858">
        <v>35</v>
      </c>
      <c r="CN22" s="1858">
        <v>7</v>
      </c>
      <c r="CO22" s="1858">
        <v>7</v>
      </c>
      <c r="CP22" s="1858">
        <v>35</v>
      </c>
      <c r="CQ22" s="1858">
        <v>7</v>
      </c>
      <c r="CR22" s="1858">
        <v>3</v>
      </c>
      <c r="CS22" s="1858">
        <v>30</v>
      </c>
      <c r="CT22" s="1858">
        <v>30</v>
      </c>
      <c r="CU22" s="1858">
        <v>5</v>
      </c>
      <c r="CV22" s="1858">
        <v>30</v>
      </c>
      <c r="CW22" s="1858">
        <v>7</v>
      </c>
      <c r="CX22" s="1858">
        <v>28</v>
      </c>
      <c r="CY22" s="1858">
        <v>4</v>
      </c>
      <c r="CZ22" s="1858">
        <v>5</v>
      </c>
      <c r="DA22" s="1858"/>
      <c r="DB22" s="1858"/>
      <c r="DC22" s="1858"/>
      <c r="DD22" s="1858"/>
      <c r="DE22" s="1858"/>
      <c r="DF22" s="1858"/>
      <c r="DG22" s="1858"/>
      <c r="DH22" s="1858"/>
      <c r="DI22" s="1858"/>
      <c r="DJ22" s="1858"/>
      <c r="DL22" s="2441"/>
    </row>
    <row r="23" spans="2:116" ht="15.6">
      <c r="B23" s="958">
        <f t="shared" si="5"/>
        <v>13</v>
      </c>
      <c r="C23" s="959">
        <v>17</v>
      </c>
      <c r="D23" s="960" t="s">
        <v>972</v>
      </c>
      <c r="E23" s="960" t="s">
        <v>972</v>
      </c>
      <c r="F23" s="960">
        <v>0</v>
      </c>
      <c r="G23" s="961">
        <v>6.9</v>
      </c>
      <c r="H23" s="960">
        <v>7.2</v>
      </c>
      <c r="I23" s="960">
        <v>6.7</v>
      </c>
      <c r="J23" s="960">
        <v>6.9</v>
      </c>
      <c r="K23" s="960">
        <v>7.1</v>
      </c>
      <c r="L23" s="960">
        <v>6.7</v>
      </c>
      <c r="M23" s="960">
        <v>6.5</v>
      </c>
      <c r="N23" s="960">
        <v>6.7</v>
      </c>
      <c r="O23" s="960">
        <v>6.3</v>
      </c>
      <c r="P23" s="962" t="s">
        <v>972</v>
      </c>
      <c r="Q23" s="963">
        <v>12</v>
      </c>
      <c r="R23" s="964">
        <v>0.53</v>
      </c>
      <c r="S23" s="965">
        <v>0.42</v>
      </c>
      <c r="T23" s="961">
        <v>4.57</v>
      </c>
      <c r="U23" s="960">
        <v>5.74</v>
      </c>
      <c r="V23" s="960">
        <v>6.07</v>
      </c>
      <c r="W23" s="960">
        <v>4.83</v>
      </c>
      <c r="X23" s="960">
        <v>4.79</v>
      </c>
      <c r="Y23" s="966">
        <v>280</v>
      </c>
      <c r="Z23" s="966">
        <v>730</v>
      </c>
      <c r="AA23" s="966">
        <v>430</v>
      </c>
      <c r="AB23" s="960" t="s">
        <v>972</v>
      </c>
      <c r="AC23" s="959">
        <v>104</v>
      </c>
      <c r="AD23" s="1424" t="s">
        <v>972</v>
      </c>
      <c r="AE23" s="2168">
        <v>41.3</v>
      </c>
      <c r="AF23" s="967" t="s">
        <v>972</v>
      </c>
      <c r="AG23" s="968" t="s">
        <v>972</v>
      </c>
      <c r="AH23" s="1616" t="s">
        <v>972</v>
      </c>
      <c r="AI23" s="966" t="s">
        <v>972</v>
      </c>
      <c r="AJ23" s="960">
        <v>137.6</v>
      </c>
      <c r="AK23" s="960" t="s">
        <v>972</v>
      </c>
      <c r="AL23" s="961">
        <v>96.2</v>
      </c>
      <c r="AM23" s="952"/>
      <c r="AN23" s="969" t="s">
        <v>972</v>
      </c>
      <c r="AO23" s="963" t="s">
        <v>972</v>
      </c>
      <c r="AP23" s="967" t="s">
        <v>972</v>
      </c>
      <c r="AQ23" s="970">
        <v>0</v>
      </c>
      <c r="AR23" s="2464" t="s">
        <v>972</v>
      </c>
      <c r="AS23" s="968" t="s">
        <v>972</v>
      </c>
      <c r="AT23" s="968"/>
      <c r="AU23" s="2581"/>
      <c r="AV23" s="2582"/>
      <c r="AW23" s="1764">
        <v>0</v>
      </c>
      <c r="AX23" s="968" t="s">
        <v>972</v>
      </c>
      <c r="AY23" s="968">
        <v>101000</v>
      </c>
      <c r="AZ23" s="971" t="s">
        <v>668</v>
      </c>
      <c r="BA23" s="956"/>
      <c r="BC23" s="972">
        <v>14</v>
      </c>
      <c r="BD23" s="973">
        <v>5</v>
      </c>
      <c r="BE23" s="973">
        <v>3</v>
      </c>
      <c r="BF23" s="973">
        <v>3</v>
      </c>
      <c r="BG23" s="973">
        <v>4</v>
      </c>
      <c r="BH23" s="973">
        <v>2</v>
      </c>
      <c r="BI23" s="973">
        <v>1</v>
      </c>
      <c r="BJ23" s="973">
        <v>4</v>
      </c>
      <c r="BK23" s="973">
        <v>2</v>
      </c>
      <c r="BL23" s="2201">
        <v>62</v>
      </c>
      <c r="BM23" s="2091">
        <v>2.0506538674351584</v>
      </c>
      <c r="BN23" s="2091">
        <v>0.30351028674351588</v>
      </c>
      <c r="BO23" s="2101">
        <v>57.523200000000003</v>
      </c>
      <c r="BP23" s="2091">
        <v>0</v>
      </c>
      <c r="BR23" s="1864">
        <f t="shared" si="8"/>
        <v>13</v>
      </c>
      <c r="BS23" s="1859">
        <f t="shared" si="6"/>
        <v>57500</v>
      </c>
      <c r="BT23" s="1866">
        <f t="shared" si="7"/>
        <v>25</v>
      </c>
      <c r="BV23" s="1875">
        <f t="shared" si="9"/>
        <v>13</v>
      </c>
      <c r="BW23" s="1858">
        <v>7</v>
      </c>
      <c r="BX23" s="1858">
        <v>35</v>
      </c>
      <c r="BY23" s="1858">
        <v>30</v>
      </c>
      <c r="BZ23" s="1858">
        <v>9</v>
      </c>
      <c r="CA23" s="1858">
        <v>30</v>
      </c>
      <c r="CB23" s="1858">
        <v>30</v>
      </c>
      <c r="CC23" s="1858">
        <v>10</v>
      </c>
      <c r="CD23" s="1858">
        <v>30</v>
      </c>
      <c r="CE23" s="1858">
        <v>30</v>
      </c>
      <c r="CF23" s="1858">
        <v>47</v>
      </c>
      <c r="CG23" s="1858">
        <v>8</v>
      </c>
      <c r="CH23" s="1858">
        <v>30</v>
      </c>
      <c r="CI23" s="1858">
        <v>5</v>
      </c>
      <c r="CJ23" s="1858">
        <v>30</v>
      </c>
      <c r="CK23" s="1858">
        <v>7</v>
      </c>
      <c r="CL23" s="1858">
        <v>30</v>
      </c>
      <c r="CM23" s="1858">
        <v>2</v>
      </c>
      <c r="CN23" s="1858">
        <v>45</v>
      </c>
      <c r="CO23" s="1858">
        <v>30</v>
      </c>
      <c r="CP23" s="1858">
        <v>30</v>
      </c>
      <c r="CQ23" s="1858">
        <v>20</v>
      </c>
      <c r="CR23" s="1858">
        <v>10</v>
      </c>
      <c r="CS23" s="1858">
        <v>60</v>
      </c>
      <c r="CT23" s="1858">
        <v>5</v>
      </c>
      <c r="CU23" s="1858">
        <v>5</v>
      </c>
      <c r="CV23" s="1858"/>
      <c r="CW23" s="1858"/>
      <c r="CX23" s="1858"/>
      <c r="CY23" s="1858"/>
      <c r="CZ23" s="1858"/>
      <c r="DA23" s="1858"/>
      <c r="DB23" s="1858"/>
      <c r="DC23" s="1858"/>
      <c r="DD23" s="1858"/>
      <c r="DE23" s="1858"/>
      <c r="DF23" s="1858"/>
      <c r="DG23" s="1858"/>
      <c r="DH23" s="1858"/>
      <c r="DI23" s="1858"/>
      <c r="DJ23" s="1858"/>
      <c r="DL23" s="2441"/>
    </row>
    <row r="24" spans="2:116" ht="15.6">
      <c r="B24" s="958">
        <f t="shared" si="5"/>
        <v>14</v>
      </c>
      <c r="C24" s="959">
        <v>18</v>
      </c>
      <c r="D24" s="960" t="s">
        <v>972</v>
      </c>
      <c r="E24" s="960" t="s">
        <v>972</v>
      </c>
      <c r="F24" s="960">
        <v>0</v>
      </c>
      <c r="G24" s="961">
        <v>6.8</v>
      </c>
      <c r="H24" s="960">
        <v>7</v>
      </c>
      <c r="I24" s="960">
        <v>6.4</v>
      </c>
      <c r="J24" s="960">
        <v>6.7</v>
      </c>
      <c r="K24" s="960">
        <v>7.1</v>
      </c>
      <c r="L24" s="960">
        <v>6.4</v>
      </c>
      <c r="M24" s="960">
        <v>6.6</v>
      </c>
      <c r="N24" s="960">
        <v>7</v>
      </c>
      <c r="O24" s="960">
        <v>6.3</v>
      </c>
      <c r="P24" s="962" t="s">
        <v>972</v>
      </c>
      <c r="Q24" s="963">
        <v>13</v>
      </c>
      <c r="R24" s="964">
        <v>0.4</v>
      </c>
      <c r="S24" s="965">
        <v>0.41</v>
      </c>
      <c r="T24" s="961">
        <v>6.54</v>
      </c>
      <c r="U24" s="960">
        <v>5.74</v>
      </c>
      <c r="V24" s="960">
        <v>8.3699999999999992</v>
      </c>
      <c r="W24" s="960">
        <v>3.6</v>
      </c>
      <c r="X24" s="960">
        <v>3.7</v>
      </c>
      <c r="Y24" s="966">
        <v>200</v>
      </c>
      <c r="Z24" s="966">
        <v>760</v>
      </c>
      <c r="AA24" s="966">
        <v>390</v>
      </c>
      <c r="AB24" s="960" t="s">
        <v>972</v>
      </c>
      <c r="AC24" s="959">
        <v>106</v>
      </c>
      <c r="AD24" s="1424" t="s">
        <v>972</v>
      </c>
      <c r="AE24" s="2168">
        <v>66.3</v>
      </c>
      <c r="AF24" s="967" t="s">
        <v>972</v>
      </c>
      <c r="AG24" s="968" t="s">
        <v>972</v>
      </c>
      <c r="AH24" s="1616" t="s">
        <v>972</v>
      </c>
      <c r="AI24" s="966" t="s">
        <v>972</v>
      </c>
      <c r="AJ24" s="960">
        <v>134.4</v>
      </c>
      <c r="AK24" s="960" t="s">
        <v>972</v>
      </c>
      <c r="AL24" s="961">
        <v>96.8</v>
      </c>
      <c r="AM24" s="952"/>
      <c r="AN24" s="969" t="s">
        <v>972</v>
      </c>
      <c r="AO24" s="963" t="s">
        <v>972</v>
      </c>
      <c r="AP24" s="967" t="s">
        <v>972</v>
      </c>
      <c r="AQ24" s="970">
        <v>0</v>
      </c>
      <c r="AR24" s="2464" t="s">
        <v>972</v>
      </c>
      <c r="AS24" s="968" t="s">
        <v>972</v>
      </c>
      <c r="AT24" s="968"/>
      <c r="AU24" s="2581"/>
      <c r="AV24" s="2582"/>
      <c r="AW24" s="1764">
        <v>0</v>
      </c>
      <c r="AX24" s="968" t="s">
        <v>972</v>
      </c>
      <c r="AY24" s="968">
        <v>17766</v>
      </c>
      <c r="AZ24" s="971" t="s">
        <v>668</v>
      </c>
      <c r="BA24" s="956"/>
      <c r="BC24" s="972">
        <v>14</v>
      </c>
      <c r="BD24" s="973">
        <v>5</v>
      </c>
      <c r="BE24" s="973">
        <v>3</v>
      </c>
      <c r="BF24" s="973">
        <v>3</v>
      </c>
      <c r="BG24" s="973">
        <v>4</v>
      </c>
      <c r="BH24" s="973">
        <v>1</v>
      </c>
      <c r="BI24" s="973">
        <v>1</v>
      </c>
      <c r="BJ24" s="973">
        <v>4</v>
      </c>
      <c r="BK24" s="973">
        <v>2</v>
      </c>
      <c r="BL24" s="2201">
        <v>61.6</v>
      </c>
      <c r="BM24" s="2091">
        <v>2.0018489610951011</v>
      </c>
      <c r="BN24" s="2091">
        <v>0.30352710662824206</v>
      </c>
      <c r="BO24" s="2101">
        <v>56.975999999999999</v>
      </c>
      <c r="BP24" s="2091">
        <v>0</v>
      </c>
      <c r="BR24" s="1864">
        <f t="shared" si="8"/>
        <v>14</v>
      </c>
      <c r="BS24" s="1859">
        <f t="shared" si="6"/>
        <v>43475</v>
      </c>
      <c r="BT24" s="1866">
        <f t="shared" si="7"/>
        <v>24</v>
      </c>
      <c r="BV24" s="1875">
        <f t="shared" si="9"/>
        <v>14</v>
      </c>
      <c r="BW24" s="1858">
        <v>7</v>
      </c>
      <c r="BX24" s="1858">
        <v>7</v>
      </c>
      <c r="BY24" s="1858">
        <v>7</v>
      </c>
      <c r="BZ24" s="1858">
        <v>30</v>
      </c>
      <c r="CA24" s="1858">
        <v>30</v>
      </c>
      <c r="CB24" s="1858">
        <v>9</v>
      </c>
      <c r="CC24" s="1858">
        <v>35</v>
      </c>
      <c r="CD24" s="1858">
        <v>30</v>
      </c>
      <c r="CE24" s="1858">
        <v>10</v>
      </c>
      <c r="CF24" s="1858">
        <v>35</v>
      </c>
      <c r="CG24" s="1858">
        <v>8</v>
      </c>
      <c r="CH24" s="1858">
        <v>5</v>
      </c>
      <c r="CI24" s="1858">
        <v>35</v>
      </c>
      <c r="CJ24" s="1858">
        <v>35</v>
      </c>
      <c r="CK24" s="1858">
        <v>7</v>
      </c>
      <c r="CL24" s="1858">
        <v>35</v>
      </c>
      <c r="CM24" s="1858">
        <v>35</v>
      </c>
      <c r="CN24" s="1858">
        <v>1.75</v>
      </c>
      <c r="CO24" s="1858">
        <v>35</v>
      </c>
      <c r="CP24" s="1858">
        <v>6</v>
      </c>
      <c r="CQ24" s="1858">
        <v>13</v>
      </c>
      <c r="CR24" s="1858">
        <v>7</v>
      </c>
      <c r="CS24" s="1858">
        <v>6</v>
      </c>
      <c r="CT24" s="1858">
        <v>6</v>
      </c>
      <c r="CU24" s="1858"/>
      <c r="CV24" s="1858"/>
      <c r="CW24" s="1858"/>
      <c r="CX24" s="1858"/>
      <c r="CY24" s="1858"/>
      <c r="CZ24" s="1858"/>
      <c r="DA24" s="1858"/>
      <c r="DB24" s="1858"/>
      <c r="DC24" s="1858"/>
      <c r="DD24" s="1858"/>
      <c r="DE24" s="1858"/>
      <c r="DF24" s="1858"/>
      <c r="DG24" s="1858"/>
      <c r="DH24" s="1858"/>
      <c r="DI24" s="1858"/>
      <c r="DJ24" s="1858"/>
      <c r="DL24" s="2441"/>
    </row>
    <row r="25" spans="2:116" ht="15.6">
      <c r="B25" s="958">
        <f t="shared" si="5"/>
        <v>15</v>
      </c>
      <c r="C25" s="959">
        <v>18</v>
      </c>
      <c r="D25" s="960" t="s">
        <v>972</v>
      </c>
      <c r="E25" s="960" t="s">
        <v>972</v>
      </c>
      <c r="F25" s="960">
        <v>0</v>
      </c>
      <c r="G25" s="961">
        <v>6.9</v>
      </c>
      <c r="H25" s="960">
        <v>7</v>
      </c>
      <c r="I25" s="960">
        <v>6.7</v>
      </c>
      <c r="J25" s="960">
        <v>6.9</v>
      </c>
      <c r="K25" s="960">
        <v>7.3</v>
      </c>
      <c r="L25" s="960">
        <v>6.7</v>
      </c>
      <c r="M25" s="960">
        <v>6.5</v>
      </c>
      <c r="N25" s="960">
        <v>6.7</v>
      </c>
      <c r="O25" s="960">
        <v>6.4</v>
      </c>
      <c r="P25" s="962" t="s">
        <v>972</v>
      </c>
      <c r="Q25" s="963">
        <v>44</v>
      </c>
      <c r="R25" s="964">
        <v>0.3</v>
      </c>
      <c r="S25" s="965">
        <v>0.46</v>
      </c>
      <c r="T25" s="961">
        <v>4.42</v>
      </c>
      <c r="U25" s="960">
        <v>5.55</v>
      </c>
      <c r="V25" s="960">
        <v>6.06</v>
      </c>
      <c r="W25" s="960">
        <v>4.18</v>
      </c>
      <c r="X25" s="960">
        <v>2.65</v>
      </c>
      <c r="Y25" s="966">
        <v>110</v>
      </c>
      <c r="Z25" s="966">
        <v>540</v>
      </c>
      <c r="AA25" s="966">
        <v>250</v>
      </c>
      <c r="AB25" s="960" t="s">
        <v>972</v>
      </c>
      <c r="AC25" s="959">
        <v>106</v>
      </c>
      <c r="AD25" s="1424" t="s">
        <v>972</v>
      </c>
      <c r="AE25" s="2168">
        <v>71.400000000000006</v>
      </c>
      <c r="AF25" s="967" t="s">
        <v>972</v>
      </c>
      <c r="AG25" s="968" t="s">
        <v>972</v>
      </c>
      <c r="AH25" s="1616" t="s">
        <v>972</v>
      </c>
      <c r="AI25" s="966" t="s">
        <v>972</v>
      </c>
      <c r="AJ25" s="960">
        <v>134.4</v>
      </c>
      <c r="AK25" s="960" t="s">
        <v>972</v>
      </c>
      <c r="AL25" s="961">
        <v>91</v>
      </c>
      <c r="AM25" s="952"/>
      <c r="AN25" s="969" t="s">
        <v>972</v>
      </c>
      <c r="AO25" s="963" t="s">
        <v>972</v>
      </c>
      <c r="AP25" s="967" t="s">
        <v>972</v>
      </c>
      <c r="AQ25" s="970">
        <v>0</v>
      </c>
      <c r="AR25" s="2464" t="s">
        <v>972</v>
      </c>
      <c r="AS25" s="968" t="s">
        <v>972</v>
      </c>
      <c r="AT25" s="968"/>
      <c r="AU25" s="2581"/>
      <c r="AV25" s="2582"/>
      <c r="AW25" s="1764">
        <v>0</v>
      </c>
      <c r="AX25" s="968" t="s">
        <v>972</v>
      </c>
      <c r="AY25" s="968"/>
      <c r="AZ25" s="971" t="s">
        <v>667</v>
      </c>
      <c r="BA25" s="956"/>
      <c r="BC25" s="972">
        <v>14</v>
      </c>
      <c r="BD25" s="973">
        <v>6</v>
      </c>
      <c r="BE25" s="973">
        <v>3</v>
      </c>
      <c r="BF25" s="973">
        <v>3</v>
      </c>
      <c r="BG25" s="973">
        <v>4</v>
      </c>
      <c r="BH25" s="973">
        <v>1</v>
      </c>
      <c r="BI25" s="973">
        <v>1</v>
      </c>
      <c r="BJ25" s="973">
        <v>4</v>
      </c>
      <c r="BK25" s="973">
        <v>2</v>
      </c>
      <c r="BL25" s="2201">
        <v>58.9</v>
      </c>
      <c r="BM25" s="2091">
        <v>1.9568152175792508</v>
      </c>
      <c r="BN25" s="2091">
        <v>0.3610034682997118</v>
      </c>
      <c r="BO25" s="2101">
        <v>55.496160000000003</v>
      </c>
      <c r="BP25" s="2091">
        <v>0.17</v>
      </c>
      <c r="BR25" s="1864">
        <f t="shared" si="8"/>
        <v>15</v>
      </c>
      <c r="BS25" s="1859">
        <f t="shared" si="6"/>
        <v>54000</v>
      </c>
      <c r="BT25" s="1866">
        <f t="shared" si="7"/>
        <v>28</v>
      </c>
      <c r="BV25" s="1875">
        <f t="shared" si="9"/>
        <v>15</v>
      </c>
      <c r="BW25" s="1858">
        <v>30</v>
      </c>
      <c r="BX25" s="1858">
        <v>30</v>
      </c>
      <c r="BY25" s="1858">
        <v>30</v>
      </c>
      <c r="BZ25" s="1858">
        <v>10</v>
      </c>
      <c r="CA25" s="1858">
        <v>30</v>
      </c>
      <c r="CB25" s="1858">
        <v>30</v>
      </c>
      <c r="CC25" s="1858">
        <v>6</v>
      </c>
      <c r="CD25" s="1858">
        <v>35</v>
      </c>
      <c r="CE25" s="1858">
        <v>7</v>
      </c>
      <c r="CF25" s="1858">
        <v>48</v>
      </c>
      <c r="CG25" s="1858">
        <v>30</v>
      </c>
      <c r="CH25" s="1858">
        <v>10</v>
      </c>
      <c r="CI25" s="1858">
        <v>5</v>
      </c>
      <c r="CJ25" s="1858">
        <v>5</v>
      </c>
      <c r="CK25" s="1858">
        <v>10</v>
      </c>
      <c r="CL25" s="1858">
        <v>10</v>
      </c>
      <c r="CM25" s="1858">
        <v>30</v>
      </c>
      <c r="CN25" s="1858">
        <v>45</v>
      </c>
      <c r="CO25" s="1858">
        <v>3</v>
      </c>
      <c r="CP25" s="1858">
        <v>6</v>
      </c>
      <c r="CQ25" s="1858">
        <v>18</v>
      </c>
      <c r="CR25" s="1858">
        <v>4</v>
      </c>
      <c r="CS25" s="1858">
        <v>7</v>
      </c>
      <c r="CT25" s="1858">
        <v>6</v>
      </c>
      <c r="CU25" s="1858">
        <v>30</v>
      </c>
      <c r="CV25" s="1858">
        <v>30</v>
      </c>
      <c r="CW25" s="1858">
        <v>30</v>
      </c>
      <c r="CX25" s="1858">
        <v>5</v>
      </c>
      <c r="CY25" s="1858"/>
      <c r="CZ25" s="1858"/>
      <c r="DA25" s="1858"/>
      <c r="DB25" s="1858"/>
      <c r="DC25" s="1858"/>
      <c r="DD25" s="1858"/>
      <c r="DE25" s="1858"/>
      <c r="DF25" s="1858"/>
      <c r="DG25" s="1858"/>
      <c r="DH25" s="1858"/>
      <c r="DI25" s="1858"/>
      <c r="DJ25" s="1858"/>
      <c r="DL25" s="2441"/>
    </row>
    <row r="26" spans="2:116" ht="15.6">
      <c r="B26" s="958">
        <f t="shared" si="5"/>
        <v>16</v>
      </c>
      <c r="C26" s="959">
        <v>15</v>
      </c>
      <c r="D26" s="960" t="s">
        <v>972</v>
      </c>
      <c r="E26" s="960" t="s">
        <v>972</v>
      </c>
      <c r="F26" s="960">
        <v>0</v>
      </c>
      <c r="G26" s="961">
        <v>6.9</v>
      </c>
      <c r="H26" s="960">
        <v>7.1</v>
      </c>
      <c r="I26" s="960">
        <v>6.7</v>
      </c>
      <c r="J26" s="960">
        <v>6.9</v>
      </c>
      <c r="K26" s="960">
        <v>7.2</v>
      </c>
      <c r="L26" s="960">
        <v>6.8</v>
      </c>
      <c r="M26" s="960">
        <v>6.6</v>
      </c>
      <c r="N26" s="960">
        <v>6.7</v>
      </c>
      <c r="O26" s="960">
        <v>6.5</v>
      </c>
      <c r="P26" s="962" t="s">
        <v>972</v>
      </c>
      <c r="Q26" s="963">
        <v>44</v>
      </c>
      <c r="R26" s="964">
        <v>0.54</v>
      </c>
      <c r="S26" s="965">
        <v>0.52</v>
      </c>
      <c r="T26" s="961">
        <v>4.8</v>
      </c>
      <c r="U26" s="960">
        <v>7.63</v>
      </c>
      <c r="V26" s="960">
        <v>7.78</v>
      </c>
      <c r="W26" s="960">
        <v>4.07</v>
      </c>
      <c r="X26" s="960">
        <v>5.19</v>
      </c>
      <c r="Y26" s="966">
        <v>95</v>
      </c>
      <c r="Z26" s="966">
        <v>280</v>
      </c>
      <c r="AA26" s="966">
        <v>160</v>
      </c>
      <c r="AB26" s="960" t="s">
        <v>972</v>
      </c>
      <c r="AC26" s="959">
        <v>103</v>
      </c>
      <c r="AD26" s="1424" t="s">
        <v>972</v>
      </c>
      <c r="AE26" s="2168">
        <v>62.5</v>
      </c>
      <c r="AF26" s="967" t="s">
        <v>972</v>
      </c>
      <c r="AG26" s="968" t="s">
        <v>972</v>
      </c>
      <c r="AH26" s="1616" t="s">
        <v>972</v>
      </c>
      <c r="AI26" s="966" t="s">
        <v>972</v>
      </c>
      <c r="AJ26" s="960">
        <v>150.4</v>
      </c>
      <c r="AK26" s="960" t="s">
        <v>972</v>
      </c>
      <c r="AL26" s="961">
        <v>89.2</v>
      </c>
      <c r="AM26" s="952"/>
      <c r="AN26" s="969" t="s">
        <v>972</v>
      </c>
      <c r="AO26" s="963" t="s">
        <v>972</v>
      </c>
      <c r="AP26" s="967" t="s">
        <v>972</v>
      </c>
      <c r="AQ26" s="970">
        <v>0</v>
      </c>
      <c r="AR26" s="2464" t="s">
        <v>972</v>
      </c>
      <c r="AS26" s="968" t="s">
        <v>972</v>
      </c>
      <c r="AT26" s="968"/>
      <c r="AU26" s="2581"/>
      <c r="AV26" s="2582"/>
      <c r="AW26" s="1764">
        <v>0</v>
      </c>
      <c r="AX26" s="968" t="s">
        <v>972</v>
      </c>
      <c r="AY26" s="968"/>
      <c r="AZ26" s="971" t="s">
        <v>667</v>
      </c>
      <c r="BA26" s="956"/>
      <c r="BC26" s="972">
        <v>14</v>
      </c>
      <c r="BD26" s="973">
        <v>6</v>
      </c>
      <c r="BE26" s="973">
        <v>3</v>
      </c>
      <c r="BF26" s="973">
        <v>3</v>
      </c>
      <c r="BG26" s="973">
        <v>4</v>
      </c>
      <c r="BH26" s="973">
        <v>1</v>
      </c>
      <c r="BI26" s="973">
        <v>1</v>
      </c>
      <c r="BJ26" s="973">
        <v>4</v>
      </c>
      <c r="BK26" s="973">
        <v>2</v>
      </c>
      <c r="BL26" s="2201">
        <v>59.5</v>
      </c>
      <c r="BM26" s="2091">
        <v>1.943759234870317</v>
      </c>
      <c r="BN26" s="2091">
        <v>0.40901087319884727</v>
      </c>
      <c r="BO26" s="2101">
        <v>55.096080000000001</v>
      </c>
      <c r="BP26" s="2091">
        <v>0</v>
      </c>
      <c r="BR26" s="1864">
        <f t="shared" si="8"/>
        <v>16</v>
      </c>
      <c r="BS26" s="1859">
        <f t="shared" si="6"/>
        <v>20000</v>
      </c>
      <c r="BT26" s="1866">
        <f t="shared" si="7"/>
        <v>9</v>
      </c>
      <c r="BV26" s="1875">
        <f t="shared" si="9"/>
        <v>16</v>
      </c>
      <c r="BW26" s="1858">
        <v>30</v>
      </c>
      <c r="BX26" s="1858">
        <v>30</v>
      </c>
      <c r="BY26" s="1858">
        <v>10</v>
      </c>
      <c r="BZ26" s="1858">
        <v>25</v>
      </c>
      <c r="CA26" s="1858">
        <v>22</v>
      </c>
      <c r="CB26" s="1858">
        <v>30</v>
      </c>
      <c r="CC26" s="1858">
        <v>30</v>
      </c>
      <c r="CD26" s="1858">
        <v>10</v>
      </c>
      <c r="CE26" s="1858">
        <v>13</v>
      </c>
      <c r="CF26" s="1858"/>
      <c r="CG26" s="1858"/>
      <c r="CH26" s="1858"/>
      <c r="CI26" s="1858"/>
      <c r="CJ26" s="1858"/>
      <c r="CK26" s="1858"/>
      <c r="CL26" s="1858"/>
      <c r="CM26" s="1858"/>
      <c r="CN26" s="1858"/>
      <c r="CO26" s="1858"/>
      <c r="CP26" s="2202"/>
      <c r="CQ26" s="1858"/>
      <c r="CR26" s="1858"/>
      <c r="CS26" s="1858"/>
      <c r="CT26" s="1858"/>
      <c r="CU26" s="1858"/>
      <c r="CV26" s="1858"/>
      <c r="CW26" s="1858"/>
      <c r="CX26" s="1858"/>
      <c r="CY26" s="1858"/>
      <c r="CZ26" s="1858"/>
      <c r="DA26" s="1858"/>
      <c r="DB26" s="1858"/>
      <c r="DC26" s="1858"/>
      <c r="DD26" s="1858"/>
      <c r="DE26" s="1858"/>
      <c r="DF26" s="1858"/>
      <c r="DG26" s="1858"/>
      <c r="DH26" s="1858"/>
      <c r="DI26" s="1858"/>
      <c r="DJ26" s="1858"/>
      <c r="DL26" s="2441"/>
    </row>
    <row r="27" spans="2:116" ht="15.6">
      <c r="B27" s="958">
        <f t="shared" si="5"/>
        <v>17</v>
      </c>
      <c r="C27" s="959">
        <v>17</v>
      </c>
      <c r="D27" s="960" t="s">
        <v>972</v>
      </c>
      <c r="E27" s="960" t="s">
        <v>972</v>
      </c>
      <c r="F27" s="960">
        <v>0</v>
      </c>
      <c r="G27" s="961">
        <v>6.8</v>
      </c>
      <c r="H27" s="960">
        <v>7</v>
      </c>
      <c r="I27" s="960">
        <v>6.6</v>
      </c>
      <c r="J27" s="960">
        <v>7</v>
      </c>
      <c r="K27" s="960">
        <v>7.1</v>
      </c>
      <c r="L27" s="960">
        <v>6.8</v>
      </c>
      <c r="M27" s="960">
        <v>6.7</v>
      </c>
      <c r="N27" s="960">
        <v>6.8</v>
      </c>
      <c r="O27" s="960">
        <v>6.6</v>
      </c>
      <c r="P27" s="962" t="s">
        <v>972</v>
      </c>
      <c r="Q27" s="963">
        <v>14</v>
      </c>
      <c r="R27" s="964">
        <v>0.6</v>
      </c>
      <c r="S27" s="965">
        <v>0.52</v>
      </c>
      <c r="T27" s="961">
        <v>4.8</v>
      </c>
      <c r="U27" s="960">
        <v>5.77</v>
      </c>
      <c r="V27" s="960">
        <v>6.76</v>
      </c>
      <c r="W27" s="960">
        <v>3.92</v>
      </c>
      <c r="X27" s="960">
        <v>4.55</v>
      </c>
      <c r="Y27" s="966">
        <v>120</v>
      </c>
      <c r="Z27" s="966">
        <v>240</v>
      </c>
      <c r="AA27" s="966">
        <v>160</v>
      </c>
      <c r="AB27" s="960" t="s">
        <v>972</v>
      </c>
      <c r="AC27" s="959">
        <v>101</v>
      </c>
      <c r="AD27" s="1424" t="s">
        <v>972</v>
      </c>
      <c r="AE27" s="2168">
        <v>41.2</v>
      </c>
      <c r="AF27" s="967" t="s">
        <v>972</v>
      </c>
      <c r="AG27" s="968" t="s">
        <v>972</v>
      </c>
      <c r="AH27" s="1616" t="s">
        <v>972</v>
      </c>
      <c r="AI27" s="966" t="s">
        <v>972</v>
      </c>
      <c r="AJ27" s="960">
        <v>124.80000000000001</v>
      </c>
      <c r="AK27" s="960" t="s">
        <v>972</v>
      </c>
      <c r="AL27" s="961">
        <v>90.9</v>
      </c>
      <c r="AM27" s="952"/>
      <c r="AN27" s="969" t="s">
        <v>972</v>
      </c>
      <c r="AO27" s="963" t="s">
        <v>972</v>
      </c>
      <c r="AP27" s="967" t="s">
        <v>972</v>
      </c>
      <c r="AQ27" s="970">
        <v>0</v>
      </c>
      <c r="AR27" s="2464" t="s">
        <v>972</v>
      </c>
      <c r="AS27" s="968" t="s">
        <v>972</v>
      </c>
      <c r="AT27" s="968"/>
      <c r="AU27" s="2581"/>
      <c r="AV27" s="2582"/>
      <c r="AW27" s="1764">
        <v>0</v>
      </c>
      <c r="AX27" s="968" t="s">
        <v>972</v>
      </c>
      <c r="AY27" s="968"/>
      <c r="AZ27" s="971" t="s">
        <v>1457</v>
      </c>
      <c r="BA27" s="956"/>
      <c r="BC27" s="972">
        <v>14</v>
      </c>
      <c r="BD27" s="973">
        <v>6</v>
      </c>
      <c r="BE27" s="973">
        <v>3</v>
      </c>
      <c r="BF27" s="973">
        <v>3</v>
      </c>
      <c r="BG27" s="973">
        <v>4</v>
      </c>
      <c r="BH27" s="973">
        <v>1</v>
      </c>
      <c r="BI27" s="973">
        <v>1</v>
      </c>
      <c r="BJ27" s="973">
        <v>4</v>
      </c>
      <c r="BK27" s="973">
        <v>2</v>
      </c>
      <c r="BL27" s="2201">
        <v>59.3</v>
      </c>
      <c r="BM27" s="2091">
        <v>1.6197517334293949</v>
      </c>
      <c r="BN27" s="2091">
        <v>0.41024758357348701</v>
      </c>
      <c r="BO27" s="2101">
        <v>56.692080000000004</v>
      </c>
      <c r="BP27" s="2091">
        <v>0</v>
      </c>
      <c r="BR27" s="1864">
        <f t="shared" si="8"/>
        <v>17</v>
      </c>
      <c r="BS27" s="1859">
        <f t="shared" si="6"/>
        <v>4700</v>
      </c>
      <c r="BT27" s="1866">
        <f t="shared" si="7"/>
        <v>7</v>
      </c>
      <c r="BV27" s="1875">
        <f t="shared" si="9"/>
        <v>17</v>
      </c>
      <c r="BW27" s="1858">
        <v>6</v>
      </c>
      <c r="BX27" s="1858">
        <v>10</v>
      </c>
      <c r="BY27" s="1858">
        <v>5</v>
      </c>
      <c r="BZ27" s="1858">
        <v>10</v>
      </c>
      <c r="CA27" s="1858">
        <v>5</v>
      </c>
      <c r="CB27" s="1858">
        <v>4</v>
      </c>
      <c r="CC27" s="1858">
        <v>7</v>
      </c>
      <c r="CD27" s="1858"/>
      <c r="CE27" s="1858"/>
      <c r="CF27" s="1858"/>
      <c r="CG27" s="1858"/>
      <c r="CH27" s="1858"/>
      <c r="CI27" s="1858"/>
      <c r="CJ27" s="1858"/>
      <c r="CK27" s="1858"/>
      <c r="CL27" s="1858"/>
      <c r="CM27" s="1858"/>
      <c r="CN27" s="1858"/>
      <c r="CO27" s="1858"/>
      <c r="CP27" s="1858"/>
      <c r="CQ27" s="1858"/>
      <c r="CR27" s="1858"/>
      <c r="CS27" s="1858"/>
      <c r="CT27" s="1858"/>
      <c r="CU27" s="1858"/>
      <c r="CV27" s="1858"/>
      <c r="CW27" s="1858"/>
      <c r="CX27" s="1858"/>
      <c r="CY27" s="1858"/>
      <c r="CZ27" s="1858"/>
      <c r="DA27" s="1858"/>
      <c r="DB27" s="1858"/>
      <c r="DC27" s="1858"/>
      <c r="DD27" s="1858"/>
      <c r="DE27" s="1858"/>
      <c r="DF27" s="1858"/>
      <c r="DG27" s="1858"/>
      <c r="DH27" s="1858"/>
      <c r="DI27" s="1858"/>
      <c r="DJ27" s="1858"/>
      <c r="DL27" s="2441"/>
    </row>
    <row r="28" spans="2:116" ht="15.6">
      <c r="B28" s="958">
        <f t="shared" si="5"/>
        <v>18</v>
      </c>
      <c r="C28" s="959">
        <v>17</v>
      </c>
      <c r="D28" s="960" t="s">
        <v>972</v>
      </c>
      <c r="E28" s="960" t="s">
        <v>972</v>
      </c>
      <c r="F28" s="960">
        <v>0</v>
      </c>
      <c r="G28" s="961">
        <v>6.9</v>
      </c>
      <c r="H28" s="960">
        <v>7.3</v>
      </c>
      <c r="I28" s="960">
        <v>6.6</v>
      </c>
      <c r="J28" s="960">
        <v>6.9</v>
      </c>
      <c r="K28" s="960">
        <v>7.1</v>
      </c>
      <c r="L28" s="960">
        <v>6.6</v>
      </c>
      <c r="M28" s="960">
        <v>6.7</v>
      </c>
      <c r="N28" s="960">
        <v>6.8</v>
      </c>
      <c r="O28" s="960">
        <v>6.6</v>
      </c>
      <c r="P28" s="962" t="s">
        <v>972</v>
      </c>
      <c r="Q28" s="963">
        <v>13</v>
      </c>
      <c r="R28" s="964">
        <v>0.51</v>
      </c>
      <c r="S28" s="965">
        <v>0.5</v>
      </c>
      <c r="T28" s="961">
        <v>4.49</v>
      </c>
      <c r="U28" s="960">
        <v>4.66</v>
      </c>
      <c r="V28" s="960">
        <v>5.0999999999999996</v>
      </c>
      <c r="W28" s="960">
        <v>3.64</v>
      </c>
      <c r="X28" s="960">
        <v>4.42</v>
      </c>
      <c r="Y28" s="966">
        <v>130</v>
      </c>
      <c r="Z28" s="966">
        <v>630</v>
      </c>
      <c r="AA28" s="966">
        <v>300</v>
      </c>
      <c r="AB28" s="960" t="s">
        <v>972</v>
      </c>
      <c r="AC28" s="959">
        <v>101</v>
      </c>
      <c r="AD28" s="1424" t="s">
        <v>1313</v>
      </c>
      <c r="AE28" s="2168">
        <v>55.4</v>
      </c>
      <c r="AF28" s="967" t="s">
        <v>972</v>
      </c>
      <c r="AG28" s="968" t="s">
        <v>972</v>
      </c>
      <c r="AH28" s="1616" t="s">
        <v>972</v>
      </c>
      <c r="AI28" s="966" t="s">
        <v>972</v>
      </c>
      <c r="AJ28" s="960">
        <v>124.80000000000001</v>
      </c>
      <c r="AK28" s="960" t="s">
        <v>972</v>
      </c>
      <c r="AL28" s="961">
        <v>92</v>
      </c>
      <c r="AM28" s="952"/>
      <c r="AN28" s="969" t="s">
        <v>972</v>
      </c>
      <c r="AO28" s="963" t="s">
        <v>972</v>
      </c>
      <c r="AP28" s="967" t="s">
        <v>972</v>
      </c>
      <c r="AQ28" s="970">
        <v>0</v>
      </c>
      <c r="AR28" s="2462" t="s">
        <v>972</v>
      </c>
      <c r="AS28" s="968" t="s">
        <v>972</v>
      </c>
      <c r="AT28" s="968"/>
      <c r="AU28" s="2581"/>
      <c r="AV28" s="2582"/>
      <c r="AW28" s="1764">
        <v>0</v>
      </c>
      <c r="AX28" s="968" t="s">
        <v>972</v>
      </c>
      <c r="AY28" s="968">
        <v>78000</v>
      </c>
      <c r="AZ28" s="971" t="s">
        <v>668</v>
      </c>
      <c r="BA28" s="956"/>
      <c r="BC28" s="972">
        <v>14</v>
      </c>
      <c r="BD28" s="973">
        <v>6</v>
      </c>
      <c r="BE28" s="973">
        <v>3</v>
      </c>
      <c r="BF28" s="973">
        <v>3</v>
      </c>
      <c r="BG28" s="973">
        <v>4</v>
      </c>
      <c r="BH28" s="973">
        <v>1</v>
      </c>
      <c r="BI28" s="973">
        <v>1</v>
      </c>
      <c r="BJ28" s="973">
        <v>4</v>
      </c>
      <c r="BK28" s="973">
        <v>2</v>
      </c>
      <c r="BL28" s="2201">
        <v>59.3</v>
      </c>
      <c r="BM28" s="2091">
        <v>1.5410051239193083</v>
      </c>
      <c r="BN28" s="2091">
        <v>0.4083085734870317</v>
      </c>
      <c r="BO28" s="2101">
        <v>58.231919999999995</v>
      </c>
      <c r="BP28" s="2091">
        <v>0</v>
      </c>
      <c r="BR28" s="1864">
        <f t="shared" si="8"/>
        <v>18</v>
      </c>
      <c r="BS28" s="1859">
        <f t="shared" si="6"/>
        <v>59700</v>
      </c>
      <c r="BT28" s="1866">
        <f t="shared" si="7"/>
        <v>27</v>
      </c>
      <c r="BV28" s="1875">
        <f t="shared" si="9"/>
        <v>18</v>
      </c>
      <c r="BW28" s="1858">
        <v>30</v>
      </c>
      <c r="BX28" s="1858">
        <v>30</v>
      </c>
      <c r="BY28" s="1858">
        <v>30</v>
      </c>
      <c r="BZ28" s="1858">
        <v>60</v>
      </c>
      <c r="CA28" s="1858">
        <v>35</v>
      </c>
      <c r="CB28" s="1858">
        <v>10</v>
      </c>
      <c r="CC28" s="1858">
        <v>45</v>
      </c>
      <c r="CD28" s="1858">
        <v>25</v>
      </c>
      <c r="CE28" s="1858">
        <v>5</v>
      </c>
      <c r="CF28" s="1858">
        <v>5</v>
      </c>
      <c r="CG28" s="1858">
        <v>5</v>
      </c>
      <c r="CH28" s="1858">
        <v>45</v>
      </c>
      <c r="CI28" s="1858">
        <v>30</v>
      </c>
      <c r="CJ28" s="1858">
        <v>30</v>
      </c>
      <c r="CK28" s="1858">
        <v>30</v>
      </c>
      <c r="CL28" s="1858">
        <v>30</v>
      </c>
      <c r="CM28" s="1858">
        <v>30</v>
      </c>
      <c r="CN28" s="1858">
        <v>4</v>
      </c>
      <c r="CO28" s="1858">
        <v>20</v>
      </c>
      <c r="CP28" s="1858">
        <v>2</v>
      </c>
      <c r="CQ28" s="1858">
        <v>10</v>
      </c>
      <c r="CR28" s="1858">
        <v>5</v>
      </c>
      <c r="CS28" s="1858">
        <v>30</v>
      </c>
      <c r="CT28" s="1858">
        <v>35</v>
      </c>
      <c r="CU28" s="1858">
        <v>5</v>
      </c>
      <c r="CV28" s="1858">
        <v>6</v>
      </c>
      <c r="CW28" s="1858">
        <v>5</v>
      </c>
      <c r="CX28" s="1858"/>
      <c r="CY28" s="1858"/>
      <c r="CZ28" s="1858"/>
      <c r="DA28" s="1858"/>
      <c r="DB28" s="1858"/>
      <c r="DC28" s="1858"/>
      <c r="DD28" s="1858"/>
      <c r="DE28" s="1858"/>
      <c r="DF28" s="1858"/>
      <c r="DG28" s="1858"/>
      <c r="DH28" s="1858"/>
      <c r="DI28" s="1858"/>
      <c r="DJ28" s="1858"/>
      <c r="DL28" s="2441"/>
    </row>
    <row r="29" spans="2:116" ht="15.6">
      <c r="B29" s="958">
        <f t="shared" si="5"/>
        <v>19</v>
      </c>
      <c r="C29" s="959">
        <v>17</v>
      </c>
      <c r="D29" s="960" t="s">
        <v>972</v>
      </c>
      <c r="E29" s="960" t="s">
        <v>972</v>
      </c>
      <c r="F29" s="960">
        <v>0</v>
      </c>
      <c r="G29" s="961">
        <v>6.8</v>
      </c>
      <c r="H29" s="960">
        <v>7.1</v>
      </c>
      <c r="I29" s="960">
        <v>6.5</v>
      </c>
      <c r="J29" s="960">
        <v>6.8</v>
      </c>
      <c r="K29" s="960">
        <v>7.1</v>
      </c>
      <c r="L29" s="960">
        <v>6.6</v>
      </c>
      <c r="M29" s="960">
        <v>6.6</v>
      </c>
      <c r="N29" s="960">
        <v>7.1</v>
      </c>
      <c r="O29" s="960">
        <v>6</v>
      </c>
      <c r="P29" s="962" t="s">
        <v>972</v>
      </c>
      <c r="Q29" s="963">
        <v>13</v>
      </c>
      <c r="R29" s="964">
        <v>0.49</v>
      </c>
      <c r="S29" s="965">
        <v>0.47</v>
      </c>
      <c r="T29" s="961">
        <v>4.68</v>
      </c>
      <c r="U29" s="960">
        <v>4.8499999999999996</v>
      </c>
      <c r="V29" s="960">
        <v>5.25</v>
      </c>
      <c r="W29" s="960">
        <v>3.62</v>
      </c>
      <c r="X29" s="960">
        <v>4.99</v>
      </c>
      <c r="Y29" s="966">
        <v>100</v>
      </c>
      <c r="Z29" s="966">
        <v>590</v>
      </c>
      <c r="AA29" s="966">
        <v>260</v>
      </c>
      <c r="AB29" s="960" t="s">
        <v>972</v>
      </c>
      <c r="AC29" s="959">
        <v>101</v>
      </c>
      <c r="AD29" s="1424" t="s">
        <v>972</v>
      </c>
      <c r="AE29" s="2168">
        <v>60.7</v>
      </c>
      <c r="AF29" s="967" t="s">
        <v>972</v>
      </c>
      <c r="AG29" s="968" t="s">
        <v>972</v>
      </c>
      <c r="AH29" s="1616" t="s">
        <v>972</v>
      </c>
      <c r="AI29" s="966" t="s">
        <v>972</v>
      </c>
      <c r="AJ29" s="960">
        <v>134.4</v>
      </c>
      <c r="AK29" s="960" t="s">
        <v>972</v>
      </c>
      <c r="AL29" s="961">
        <v>94.5</v>
      </c>
      <c r="AM29" s="952"/>
      <c r="AN29" s="969" t="s">
        <v>972</v>
      </c>
      <c r="AO29" s="963" t="s">
        <v>972</v>
      </c>
      <c r="AP29" s="967" t="s">
        <v>972</v>
      </c>
      <c r="AQ29" s="970">
        <v>0</v>
      </c>
      <c r="AR29" s="2462" t="s">
        <v>972</v>
      </c>
      <c r="AS29" s="968" t="s">
        <v>972</v>
      </c>
      <c r="AT29" s="968"/>
      <c r="AU29" s="2581"/>
      <c r="AV29" s="2582"/>
      <c r="AW29" s="1764">
        <v>0</v>
      </c>
      <c r="AX29" s="968" t="s">
        <v>972</v>
      </c>
      <c r="AY29" s="968">
        <v>95000</v>
      </c>
      <c r="AZ29" s="971" t="s">
        <v>668</v>
      </c>
      <c r="BA29" s="956"/>
      <c r="BC29" s="972">
        <v>14</v>
      </c>
      <c r="BD29" s="973">
        <v>6</v>
      </c>
      <c r="BE29" s="973">
        <v>3</v>
      </c>
      <c r="BF29" s="973">
        <v>3</v>
      </c>
      <c r="BG29" s="973">
        <v>4</v>
      </c>
      <c r="BH29" s="973">
        <v>1</v>
      </c>
      <c r="BI29" s="973">
        <v>1</v>
      </c>
      <c r="BJ29" s="973">
        <v>4</v>
      </c>
      <c r="BK29" s="973">
        <v>2</v>
      </c>
      <c r="BL29" s="2201">
        <v>60.4</v>
      </c>
      <c r="BM29" s="2091">
        <v>1.9261667737752162</v>
      </c>
      <c r="BN29" s="2091">
        <v>0.53864409221902021</v>
      </c>
      <c r="BO29" s="2101">
        <v>58.295999999999999</v>
      </c>
      <c r="BP29" s="2091">
        <v>0.39</v>
      </c>
      <c r="BR29" s="1864">
        <f t="shared" si="8"/>
        <v>19</v>
      </c>
      <c r="BS29" s="1859">
        <f t="shared" si="6"/>
        <v>38900</v>
      </c>
      <c r="BT29" s="1866">
        <f t="shared" si="7"/>
        <v>24</v>
      </c>
      <c r="BV29" s="1875">
        <f t="shared" si="9"/>
        <v>19</v>
      </c>
      <c r="BW29" s="1858">
        <v>7</v>
      </c>
      <c r="BX29" s="1858">
        <v>7</v>
      </c>
      <c r="BY29" s="1858">
        <v>30</v>
      </c>
      <c r="BZ29" s="1858">
        <v>8</v>
      </c>
      <c r="CA29" s="1858">
        <v>9</v>
      </c>
      <c r="CB29" s="1858">
        <v>30</v>
      </c>
      <c r="CC29" s="1858">
        <v>7</v>
      </c>
      <c r="CD29" s="1858">
        <v>14</v>
      </c>
      <c r="CE29" s="1858">
        <v>30</v>
      </c>
      <c r="CF29" s="1858">
        <v>20</v>
      </c>
      <c r="CG29" s="1858">
        <v>4</v>
      </c>
      <c r="CH29" s="1858">
        <v>30</v>
      </c>
      <c r="CI29" s="1858">
        <v>7</v>
      </c>
      <c r="CJ29" s="1858">
        <v>2</v>
      </c>
      <c r="CK29" s="1858">
        <v>30</v>
      </c>
      <c r="CL29" s="1858">
        <v>30</v>
      </c>
      <c r="CM29" s="1858">
        <v>7</v>
      </c>
      <c r="CN29" s="1858">
        <v>10</v>
      </c>
      <c r="CO29" s="1858">
        <v>7</v>
      </c>
      <c r="CP29" s="1858">
        <v>30</v>
      </c>
      <c r="CQ29" s="1858">
        <v>30</v>
      </c>
      <c r="CR29" s="1858">
        <v>5</v>
      </c>
      <c r="CS29" s="1858">
        <v>5</v>
      </c>
      <c r="CT29" s="1858">
        <v>30</v>
      </c>
      <c r="CU29" s="1858"/>
      <c r="CV29" s="1858"/>
      <c r="CW29" s="1858"/>
      <c r="CX29" s="1858"/>
      <c r="CY29" s="1858"/>
      <c r="CZ29" s="1858"/>
      <c r="DA29" s="1858"/>
      <c r="DB29" s="1858"/>
      <c r="DC29" s="1858"/>
      <c r="DD29" s="1858"/>
      <c r="DE29" s="1858"/>
      <c r="DF29" s="1858"/>
      <c r="DG29" s="1858"/>
      <c r="DH29" s="1858"/>
      <c r="DI29" s="1858"/>
      <c r="DJ29" s="1858"/>
      <c r="DL29" s="2441"/>
    </row>
    <row r="30" spans="2:116" ht="15.6">
      <c r="B30" s="958">
        <f t="shared" si="5"/>
        <v>20</v>
      </c>
      <c r="C30" s="959">
        <v>18</v>
      </c>
      <c r="D30" s="960" t="s">
        <v>972</v>
      </c>
      <c r="E30" s="960" t="s">
        <v>972</v>
      </c>
      <c r="F30" s="960">
        <v>0</v>
      </c>
      <c r="G30" s="961">
        <v>6.7</v>
      </c>
      <c r="H30" s="960">
        <v>6.9</v>
      </c>
      <c r="I30" s="960">
        <v>6.5</v>
      </c>
      <c r="J30" s="960">
        <v>6.8</v>
      </c>
      <c r="K30" s="960">
        <v>7</v>
      </c>
      <c r="L30" s="960">
        <v>6.6</v>
      </c>
      <c r="M30" s="960">
        <v>6.5</v>
      </c>
      <c r="N30" s="960">
        <v>6.8</v>
      </c>
      <c r="O30" s="960">
        <v>6.2</v>
      </c>
      <c r="P30" s="962" t="s">
        <v>972</v>
      </c>
      <c r="Q30" s="963">
        <v>73</v>
      </c>
      <c r="R30" s="964">
        <v>0.26</v>
      </c>
      <c r="S30" s="965">
        <v>0.42</v>
      </c>
      <c r="T30" s="961">
        <v>4.68</v>
      </c>
      <c r="U30" s="960">
        <v>4.68</v>
      </c>
      <c r="V30" s="960">
        <v>5.98</v>
      </c>
      <c r="W30" s="960">
        <v>4.6100000000000003</v>
      </c>
      <c r="X30" s="960">
        <v>5.0199999999999996</v>
      </c>
      <c r="Y30" s="966">
        <v>140</v>
      </c>
      <c r="Z30" s="966">
        <v>520</v>
      </c>
      <c r="AA30" s="966">
        <v>270</v>
      </c>
      <c r="AB30" s="960" t="s">
        <v>972</v>
      </c>
      <c r="AC30" s="959">
        <v>103</v>
      </c>
      <c r="AD30" s="1424" t="s">
        <v>972</v>
      </c>
      <c r="AE30" s="2168">
        <v>59.1</v>
      </c>
      <c r="AF30" s="967" t="s">
        <v>972</v>
      </c>
      <c r="AG30" s="968" t="s">
        <v>972</v>
      </c>
      <c r="AH30" s="1616" t="s">
        <v>972</v>
      </c>
      <c r="AI30" s="966" t="s">
        <v>972</v>
      </c>
      <c r="AJ30" s="960">
        <v>140.80000000000001</v>
      </c>
      <c r="AK30" s="960" t="s">
        <v>972</v>
      </c>
      <c r="AL30" s="961">
        <v>94</v>
      </c>
      <c r="AM30" s="952"/>
      <c r="AN30" s="969" t="s">
        <v>972</v>
      </c>
      <c r="AO30" s="963" t="s">
        <v>972</v>
      </c>
      <c r="AP30" s="967" t="s">
        <v>972</v>
      </c>
      <c r="AQ30" s="970">
        <v>0</v>
      </c>
      <c r="AR30" s="2462" t="s">
        <v>972</v>
      </c>
      <c r="AS30" s="968" t="s">
        <v>972</v>
      </c>
      <c r="AT30" s="968"/>
      <c r="AU30" s="2581"/>
      <c r="AV30" s="2582"/>
      <c r="AW30" s="1764">
        <v>0</v>
      </c>
      <c r="AX30" s="968" t="s">
        <v>972</v>
      </c>
      <c r="AY30" s="968">
        <v>82000</v>
      </c>
      <c r="AZ30" s="971" t="s">
        <v>668</v>
      </c>
      <c r="BA30" s="956"/>
      <c r="BC30" s="972">
        <v>14</v>
      </c>
      <c r="BD30" s="973">
        <v>6</v>
      </c>
      <c r="BE30" s="973">
        <v>3</v>
      </c>
      <c r="BF30" s="973">
        <v>3</v>
      </c>
      <c r="BG30" s="973">
        <v>4</v>
      </c>
      <c r="BH30" s="973">
        <v>1</v>
      </c>
      <c r="BI30" s="973">
        <v>1</v>
      </c>
      <c r="BJ30" s="973">
        <v>4</v>
      </c>
      <c r="BK30" s="973">
        <v>2</v>
      </c>
      <c r="BL30" s="2201">
        <v>61.9</v>
      </c>
      <c r="BM30" s="2091">
        <v>1.4231256585014407</v>
      </c>
      <c r="BN30" s="2091">
        <v>0.75518218443804042</v>
      </c>
      <c r="BO30" s="2101">
        <v>57.627839999999999</v>
      </c>
      <c r="BP30" s="2091">
        <v>0.37</v>
      </c>
      <c r="BR30" s="1864">
        <f t="shared" si="8"/>
        <v>20</v>
      </c>
      <c r="BS30" s="1859">
        <f t="shared" si="6"/>
        <v>56070.000000000007</v>
      </c>
      <c r="BT30" s="1866">
        <f t="shared" si="7"/>
        <v>34</v>
      </c>
      <c r="BV30" s="1875">
        <f t="shared" si="9"/>
        <v>20</v>
      </c>
      <c r="BW30" s="1858">
        <v>7</v>
      </c>
      <c r="BX30" s="1858">
        <v>10</v>
      </c>
      <c r="BY30" s="1858">
        <v>35</v>
      </c>
      <c r="BZ30" s="1858">
        <v>30</v>
      </c>
      <c r="CA30" s="1858">
        <v>30</v>
      </c>
      <c r="CB30" s="1858">
        <v>10</v>
      </c>
      <c r="CC30" s="1858">
        <v>47</v>
      </c>
      <c r="CD30" s="1858">
        <v>5</v>
      </c>
      <c r="CE30" s="1858">
        <v>5.5</v>
      </c>
      <c r="CF30" s="1858">
        <v>7</v>
      </c>
      <c r="CG30" s="1858">
        <v>28</v>
      </c>
      <c r="CH30" s="1858">
        <v>20</v>
      </c>
      <c r="CI30" s="1858">
        <v>3</v>
      </c>
      <c r="CJ30" s="1858">
        <v>30</v>
      </c>
      <c r="CK30" s="1858">
        <v>5</v>
      </c>
      <c r="CL30" s="1858">
        <v>6</v>
      </c>
      <c r="CM30" s="1858">
        <v>30</v>
      </c>
      <c r="CN30" s="1858">
        <v>10</v>
      </c>
      <c r="CO30" s="1858">
        <v>11.2</v>
      </c>
      <c r="CP30" s="2202">
        <v>30</v>
      </c>
      <c r="CQ30" s="1858">
        <v>30</v>
      </c>
      <c r="CR30" s="1858">
        <v>30</v>
      </c>
      <c r="CS30" s="1858">
        <v>7</v>
      </c>
      <c r="CT30" s="1858">
        <v>6</v>
      </c>
      <c r="CU30" s="1858">
        <v>4</v>
      </c>
      <c r="CV30" s="1858">
        <v>7</v>
      </c>
      <c r="CW30" s="1858">
        <v>6</v>
      </c>
      <c r="CX30" s="1858">
        <v>35</v>
      </c>
      <c r="CY30" s="1858">
        <v>6</v>
      </c>
      <c r="CZ30" s="1858">
        <v>7</v>
      </c>
      <c r="DA30" s="1858">
        <v>20</v>
      </c>
      <c r="DB30" s="1858">
        <v>6</v>
      </c>
      <c r="DC30" s="1858">
        <v>30</v>
      </c>
      <c r="DD30" s="1858">
        <v>7</v>
      </c>
      <c r="DE30" s="1858"/>
      <c r="DF30" s="1858"/>
      <c r="DG30" s="1858"/>
      <c r="DH30" s="1858"/>
      <c r="DI30" s="1858"/>
      <c r="DJ30" s="1858"/>
      <c r="DL30" s="2441"/>
    </row>
    <row r="31" spans="2:116" ht="15.6">
      <c r="B31" s="958">
        <f t="shared" si="5"/>
        <v>21</v>
      </c>
      <c r="C31" s="959">
        <v>17</v>
      </c>
      <c r="D31" s="960" t="s">
        <v>972</v>
      </c>
      <c r="E31" s="960" t="s">
        <v>972</v>
      </c>
      <c r="F31" s="960">
        <v>0</v>
      </c>
      <c r="G31" s="961">
        <v>6.8</v>
      </c>
      <c r="H31" s="960">
        <v>7</v>
      </c>
      <c r="I31" s="960">
        <v>6.6</v>
      </c>
      <c r="J31" s="960">
        <v>6.7</v>
      </c>
      <c r="K31" s="960">
        <v>7.1</v>
      </c>
      <c r="L31" s="960">
        <v>6.6</v>
      </c>
      <c r="M31" s="960">
        <v>6.5</v>
      </c>
      <c r="N31" s="960">
        <v>7.1</v>
      </c>
      <c r="O31" s="960">
        <v>6.3</v>
      </c>
      <c r="P31" s="962" t="s">
        <v>972</v>
      </c>
      <c r="Q31" s="963">
        <v>39</v>
      </c>
      <c r="R31" s="964">
        <v>0.41</v>
      </c>
      <c r="S31" s="965">
        <v>0.37</v>
      </c>
      <c r="T31" s="961">
        <v>4.6399999999999997</v>
      </c>
      <c r="U31" s="960">
        <v>4.26</v>
      </c>
      <c r="V31" s="960">
        <v>4.33</v>
      </c>
      <c r="W31" s="960">
        <v>4.3600000000000003</v>
      </c>
      <c r="X31" s="960">
        <v>4.47</v>
      </c>
      <c r="Y31" s="966">
        <v>130</v>
      </c>
      <c r="Z31" s="966">
        <v>460</v>
      </c>
      <c r="AA31" s="966">
        <v>240</v>
      </c>
      <c r="AB31" s="960" t="s">
        <v>972</v>
      </c>
      <c r="AC31" s="959">
        <v>102</v>
      </c>
      <c r="AD31" s="1424" t="s">
        <v>972</v>
      </c>
      <c r="AE31" s="2168">
        <v>90.4</v>
      </c>
      <c r="AF31" s="967" t="s">
        <v>972</v>
      </c>
      <c r="AG31" s="968" t="s">
        <v>972</v>
      </c>
      <c r="AH31" s="1616" t="s">
        <v>972</v>
      </c>
      <c r="AI31" s="966" t="s">
        <v>972</v>
      </c>
      <c r="AJ31" s="960">
        <v>128</v>
      </c>
      <c r="AK31" s="960" t="s">
        <v>972</v>
      </c>
      <c r="AL31" s="961">
        <v>94.2</v>
      </c>
      <c r="AM31" s="952"/>
      <c r="AN31" s="969" t="s">
        <v>972</v>
      </c>
      <c r="AO31" s="963" t="s">
        <v>972</v>
      </c>
      <c r="AP31" s="967" t="s">
        <v>972</v>
      </c>
      <c r="AQ31" s="970">
        <v>0</v>
      </c>
      <c r="AR31" s="2462" t="s">
        <v>972</v>
      </c>
      <c r="AS31" s="968" t="s">
        <v>972</v>
      </c>
      <c r="AT31" s="968"/>
      <c r="AU31" s="2581"/>
      <c r="AV31" s="2582"/>
      <c r="AW31" s="1764">
        <v>0</v>
      </c>
      <c r="AX31" s="968" t="s">
        <v>972</v>
      </c>
      <c r="AY31" s="968">
        <v>81000</v>
      </c>
      <c r="AZ31" s="971" t="s">
        <v>668</v>
      </c>
      <c r="BA31" s="956"/>
      <c r="BC31" s="972">
        <v>14</v>
      </c>
      <c r="BD31" s="973">
        <v>6</v>
      </c>
      <c r="BE31" s="973">
        <v>3</v>
      </c>
      <c r="BF31" s="973">
        <v>3</v>
      </c>
      <c r="BG31" s="973">
        <v>4</v>
      </c>
      <c r="BH31" s="973">
        <v>1</v>
      </c>
      <c r="BI31" s="973">
        <v>1</v>
      </c>
      <c r="BJ31" s="973">
        <v>4</v>
      </c>
      <c r="BK31" s="973">
        <v>2</v>
      </c>
      <c r="BL31" s="2201">
        <v>61.8</v>
      </c>
      <c r="BM31" s="2091">
        <v>0.74047761239193077</v>
      </c>
      <c r="BN31" s="2091">
        <v>0.93921663544668577</v>
      </c>
      <c r="BO31" s="2101">
        <v>57.627839999999999</v>
      </c>
      <c r="BP31" s="2091">
        <v>1.32</v>
      </c>
      <c r="BR31" s="1864">
        <f>+BR30+1</f>
        <v>21</v>
      </c>
      <c r="BS31" s="1859">
        <f t="shared" si="6"/>
        <v>52400</v>
      </c>
      <c r="BT31" s="1866">
        <f t="shared" si="7"/>
        <v>31</v>
      </c>
      <c r="BV31" s="1875">
        <f t="shared" si="9"/>
        <v>21</v>
      </c>
      <c r="BW31" s="1858">
        <v>7</v>
      </c>
      <c r="BX31" s="1858">
        <v>6</v>
      </c>
      <c r="BY31" s="1858">
        <v>30</v>
      </c>
      <c r="BZ31" s="2202">
        <v>30</v>
      </c>
      <c r="CA31" s="1858">
        <v>2.5</v>
      </c>
      <c r="CB31" s="1858">
        <v>30</v>
      </c>
      <c r="CC31" s="1858">
        <v>10</v>
      </c>
      <c r="CD31" s="1858">
        <v>3.5</v>
      </c>
      <c r="CE31" s="1858">
        <v>5</v>
      </c>
      <c r="CF31" s="1858">
        <v>7</v>
      </c>
      <c r="CG31" s="1858">
        <v>30</v>
      </c>
      <c r="CH31" s="1858">
        <v>9</v>
      </c>
      <c r="CI31" s="1858">
        <v>35</v>
      </c>
      <c r="CJ31" s="1858">
        <v>13</v>
      </c>
      <c r="CK31" s="1858">
        <v>25</v>
      </c>
      <c r="CL31" s="1858">
        <v>5</v>
      </c>
      <c r="CM31" s="1858">
        <v>6</v>
      </c>
      <c r="CN31" s="1858">
        <v>6</v>
      </c>
      <c r="CO31" s="1858">
        <v>30</v>
      </c>
      <c r="CP31" s="1858">
        <v>30</v>
      </c>
      <c r="CQ31" s="1858">
        <v>30</v>
      </c>
      <c r="CR31" s="1858">
        <v>10</v>
      </c>
      <c r="CS31" s="1858">
        <v>30</v>
      </c>
      <c r="CT31" s="1858">
        <v>8</v>
      </c>
      <c r="CU31" s="1858">
        <v>20</v>
      </c>
      <c r="CV31" s="1858">
        <v>7</v>
      </c>
      <c r="CW31" s="1858">
        <v>30</v>
      </c>
      <c r="CX31" s="1858">
        <v>5</v>
      </c>
      <c r="CY31" s="1858">
        <v>48</v>
      </c>
      <c r="CZ31" s="1858">
        <v>6</v>
      </c>
      <c r="DA31" s="1858">
        <v>10</v>
      </c>
      <c r="DB31" s="1858"/>
      <c r="DC31" s="1858"/>
      <c r="DD31" s="1858"/>
      <c r="DE31" s="1858"/>
      <c r="DF31" s="1858"/>
      <c r="DG31" s="1858"/>
      <c r="DH31" s="1858"/>
      <c r="DI31" s="1858"/>
      <c r="DJ31" s="1858"/>
      <c r="DL31" s="2441"/>
    </row>
    <row r="32" spans="2:116" ht="15.6">
      <c r="B32" s="958">
        <f t="shared" si="5"/>
        <v>22</v>
      </c>
      <c r="C32" s="959">
        <v>17</v>
      </c>
      <c r="D32" s="960" t="s">
        <v>972</v>
      </c>
      <c r="E32" s="960" t="s">
        <v>972</v>
      </c>
      <c r="F32" s="960">
        <v>0</v>
      </c>
      <c r="G32" s="961">
        <v>6.8</v>
      </c>
      <c r="H32" s="960">
        <v>7</v>
      </c>
      <c r="I32" s="960">
        <v>6.6</v>
      </c>
      <c r="J32" s="960">
        <v>6.8</v>
      </c>
      <c r="K32" s="960">
        <v>7</v>
      </c>
      <c r="L32" s="960">
        <v>6.7</v>
      </c>
      <c r="M32" s="960">
        <v>6.5</v>
      </c>
      <c r="N32" s="960">
        <v>6.7</v>
      </c>
      <c r="O32" s="960">
        <v>6.3</v>
      </c>
      <c r="P32" s="962" t="s">
        <v>972</v>
      </c>
      <c r="Q32" s="963">
        <v>40</v>
      </c>
      <c r="R32" s="964">
        <v>0.48</v>
      </c>
      <c r="S32" s="965">
        <v>0.42</v>
      </c>
      <c r="T32" s="961">
        <v>4.71</v>
      </c>
      <c r="U32" s="960">
        <v>5.63</v>
      </c>
      <c r="V32" s="960">
        <v>4.53</v>
      </c>
      <c r="W32" s="960">
        <v>4.5599999999999996</v>
      </c>
      <c r="X32" s="960">
        <v>4.5599999999999996</v>
      </c>
      <c r="Y32" s="966">
        <v>140</v>
      </c>
      <c r="Z32" s="966">
        <v>350</v>
      </c>
      <c r="AA32" s="966">
        <v>210</v>
      </c>
      <c r="AB32" s="960" t="s">
        <v>972</v>
      </c>
      <c r="AC32" s="959">
        <v>100</v>
      </c>
      <c r="AD32" s="1424" t="s">
        <v>1313</v>
      </c>
      <c r="AE32" s="2168">
        <v>57.4</v>
      </c>
      <c r="AF32" s="967" t="s">
        <v>972</v>
      </c>
      <c r="AG32" s="968" t="s">
        <v>972</v>
      </c>
      <c r="AH32" s="1616" t="s">
        <v>972</v>
      </c>
      <c r="AI32" s="966" t="s">
        <v>972</v>
      </c>
      <c r="AJ32" s="960">
        <v>134.4</v>
      </c>
      <c r="AK32" s="960" t="s">
        <v>972</v>
      </c>
      <c r="AL32" s="961">
        <v>100.3</v>
      </c>
      <c r="AM32" s="952"/>
      <c r="AN32" s="969" t="s">
        <v>972</v>
      </c>
      <c r="AO32" s="963" t="s">
        <v>972</v>
      </c>
      <c r="AP32" s="967" t="s">
        <v>972</v>
      </c>
      <c r="AQ32" s="970">
        <v>0</v>
      </c>
      <c r="AR32" s="2462" t="s">
        <v>972</v>
      </c>
      <c r="AS32" s="968" t="s">
        <v>972</v>
      </c>
      <c r="AT32" s="968"/>
      <c r="AU32" s="2581"/>
      <c r="AV32" s="2582"/>
      <c r="AW32" s="1764">
        <v>0</v>
      </c>
      <c r="AX32" s="968" t="s">
        <v>972</v>
      </c>
      <c r="AY32" s="968">
        <v>99000</v>
      </c>
      <c r="AZ32" s="971" t="s">
        <v>668</v>
      </c>
      <c r="BA32" s="956"/>
      <c r="BC32" s="972">
        <v>14</v>
      </c>
      <c r="BD32" s="973">
        <v>6</v>
      </c>
      <c r="BE32" s="973">
        <v>3</v>
      </c>
      <c r="BF32" s="973">
        <v>3</v>
      </c>
      <c r="BG32" s="973">
        <v>4</v>
      </c>
      <c r="BH32" s="973">
        <v>1</v>
      </c>
      <c r="BI32" s="973">
        <v>1</v>
      </c>
      <c r="BJ32" s="973">
        <v>4</v>
      </c>
      <c r="BK32" s="973">
        <v>2</v>
      </c>
      <c r="BL32" s="2201">
        <v>62</v>
      </c>
      <c r="BM32" s="2091">
        <v>1.1767672319884726</v>
      </c>
      <c r="BN32" s="2091">
        <v>0.93305296397694526</v>
      </c>
      <c r="BO32" s="2101">
        <v>58.388160000000006</v>
      </c>
      <c r="BP32" s="2091">
        <v>0.42</v>
      </c>
      <c r="BR32" s="1864">
        <f t="shared" si="8"/>
        <v>22</v>
      </c>
      <c r="BS32" s="1859">
        <f t="shared" si="6"/>
        <v>14000</v>
      </c>
      <c r="BT32" s="1866">
        <f t="shared" si="7"/>
        <v>8</v>
      </c>
      <c r="BV32" s="1875">
        <f t="shared" si="9"/>
        <v>22</v>
      </c>
      <c r="BW32" s="1858">
        <v>30</v>
      </c>
      <c r="BX32" s="1858">
        <v>30</v>
      </c>
      <c r="BY32" s="1858">
        <v>25</v>
      </c>
      <c r="BZ32" s="1858">
        <v>6</v>
      </c>
      <c r="CA32" s="1858">
        <v>6</v>
      </c>
      <c r="CB32" s="1858">
        <v>6</v>
      </c>
      <c r="CC32" s="1858">
        <v>7</v>
      </c>
      <c r="CD32" s="1858">
        <v>30</v>
      </c>
      <c r="CE32" s="1858"/>
      <c r="CF32" s="1858"/>
      <c r="CG32" s="1858"/>
      <c r="CH32" s="1858"/>
      <c r="CI32" s="1858"/>
      <c r="CJ32" s="1858"/>
      <c r="CK32" s="1858"/>
      <c r="CL32" s="1858"/>
      <c r="CM32" s="1858"/>
      <c r="CN32" s="1858"/>
      <c r="CO32" s="1858"/>
      <c r="CP32" s="1858"/>
      <c r="CQ32" s="1858"/>
      <c r="CR32" s="1858"/>
      <c r="CS32" s="1858"/>
      <c r="CT32" s="1858"/>
      <c r="CU32" s="1858"/>
      <c r="CV32" s="1858"/>
      <c r="CW32" s="1858"/>
      <c r="CX32" s="1858"/>
      <c r="CY32" s="1858"/>
      <c r="CZ32" s="1858"/>
      <c r="DA32" s="1858"/>
      <c r="DB32" s="1858"/>
      <c r="DC32" s="1858"/>
      <c r="DD32" s="1858"/>
      <c r="DE32" s="1858"/>
      <c r="DF32" s="1858"/>
      <c r="DG32" s="1858"/>
      <c r="DH32" s="1858"/>
      <c r="DI32" s="1858"/>
      <c r="DJ32" s="1858"/>
      <c r="DL32" s="2441"/>
    </row>
    <row r="33" spans="2:116" ht="15.6">
      <c r="B33" s="958">
        <f t="shared" si="5"/>
        <v>23</v>
      </c>
      <c r="C33" s="959">
        <v>12</v>
      </c>
      <c r="D33" s="960" t="s">
        <v>972</v>
      </c>
      <c r="E33" s="960" t="s">
        <v>972</v>
      </c>
      <c r="F33" s="960">
        <v>0</v>
      </c>
      <c r="G33" s="961">
        <v>6.9</v>
      </c>
      <c r="H33" s="960">
        <v>7</v>
      </c>
      <c r="I33" s="960">
        <v>6.7</v>
      </c>
      <c r="J33" s="960">
        <v>6.8</v>
      </c>
      <c r="K33" s="960">
        <v>6.9</v>
      </c>
      <c r="L33" s="960">
        <v>6.7</v>
      </c>
      <c r="M33" s="960">
        <v>6.7</v>
      </c>
      <c r="N33" s="960">
        <v>6.8</v>
      </c>
      <c r="O33" s="960">
        <v>6.6</v>
      </c>
      <c r="P33" s="962" t="s">
        <v>972</v>
      </c>
      <c r="Q33" s="2590" t="s">
        <v>972</v>
      </c>
      <c r="R33" s="2591" t="s">
        <v>972</v>
      </c>
      <c r="S33" s="965">
        <v>0.42</v>
      </c>
      <c r="T33" s="961">
        <v>4.41</v>
      </c>
      <c r="U33" s="960">
        <v>4.41</v>
      </c>
      <c r="V33" s="960">
        <v>7.58</v>
      </c>
      <c r="W33" s="960">
        <v>4.7300000000000004</v>
      </c>
      <c r="X33" s="960">
        <v>4.3899999999999997</v>
      </c>
      <c r="Y33" s="966">
        <v>140</v>
      </c>
      <c r="Z33" s="966">
        <v>360</v>
      </c>
      <c r="AA33" s="966">
        <v>210</v>
      </c>
      <c r="AB33" s="960" t="s">
        <v>972</v>
      </c>
      <c r="AC33" s="959">
        <v>102</v>
      </c>
      <c r="AD33" s="1424" t="s">
        <v>1313</v>
      </c>
      <c r="AE33" s="2168">
        <v>37.799999999999997</v>
      </c>
      <c r="AF33" s="967" t="s">
        <v>972</v>
      </c>
      <c r="AG33" s="968" t="s">
        <v>972</v>
      </c>
      <c r="AH33" s="1616" t="s">
        <v>972</v>
      </c>
      <c r="AI33" s="966" t="s">
        <v>972</v>
      </c>
      <c r="AJ33" s="960">
        <v>137.6</v>
      </c>
      <c r="AK33" s="960" t="s">
        <v>972</v>
      </c>
      <c r="AL33" s="961">
        <v>98.4</v>
      </c>
      <c r="AM33" s="952"/>
      <c r="AN33" s="969" t="s">
        <v>972</v>
      </c>
      <c r="AO33" s="963" t="s">
        <v>972</v>
      </c>
      <c r="AP33" s="967" t="s">
        <v>972</v>
      </c>
      <c r="AQ33" s="970">
        <v>0</v>
      </c>
      <c r="AR33" s="2462" t="s">
        <v>972</v>
      </c>
      <c r="AS33" s="968" t="s">
        <v>972</v>
      </c>
      <c r="AT33" s="968"/>
      <c r="AU33" s="2581"/>
      <c r="AV33" s="2582"/>
      <c r="AW33" s="1764">
        <v>0</v>
      </c>
      <c r="AX33" s="968" t="s">
        <v>972</v>
      </c>
      <c r="AY33" s="968"/>
      <c r="AZ33" s="971" t="s">
        <v>1457</v>
      </c>
      <c r="BA33" s="956"/>
      <c r="BC33" s="972">
        <v>14</v>
      </c>
      <c r="BD33" s="973">
        <v>6</v>
      </c>
      <c r="BE33" s="973">
        <v>3</v>
      </c>
      <c r="BF33" s="973">
        <v>3</v>
      </c>
      <c r="BG33" s="973">
        <v>4</v>
      </c>
      <c r="BH33" s="973">
        <v>1</v>
      </c>
      <c r="BI33" s="973">
        <v>1</v>
      </c>
      <c r="BJ33" s="973">
        <v>4</v>
      </c>
      <c r="BK33" s="973">
        <v>2</v>
      </c>
      <c r="BL33" s="2201">
        <v>61.9</v>
      </c>
      <c r="BM33" s="2091">
        <v>1.3929470273775215</v>
      </c>
      <c r="BN33" s="2091">
        <v>0.92853020605187309</v>
      </c>
      <c r="BO33" s="2101">
        <v>57.515999999999998</v>
      </c>
      <c r="BP33" s="2091">
        <v>0.26</v>
      </c>
      <c r="BR33" s="1864">
        <f t="shared" si="8"/>
        <v>23</v>
      </c>
      <c r="BS33" s="1859">
        <f t="shared" si="6"/>
        <v>0</v>
      </c>
      <c r="BT33" s="1866">
        <f t="shared" si="7"/>
        <v>0</v>
      </c>
      <c r="BV33" s="1875">
        <f t="shared" si="9"/>
        <v>23</v>
      </c>
      <c r="BW33" s="1858"/>
      <c r="BX33" s="1858"/>
      <c r="BY33" s="1858"/>
      <c r="BZ33" s="1858"/>
      <c r="CA33" s="1858"/>
      <c r="CB33" s="1858"/>
      <c r="CC33" s="1858"/>
      <c r="CD33" s="1858"/>
      <c r="CE33" s="1858"/>
      <c r="CF33" s="1858"/>
      <c r="CG33" s="1858"/>
      <c r="CH33" s="1858"/>
      <c r="CI33" s="1858"/>
      <c r="CJ33" s="1858"/>
      <c r="CK33" s="1858"/>
      <c r="CL33" s="1858"/>
      <c r="CM33" s="1858"/>
      <c r="CN33" s="1858"/>
      <c r="CO33" s="1858"/>
      <c r="CP33" s="1858"/>
      <c r="CQ33" s="1858"/>
      <c r="CR33" s="1858"/>
      <c r="CS33" s="1858"/>
      <c r="CT33" s="1858"/>
      <c r="CU33" s="1858"/>
      <c r="CV33" s="1858"/>
      <c r="CW33" s="1858"/>
      <c r="CX33" s="1858"/>
      <c r="CY33" s="1858"/>
      <c r="CZ33" s="1858"/>
      <c r="DA33" s="1858"/>
      <c r="DB33" s="1858"/>
      <c r="DC33" s="1858"/>
      <c r="DD33" s="1858"/>
      <c r="DE33" s="1858"/>
      <c r="DF33" s="1858"/>
      <c r="DG33" s="1858"/>
      <c r="DH33" s="1858"/>
      <c r="DI33" s="1858"/>
      <c r="DJ33" s="1858"/>
      <c r="DL33" s="2441"/>
    </row>
    <row r="34" spans="2:116" ht="15.6">
      <c r="B34" s="958">
        <f t="shared" si="5"/>
        <v>24</v>
      </c>
      <c r="C34" s="959">
        <v>14</v>
      </c>
      <c r="D34" s="960" t="s">
        <v>972</v>
      </c>
      <c r="E34" s="960" t="s">
        <v>972</v>
      </c>
      <c r="F34" s="960">
        <v>0</v>
      </c>
      <c r="G34" s="961">
        <v>6.9</v>
      </c>
      <c r="H34" s="960">
        <v>7</v>
      </c>
      <c r="I34" s="960">
        <v>6.7</v>
      </c>
      <c r="J34" s="960">
        <v>6.8</v>
      </c>
      <c r="K34" s="960">
        <v>7</v>
      </c>
      <c r="L34" s="960">
        <v>6.7</v>
      </c>
      <c r="M34" s="960">
        <v>6.7</v>
      </c>
      <c r="N34" s="960">
        <v>6.9</v>
      </c>
      <c r="O34" s="960">
        <v>6.6</v>
      </c>
      <c r="P34" s="962" t="s">
        <v>972</v>
      </c>
      <c r="Q34" s="963">
        <v>25</v>
      </c>
      <c r="R34" s="964">
        <v>0.5</v>
      </c>
      <c r="S34" s="965">
        <v>0.48</v>
      </c>
      <c r="T34" s="961">
        <v>6.68</v>
      </c>
      <c r="U34" s="960">
        <v>5.72</v>
      </c>
      <c r="V34" s="960">
        <v>5.8</v>
      </c>
      <c r="W34" s="960">
        <v>8.41</v>
      </c>
      <c r="X34" s="960">
        <v>7.64</v>
      </c>
      <c r="Y34" s="966">
        <v>180</v>
      </c>
      <c r="Z34" s="966">
        <v>470</v>
      </c>
      <c r="AA34" s="966">
        <v>280</v>
      </c>
      <c r="AB34" s="960" t="s">
        <v>972</v>
      </c>
      <c r="AC34" s="959">
        <v>102</v>
      </c>
      <c r="AD34" s="1424" t="s">
        <v>1313</v>
      </c>
      <c r="AE34" s="2168">
        <v>63.8</v>
      </c>
      <c r="AF34" s="967" t="s">
        <v>972</v>
      </c>
      <c r="AG34" s="968" t="s">
        <v>972</v>
      </c>
      <c r="AH34" s="1616" t="s">
        <v>972</v>
      </c>
      <c r="AI34" s="966" t="s">
        <v>972</v>
      </c>
      <c r="AJ34" s="960">
        <v>153.60000000000002</v>
      </c>
      <c r="AK34" s="960" t="s">
        <v>972</v>
      </c>
      <c r="AL34" s="961">
        <v>99.4</v>
      </c>
      <c r="AM34" s="952"/>
      <c r="AN34" s="969" t="s">
        <v>972</v>
      </c>
      <c r="AO34" s="963" t="s">
        <v>972</v>
      </c>
      <c r="AP34" s="967" t="s">
        <v>972</v>
      </c>
      <c r="AQ34" s="970">
        <v>0</v>
      </c>
      <c r="AR34" s="2462" t="s">
        <v>972</v>
      </c>
      <c r="AS34" s="968" t="s">
        <v>972</v>
      </c>
      <c r="AT34" s="968"/>
      <c r="AU34" s="2581"/>
      <c r="AV34" s="2582"/>
      <c r="AW34" s="1764">
        <v>0</v>
      </c>
      <c r="AX34" s="968" t="s">
        <v>972</v>
      </c>
      <c r="AY34" s="968"/>
      <c r="AZ34" s="971" t="s">
        <v>1458</v>
      </c>
      <c r="BA34" s="956"/>
      <c r="BC34" s="972">
        <v>14</v>
      </c>
      <c r="BD34" s="973">
        <v>6</v>
      </c>
      <c r="BE34" s="973">
        <v>3</v>
      </c>
      <c r="BF34" s="973">
        <v>3</v>
      </c>
      <c r="BG34" s="973">
        <v>4</v>
      </c>
      <c r="BH34" s="973">
        <v>1</v>
      </c>
      <c r="BI34" s="973">
        <v>1</v>
      </c>
      <c r="BJ34" s="973">
        <v>4</v>
      </c>
      <c r="BK34" s="973">
        <v>2</v>
      </c>
      <c r="BL34" s="2201">
        <v>61.7</v>
      </c>
      <c r="BM34" s="2091">
        <v>1.8969080677233432</v>
      </c>
      <c r="BN34" s="2091">
        <v>0.89668498126801155</v>
      </c>
      <c r="BO34" s="2101">
        <v>57.731999999999999</v>
      </c>
      <c r="BP34" s="2091">
        <v>0.03</v>
      </c>
      <c r="BR34" s="1864">
        <f t="shared" si="8"/>
        <v>24</v>
      </c>
      <c r="BS34" s="1859">
        <f t="shared" si="6"/>
        <v>1000</v>
      </c>
      <c r="BT34" s="1866">
        <f t="shared" si="7"/>
        <v>2</v>
      </c>
      <c r="BV34" s="1875">
        <f t="shared" si="9"/>
        <v>24</v>
      </c>
      <c r="BW34" s="1858">
        <v>5</v>
      </c>
      <c r="BX34" s="1858">
        <v>5</v>
      </c>
      <c r="BY34" s="1858"/>
      <c r="BZ34" s="1858"/>
      <c r="CA34" s="1858"/>
      <c r="CB34" s="1858"/>
      <c r="CC34" s="1858"/>
      <c r="CD34" s="1858"/>
      <c r="CE34" s="1858"/>
      <c r="CF34" s="1858"/>
      <c r="CG34" s="1858"/>
      <c r="CH34" s="1858"/>
      <c r="CI34" s="1858"/>
      <c r="CJ34" s="1858"/>
      <c r="CK34" s="1858"/>
      <c r="CL34" s="1858"/>
      <c r="CM34" s="1858"/>
      <c r="CN34" s="1858"/>
      <c r="CO34" s="1858"/>
      <c r="CP34" s="1858"/>
      <c r="CQ34" s="1858"/>
      <c r="CR34" s="1858"/>
      <c r="CS34" s="1858"/>
      <c r="CT34" s="1858"/>
      <c r="CU34" s="1858"/>
      <c r="CV34" s="1858"/>
      <c r="CW34" s="1858"/>
      <c r="CX34" s="1858"/>
      <c r="CY34" s="1858"/>
      <c r="CZ34" s="1858"/>
      <c r="DA34" s="1858"/>
      <c r="DB34" s="1858"/>
      <c r="DC34" s="1858"/>
      <c r="DD34" s="1858"/>
      <c r="DE34" s="1858"/>
      <c r="DF34" s="1858"/>
      <c r="DG34" s="1858"/>
      <c r="DH34" s="1858"/>
      <c r="DI34" s="1858"/>
      <c r="DJ34" s="1858"/>
      <c r="DL34" s="2441"/>
    </row>
    <row r="35" spans="2:116" ht="15.6">
      <c r="B35" s="958">
        <f t="shared" si="5"/>
        <v>25</v>
      </c>
      <c r="C35" s="959">
        <v>17</v>
      </c>
      <c r="D35" s="960" t="s">
        <v>972</v>
      </c>
      <c r="E35" s="960" t="s">
        <v>972</v>
      </c>
      <c r="F35" s="960">
        <v>0</v>
      </c>
      <c r="G35" s="961">
        <v>6.9</v>
      </c>
      <c r="H35" s="960">
        <v>7.1</v>
      </c>
      <c r="I35" s="960">
        <v>6.7</v>
      </c>
      <c r="J35" s="960">
        <v>7</v>
      </c>
      <c r="K35" s="960">
        <v>7.1</v>
      </c>
      <c r="L35" s="960">
        <v>6.9</v>
      </c>
      <c r="M35" s="960">
        <v>6.7</v>
      </c>
      <c r="N35" s="960">
        <v>6.9</v>
      </c>
      <c r="O35" s="960">
        <v>6.5</v>
      </c>
      <c r="P35" s="962" t="s">
        <v>972</v>
      </c>
      <c r="Q35" s="963">
        <v>31</v>
      </c>
      <c r="R35" s="964">
        <v>0.38</v>
      </c>
      <c r="S35" s="965">
        <v>0.43</v>
      </c>
      <c r="T35" s="961">
        <v>4.8</v>
      </c>
      <c r="U35" s="960">
        <v>5.73</v>
      </c>
      <c r="V35" s="960">
        <v>4.8899999999999997</v>
      </c>
      <c r="W35" s="960">
        <v>6.5</v>
      </c>
      <c r="X35" s="960">
        <v>5.88</v>
      </c>
      <c r="Y35" s="966">
        <v>100</v>
      </c>
      <c r="Z35" s="966">
        <v>230</v>
      </c>
      <c r="AA35" s="966">
        <v>140</v>
      </c>
      <c r="AB35" s="960" t="s">
        <v>972</v>
      </c>
      <c r="AC35" s="959">
        <v>103</v>
      </c>
      <c r="AD35" s="1424" t="s">
        <v>972</v>
      </c>
      <c r="AE35" s="2168">
        <v>49.6</v>
      </c>
      <c r="AF35" s="967" t="s">
        <v>972</v>
      </c>
      <c r="AG35" s="968" t="s">
        <v>972</v>
      </c>
      <c r="AH35" s="1616" t="s">
        <v>972</v>
      </c>
      <c r="AI35" s="966" t="s">
        <v>972</v>
      </c>
      <c r="AJ35" s="960">
        <v>144</v>
      </c>
      <c r="AK35" s="960" t="s">
        <v>972</v>
      </c>
      <c r="AL35" s="961">
        <v>98</v>
      </c>
      <c r="AM35" s="952"/>
      <c r="AN35" s="969" t="s">
        <v>972</v>
      </c>
      <c r="AO35" s="963" t="s">
        <v>972</v>
      </c>
      <c r="AP35" s="967" t="s">
        <v>972</v>
      </c>
      <c r="AQ35" s="970">
        <v>0</v>
      </c>
      <c r="AR35" s="2462" t="s">
        <v>972</v>
      </c>
      <c r="AS35" s="968" t="s">
        <v>972</v>
      </c>
      <c r="AT35" s="968"/>
      <c r="AU35" s="2581"/>
      <c r="AV35" s="2582"/>
      <c r="AW35" s="1764">
        <v>0</v>
      </c>
      <c r="AX35" s="968" t="s">
        <v>972</v>
      </c>
      <c r="AY35" s="968">
        <v>46500</v>
      </c>
      <c r="AZ35" s="971" t="s">
        <v>668</v>
      </c>
      <c r="BA35" s="956"/>
      <c r="BC35" s="972">
        <v>14</v>
      </c>
      <c r="BD35" s="973">
        <v>6</v>
      </c>
      <c r="BE35" s="973">
        <v>3</v>
      </c>
      <c r="BF35" s="973">
        <v>3</v>
      </c>
      <c r="BG35" s="973">
        <v>4</v>
      </c>
      <c r="BH35" s="973">
        <v>1</v>
      </c>
      <c r="BI35" s="973">
        <v>1</v>
      </c>
      <c r="BJ35" s="973">
        <v>4</v>
      </c>
      <c r="BK35" s="973">
        <v>2</v>
      </c>
      <c r="BL35" s="2201">
        <v>62</v>
      </c>
      <c r="BM35" s="2091">
        <v>1.7494262867435157</v>
      </c>
      <c r="BN35" s="2091">
        <v>0.76031546974063402</v>
      </c>
      <c r="BO35" s="2101">
        <v>57.61992</v>
      </c>
      <c r="BP35" s="2091">
        <v>0</v>
      </c>
      <c r="BR35" s="1864">
        <f t="shared" si="8"/>
        <v>25</v>
      </c>
      <c r="BS35" s="1859">
        <f>SUM(BW35:DJ35)*100</f>
        <v>46000</v>
      </c>
      <c r="BT35" s="1866">
        <f>COUNT(BW35:DJ35)</f>
        <v>21</v>
      </c>
      <c r="BV35" s="1875">
        <f t="shared" si="9"/>
        <v>25</v>
      </c>
      <c r="BW35" s="1858">
        <v>30</v>
      </c>
      <c r="BX35" s="1858">
        <v>47</v>
      </c>
      <c r="BY35" s="1858">
        <v>30</v>
      </c>
      <c r="BZ35" s="1858">
        <v>30</v>
      </c>
      <c r="CA35" s="1858">
        <v>35</v>
      </c>
      <c r="CB35" s="1858">
        <v>5</v>
      </c>
      <c r="CC35" s="1858">
        <v>3</v>
      </c>
      <c r="CD35" s="1858">
        <v>32</v>
      </c>
      <c r="CE35" s="1858">
        <v>30</v>
      </c>
      <c r="CF35" s="1858">
        <v>30</v>
      </c>
      <c r="CG35" s="1858">
        <v>7</v>
      </c>
      <c r="CH35" s="1858">
        <v>3</v>
      </c>
      <c r="CI35" s="1858">
        <v>20</v>
      </c>
      <c r="CJ35" s="1858">
        <v>30</v>
      </c>
      <c r="CK35" s="1858">
        <v>46</v>
      </c>
      <c r="CL35" s="1858">
        <v>5</v>
      </c>
      <c r="CM35" s="1858">
        <v>30</v>
      </c>
      <c r="CN35" s="1858">
        <v>3</v>
      </c>
      <c r="CO35" s="1858">
        <v>10</v>
      </c>
      <c r="CP35" s="1858">
        <v>30</v>
      </c>
      <c r="CQ35" s="1858">
        <v>4</v>
      </c>
      <c r="CR35" s="1858"/>
      <c r="CS35" s="1858"/>
      <c r="CT35" s="1858"/>
      <c r="CU35" s="1858"/>
      <c r="CV35" s="1858"/>
      <c r="CW35" s="1858"/>
      <c r="CX35" s="1858"/>
      <c r="CY35" s="1858"/>
      <c r="CZ35" s="1858"/>
      <c r="DA35" s="1858"/>
      <c r="DB35" s="1858"/>
      <c r="DC35" s="1858"/>
      <c r="DD35" s="1858"/>
      <c r="DE35" s="1858"/>
      <c r="DF35" s="1858"/>
      <c r="DG35" s="1858"/>
      <c r="DH35" s="1858"/>
      <c r="DI35" s="1858"/>
      <c r="DJ35" s="1858"/>
      <c r="DL35" s="2441"/>
    </row>
    <row r="36" spans="2:116" ht="15.6">
      <c r="B36" s="958">
        <f t="shared" si="5"/>
        <v>26</v>
      </c>
      <c r="C36" s="959">
        <v>17</v>
      </c>
      <c r="D36" s="960" t="s">
        <v>972</v>
      </c>
      <c r="E36" s="960" t="s">
        <v>972</v>
      </c>
      <c r="F36" s="960">
        <v>0</v>
      </c>
      <c r="G36" s="961">
        <v>6.9</v>
      </c>
      <c r="H36" s="960">
        <v>7</v>
      </c>
      <c r="I36" s="960">
        <v>6.7</v>
      </c>
      <c r="J36" s="960">
        <v>7</v>
      </c>
      <c r="K36" s="960">
        <v>7.1</v>
      </c>
      <c r="L36" s="960">
        <v>6.9</v>
      </c>
      <c r="M36" s="960">
        <v>6.6</v>
      </c>
      <c r="N36" s="960">
        <v>6.8</v>
      </c>
      <c r="O36" s="960">
        <v>6.4</v>
      </c>
      <c r="P36" s="962" t="s">
        <v>972</v>
      </c>
      <c r="Q36" s="963">
        <v>72</v>
      </c>
      <c r="R36" s="964">
        <v>0.42</v>
      </c>
      <c r="S36" s="965">
        <v>0.41</v>
      </c>
      <c r="T36" s="961">
        <v>4.59</v>
      </c>
      <c r="U36" s="960">
        <v>5.53</v>
      </c>
      <c r="V36" s="960">
        <v>5.26</v>
      </c>
      <c r="W36" s="960">
        <v>7.09</v>
      </c>
      <c r="X36" s="960">
        <v>7.01</v>
      </c>
      <c r="Y36" s="966">
        <v>120</v>
      </c>
      <c r="Z36" s="966">
        <v>330</v>
      </c>
      <c r="AA36" s="966">
        <v>190</v>
      </c>
      <c r="AB36" s="960" t="s">
        <v>972</v>
      </c>
      <c r="AC36" s="959">
        <v>100</v>
      </c>
      <c r="AD36" s="1424" t="s">
        <v>1313</v>
      </c>
      <c r="AE36" s="2168">
        <v>29.4</v>
      </c>
      <c r="AF36" s="967" t="s">
        <v>972</v>
      </c>
      <c r="AG36" s="968" t="s">
        <v>972</v>
      </c>
      <c r="AH36" s="1616" t="s">
        <v>972</v>
      </c>
      <c r="AI36" s="966" t="s">
        <v>972</v>
      </c>
      <c r="AJ36" s="960">
        <v>137.6</v>
      </c>
      <c r="AK36" s="960" t="s">
        <v>972</v>
      </c>
      <c r="AL36" s="961">
        <v>94.4</v>
      </c>
      <c r="AM36" s="952"/>
      <c r="AN36" s="969" t="s">
        <v>972</v>
      </c>
      <c r="AO36" s="963" t="s">
        <v>972</v>
      </c>
      <c r="AP36" s="967" t="s">
        <v>972</v>
      </c>
      <c r="AQ36" s="970">
        <v>0</v>
      </c>
      <c r="AR36" s="2462" t="s">
        <v>972</v>
      </c>
      <c r="AS36" s="968" t="s">
        <v>972</v>
      </c>
      <c r="AT36" s="968"/>
      <c r="AU36" s="2581"/>
      <c r="AV36" s="2582"/>
      <c r="AW36" s="1764">
        <v>0</v>
      </c>
      <c r="AX36" s="968" t="s">
        <v>972</v>
      </c>
      <c r="AY36" s="1858"/>
      <c r="AZ36" s="2603" t="s">
        <v>1458</v>
      </c>
      <c r="BA36" s="956"/>
      <c r="BC36" s="972">
        <v>14</v>
      </c>
      <c r="BD36" s="973">
        <v>6</v>
      </c>
      <c r="BE36" s="973">
        <v>3</v>
      </c>
      <c r="BF36" s="973">
        <v>3</v>
      </c>
      <c r="BG36" s="973">
        <v>4</v>
      </c>
      <c r="BH36" s="973">
        <v>1</v>
      </c>
      <c r="BI36" s="973">
        <v>1</v>
      </c>
      <c r="BJ36" s="973">
        <v>4</v>
      </c>
      <c r="BK36" s="973">
        <v>2</v>
      </c>
      <c r="BL36" s="2201">
        <v>62.2</v>
      </c>
      <c r="BM36" s="2091">
        <v>1.3298893559077809</v>
      </c>
      <c r="BN36" s="2091">
        <v>0.9359740331412103</v>
      </c>
      <c r="BO36" s="2101">
        <v>53.244</v>
      </c>
      <c r="BP36" s="2091">
        <v>0</v>
      </c>
      <c r="BR36" s="1864">
        <f t="shared" si="8"/>
        <v>26</v>
      </c>
      <c r="BS36" s="1859">
        <f t="shared" si="6"/>
        <v>30300</v>
      </c>
      <c r="BT36" s="1866">
        <f t="shared" si="7"/>
        <v>24</v>
      </c>
      <c r="BV36" s="1875">
        <f t="shared" si="9"/>
        <v>26</v>
      </c>
      <c r="BW36" s="1858">
        <v>6</v>
      </c>
      <c r="BX36" s="1858">
        <v>6</v>
      </c>
      <c r="BY36" s="1858">
        <v>30</v>
      </c>
      <c r="BZ36" s="1858">
        <v>3</v>
      </c>
      <c r="CA36" s="1858">
        <v>8</v>
      </c>
      <c r="CB36" s="1858">
        <v>5</v>
      </c>
      <c r="CC36" s="1858">
        <v>6</v>
      </c>
      <c r="CD36" s="1858">
        <v>5</v>
      </c>
      <c r="CE36" s="1858">
        <v>3</v>
      </c>
      <c r="CF36" s="1858">
        <v>3</v>
      </c>
      <c r="CG36" s="1858">
        <v>30</v>
      </c>
      <c r="CH36" s="1858">
        <v>30</v>
      </c>
      <c r="CI36" s="1858">
        <v>7</v>
      </c>
      <c r="CJ36" s="1858">
        <v>35</v>
      </c>
      <c r="CK36" s="1858">
        <v>7</v>
      </c>
      <c r="CL36" s="1858">
        <v>3</v>
      </c>
      <c r="CM36" s="1858">
        <v>30</v>
      </c>
      <c r="CN36" s="1858">
        <v>30</v>
      </c>
      <c r="CO36" s="1858">
        <v>31</v>
      </c>
      <c r="CP36" s="1858">
        <v>5</v>
      </c>
      <c r="CQ36" s="1858">
        <v>5</v>
      </c>
      <c r="CR36" s="1858">
        <v>5</v>
      </c>
      <c r="CS36" s="1858">
        <v>4</v>
      </c>
      <c r="CT36" s="1858">
        <v>6</v>
      </c>
      <c r="CU36" s="1858"/>
      <c r="CV36" s="1858"/>
      <c r="CW36" s="1858"/>
      <c r="CX36" s="1858"/>
      <c r="CY36" s="1858"/>
      <c r="CZ36" s="1858"/>
      <c r="DA36" s="1858"/>
      <c r="DB36" s="1858"/>
      <c r="DC36" s="1858"/>
      <c r="DD36" s="1858"/>
      <c r="DE36" s="1858"/>
      <c r="DF36" s="1858"/>
      <c r="DG36" s="1858"/>
      <c r="DH36" s="1858"/>
      <c r="DI36" s="1858"/>
      <c r="DJ36" s="1858"/>
      <c r="DL36" s="2441"/>
    </row>
    <row r="37" spans="2:116" ht="15.6">
      <c r="B37" s="958">
        <f t="shared" si="5"/>
        <v>27</v>
      </c>
      <c r="C37" s="959">
        <v>13</v>
      </c>
      <c r="D37" s="960" t="s">
        <v>972</v>
      </c>
      <c r="E37" s="960" t="s">
        <v>972</v>
      </c>
      <c r="F37" s="960">
        <v>0</v>
      </c>
      <c r="G37" s="961">
        <v>6.6</v>
      </c>
      <c r="H37" s="960">
        <v>6.9</v>
      </c>
      <c r="I37" s="960">
        <v>6.4</v>
      </c>
      <c r="J37" s="960">
        <v>6.7</v>
      </c>
      <c r="K37" s="960">
        <v>6.8</v>
      </c>
      <c r="L37" s="960">
        <v>6.4</v>
      </c>
      <c r="M37" s="960">
        <v>6.5</v>
      </c>
      <c r="N37" s="960">
        <v>6.9</v>
      </c>
      <c r="O37" s="960">
        <v>6.2</v>
      </c>
      <c r="P37" s="962" t="s">
        <v>972</v>
      </c>
      <c r="Q37" s="963">
        <v>56</v>
      </c>
      <c r="R37" s="964">
        <v>0.53</v>
      </c>
      <c r="S37" s="965">
        <v>0.45</v>
      </c>
      <c r="T37" s="961">
        <v>5.86</v>
      </c>
      <c r="U37" s="960">
        <v>6.87</v>
      </c>
      <c r="V37" s="960">
        <v>6.52</v>
      </c>
      <c r="W37" s="960">
        <v>9.08</v>
      </c>
      <c r="X37" s="960">
        <v>7.94</v>
      </c>
      <c r="Y37" s="966">
        <v>150</v>
      </c>
      <c r="Z37" s="966">
        <v>270</v>
      </c>
      <c r="AA37" s="966">
        <v>190</v>
      </c>
      <c r="AB37" s="960" t="s">
        <v>972</v>
      </c>
      <c r="AC37" s="959">
        <v>104</v>
      </c>
      <c r="AD37" s="1424" t="s">
        <v>972</v>
      </c>
      <c r="AE37" s="2168">
        <v>45</v>
      </c>
      <c r="AF37" s="967" t="s">
        <v>972</v>
      </c>
      <c r="AG37" s="968" t="s">
        <v>972</v>
      </c>
      <c r="AH37" s="1616" t="s">
        <v>972</v>
      </c>
      <c r="AI37" s="966" t="s">
        <v>972</v>
      </c>
      <c r="AJ37" s="960">
        <v>144</v>
      </c>
      <c r="AK37" s="960" t="s">
        <v>972</v>
      </c>
      <c r="AL37" s="961">
        <v>86.8</v>
      </c>
      <c r="AM37" s="952"/>
      <c r="AN37" s="969" t="s">
        <v>972</v>
      </c>
      <c r="AO37" s="963" t="s">
        <v>972</v>
      </c>
      <c r="AP37" s="967" t="s">
        <v>972</v>
      </c>
      <c r="AQ37" s="970">
        <v>0</v>
      </c>
      <c r="AR37" s="2462" t="s">
        <v>972</v>
      </c>
      <c r="AS37" s="968" t="s">
        <v>972</v>
      </c>
      <c r="AT37" s="968"/>
      <c r="AU37" s="2581"/>
      <c r="AV37" s="2582"/>
      <c r="AW37" s="1764">
        <v>0</v>
      </c>
      <c r="AX37" s="968" t="s">
        <v>972</v>
      </c>
      <c r="AY37" s="2604">
        <v>100000</v>
      </c>
      <c r="AZ37" s="971" t="s">
        <v>1458</v>
      </c>
      <c r="BA37" s="956"/>
      <c r="BC37" s="972">
        <v>14</v>
      </c>
      <c r="BD37" s="973">
        <v>6</v>
      </c>
      <c r="BE37" s="973">
        <v>3</v>
      </c>
      <c r="BF37" s="973">
        <v>3</v>
      </c>
      <c r="BG37" s="973">
        <v>4</v>
      </c>
      <c r="BH37" s="973">
        <v>1</v>
      </c>
      <c r="BI37" s="973">
        <v>1</v>
      </c>
      <c r="BJ37" s="973">
        <v>4</v>
      </c>
      <c r="BK37" s="973">
        <v>2</v>
      </c>
      <c r="BL37" s="2201">
        <v>61.4</v>
      </c>
      <c r="BM37" s="2091">
        <v>1.1030907622478385</v>
      </c>
      <c r="BN37" s="2091">
        <v>0.98142033573487053</v>
      </c>
      <c r="BO37" s="2101">
        <v>51.844080000000005</v>
      </c>
      <c r="BP37" s="2091">
        <v>0</v>
      </c>
      <c r="BR37" s="1864">
        <f>+BR36+1</f>
        <v>27</v>
      </c>
      <c r="BS37" s="1859">
        <f t="shared" si="6"/>
        <v>32800</v>
      </c>
      <c r="BT37" s="1866">
        <f t="shared" si="7"/>
        <v>21</v>
      </c>
      <c r="BV37" s="1875">
        <f t="shared" si="9"/>
        <v>27</v>
      </c>
      <c r="BW37" s="1858">
        <v>25</v>
      </c>
      <c r="BX37" s="1858">
        <v>9</v>
      </c>
      <c r="BY37" s="1858">
        <v>30</v>
      </c>
      <c r="BZ37" s="1858">
        <v>6</v>
      </c>
      <c r="CA37" s="1858">
        <v>15</v>
      </c>
      <c r="CB37" s="1858">
        <v>5</v>
      </c>
      <c r="CC37" s="1858">
        <v>9</v>
      </c>
      <c r="CD37" s="1858">
        <v>15</v>
      </c>
      <c r="CE37" s="1858">
        <v>20</v>
      </c>
      <c r="CF37" s="1858">
        <v>30</v>
      </c>
      <c r="CG37" s="1858">
        <v>15</v>
      </c>
      <c r="CH37" s="1858">
        <v>10</v>
      </c>
      <c r="CI37" s="1858">
        <v>5</v>
      </c>
      <c r="CJ37" s="1858">
        <v>30</v>
      </c>
      <c r="CK37" s="1858">
        <v>7</v>
      </c>
      <c r="CL37" s="1858">
        <v>15</v>
      </c>
      <c r="CM37" s="1858">
        <v>35</v>
      </c>
      <c r="CN37" s="1858">
        <v>5</v>
      </c>
      <c r="CO37" s="1858">
        <v>30</v>
      </c>
      <c r="CP37" s="1858">
        <v>5</v>
      </c>
      <c r="CQ37" s="1858">
        <v>7</v>
      </c>
      <c r="CR37" s="1858"/>
      <c r="CS37" s="1858"/>
      <c r="CT37" s="1858"/>
      <c r="CU37" s="1858"/>
      <c r="CV37" s="1858"/>
      <c r="CW37" s="1858"/>
      <c r="CX37" s="1858"/>
      <c r="CY37" s="1858"/>
      <c r="CZ37" s="1858"/>
      <c r="DA37" s="1858"/>
      <c r="DB37" s="1858"/>
      <c r="DC37" s="1858"/>
      <c r="DD37" s="1858"/>
      <c r="DE37" s="1858"/>
      <c r="DF37" s="1858"/>
      <c r="DG37" s="1858"/>
      <c r="DH37" s="1858"/>
      <c r="DI37" s="1858"/>
      <c r="DJ37" s="1858"/>
      <c r="DL37" s="2441"/>
    </row>
    <row r="38" spans="2:116" ht="15.6">
      <c r="B38" s="958">
        <f t="shared" si="5"/>
        <v>28</v>
      </c>
      <c r="C38" s="959">
        <v>15</v>
      </c>
      <c r="D38" s="960" t="s">
        <v>972</v>
      </c>
      <c r="E38" s="960" t="s">
        <v>972</v>
      </c>
      <c r="F38" s="960">
        <v>0</v>
      </c>
      <c r="G38" s="961">
        <v>6.8</v>
      </c>
      <c r="H38" s="960">
        <v>6.8</v>
      </c>
      <c r="I38" s="960">
        <v>6.7</v>
      </c>
      <c r="J38" s="960">
        <v>6.8</v>
      </c>
      <c r="K38" s="960">
        <v>6.9</v>
      </c>
      <c r="L38" s="960">
        <v>6.6</v>
      </c>
      <c r="M38" s="960">
        <v>6.4</v>
      </c>
      <c r="N38" s="960">
        <v>6.6</v>
      </c>
      <c r="O38" s="960">
        <v>6.3</v>
      </c>
      <c r="P38" s="962" t="s">
        <v>972</v>
      </c>
      <c r="Q38" s="963">
        <v>20</v>
      </c>
      <c r="R38" s="964">
        <v>0.38</v>
      </c>
      <c r="S38" s="965">
        <v>0.45</v>
      </c>
      <c r="T38" s="961">
        <v>4.79</v>
      </c>
      <c r="U38" s="960">
        <v>6.04</v>
      </c>
      <c r="V38" s="960">
        <v>5.13</v>
      </c>
      <c r="W38" s="960">
        <v>6.8860000000000001</v>
      </c>
      <c r="X38" s="960">
        <v>6.17</v>
      </c>
      <c r="Y38" s="966">
        <v>140</v>
      </c>
      <c r="Z38" s="966">
        <v>240</v>
      </c>
      <c r="AA38" s="966">
        <v>170</v>
      </c>
      <c r="AB38" s="960" t="s">
        <v>972</v>
      </c>
      <c r="AC38" s="959">
        <v>104</v>
      </c>
      <c r="AD38" s="1424" t="s">
        <v>972</v>
      </c>
      <c r="AE38" s="2168">
        <v>51.6</v>
      </c>
      <c r="AF38" s="967" t="s">
        <v>972</v>
      </c>
      <c r="AG38" s="968" t="s">
        <v>972</v>
      </c>
      <c r="AH38" s="1616" t="s">
        <v>972</v>
      </c>
      <c r="AI38" s="966" t="s">
        <v>972</v>
      </c>
      <c r="AJ38" s="960">
        <v>144</v>
      </c>
      <c r="AK38" s="960" t="s">
        <v>972</v>
      </c>
      <c r="AL38" s="961">
        <v>85.4</v>
      </c>
      <c r="AM38" s="952"/>
      <c r="AN38" s="969" t="s">
        <v>972</v>
      </c>
      <c r="AO38" s="963" t="s">
        <v>972</v>
      </c>
      <c r="AP38" s="967" t="s">
        <v>972</v>
      </c>
      <c r="AQ38" s="970">
        <v>0</v>
      </c>
      <c r="AR38" s="2462" t="s">
        <v>972</v>
      </c>
      <c r="AS38" s="968" t="s">
        <v>972</v>
      </c>
      <c r="AT38" s="968"/>
      <c r="AU38" s="2581"/>
      <c r="AV38" s="2582"/>
      <c r="AW38" s="1764">
        <v>0</v>
      </c>
      <c r="AX38" s="968" t="s">
        <v>972</v>
      </c>
      <c r="AY38" s="968">
        <v>80000</v>
      </c>
      <c r="AZ38" s="971" t="s">
        <v>1458</v>
      </c>
      <c r="BA38" s="956"/>
      <c r="BC38" s="972">
        <v>14</v>
      </c>
      <c r="BD38" s="973">
        <v>6</v>
      </c>
      <c r="BE38" s="973">
        <v>3</v>
      </c>
      <c r="BF38" s="973">
        <v>3</v>
      </c>
      <c r="BG38" s="973">
        <v>4</v>
      </c>
      <c r="BH38" s="973">
        <v>1</v>
      </c>
      <c r="BI38" s="973">
        <v>1</v>
      </c>
      <c r="BJ38" s="973">
        <v>4</v>
      </c>
      <c r="BK38" s="973">
        <v>2</v>
      </c>
      <c r="BL38" s="2201">
        <v>61.1</v>
      </c>
      <c r="BM38" s="2091">
        <v>1.0011219034582133</v>
      </c>
      <c r="BN38" s="2091">
        <v>1.0036108357348703</v>
      </c>
      <c r="BO38" s="2101">
        <v>51.71208</v>
      </c>
      <c r="BP38" s="2091">
        <v>0</v>
      </c>
      <c r="BR38" s="1864">
        <f t="shared" si="8"/>
        <v>28</v>
      </c>
      <c r="BS38" s="1859">
        <f t="shared" si="6"/>
        <v>53400</v>
      </c>
      <c r="BT38" s="1866">
        <f t="shared" si="7"/>
        <v>33</v>
      </c>
      <c r="BV38" s="1875">
        <f t="shared" si="9"/>
        <v>28</v>
      </c>
      <c r="BW38" s="1858">
        <v>7</v>
      </c>
      <c r="BX38" s="1858">
        <v>30</v>
      </c>
      <c r="BY38" s="1858">
        <v>30</v>
      </c>
      <c r="BZ38" s="1858">
        <v>7</v>
      </c>
      <c r="CA38" s="1858">
        <v>30</v>
      </c>
      <c r="CB38" s="1858">
        <v>8</v>
      </c>
      <c r="CC38" s="1858">
        <v>30</v>
      </c>
      <c r="CD38" s="1858">
        <v>20</v>
      </c>
      <c r="CE38" s="1858">
        <v>8</v>
      </c>
      <c r="CF38" s="1858">
        <v>10</v>
      </c>
      <c r="CG38" s="1858">
        <v>2</v>
      </c>
      <c r="CH38" s="1858">
        <v>6</v>
      </c>
      <c r="CI38" s="1858">
        <v>30</v>
      </c>
      <c r="CJ38" s="1858">
        <v>5</v>
      </c>
      <c r="CK38" s="1858">
        <v>50</v>
      </c>
      <c r="CL38" s="1858">
        <v>15</v>
      </c>
      <c r="CM38" s="1858">
        <v>4</v>
      </c>
      <c r="CN38" s="1858">
        <v>4</v>
      </c>
      <c r="CO38" s="1858">
        <v>2</v>
      </c>
      <c r="CP38" s="1858">
        <v>30</v>
      </c>
      <c r="CQ38" s="1858">
        <v>30</v>
      </c>
      <c r="CR38" s="1858">
        <v>4</v>
      </c>
      <c r="CS38" s="1858">
        <v>6</v>
      </c>
      <c r="CT38" s="1858">
        <v>3</v>
      </c>
      <c r="CU38" s="1858">
        <v>6</v>
      </c>
      <c r="CV38" s="1858">
        <v>5</v>
      </c>
      <c r="CW38" s="1858">
        <v>30</v>
      </c>
      <c r="CX38" s="1858">
        <v>15</v>
      </c>
      <c r="CY38" s="1858">
        <v>6</v>
      </c>
      <c r="CZ38" s="1858">
        <v>35</v>
      </c>
      <c r="DA38" s="1858">
        <v>30</v>
      </c>
      <c r="DB38" s="1858">
        <v>30</v>
      </c>
      <c r="DC38" s="1858">
        <v>6</v>
      </c>
      <c r="DD38" s="1858"/>
      <c r="DE38" s="1858"/>
      <c r="DF38" s="1858"/>
      <c r="DG38" s="1858"/>
      <c r="DH38" s="1858"/>
      <c r="DI38" s="1858"/>
      <c r="DJ38" s="1858"/>
      <c r="DL38" s="2441"/>
    </row>
    <row r="39" spans="2:116" ht="15.6">
      <c r="B39" s="958">
        <f t="shared" si="5"/>
        <v>29</v>
      </c>
      <c r="C39" s="959">
        <v>16</v>
      </c>
      <c r="D39" s="960" t="s">
        <v>972</v>
      </c>
      <c r="E39" s="960" t="s">
        <v>972</v>
      </c>
      <c r="F39" s="960">
        <v>0</v>
      </c>
      <c r="G39" s="961">
        <v>6.5</v>
      </c>
      <c r="H39" s="960">
        <v>6.7</v>
      </c>
      <c r="I39" s="960">
        <v>6.3</v>
      </c>
      <c r="J39" s="960">
        <v>6.7</v>
      </c>
      <c r="K39" s="960">
        <v>7.1</v>
      </c>
      <c r="L39" s="960">
        <v>6.4</v>
      </c>
      <c r="M39" s="960">
        <v>6.3</v>
      </c>
      <c r="N39" s="960">
        <v>6.5</v>
      </c>
      <c r="O39" s="960">
        <v>6.3</v>
      </c>
      <c r="P39" s="962" t="s">
        <v>972</v>
      </c>
      <c r="Q39" s="963">
        <v>372</v>
      </c>
      <c r="R39" s="964">
        <v>0.48</v>
      </c>
      <c r="S39" s="965">
        <v>0.42</v>
      </c>
      <c r="T39" s="961">
        <v>3.94</v>
      </c>
      <c r="U39" s="960">
        <v>4.76</v>
      </c>
      <c r="V39" s="960">
        <v>4.49</v>
      </c>
      <c r="W39" s="960">
        <v>5.29</v>
      </c>
      <c r="X39" s="960">
        <v>2.81</v>
      </c>
      <c r="Y39" s="966">
        <v>120</v>
      </c>
      <c r="Z39" s="966">
        <v>270</v>
      </c>
      <c r="AA39" s="966">
        <v>170</v>
      </c>
      <c r="AB39" s="960" t="s">
        <v>972</v>
      </c>
      <c r="AC39" s="959">
        <v>103</v>
      </c>
      <c r="AD39" s="1424" t="s">
        <v>972</v>
      </c>
      <c r="AE39" s="2168">
        <v>52.9</v>
      </c>
      <c r="AF39" s="967" t="s">
        <v>972</v>
      </c>
      <c r="AG39" s="968" t="s">
        <v>972</v>
      </c>
      <c r="AH39" s="1616" t="s">
        <v>972</v>
      </c>
      <c r="AI39" s="966" t="s">
        <v>972</v>
      </c>
      <c r="AJ39" s="960">
        <v>131.20000000000002</v>
      </c>
      <c r="AK39" s="960" t="s">
        <v>972</v>
      </c>
      <c r="AL39" s="961">
        <v>80.5</v>
      </c>
      <c r="AM39" s="952"/>
      <c r="AN39" s="969" t="s">
        <v>972</v>
      </c>
      <c r="AO39" s="963" t="s">
        <v>972</v>
      </c>
      <c r="AP39" s="967" t="s">
        <v>972</v>
      </c>
      <c r="AQ39" s="970">
        <v>0</v>
      </c>
      <c r="AR39" s="2462" t="s">
        <v>972</v>
      </c>
      <c r="AS39" s="968" t="s">
        <v>972</v>
      </c>
      <c r="AT39" s="968"/>
      <c r="AU39" s="2581"/>
      <c r="AV39" s="2582"/>
      <c r="AW39" s="1764">
        <v>0</v>
      </c>
      <c r="AX39" s="968" t="s">
        <v>972</v>
      </c>
      <c r="AY39" s="968">
        <v>80000</v>
      </c>
      <c r="AZ39" s="971" t="s">
        <v>668</v>
      </c>
      <c r="BA39" s="956"/>
      <c r="BC39" s="972">
        <v>14</v>
      </c>
      <c r="BD39" s="973">
        <v>6</v>
      </c>
      <c r="BE39" s="973">
        <v>3</v>
      </c>
      <c r="BF39" s="973">
        <v>3</v>
      </c>
      <c r="BG39" s="973">
        <v>4</v>
      </c>
      <c r="BH39" s="973">
        <v>1</v>
      </c>
      <c r="BI39" s="973">
        <v>1</v>
      </c>
      <c r="BJ39" s="973">
        <v>4</v>
      </c>
      <c r="BK39" s="973">
        <v>2</v>
      </c>
      <c r="BL39" s="2201">
        <v>61.1</v>
      </c>
      <c r="BM39" s="2091">
        <v>1.1026322507204611</v>
      </c>
      <c r="BN39" s="2091">
        <v>0.8691007853025936</v>
      </c>
      <c r="BO39" s="2101">
        <v>74.320799999999991</v>
      </c>
      <c r="BP39" s="2091">
        <v>0</v>
      </c>
      <c r="BR39" s="1864">
        <f t="shared" si="8"/>
        <v>29</v>
      </c>
      <c r="BS39" s="1859">
        <f t="shared" si="6"/>
        <v>28100</v>
      </c>
      <c r="BT39" s="1866">
        <f t="shared" si="7"/>
        <v>22</v>
      </c>
      <c r="BV39" s="1875">
        <f t="shared" si="9"/>
        <v>29</v>
      </c>
      <c r="BW39" s="1858">
        <v>7</v>
      </c>
      <c r="BX39" s="1858">
        <v>10</v>
      </c>
      <c r="BY39" s="1858">
        <v>20</v>
      </c>
      <c r="BZ39" s="1858">
        <v>15</v>
      </c>
      <c r="CA39" s="1858">
        <v>30</v>
      </c>
      <c r="CB39" s="1858">
        <v>20</v>
      </c>
      <c r="CC39" s="1858">
        <v>23</v>
      </c>
      <c r="CD39" s="1858">
        <v>10</v>
      </c>
      <c r="CE39" s="1858">
        <v>5</v>
      </c>
      <c r="CF39" s="1858">
        <v>7</v>
      </c>
      <c r="CG39" s="1858">
        <v>5</v>
      </c>
      <c r="CH39" s="1858">
        <v>10</v>
      </c>
      <c r="CI39" s="1858">
        <v>7</v>
      </c>
      <c r="CJ39" s="1858">
        <v>15</v>
      </c>
      <c r="CK39" s="1858">
        <v>10</v>
      </c>
      <c r="CL39" s="1858">
        <v>30</v>
      </c>
      <c r="CM39" s="1858">
        <v>6</v>
      </c>
      <c r="CN39" s="1858">
        <v>7</v>
      </c>
      <c r="CO39" s="1858">
        <v>10</v>
      </c>
      <c r="CP39" s="1858">
        <v>25</v>
      </c>
      <c r="CQ39" s="1858">
        <v>5</v>
      </c>
      <c r="CR39" s="1858">
        <v>4</v>
      </c>
      <c r="CS39" s="1858"/>
      <c r="CT39" s="1858"/>
      <c r="CU39" s="1858"/>
      <c r="CV39" s="1858"/>
      <c r="CW39" s="1858"/>
      <c r="CX39" s="1858"/>
      <c r="CY39" s="1858"/>
      <c r="CZ39" s="1858"/>
      <c r="DA39" s="1858"/>
      <c r="DB39" s="1858"/>
      <c r="DC39" s="1858"/>
      <c r="DD39" s="1858"/>
      <c r="DE39" s="1858"/>
      <c r="DF39" s="1858"/>
      <c r="DG39" s="1858"/>
      <c r="DH39" s="1858"/>
      <c r="DI39" s="1858"/>
      <c r="DJ39" s="1858"/>
      <c r="DL39" s="2441"/>
    </row>
    <row r="40" spans="2:116" ht="15.6">
      <c r="B40" s="958">
        <f t="shared" si="5"/>
        <v>30</v>
      </c>
      <c r="C40" s="959">
        <v>16</v>
      </c>
      <c r="D40" s="960" t="s">
        <v>972</v>
      </c>
      <c r="E40" s="960" t="s">
        <v>972</v>
      </c>
      <c r="F40" s="960">
        <v>0</v>
      </c>
      <c r="G40" s="961">
        <v>6.7</v>
      </c>
      <c r="H40" s="960">
        <v>6.9</v>
      </c>
      <c r="I40" s="960">
        <v>6.6</v>
      </c>
      <c r="J40" s="960">
        <v>6.6</v>
      </c>
      <c r="K40" s="960">
        <v>7</v>
      </c>
      <c r="L40" s="960">
        <v>6.4</v>
      </c>
      <c r="M40" s="960">
        <v>6.6</v>
      </c>
      <c r="N40" s="960">
        <v>6.8</v>
      </c>
      <c r="O40" s="960">
        <v>6.3</v>
      </c>
      <c r="P40" s="962" t="s">
        <v>1422</v>
      </c>
      <c r="Q40" s="963">
        <v>4000</v>
      </c>
      <c r="R40" s="964">
        <v>0.32</v>
      </c>
      <c r="S40" s="965">
        <v>0.49</v>
      </c>
      <c r="T40" s="961">
        <v>4.05</v>
      </c>
      <c r="U40" s="960">
        <v>4.6500000000000004</v>
      </c>
      <c r="V40" s="960">
        <v>4.26</v>
      </c>
      <c r="W40" s="960">
        <v>5.59</v>
      </c>
      <c r="X40" s="960">
        <v>3.59</v>
      </c>
      <c r="Y40" s="966">
        <v>110</v>
      </c>
      <c r="Z40" s="966">
        <v>250</v>
      </c>
      <c r="AA40" s="966">
        <v>160</v>
      </c>
      <c r="AB40" s="960" t="s">
        <v>972</v>
      </c>
      <c r="AC40" s="959">
        <v>104</v>
      </c>
      <c r="AD40" s="1424" t="s">
        <v>972</v>
      </c>
      <c r="AE40" s="2168">
        <v>49.2</v>
      </c>
      <c r="AF40" s="967" t="s">
        <v>972</v>
      </c>
      <c r="AG40" s="968" t="s">
        <v>972</v>
      </c>
      <c r="AH40" s="966" t="s">
        <v>972</v>
      </c>
      <c r="AI40" s="966" t="s">
        <v>972</v>
      </c>
      <c r="AJ40" s="960">
        <v>137.6</v>
      </c>
      <c r="AK40" s="960" t="s">
        <v>972</v>
      </c>
      <c r="AL40" s="961">
        <v>85.5</v>
      </c>
      <c r="AM40" s="952"/>
      <c r="AN40" s="969" t="s">
        <v>972</v>
      </c>
      <c r="AO40" s="963" t="s">
        <v>972</v>
      </c>
      <c r="AP40" s="967" t="s">
        <v>972</v>
      </c>
      <c r="AQ40" s="970">
        <v>0</v>
      </c>
      <c r="AR40" s="2462" t="s">
        <v>972</v>
      </c>
      <c r="AS40" s="968" t="s">
        <v>972</v>
      </c>
      <c r="AT40" s="968"/>
      <c r="AU40" s="2581"/>
      <c r="AV40" s="2582"/>
      <c r="AW40" s="1764">
        <v>0</v>
      </c>
      <c r="AX40" s="968" t="s">
        <v>972</v>
      </c>
      <c r="AY40" s="968">
        <v>80000</v>
      </c>
      <c r="AZ40" s="971" t="s">
        <v>668</v>
      </c>
      <c r="BA40" s="956"/>
      <c r="BC40" s="972">
        <v>14</v>
      </c>
      <c r="BD40" s="973">
        <v>6</v>
      </c>
      <c r="BE40" s="973">
        <v>3</v>
      </c>
      <c r="BF40" s="973">
        <v>3</v>
      </c>
      <c r="BG40" s="973">
        <v>4</v>
      </c>
      <c r="BH40" s="973">
        <v>1</v>
      </c>
      <c r="BI40" s="973">
        <v>1</v>
      </c>
      <c r="BJ40" s="973">
        <v>4</v>
      </c>
      <c r="BK40" s="973">
        <v>2</v>
      </c>
      <c r="BL40" s="2201">
        <v>61.3</v>
      </c>
      <c r="BM40" s="2091">
        <v>1.2114716541786743</v>
      </c>
      <c r="BN40" s="2091">
        <v>0.76956994668587897</v>
      </c>
      <c r="BO40" s="2101">
        <v>51.188160000000003</v>
      </c>
      <c r="BP40" s="2091">
        <v>0</v>
      </c>
      <c r="BR40" s="1864">
        <f>+BR39+1</f>
        <v>30</v>
      </c>
      <c r="BS40" s="1859">
        <f t="shared" ref="BS40" si="10">SUM(BW40:DJ40)*100</f>
        <v>21600</v>
      </c>
      <c r="BT40" s="1866">
        <f t="shared" ref="BT40" si="11">COUNT(BW40:DJ40)</f>
        <v>10</v>
      </c>
      <c r="BV40" s="1875">
        <f t="shared" si="9"/>
        <v>30</v>
      </c>
      <c r="BW40" s="1858">
        <v>5</v>
      </c>
      <c r="BX40" s="1858">
        <v>30</v>
      </c>
      <c r="BY40" s="1858">
        <v>15</v>
      </c>
      <c r="BZ40" s="1858">
        <v>30</v>
      </c>
      <c r="CA40" s="1858">
        <v>30</v>
      </c>
      <c r="CB40" s="1858">
        <v>30</v>
      </c>
      <c r="CC40" s="1858">
        <v>16</v>
      </c>
      <c r="CD40" s="1858">
        <v>5</v>
      </c>
      <c r="CE40" s="1858">
        <v>30</v>
      </c>
      <c r="CF40" s="1858">
        <v>25</v>
      </c>
      <c r="CG40" s="1858"/>
      <c r="CH40" s="1858"/>
      <c r="CI40" s="1858"/>
      <c r="CJ40" s="1858"/>
      <c r="CK40" s="1858"/>
      <c r="CL40" s="1858"/>
      <c r="CM40" s="1858"/>
      <c r="CN40" s="1858"/>
      <c r="CO40" s="1858"/>
      <c r="CP40" s="1858"/>
      <c r="CQ40" s="1858"/>
      <c r="CR40" s="1858"/>
      <c r="CS40" s="1858"/>
      <c r="CT40" s="1858"/>
      <c r="CU40" s="1858"/>
      <c r="CV40" s="1858"/>
      <c r="CW40" s="1858"/>
      <c r="CX40" s="1858"/>
      <c r="CY40" s="1858"/>
      <c r="CZ40" s="1858"/>
      <c r="DA40" s="1858"/>
      <c r="DB40" s="1858"/>
      <c r="DC40" s="1858"/>
      <c r="DD40" s="1858"/>
      <c r="DE40" s="1858"/>
      <c r="DF40" s="1858"/>
      <c r="DG40" s="1858"/>
      <c r="DH40" s="1858"/>
      <c r="DI40" s="1858"/>
      <c r="DJ40" s="1858"/>
      <c r="DL40" s="2441"/>
    </row>
    <row r="41" spans="2:116" ht="16.2" thickBot="1">
      <c r="B41" s="958">
        <f t="shared" si="5"/>
        <v>31</v>
      </c>
      <c r="C41" s="959">
        <v>17</v>
      </c>
      <c r="D41" s="960" t="s">
        <v>972</v>
      </c>
      <c r="E41" s="960" t="s">
        <v>972</v>
      </c>
      <c r="F41" s="960">
        <v>0</v>
      </c>
      <c r="G41" s="1853">
        <v>6.8</v>
      </c>
      <c r="H41" s="1851">
        <v>6.9</v>
      </c>
      <c r="I41" s="960">
        <v>6.6</v>
      </c>
      <c r="J41" s="960">
        <v>6.9</v>
      </c>
      <c r="K41" s="960">
        <v>7.1</v>
      </c>
      <c r="L41" s="960">
        <v>6.6</v>
      </c>
      <c r="M41" s="960">
        <v>6.8</v>
      </c>
      <c r="N41" s="960">
        <v>7</v>
      </c>
      <c r="O41" s="960">
        <v>6.6</v>
      </c>
      <c r="P41" s="962" t="s">
        <v>972</v>
      </c>
      <c r="Q41" s="963">
        <v>21</v>
      </c>
      <c r="R41" s="964">
        <v>0.49</v>
      </c>
      <c r="S41" s="965">
        <v>0.5</v>
      </c>
      <c r="T41" s="961">
        <v>4.63</v>
      </c>
      <c r="U41" s="960">
        <v>4.37</v>
      </c>
      <c r="V41" s="960">
        <v>4.6500000000000004</v>
      </c>
      <c r="W41" s="960">
        <v>4.0599999999999996</v>
      </c>
      <c r="X41" s="960">
        <v>4.3499999999999996</v>
      </c>
      <c r="Y41" s="966">
        <v>120</v>
      </c>
      <c r="Z41" s="966">
        <v>320</v>
      </c>
      <c r="AA41" s="966">
        <v>190</v>
      </c>
      <c r="AB41" s="960" t="s">
        <v>972</v>
      </c>
      <c r="AC41" s="959">
        <v>105</v>
      </c>
      <c r="AD41" s="1425" t="s">
        <v>972</v>
      </c>
      <c r="AE41" s="2168">
        <v>56.6</v>
      </c>
      <c r="AF41" s="967" t="s">
        <v>972</v>
      </c>
      <c r="AG41" s="968" t="s">
        <v>972</v>
      </c>
      <c r="AH41" s="966" t="s">
        <v>972</v>
      </c>
      <c r="AI41" s="966" t="s">
        <v>972</v>
      </c>
      <c r="AJ41" s="960">
        <v>137.6</v>
      </c>
      <c r="AK41" s="960" t="s">
        <v>972</v>
      </c>
      <c r="AL41" s="961">
        <v>84.7</v>
      </c>
      <c r="AM41" s="952"/>
      <c r="AN41" s="969" t="s">
        <v>972</v>
      </c>
      <c r="AO41" s="963" t="s">
        <v>972</v>
      </c>
      <c r="AP41" s="1340" t="s">
        <v>972</v>
      </c>
      <c r="AQ41" s="970">
        <v>0</v>
      </c>
      <c r="AR41" s="2462" t="s">
        <v>972</v>
      </c>
      <c r="AS41" s="968" t="s">
        <v>972</v>
      </c>
      <c r="AT41" s="968"/>
      <c r="AU41" s="966"/>
      <c r="AV41" s="964"/>
      <c r="AW41" s="1764">
        <v>0</v>
      </c>
      <c r="AX41" s="968" t="s">
        <v>972</v>
      </c>
      <c r="AY41" s="968" t="s">
        <v>972</v>
      </c>
      <c r="AZ41" s="971" t="s">
        <v>1458</v>
      </c>
      <c r="BA41" s="956"/>
      <c r="BC41" s="972">
        <v>14</v>
      </c>
      <c r="BD41" s="973">
        <v>6</v>
      </c>
      <c r="BE41" s="973">
        <v>3</v>
      </c>
      <c r="BF41" s="973">
        <v>3</v>
      </c>
      <c r="BG41" s="973">
        <v>4</v>
      </c>
      <c r="BH41" s="973">
        <v>1</v>
      </c>
      <c r="BI41" s="973">
        <v>1</v>
      </c>
      <c r="BJ41" s="973">
        <v>4</v>
      </c>
      <c r="BK41" s="973">
        <v>2</v>
      </c>
      <c r="BL41" s="2201">
        <v>61.4</v>
      </c>
      <c r="BM41" s="2091">
        <v>1.3509463083573487</v>
      </c>
      <c r="BN41" s="2091">
        <v>0.74921252305475505</v>
      </c>
      <c r="BO41" s="2101">
        <v>49.86</v>
      </c>
      <c r="BP41" s="2091">
        <v>0</v>
      </c>
      <c r="BR41" s="1869">
        <f t="shared" si="8"/>
        <v>31</v>
      </c>
      <c r="BS41" s="1859">
        <f>SUM(BW41:DJ41)*100</f>
        <v>4800</v>
      </c>
      <c r="BT41" s="1870">
        <f t="shared" si="7"/>
        <v>8</v>
      </c>
      <c r="BV41" s="1875">
        <f t="shared" si="9"/>
        <v>31</v>
      </c>
      <c r="BW41" s="1858">
        <v>6</v>
      </c>
      <c r="BX41" s="1858">
        <v>6</v>
      </c>
      <c r="BY41" s="1858">
        <v>6</v>
      </c>
      <c r="BZ41" s="1858">
        <v>5</v>
      </c>
      <c r="CA41" s="1858">
        <v>6</v>
      </c>
      <c r="CB41" s="1858">
        <v>7</v>
      </c>
      <c r="CC41" s="1858">
        <v>6</v>
      </c>
      <c r="CD41" s="1858">
        <v>6</v>
      </c>
      <c r="CE41" s="1858"/>
      <c r="CF41" s="1858"/>
      <c r="CG41" s="1858"/>
      <c r="CH41" s="1858"/>
      <c r="CI41" s="1858"/>
      <c r="CJ41" s="1858"/>
      <c r="CK41" s="1858"/>
      <c r="CL41" s="1858"/>
      <c r="CM41" s="1858"/>
      <c r="CN41" s="1858"/>
      <c r="CO41" s="1858"/>
      <c r="CP41" s="1858"/>
      <c r="CQ41" s="1858"/>
      <c r="CR41" s="1858"/>
      <c r="CS41" s="1858"/>
      <c r="CT41" s="1858"/>
      <c r="CU41" s="1858"/>
      <c r="CV41" s="1858"/>
      <c r="CW41" s="1858"/>
      <c r="CX41" s="1858"/>
      <c r="CY41" s="1858"/>
      <c r="CZ41" s="1858"/>
      <c r="DA41" s="1858"/>
      <c r="DB41" s="1858"/>
      <c r="DC41" s="1858"/>
      <c r="DD41" s="1858"/>
      <c r="DE41" s="1858"/>
      <c r="DF41" s="1858"/>
      <c r="DG41" s="1858"/>
      <c r="DH41" s="1858"/>
      <c r="DI41" s="1858"/>
      <c r="DJ41" s="1858"/>
      <c r="DL41" s="2441"/>
    </row>
    <row r="42" spans="2:116" ht="16.8" thickTop="1" thickBot="1">
      <c r="B42" s="124"/>
      <c r="C42" s="124"/>
      <c r="D42" s="124"/>
      <c r="E42" s="124"/>
      <c r="F42" s="124"/>
      <c r="G42" s="1962"/>
      <c r="H42" s="1852"/>
      <c r="I42" s="124"/>
      <c r="J42" s="124"/>
      <c r="K42" s="124"/>
      <c r="L42" s="124"/>
      <c r="M42" s="124"/>
      <c r="N42" s="124"/>
      <c r="O42" s="124"/>
      <c r="P42" s="974"/>
      <c r="Q42" s="124"/>
      <c r="R42" s="124"/>
      <c r="S42" s="124"/>
      <c r="T42" s="124"/>
      <c r="U42" s="124"/>
      <c r="V42" s="124"/>
      <c r="W42" s="124"/>
      <c r="X42" s="124"/>
      <c r="Y42" s="124"/>
      <c r="Z42" s="124"/>
      <c r="AA42" s="124"/>
      <c r="AB42" s="124"/>
      <c r="AC42" s="124"/>
      <c r="AD42" s="124"/>
      <c r="AE42" s="975"/>
      <c r="AF42" s="124"/>
      <c r="AG42" s="124"/>
      <c r="AH42" s="1838" t="s">
        <v>972</v>
      </c>
      <c r="AI42" s="124"/>
      <c r="AJ42" s="124"/>
      <c r="AK42" s="124"/>
      <c r="AL42" s="124"/>
      <c r="AN42" s="976"/>
      <c r="AO42" s="976"/>
      <c r="AP42" s="1722"/>
      <c r="AQ42" s="124"/>
      <c r="AR42" s="124"/>
      <c r="AS42" s="968" t="s">
        <v>972</v>
      </c>
      <c r="AT42" s="1430" t="s">
        <v>49</v>
      </c>
      <c r="AU42" s="124"/>
      <c r="AV42" s="124"/>
      <c r="AW42" s="124"/>
      <c r="AX42" s="124"/>
      <c r="AY42" s="1430"/>
      <c r="AZ42" s="124"/>
      <c r="BC42" s="977">
        <f t="shared" ref="BC42:BK42" si="12">ROUND(AVERAGE(BC11:BC41),0)</f>
        <v>14</v>
      </c>
      <c r="BD42" s="978">
        <f t="shared" si="12"/>
        <v>6</v>
      </c>
      <c r="BE42" s="978">
        <f t="shared" si="12"/>
        <v>3</v>
      </c>
      <c r="BF42" s="978">
        <f t="shared" si="12"/>
        <v>3</v>
      </c>
      <c r="BG42" s="978">
        <f t="shared" si="12"/>
        <v>4</v>
      </c>
      <c r="BH42" s="978">
        <f t="shared" si="12"/>
        <v>1</v>
      </c>
      <c r="BI42" s="978">
        <f t="shared" si="12"/>
        <v>1</v>
      </c>
      <c r="BJ42" s="978">
        <f t="shared" si="12"/>
        <v>4</v>
      </c>
      <c r="BK42" s="978">
        <f t="shared" si="12"/>
        <v>2</v>
      </c>
      <c r="BL42" s="2092">
        <f>AVERAGE(BL11:BL41)</f>
        <v>61.329032258064522</v>
      </c>
      <c r="BM42" s="1975">
        <f>AVERAGE(BM11:BM41)</f>
        <v>1.7693434598865854</v>
      </c>
      <c r="BN42" s="1975">
        <f>AVERAGE(BN11:BN41)</f>
        <v>0.47930650492702426</v>
      </c>
      <c r="BO42" s="2092">
        <f>AVERAGE(BO11:BO41)</f>
        <v>57.099243870967747</v>
      </c>
      <c r="BP42" s="1975">
        <f>AVERAGE(BP11:BP41)</f>
        <v>0.34096774193548385</v>
      </c>
      <c r="BR42" s="1871" t="s">
        <v>1051</v>
      </c>
      <c r="BS42" s="1872">
        <f>SUM(BS11:BS41)</f>
        <v>1030992</v>
      </c>
      <c r="BT42" s="1873">
        <f>SUM(BT11:BT41)</f>
        <v>582</v>
      </c>
    </row>
    <row r="43" spans="2:116" ht="16.2" thickBot="1">
      <c r="H43" s="1852"/>
      <c r="I43" s="21" t="s">
        <v>1337</v>
      </c>
      <c r="P43" s="898"/>
      <c r="Q43" s="21" t="s">
        <v>1403</v>
      </c>
      <c r="R43" s="1648"/>
      <c r="AC43" s="979"/>
      <c r="AD43" s="979"/>
      <c r="AN43" s="979"/>
      <c r="AO43" s="979"/>
      <c r="AT43" s="1431" t="s">
        <v>1200</v>
      </c>
      <c r="AY43" s="1431"/>
      <c r="BC43" s="68"/>
      <c r="BD43" s="68"/>
      <c r="BE43" s="68"/>
      <c r="BF43" s="68"/>
      <c r="BG43" s="68"/>
      <c r="BH43" s="68"/>
      <c r="BI43" s="68"/>
      <c r="BJ43" s="68"/>
      <c r="BK43" s="68"/>
      <c r="BM43" s="2365"/>
      <c r="BO43" s="2100"/>
      <c r="BR43" s="1865" t="s">
        <v>1168</v>
      </c>
      <c r="BS43" s="1860">
        <f>+MAX(BS11:BS41)</f>
        <v>60800</v>
      </c>
      <c r="BT43" s="1857">
        <f>+MAX(BT11:BT41)</f>
        <v>34</v>
      </c>
    </row>
    <row r="44" spans="2:116" ht="15.6">
      <c r="C44" s="21" t="s">
        <v>1299</v>
      </c>
      <c r="D44" s="21"/>
      <c r="E44" s="21"/>
      <c r="F44" s="21"/>
      <c r="G44" s="21"/>
      <c r="H44" s="21"/>
      <c r="I44" s="21" t="s">
        <v>1300</v>
      </c>
      <c r="V44" s="1623"/>
      <c r="AE44" s="2" t="s">
        <v>1336</v>
      </c>
      <c r="AN44" s="979"/>
      <c r="AO44" s="979"/>
      <c r="BM44" s="2205" t="s">
        <v>1344</v>
      </c>
      <c r="BO44" s="21"/>
    </row>
    <row r="45" spans="2:116" ht="17.399999999999999">
      <c r="C45" s="21" t="s">
        <v>1301</v>
      </c>
      <c r="D45" s="21"/>
      <c r="E45" s="21"/>
      <c r="F45" s="21"/>
      <c r="G45" s="21"/>
      <c r="H45" s="21"/>
      <c r="I45" s="21" t="s">
        <v>1302</v>
      </c>
      <c r="V45" s="1422"/>
      <c r="W45" s="1422"/>
      <c r="X45" s="1422"/>
      <c r="AE45" s="21"/>
      <c r="AP45" s="1417" t="s">
        <v>1199</v>
      </c>
      <c r="AS45" s="899"/>
      <c r="BL45" s="2204"/>
      <c r="BM45" s="2365"/>
    </row>
    <row r="46" spans="2:116" ht="17.399999999999999">
      <c r="D46" s="21"/>
      <c r="E46" s="21"/>
      <c r="F46" s="21"/>
      <c r="G46" s="21"/>
      <c r="H46" s="21"/>
      <c r="I46" s="21" t="s">
        <v>1303</v>
      </c>
      <c r="V46" s="1422"/>
      <c r="W46" s="1422"/>
      <c r="X46" s="1422"/>
    </row>
    <row r="47" spans="2:116" ht="17.399999999999999">
      <c r="G47" s="1418"/>
      <c r="H47" s="1418"/>
      <c r="I47" s="21" t="s">
        <v>1345</v>
      </c>
      <c r="J47" s="1418"/>
      <c r="K47" s="1418"/>
      <c r="M47" s="1418"/>
      <c r="N47" s="1418"/>
      <c r="V47" s="1422"/>
      <c r="W47" s="1422"/>
      <c r="X47" s="1422"/>
      <c r="BN47" s="2090"/>
      <c r="BO47" s="2090" t="s">
        <v>1307</v>
      </c>
      <c r="BP47" s="2090" t="s">
        <v>1334</v>
      </c>
    </row>
    <row r="48" spans="2:116">
      <c r="G48" s="1418"/>
      <c r="H48" s="1418"/>
      <c r="J48" s="1418"/>
      <c r="K48" s="1418"/>
      <c r="M48" s="1418"/>
      <c r="N48" s="1418"/>
      <c r="AS48" s="899"/>
      <c r="BN48" s="2117" t="s">
        <v>1308</v>
      </c>
      <c r="BO48" s="2118">
        <v>4.9298066844380415</v>
      </c>
      <c r="BP48" s="2166">
        <v>0.1590260220786465</v>
      </c>
    </row>
    <row r="49" spans="3:68">
      <c r="C49" s="21" t="s">
        <v>1314</v>
      </c>
      <c r="G49" s="1418"/>
      <c r="H49" s="1418"/>
      <c r="J49" s="1418"/>
      <c r="K49" s="1418"/>
      <c r="M49" s="1418"/>
      <c r="N49" s="1418"/>
      <c r="BN49" s="2117" t="s">
        <v>1309</v>
      </c>
      <c r="BO49" s="2118">
        <v>3.7521007708933705</v>
      </c>
      <c r="BP49" s="2166">
        <v>0.12103550873849582</v>
      </c>
    </row>
    <row r="50" spans="3:68">
      <c r="G50" s="1418"/>
      <c r="H50" s="1418"/>
      <c r="J50" s="1418"/>
      <c r="K50" s="1418"/>
      <c r="M50" s="1418"/>
      <c r="N50" s="1418"/>
      <c r="AG50" s="146" t="s">
        <v>999</v>
      </c>
      <c r="BN50" s="2117" t="s">
        <v>1310</v>
      </c>
      <c r="BO50" s="2118">
        <v>9.5721231599423664</v>
      </c>
      <c r="BP50" s="2166">
        <v>0.30877816644975375</v>
      </c>
    </row>
    <row r="51" spans="3:68">
      <c r="G51" s="1418"/>
      <c r="H51" s="1418"/>
      <c r="J51" s="1418"/>
      <c r="K51" s="1418"/>
      <c r="M51" s="1418"/>
      <c r="N51" s="1418"/>
      <c r="BN51" s="1614" t="s">
        <v>1311</v>
      </c>
      <c r="BO51" s="2118">
        <f>+BO50+BO49-BO48</f>
        <v>8.3944172463976958</v>
      </c>
      <c r="BP51" s="2166">
        <f>+BP50+BP49-BP48</f>
        <v>0.27078765310960307</v>
      </c>
    </row>
    <row r="52" spans="3:68">
      <c r="G52" s="1418"/>
      <c r="H52" s="1418"/>
      <c r="J52" s="1418"/>
      <c r="K52" s="1418"/>
      <c r="M52" s="1418"/>
      <c r="N52" s="1418"/>
      <c r="BN52" s="2090"/>
      <c r="BO52" s="21"/>
    </row>
    <row r="53" spans="3:68">
      <c r="G53" s="1418"/>
      <c r="H53" s="1418"/>
      <c r="J53" s="1418"/>
      <c r="K53" s="1418"/>
      <c r="M53" s="1418"/>
      <c r="N53" s="1418"/>
    </row>
    <row r="54" spans="3:68">
      <c r="G54" s="1418"/>
      <c r="H54" s="1418"/>
      <c r="J54" s="1418"/>
      <c r="K54" s="1418"/>
      <c r="M54" s="1418"/>
      <c r="N54" s="1418"/>
    </row>
    <row r="55" spans="3:68">
      <c r="G55" s="1418"/>
      <c r="H55" s="1418"/>
      <c r="J55" s="1418"/>
      <c r="K55" s="1418"/>
      <c r="M55" s="1418"/>
      <c r="N55" s="1418"/>
    </row>
    <row r="56" spans="3:68">
      <c r="G56" s="1418"/>
      <c r="H56" s="1418"/>
      <c r="J56" s="1418"/>
      <c r="K56" s="1418"/>
      <c r="M56" s="1418"/>
      <c r="N56" s="1418"/>
    </row>
    <row r="57" spans="3:68">
      <c r="G57" s="1418"/>
      <c r="H57" s="1418"/>
      <c r="J57" s="1418"/>
      <c r="K57" s="1418"/>
      <c r="M57" s="1418"/>
      <c r="N57" s="1418"/>
    </row>
    <row r="58" spans="3:68">
      <c r="G58" s="1418"/>
      <c r="H58" s="1418"/>
      <c r="J58" s="1418"/>
      <c r="K58" s="1418"/>
      <c r="M58" s="1418"/>
      <c r="N58" s="1418"/>
    </row>
    <row r="59" spans="3:68">
      <c r="G59" s="1418"/>
      <c r="H59" s="1418"/>
      <c r="J59" s="1418"/>
      <c r="K59" s="1418"/>
      <c r="M59" s="1418"/>
      <c r="N59" s="1418"/>
    </row>
    <row r="60" spans="3:68">
      <c r="G60" s="1418"/>
      <c r="H60" s="1418"/>
      <c r="J60" s="1418"/>
      <c r="K60" s="1418"/>
      <c r="M60" s="1418"/>
      <c r="N60" s="1418"/>
    </row>
    <row r="61" spans="3:68">
      <c r="G61" s="1418"/>
      <c r="H61" s="1418"/>
      <c r="J61" s="1418"/>
      <c r="K61" s="1418"/>
      <c r="M61" s="1418"/>
      <c r="N61" s="1418"/>
    </row>
    <row r="62" spans="3:68">
      <c r="G62" s="1418"/>
      <c r="H62" s="1418"/>
      <c r="J62" s="1418"/>
      <c r="K62" s="1418"/>
      <c r="M62" s="1418"/>
      <c r="N62" s="1418"/>
    </row>
    <row r="63" spans="3:68">
      <c r="G63" s="1418"/>
      <c r="H63" s="1418"/>
      <c r="J63" s="1418"/>
      <c r="K63" s="1418"/>
      <c r="M63" s="1418"/>
      <c r="N63" s="1418"/>
    </row>
    <row r="64" spans="3:68">
      <c r="G64" s="1418"/>
      <c r="H64" s="1418"/>
      <c r="J64" s="1418"/>
      <c r="K64" s="1418"/>
      <c r="M64" s="1418"/>
      <c r="N64" s="1418"/>
    </row>
    <row r="65" spans="7:14">
      <c r="G65" s="1418"/>
      <c r="H65" s="1418"/>
      <c r="J65" s="1418"/>
      <c r="K65" s="1418"/>
      <c r="M65" s="1418"/>
      <c r="N65" s="1418"/>
    </row>
    <row r="66" spans="7:14">
      <c r="G66" s="1418"/>
      <c r="H66" s="1418"/>
      <c r="J66" s="1418"/>
      <c r="K66" s="1418"/>
      <c r="M66" s="1418"/>
      <c r="N66" s="1418"/>
    </row>
    <row r="67" spans="7:14">
      <c r="G67" s="1418"/>
      <c r="H67" s="1418"/>
      <c r="J67" s="1418"/>
      <c r="K67" s="1418"/>
      <c r="M67" s="1418"/>
      <c r="N67" s="1418"/>
    </row>
    <row r="68" spans="7:14">
      <c r="G68" s="1418"/>
      <c r="H68" s="1418"/>
      <c r="J68" s="1418"/>
      <c r="K68" s="1418"/>
      <c r="M68" s="1418"/>
      <c r="N68" s="1418"/>
    </row>
    <row r="69" spans="7:14">
      <c r="G69" s="1418"/>
      <c r="H69" s="1418"/>
      <c r="J69" s="1418"/>
      <c r="K69" s="1418"/>
      <c r="M69" s="1418"/>
      <c r="N69" s="1418"/>
    </row>
    <row r="70" spans="7:14">
      <c r="G70" s="1418"/>
      <c r="H70" s="1418"/>
      <c r="J70" s="1418"/>
      <c r="K70" s="1418"/>
      <c r="M70" s="1418"/>
      <c r="N70" s="1418"/>
    </row>
    <row r="71" spans="7:14">
      <c r="G71" s="1418"/>
      <c r="H71" s="1418"/>
      <c r="J71" s="1418"/>
      <c r="K71" s="1418"/>
      <c r="M71" s="1418"/>
      <c r="N71" s="1418"/>
    </row>
    <row r="72" spans="7:14">
      <c r="G72" s="1418"/>
      <c r="H72" s="1418"/>
      <c r="J72" s="1418"/>
      <c r="K72" s="1418"/>
      <c r="M72" s="1418"/>
      <c r="N72" s="1418"/>
    </row>
    <row r="73" spans="7:14">
      <c r="G73" s="1418"/>
      <c r="H73" s="1418"/>
      <c r="J73" s="1418"/>
      <c r="K73" s="1418"/>
      <c r="M73" s="1418"/>
      <c r="N73" s="1418"/>
    </row>
    <row r="74" spans="7:14">
      <c r="G74" s="1418"/>
      <c r="H74" s="1418"/>
      <c r="J74" s="1418"/>
      <c r="K74" s="1418"/>
      <c r="M74" s="1418"/>
      <c r="N74" s="1418"/>
    </row>
    <row r="75" spans="7:14">
      <c r="G75" s="1418"/>
      <c r="H75" s="1418"/>
      <c r="J75" s="1418"/>
      <c r="K75" s="1418"/>
      <c r="M75" s="1418"/>
      <c r="N75" s="1418"/>
    </row>
    <row r="76" spans="7:14">
      <c r="G76" s="1418"/>
      <c r="H76" s="1418"/>
      <c r="J76" s="1418"/>
      <c r="K76" s="1418"/>
      <c r="M76" s="1418"/>
      <c r="N76" s="1418"/>
    </row>
    <row r="77" spans="7:14">
      <c r="G77" s="1418"/>
      <c r="H77" s="1418"/>
      <c r="J77" s="1418"/>
      <c r="K77" s="1418"/>
      <c r="M77" s="1418"/>
      <c r="N77" s="1418"/>
    </row>
    <row r="78" spans="7:14">
      <c r="G78" s="1418"/>
      <c r="H78" s="1418"/>
      <c r="J78" s="1418"/>
      <c r="K78" s="1418"/>
      <c r="M78" s="1418"/>
      <c r="N78" s="1418"/>
    </row>
    <row r="79" spans="7:14">
      <c r="G79" s="1418"/>
      <c r="H79" s="1418"/>
      <c r="J79" s="1418"/>
      <c r="K79" s="1418"/>
      <c r="M79" s="1418"/>
      <c r="N79" s="1418"/>
    </row>
    <row r="80" spans="7:14">
      <c r="G80" s="1418"/>
      <c r="H80" s="1418"/>
      <c r="J80" s="1418"/>
      <c r="K80" s="1418"/>
      <c r="M80" s="1418"/>
      <c r="N80" s="1418"/>
    </row>
    <row r="81" spans="7:14">
      <c r="G81" s="1418"/>
      <c r="H81" s="1418"/>
      <c r="J81" s="1418"/>
      <c r="K81" s="1418"/>
      <c r="M81" s="1418"/>
      <c r="N81" s="1418"/>
    </row>
    <row r="82" spans="7:14">
      <c r="G82" s="1418"/>
      <c r="H82" s="1418"/>
      <c r="J82" s="1418"/>
      <c r="K82" s="1418"/>
      <c r="M82" s="1418"/>
      <c r="N82" s="1418"/>
    </row>
  </sheetData>
  <mergeCells count="3">
    <mergeCell ref="BS9:BT9"/>
    <mergeCell ref="BM8:BN8"/>
    <mergeCell ref="DL7:DL9"/>
  </mergeCells>
  <phoneticPr fontId="41" type="noConversion"/>
  <printOptions horizontalCentered="1" verticalCentered="1"/>
  <pageMargins left="0.5" right="0.33333333333333331" top="0.5" bottom="0.45" header="0" footer="0"/>
  <pageSetup scale="5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6"/>
    <pageSetUpPr fitToPage="1"/>
  </sheetPr>
  <dimension ref="A1:IV174"/>
  <sheetViews>
    <sheetView showGridLines="0" defaultGridColor="0" topLeftCell="AA43" colorId="59" zoomScale="85" zoomScaleNormal="85" workbookViewId="0">
      <selection activeCell="AD65" sqref="AD65"/>
    </sheetView>
  </sheetViews>
  <sheetFormatPr defaultColWidth="9.6328125" defaultRowHeight="15"/>
  <cols>
    <col min="1" max="1" width="9.6328125" style="1092" customWidth="1"/>
    <col min="2" max="2" width="12.6328125" style="1092" customWidth="1"/>
    <col min="3" max="3" width="6.6328125" style="1092" customWidth="1"/>
    <col min="4" max="4" width="5.08984375" style="1092" bestFit="1" customWidth="1"/>
    <col min="5" max="29" width="5.6328125" style="1092" customWidth="1"/>
    <col min="30" max="30" width="7.08984375" style="1092" customWidth="1"/>
    <col min="31" max="33" width="6.6328125" style="1092" customWidth="1"/>
    <col min="34" max="34" width="9.6328125" style="1092" customWidth="1"/>
    <col min="35" max="35" width="12.6328125" style="1092" customWidth="1"/>
    <col min="36" max="62" width="5.6328125" style="1092" customWidth="1"/>
    <col min="63" max="63" width="6.6328125" style="1092" customWidth="1"/>
    <col min="64" max="64" width="12.6328125" style="1092" customWidth="1"/>
    <col min="65" max="100" width="6.6328125" style="1092" customWidth="1"/>
    <col min="101" max="104" width="7" style="1092" bestFit="1" customWidth="1"/>
    <col min="105" max="118" width="6.6328125" style="1092" customWidth="1"/>
    <col min="119" max="119" width="7.90625" style="1092" customWidth="1"/>
    <col min="120" max="121" width="6.6328125" style="1092" customWidth="1"/>
    <col min="122" max="132" width="9.6328125" style="1092" customWidth="1"/>
    <col min="133" max="133" width="6.6328125" style="1092" customWidth="1"/>
    <col min="134" max="16384" width="9.6328125" style="1092"/>
  </cols>
  <sheetData>
    <row r="1" spans="1:256">
      <c r="A1" s="1058"/>
      <c r="B1" s="56"/>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row>
    <row r="2" spans="1:256">
      <c r="A2" s="103"/>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c r="CL2" s="103"/>
      <c r="CM2" s="103"/>
      <c r="CN2" s="103"/>
      <c r="CO2" s="103"/>
      <c r="CP2" s="103"/>
      <c r="CQ2" s="103"/>
      <c r="CR2" s="103"/>
      <c r="CS2" s="103"/>
      <c r="CT2" s="103"/>
      <c r="CU2" s="103"/>
      <c r="CV2" s="103"/>
      <c r="CW2" s="103"/>
      <c r="CX2" s="103"/>
      <c r="CY2" s="103"/>
      <c r="CZ2" s="103"/>
      <c r="DA2" s="103"/>
      <c r="DB2" s="103"/>
      <c r="DC2" s="103"/>
      <c r="DD2" s="103"/>
      <c r="DE2" s="103"/>
      <c r="DF2" s="103"/>
      <c r="DG2" s="103"/>
      <c r="DH2" s="103"/>
      <c r="DI2" s="103"/>
      <c r="DJ2" s="103"/>
      <c r="DK2" s="103"/>
      <c r="DL2" s="103"/>
      <c r="DM2" s="103"/>
      <c r="DN2" s="103"/>
      <c r="DO2" s="103"/>
      <c r="DP2" s="103"/>
      <c r="DQ2" s="103"/>
      <c r="DR2" s="103"/>
      <c r="DS2" s="103"/>
      <c r="DT2" s="103"/>
      <c r="DU2" s="103"/>
      <c r="DV2" s="103"/>
      <c r="DW2" s="103"/>
      <c r="DX2" s="103"/>
      <c r="DY2" s="103"/>
      <c r="DZ2" s="103"/>
      <c r="EA2" s="103"/>
      <c r="EB2" s="103"/>
      <c r="EC2" s="103"/>
      <c r="ED2" s="103"/>
      <c r="EE2" s="103"/>
      <c r="EF2" s="103"/>
      <c r="EG2" s="103"/>
      <c r="EH2" s="103"/>
      <c r="EI2" s="103"/>
      <c r="EJ2" s="103"/>
      <c r="EK2" s="103"/>
      <c r="EL2" s="103"/>
      <c r="EM2" s="103"/>
      <c r="EN2" s="103"/>
      <c r="EO2" s="103"/>
      <c r="EP2" s="103"/>
      <c r="EQ2" s="103"/>
      <c r="ER2" s="103"/>
      <c r="ES2" s="103"/>
      <c r="ET2" s="103"/>
      <c r="EU2" s="103"/>
      <c r="EV2" s="103"/>
      <c r="EW2" s="103"/>
    </row>
    <row r="3" spans="1:256" ht="30">
      <c r="A3" s="1056"/>
      <c r="B3" s="1057" t="s">
        <v>736</v>
      </c>
      <c r="C3" s="1059"/>
      <c r="D3" s="1059"/>
      <c r="E3" s="1059"/>
      <c r="F3" s="1059"/>
      <c r="G3" s="1059"/>
      <c r="H3" s="1059"/>
      <c r="I3" s="1059"/>
      <c r="J3" s="1059"/>
      <c r="K3" s="1059"/>
      <c r="L3" s="1059"/>
      <c r="M3" s="1059"/>
      <c r="N3" s="1059"/>
      <c r="O3" s="1059"/>
      <c r="P3" s="1059"/>
      <c r="Q3" s="1059"/>
      <c r="R3" s="2907">
        <f>DMREZ!$I$5</f>
        <v>42370</v>
      </c>
      <c r="S3" s="2907"/>
      <c r="T3" s="2907"/>
      <c r="U3" s="1059" t="str">
        <f>FIXED(DMREZ!$J$5,0,TRUE)</f>
        <v>2016</v>
      </c>
      <c r="V3" s="1059"/>
      <c r="W3" s="1059"/>
      <c r="X3" s="1059"/>
      <c r="Y3" s="1059"/>
      <c r="Z3" s="1059"/>
      <c r="AA3" s="1059"/>
      <c r="AB3" s="1059"/>
      <c r="AC3" s="1059"/>
      <c r="AD3" s="1059"/>
      <c r="AE3" s="1059"/>
      <c r="AF3" s="1059"/>
      <c r="AG3" s="1059"/>
      <c r="AH3" s="1059"/>
      <c r="AJ3" s="1059" t="s">
        <v>763</v>
      </c>
      <c r="AK3" s="1059"/>
      <c r="AL3" s="1059"/>
      <c r="AM3" s="1059"/>
      <c r="AN3" s="1059"/>
      <c r="AO3" s="1059"/>
      <c r="AP3" s="1059"/>
      <c r="AQ3" s="1059"/>
      <c r="AR3" s="1059"/>
      <c r="AS3" s="1059"/>
      <c r="AT3" s="1059"/>
      <c r="AU3" s="1059"/>
      <c r="AV3" s="1059"/>
      <c r="AW3" s="1059"/>
      <c r="AX3" s="1059"/>
      <c r="AY3" s="1059"/>
      <c r="AZ3" s="2907">
        <f>DMREZ!$I$5</f>
        <v>42370</v>
      </c>
      <c r="BA3" s="2907"/>
      <c r="BB3" s="2907"/>
      <c r="BC3" s="1059" t="str">
        <f>FIXED(DMREZ!$J$5,0,TRUE)</f>
        <v>2016</v>
      </c>
      <c r="BD3" s="1059"/>
      <c r="BE3" s="1059"/>
      <c r="BF3" s="1059"/>
      <c r="BG3" s="1059"/>
      <c r="BH3" s="1059"/>
      <c r="BI3" s="1059"/>
      <c r="BJ3" s="1059"/>
      <c r="BK3" s="1059"/>
      <c r="BM3" s="1059" t="s">
        <v>766</v>
      </c>
      <c r="BN3" s="1059"/>
      <c r="BO3" s="1059"/>
      <c r="BP3" s="1059"/>
      <c r="BQ3" s="1059"/>
      <c r="BR3" s="1059"/>
      <c r="BS3" s="1059"/>
      <c r="BT3" s="1059"/>
      <c r="BU3" s="1059"/>
      <c r="BV3" s="1059"/>
      <c r="BW3" s="1059"/>
      <c r="BX3" s="1059"/>
      <c r="BY3" s="1059"/>
      <c r="BZ3" s="1059"/>
      <c r="CA3" s="1059"/>
      <c r="CB3" s="1059"/>
      <c r="CC3" s="2907">
        <f>DMREZ!$I$5</f>
        <v>42370</v>
      </c>
      <c r="CD3" s="2907"/>
      <c r="CE3" s="2907"/>
      <c r="CF3" s="1059" t="str">
        <f>FIXED(DMREZ!$J$5,0,TRUE)</f>
        <v>2016</v>
      </c>
      <c r="CG3" s="1059"/>
      <c r="CH3" s="1059"/>
      <c r="CI3" s="1059"/>
      <c r="CJ3" s="1059"/>
      <c r="CK3" s="1059"/>
      <c r="CL3" s="1059"/>
      <c r="CM3" s="1059"/>
      <c r="CN3" s="1059"/>
      <c r="CO3" s="1059"/>
      <c r="CP3" s="1059"/>
      <c r="CQ3" s="1059"/>
      <c r="CR3" s="1059"/>
      <c r="CS3" s="1059"/>
      <c r="CT3" s="1059"/>
      <c r="CU3" s="1059"/>
      <c r="CV3" s="1059"/>
      <c r="CW3" s="1059"/>
      <c r="CX3" s="1059"/>
      <c r="CY3" s="1059"/>
      <c r="CZ3" s="1059"/>
      <c r="DA3" s="1059"/>
      <c r="DB3" s="1059"/>
      <c r="DC3" s="1059"/>
      <c r="DD3" s="1059"/>
      <c r="DE3" s="1059"/>
      <c r="DF3" s="1059"/>
      <c r="DG3" s="1059"/>
      <c r="DH3" s="1059"/>
      <c r="DI3" s="1059"/>
      <c r="DJ3" s="1059"/>
      <c r="DK3" s="1059"/>
      <c r="DL3" s="1059"/>
      <c r="DM3" s="1059"/>
      <c r="DN3" s="1059"/>
      <c r="DO3" s="1059"/>
      <c r="DP3" s="1059"/>
      <c r="DQ3" s="1059"/>
      <c r="DR3" s="2169" t="s">
        <v>769</v>
      </c>
      <c r="DT3" s="2170"/>
      <c r="DU3" s="2170"/>
      <c r="DV3" s="2170"/>
      <c r="DW3" s="2170"/>
      <c r="DX3" s="2170"/>
      <c r="DY3" s="2170"/>
      <c r="DZ3" s="2170"/>
      <c r="EA3" s="2170"/>
      <c r="EB3" s="2170"/>
      <c r="EC3" s="1059"/>
      <c r="ED3" s="1059"/>
      <c r="EE3" s="1059"/>
      <c r="EF3" s="1059"/>
      <c r="EG3" s="1059"/>
      <c r="EH3" s="1059"/>
      <c r="EI3" s="1059"/>
      <c r="EJ3" s="1059"/>
      <c r="EK3" s="1059"/>
      <c r="EL3" s="1059"/>
      <c r="EM3" s="1059"/>
      <c r="EN3" s="1059"/>
      <c r="EO3" s="1059"/>
      <c r="EP3" s="1059"/>
      <c r="EQ3" s="1059"/>
      <c r="ER3" s="1059"/>
      <c r="ES3" s="1059"/>
      <c r="ET3" s="1059"/>
      <c r="EU3" s="1059"/>
      <c r="EV3" s="1059"/>
      <c r="EW3" s="1059"/>
      <c r="EX3" s="2170"/>
      <c r="EY3" s="2170"/>
      <c r="EZ3" s="2170"/>
      <c r="FA3" s="2170"/>
      <c r="FB3" s="2170"/>
      <c r="FC3" s="2170"/>
      <c r="FD3" s="2170"/>
      <c r="FE3" s="2170"/>
      <c r="FF3" s="2170"/>
      <c r="FG3" s="2170"/>
      <c r="FH3" s="2170"/>
      <c r="FI3" s="2170"/>
      <c r="FJ3" s="2170"/>
      <c r="FK3" s="2170"/>
      <c r="FL3" s="2170"/>
      <c r="FM3" s="2170"/>
      <c r="FN3" s="2170"/>
      <c r="FO3" s="2170"/>
      <c r="FP3" s="2170"/>
      <c r="FQ3" s="2170"/>
      <c r="FR3" s="2170"/>
      <c r="FS3" s="2170"/>
      <c r="FT3" s="2170"/>
      <c r="FU3" s="2170"/>
      <c r="FV3" s="2170"/>
      <c r="FW3" s="2170"/>
      <c r="FX3" s="2170"/>
      <c r="FY3" s="2170"/>
      <c r="FZ3" s="2170"/>
      <c r="GA3" s="2170"/>
      <c r="GB3" s="2170"/>
      <c r="GC3" s="2170"/>
      <c r="GD3" s="2170"/>
      <c r="GE3" s="2170"/>
      <c r="GF3" s="2170"/>
      <c r="GG3" s="2170"/>
      <c r="GH3" s="2170"/>
      <c r="GI3" s="2170"/>
      <c r="GJ3" s="2170"/>
      <c r="GK3" s="2170"/>
      <c r="GL3" s="2170"/>
      <c r="GM3" s="2170"/>
      <c r="GN3" s="2170"/>
      <c r="GO3" s="2170"/>
      <c r="GP3" s="2170"/>
      <c r="GQ3" s="2170"/>
      <c r="GR3" s="2170"/>
      <c r="GS3" s="2170"/>
      <c r="GT3" s="2170"/>
      <c r="GU3" s="2170"/>
      <c r="GV3" s="2170"/>
      <c r="GW3" s="2170"/>
      <c r="GX3" s="2170"/>
      <c r="GY3" s="2170"/>
      <c r="GZ3" s="2170"/>
      <c r="HA3" s="2170"/>
      <c r="HB3" s="2170"/>
      <c r="HC3" s="2170"/>
      <c r="HD3" s="2170"/>
      <c r="HE3" s="2170"/>
      <c r="HF3" s="2170"/>
      <c r="HG3" s="2170"/>
      <c r="HH3" s="2170"/>
      <c r="HI3" s="2170"/>
      <c r="HJ3" s="2170"/>
      <c r="HK3" s="2170"/>
      <c r="HL3" s="2170"/>
      <c r="HM3" s="2170"/>
      <c r="HN3" s="2170"/>
      <c r="HO3" s="2170"/>
      <c r="HP3" s="2170"/>
      <c r="HQ3" s="2170"/>
      <c r="HR3" s="2170"/>
      <c r="HS3" s="2170"/>
      <c r="HT3" s="2170"/>
      <c r="HU3" s="2170"/>
      <c r="HV3" s="2170"/>
      <c r="HW3" s="2170"/>
      <c r="HX3" s="2170"/>
      <c r="HY3" s="2170"/>
      <c r="HZ3" s="2170"/>
      <c r="IA3" s="2170"/>
      <c r="IB3" s="2170"/>
      <c r="IC3" s="2170"/>
      <c r="ID3" s="2170"/>
      <c r="IE3" s="2170"/>
      <c r="IF3" s="2170"/>
      <c r="IG3" s="2170"/>
      <c r="IH3" s="2170"/>
      <c r="II3" s="2170"/>
      <c r="IJ3" s="2170"/>
      <c r="IK3" s="2170"/>
      <c r="IL3" s="2170"/>
      <c r="IM3" s="2170"/>
      <c r="IN3" s="2170"/>
      <c r="IO3" s="2170"/>
      <c r="IP3" s="2170"/>
      <c r="IQ3" s="2170"/>
      <c r="IR3" s="2170"/>
      <c r="IS3" s="2170"/>
      <c r="IT3" s="2170"/>
      <c r="IU3" s="2170"/>
      <c r="IV3" s="2170"/>
    </row>
    <row r="4" spans="1:256">
      <c r="A4" s="103"/>
      <c r="B4" s="1092" t="s">
        <v>737</v>
      </c>
      <c r="C4" s="1060"/>
      <c r="D4" s="1060"/>
      <c r="E4" s="1060"/>
      <c r="F4" s="1060"/>
      <c r="G4" s="1060"/>
      <c r="H4" s="103"/>
      <c r="I4" s="103"/>
      <c r="J4" s="103"/>
      <c r="K4" s="103"/>
      <c r="L4" s="103"/>
      <c r="M4" s="103"/>
      <c r="N4" s="103"/>
      <c r="O4" s="103"/>
      <c r="P4" s="103"/>
      <c r="Q4" s="103"/>
      <c r="S4" s="103"/>
      <c r="T4" s="103"/>
      <c r="U4" s="103"/>
      <c r="V4" s="103"/>
      <c r="W4" s="103"/>
      <c r="X4" s="103"/>
      <c r="Y4" s="103"/>
      <c r="Z4" s="103"/>
      <c r="AA4" s="103"/>
      <c r="AB4" s="103"/>
      <c r="AC4" s="103"/>
      <c r="AD4" s="103"/>
      <c r="AE4" s="103"/>
      <c r="AF4" s="103"/>
      <c r="AG4" s="103"/>
      <c r="AH4" s="103"/>
      <c r="AI4" s="1061"/>
      <c r="AJ4" s="1060"/>
      <c r="AK4" s="1060"/>
      <c r="AL4" s="1060"/>
      <c r="AM4" s="1060"/>
      <c r="AN4" s="1060"/>
      <c r="AO4" s="1060"/>
      <c r="AP4" s="103"/>
      <c r="AQ4" s="103"/>
      <c r="AR4" s="103"/>
      <c r="AS4" s="103"/>
      <c r="AT4" s="103"/>
      <c r="AU4" s="103"/>
      <c r="AV4" s="103"/>
      <c r="AW4" s="103"/>
      <c r="AX4" s="103"/>
      <c r="AY4" s="103"/>
      <c r="AZ4" s="103"/>
      <c r="BA4" s="103"/>
      <c r="BB4" s="103"/>
      <c r="BC4" s="103"/>
      <c r="BD4" s="103"/>
      <c r="BE4" s="103"/>
      <c r="BF4" s="103"/>
      <c r="BG4" s="103"/>
      <c r="BH4" s="103"/>
      <c r="BI4" s="103"/>
      <c r="BJ4" s="103"/>
      <c r="BK4" s="103"/>
      <c r="CN4" s="103"/>
      <c r="CO4" s="103"/>
      <c r="CP4" s="103"/>
      <c r="CQ4" s="103"/>
      <c r="CR4" s="103"/>
      <c r="CS4" s="103"/>
      <c r="CT4" s="103"/>
      <c r="CU4" s="103"/>
      <c r="CV4" s="103"/>
      <c r="CW4" s="103"/>
      <c r="CX4" s="103"/>
      <c r="CY4" s="103"/>
      <c r="CZ4" s="103"/>
      <c r="DA4" s="103"/>
      <c r="DB4" s="103"/>
      <c r="DC4" s="103"/>
      <c r="DD4" s="103"/>
      <c r="DE4" s="103"/>
      <c r="DF4" s="103"/>
      <c r="DG4" s="103"/>
      <c r="DH4" s="103"/>
      <c r="DI4" s="103"/>
      <c r="DJ4" s="103"/>
      <c r="DK4" s="103"/>
      <c r="DL4" s="103"/>
      <c r="DM4" s="103"/>
      <c r="DN4" s="103"/>
      <c r="DO4" s="103"/>
      <c r="DP4" s="103"/>
      <c r="DQ4" s="103"/>
      <c r="DR4" s="72"/>
      <c r="DS4" s="72"/>
      <c r="DT4" s="72"/>
      <c r="DU4" s="72"/>
      <c r="DV4" s="1818"/>
      <c r="DW4" s="1818"/>
      <c r="DX4" s="1818"/>
      <c r="DY4" s="1818"/>
      <c r="DZ4" s="1818"/>
      <c r="EA4" s="1818"/>
      <c r="EB4" s="1818"/>
      <c r="EC4" s="103"/>
      <c r="ED4" s="103"/>
      <c r="EE4" s="103"/>
      <c r="EF4" s="103"/>
      <c r="EG4" s="103"/>
      <c r="EH4" s="103"/>
      <c r="EI4" s="103"/>
      <c r="EJ4" s="103"/>
      <c r="EK4" s="103"/>
      <c r="EL4" s="103"/>
      <c r="EM4" s="103"/>
      <c r="EN4" s="103"/>
      <c r="EO4" s="103"/>
      <c r="EP4" s="103"/>
      <c r="EQ4" s="103"/>
      <c r="ER4" s="103"/>
      <c r="ES4" s="103"/>
      <c r="ET4" s="103"/>
      <c r="EU4" s="103"/>
      <c r="EV4" s="103"/>
      <c r="EW4" s="103"/>
    </row>
    <row r="5" spans="1:256" ht="15.6" thickBot="1">
      <c r="A5" s="103"/>
      <c r="C5" s="1060"/>
      <c r="D5" s="1060"/>
      <c r="E5" s="1060"/>
      <c r="F5" s="1060"/>
      <c r="G5" s="1060"/>
      <c r="H5" s="103"/>
      <c r="I5" s="103"/>
      <c r="J5" s="103"/>
      <c r="K5" s="103"/>
      <c r="L5" s="103"/>
      <c r="M5" s="103"/>
      <c r="N5" s="103"/>
      <c r="O5" s="103"/>
      <c r="P5" s="103"/>
      <c r="Q5" s="103"/>
      <c r="S5" s="103"/>
      <c r="T5" s="103"/>
      <c r="U5" s="103"/>
      <c r="V5" s="103"/>
      <c r="W5" s="103"/>
      <c r="X5" s="103"/>
      <c r="Y5" s="103"/>
      <c r="Z5" s="103"/>
      <c r="AA5" s="103"/>
      <c r="AB5" s="103"/>
      <c r="AC5" s="103"/>
      <c r="AD5" s="103"/>
      <c r="AE5" s="103"/>
      <c r="AF5" s="103"/>
      <c r="AG5" s="103"/>
      <c r="AH5" s="103"/>
      <c r="AI5" s="1061"/>
      <c r="AJ5" s="1060"/>
      <c r="AK5" s="1060"/>
      <c r="AL5" s="1060"/>
      <c r="AM5" s="1060"/>
      <c r="AN5" s="1060"/>
      <c r="AO5" s="1060"/>
      <c r="AP5" s="103"/>
      <c r="AQ5" s="103"/>
      <c r="AR5" s="103"/>
      <c r="AS5" s="103"/>
      <c r="AT5" s="103"/>
      <c r="AU5" s="103"/>
      <c r="AV5" s="103"/>
      <c r="AW5" s="103"/>
      <c r="AX5" s="103"/>
      <c r="AY5" s="103"/>
      <c r="AZ5" s="103"/>
      <c r="BA5" s="103"/>
      <c r="BB5" s="103"/>
      <c r="BC5" s="103"/>
      <c r="BD5" s="103"/>
      <c r="BE5" s="103"/>
      <c r="BF5" s="103"/>
      <c r="BG5" s="103"/>
      <c r="BH5" s="103"/>
      <c r="BI5" s="103"/>
      <c r="BJ5" s="103"/>
      <c r="BK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72"/>
      <c r="DS5" s="72"/>
      <c r="DT5" s="72"/>
      <c r="DU5" s="72"/>
      <c r="DV5" s="1818"/>
      <c r="DW5" s="1818"/>
      <c r="DX5" s="1818"/>
      <c r="DY5" s="1818"/>
      <c r="DZ5" s="1818"/>
      <c r="EA5" s="1818"/>
      <c r="EB5" s="1818"/>
      <c r="EC5" s="103"/>
      <c r="ED5" s="103"/>
      <c r="EE5" s="103"/>
      <c r="EF5" s="103"/>
      <c r="EG5" s="103"/>
      <c r="EH5" s="103"/>
      <c r="EI5" s="103"/>
      <c r="EJ5" s="103"/>
      <c r="EK5" s="103"/>
      <c r="EL5" s="103"/>
      <c r="EM5" s="103"/>
      <c r="EN5" s="103"/>
      <c r="EO5" s="103"/>
      <c r="EP5" s="103"/>
      <c r="EQ5" s="103"/>
      <c r="ER5" s="103"/>
      <c r="ES5" s="103"/>
      <c r="ET5" s="103"/>
      <c r="EU5" s="103"/>
      <c r="EV5" s="103"/>
      <c r="EW5" s="103"/>
    </row>
    <row r="6" spans="1:256" ht="15" customHeight="1" thickBot="1">
      <c r="A6" s="103"/>
      <c r="Y6" s="103"/>
      <c r="AH6" s="103"/>
      <c r="CN6" s="103"/>
      <c r="CO6" s="2171"/>
      <c r="CP6" s="2172"/>
      <c r="CQ6" s="2173"/>
      <c r="CR6" s="2173"/>
      <c r="CS6" s="2173"/>
      <c r="CT6" s="2173"/>
      <c r="CU6" s="2173"/>
      <c r="CV6" s="2173"/>
      <c r="CW6" s="2173"/>
      <c r="CX6" s="2173"/>
      <c r="CY6" s="2173"/>
      <c r="CZ6" s="2173"/>
      <c r="DA6" s="2173"/>
      <c r="DB6" s="2173"/>
      <c r="DC6" s="2173"/>
      <c r="DD6" s="2173"/>
      <c r="DE6" s="2173"/>
      <c r="DF6" s="2173"/>
      <c r="DG6" s="2173"/>
      <c r="DH6" s="2173"/>
      <c r="DI6" s="2173"/>
      <c r="DJ6" s="2173"/>
      <c r="DK6" s="2173"/>
      <c r="DL6" s="2173"/>
      <c r="DM6" s="2173"/>
      <c r="DN6" s="2172" t="s">
        <v>768</v>
      </c>
      <c r="DO6" s="2173"/>
      <c r="DP6" s="2173"/>
      <c r="DQ6" s="1837"/>
      <c r="DR6" s="986" t="s">
        <v>310</v>
      </c>
      <c r="DS6" s="1062" t="s">
        <v>441</v>
      </c>
      <c r="DT6" s="1062" t="s">
        <v>450</v>
      </c>
      <c r="DU6" s="1062" t="s">
        <v>432</v>
      </c>
      <c r="DV6" s="1062" t="s">
        <v>256</v>
      </c>
      <c r="DW6" s="1062" t="s">
        <v>1023</v>
      </c>
      <c r="DX6" s="1062" t="s">
        <v>398</v>
      </c>
      <c r="DY6" s="1062" t="s">
        <v>425</v>
      </c>
      <c r="DZ6" s="1062" t="s">
        <v>427</v>
      </c>
      <c r="EA6" s="1062" t="s">
        <v>425</v>
      </c>
      <c r="EB6" s="1062" t="s">
        <v>427</v>
      </c>
      <c r="EC6" s="1837"/>
      <c r="ED6" s="103"/>
      <c r="EE6" s="103"/>
      <c r="EF6" s="103"/>
      <c r="EG6" s="103"/>
      <c r="EH6" s="103"/>
      <c r="EI6" s="103"/>
      <c r="EJ6" s="103"/>
      <c r="EK6" s="103"/>
      <c r="EL6" s="103"/>
      <c r="EM6" s="103"/>
      <c r="EN6" s="103"/>
      <c r="EO6" s="103"/>
      <c r="EP6" s="103"/>
      <c r="EQ6" s="103"/>
      <c r="ER6" s="103"/>
      <c r="ES6" s="103"/>
      <c r="ET6" s="103"/>
      <c r="EU6" s="103"/>
      <c r="EV6" s="103"/>
      <c r="EW6" s="103"/>
    </row>
    <row r="7" spans="1:256" ht="15" customHeight="1" thickBot="1">
      <c r="A7" s="103"/>
      <c r="B7" s="1098"/>
      <c r="C7" s="1067" t="s">
        <v>632</v>
      </c>
      <c r="D7" s="1099"/>
      <c r="E7" s="1098"/>
      <c r="F7" s="56"/>
      <c r="G7" s="1067" t="s">
        <v>632</v>
      </c>
      <c r="H7" s="1067" t="s">
        <v>746</v>
      </c>
      <c r="I7" s="1067" t="s">
        <v>633</v>
      </c>
      <c r="J7" s="1099"/>
      <c r="K7" s="1098"/>
      <c r="L7" s="1098"/>
      <c r="M7" s="1098"/>
      <c r="N7" s="1098"/>
      <c r="O7" s="1098"/>
      <c r="P7" s="1098"/>
      <c r="Q7" s="1098"/>
      <c r="R7" s="56"/>
      <c r="S7" s="1067" t="s">
        <v>633</v>
      </c>
      <c r="T7" s="1067" t="s">
        <v>754</v>
      </c>
      <c r="U7" s="1067" t="s">
        <v>632</v>
      </c>
      <c r="V7" s="1099"/>
      <c r="W7" s="1098"/>
      <c r="X7" s="1098"/>
      <c r="Y7" s="103"/>
      <c r="Z7" s="1098"/>
      <c r="AA7" s="1098"/>
      <c r="AB7" s="1098"/>
      <c r="AC7" s="1098"/>
      <c r="AD7" s="1098"/>
      <c r="AE7" s="1067" t="s">
        <v>756</v>
      </c>
      <c r="AF7" s="1068" t="s">
        <v>757</v>
      </c>
      <c r="AG7" s="1068" t="s">
        <v>758</v>
      </c>
      <c r="AH7" s="1837"/>
      <c r="AI7" s="1098"/>
      <c r="AJ7" s="1067" t="s">
        <v>632</v>
      </c>
      <c r="AK7" s="1099"/>
      <c r="AL7" s="1098"/>
      <c r="AM7" s="56"/>
      <c r="AN7" s="1067" t="s">
        <v>632</v>
      </c>
      <c r="AO7" s="1067" t="s">
        <v>746</v>
      </c>
      <c r="AP7" s="1067" t="s">
        <v>633</v>
      </c>
      <c r="AQ7" s="1099"/>
      <c r="AR7" s="1098"/>
      <c r="AS7" s="1098"/>
      <c r="AT7" s="1098"/>
      <c r="AU7" s="1098"/>
      <c r="AV7" s="1098"/>
      <c r="AW7" s="1098"/>
      <c r="AX7" s="1098"/>
      <c r="AY7" s="56"/>
      <c r="AZ7" s="1067" t="s">
        <v>633</v>
      </c>
      <c r="BA7" s="1067" t="s">
        <v>754</v>
      </c>
      <c r="BB7" s="1067" t="s">
        <v>632</v>
      </c>
      <c r="BC7" s="1099"/>
      <c r="BD7" s="1098"/>
      <c r="BE7" s="1098"/>
      <c r="BF7" s="1098"/>
      <c r="BG7" s="1098"/>
      <c r="BH7" s="2174" t="s">
        <v>764</v>
      </c>
      <c r="BI7" s="2175" t="s">
        <v>765</v>
      </c>
      <c r="BJ7" s="2175" t="s">
        <v>765</v>
      </c>
      <c r="BK7" s="1837"/>
      <c r="BL7" s="1098"/>
      <c r="BM7" s="1067" t="s">
        <v>632</v>
      </c>
      <c r="BN7" s="1099"/>
      <c r="BO7" s="1098"/>
      <c r="BP7" s="56"/>
      <c r="BQ7" s="1067" t="s">
        <v>632</v>
      </c>
      <c r="BR7" s="1067" t="s">
        <v>746</v>
      </c>
      <c r="BS7" s="1067" t="s">
        <v>633</v>
      </c>
      <c r="BT7" s="1099"/>
      <c r="BU7" s="1098"/>
      <c r="BV7" s="1098"/>
      <c r="BW7" s="1098"/>
      <c r="BX7" s="1098"/>
      <c r="BY7" s="1098"/>
      <c r="BZ7" s="1098"/>
      <c r="CA7" s="1098"/>
      <c r="CB7" s="56"/>
      <c r="CC7" s="1067" t="s">
        <v>633</v>
      </c>
      <c r="CD7" s="1067" t="s">
        <v>754</v>
      </c>
      <c r="CE7" s="1067" t="s">
        <v>632</v>
      </c>
      <c r="CF7" s="1099"/>
      <c r="CG7" s="1098"/>
      <c r="CH7" s="1098"/>
      <c r="CI7" s="1098"/>
      <c r="CJ7" s="1098"/>
      <c r="CK7" s="2174" t="s">
        <v>764</v>
      </c>
      <c r="CL7" s="2175" t="s">
        <v>765</v>
      </c>
      <c r="CM7" s="2175" t="s">
        <v>765</v>
      </c>
      <c r="CN7" s="1837"/>
      <c r="CO7" s="2176"/>
      <c r="CP7" s="1067" t="s">
        <v>632</v>
      </c>
      <c r="CQ7" s="1067"/>
      <c r="CR7" s="2177"/>
      <c r="CS7" s="58"/>
      <c r="CT7" s="1067" t="s">
        <v>632</v>
      </c>
      <c r="CU7" s="1067" t="s">
        <v>746</v>
      </c>
      <c r="CV7" s="1067" t="s">
        <v>633</v>
      </c>
      <c r="CW7" s="1067"/>
      <c r="CX7" s="2177"/>
      <c r="CY7" s="2177"/>
      <c r="CZ7" s="2177"/>
      <c r="DA7" s="2177"/>
      <c r="DB7" s="2177"/>
      <c r="DC7" s="2177"/>
      <c r="DD7" s="2177"/>
      <c r="DE7" s="58"/>
      <c r="DF7" s="1067" t="s">
        <v>633</v>
      </c>
      <c r="DG7" s="1067" t="s">
        <v>754</v>
      </c>
      <c r="DH7" s="1067" t="s">
        <v>632</v>
      </c>
      <c r="DI7" s="1067"/>
      <c r="DJ7" s="2177"/>
      <c r="DK7" s="2177"/>
      <c r="DL7" s="2177"/>
      <c r="DM7" s="2177"/>
      <c r="DN7" s="2175" t="s">
        <v>203</v>
      </c>
      <c r="DO7" s="2175"/>
      <c r="DP7" s="2175"/>
      <c r="DQ7" s="1837"/>
      <c r="DR7" s="1063" t="s">
        <v>311</v>
      </c>
      <c r="DS7" s="1064" t="s">
        <v>383</v>
      </c>
      <c r="DT7" s="1064" t="s">
        <v>534</v>
      </c>
      <c r="DU7" s="1064" t="s">
        <v>933</v>
      </c>
      <c r="DV7" s="1064" t="s">
        <v>933</v>
      </c>
      <c r="DW7" s="1064" t="s">
        <v>933</v>
      </c>
      <c r="DX7" s="1064" t="s">
        <v>772</v>
      </c>
      <c r="DY7" s="1064" t="s">
        <v>426</v>
      </c>
      <c r="DZ7" s="1064" t="s">
        <v>426</v>
      </c>
      <c r="EA7" s="1064" t="s">
        <v>426</v>
      </c>
      <c r="EB7" s="1064" t="s">
        <v>426</v>
      </c>
      <c r="EC7" s="1837"/>
      <c r="ED7" s="103"/>
      <c r="EE7" s="103"/>
      <c r="EV7" s="103"/>
      <c r="EW7" s="103"/>
    </row>
    <row r="8" spans="1:256" ht="15" customHeight="1" thickBot="1">
      <c r="A8" s="103"/>
      <c r="B8" s="1067" t="s">
        <v>975</v>
      </c>
      <c r="C8" s="1100" t="s">
        <v>741</v>
      </c>
      <c r="D8" s="1067" t="s">
        <v>742</v>
      </c>
      <c r="E8" s="1068" t="s">
        <v>743</v>
      </c>
      <c r="F8" s="1068" t="s">
        <v>744</v>
      </c>
      <c r="G8" s="1068" t="s">
        <v>745</v>
      </c>
      <c r="H8" s="1068" t="s">
        <v>747</v>
      </c>
      <c r="I8" s="1068" t="s">
        <v>748</v>
      </c>
      <c r="J8" s="1068" t="s">
        <v>749</v>
      </c>
      <c r="K8" s="1068" t="s">
        <v>750</v>
      </c>
      <c r="L8" s="1068" t="s">
        <v>751</v>
      </c>
      <c r="M8" s="1068" t="s">
        <v>752</v>
      </c>
      <c r="N8" s="1068" t="s">
        <v>753</v>
      </c>
      <c r="O8" s="1068" t="s">
        <v>741</v>
      </c>
      <c r="P8" s="1068" t="s">
        <v>742</v>
      </c>
      <c r="Q8" s="1068" t="s">
        <v>743</v>
      </c>
      <c r="R8" s="1068" t="s">
        <v>744</v>
      </c>
      <c r="S8" s="1068" t="s">
        <v>745</v>
      </c>
      <c r="T8" s="1068" t="s">
        <v>747</v>
      </c>
      <c r="U8" s="1068" t="s">
        <v>748</v>
      </c>
      <c r="V8" s="1068" t="s">
        <v>749</v>
      </c>
      <c r="W8" s="1068" t="s">
        <v>750</v>
      </c>
      <c r="X8" s="1068" t="s">
        <v>751</v>
      </c>
      <c r="Y8" s="1068" t="s">
        <v>752</v>
      </c>
      <c r="Z8" s="2178" t="s">
        <v>753</v>
      </c>
      <c r="AA8" s="1067" t="s">
        <v>369</v>
      </c>
      <c r="AB8" s="1068" t="s">
        <v>622</v>
      </c>
      <c r="AC8" s="1068" t="s">
        <v>623</v>
      </c>
      <c r="AD8" s="1068" t="s">
        <v>755</v>
      </c>
      <c r="AE8" s="1078" t="s">
        <v>452</v>
      </c>
      <c r="AF8" s="1078" t="s">
        <v>452</v>
      </c>
      <c r="AG8" s="1078" t="s">
        <v>452</v>
      </c>
      <c r="AH8" s="1837"/>
      <c r="AI8" s="1067" t="s">
        <v>975</v>
      </c>
      <c r="AJ8" s="1100" t="s">
        <v>741</v>
      </c>
      <c r="AK8" s="1067" t="s">
        <v>742</v>
      </c>
      <c r="AL8" s="1068" t="s">
        <v>743</v>
      </c>
      <c r="AM8" s="1068" t="s">
        <v>744</v>
      </c>
      <c r="AN8" s="1068" t="s">
        <v>745</v>
      </c>
      <c r="AO8" s="1068" t="s">
        <v>747</v>
      </c>
      <c r="AP8" s="1068" t="s">
        <v>748</v>
      </c>
      <c r="AQ8" s="1068" t="s">
        <v>749</v>
      </c>
      <c r="AR8" s="1068" t="s">
        <v>750</v>
      </c>
      <c r="AS8" s="1068" t="s">
        <v>751</v>
      </c>
      <c r="AT8" s="1068" t="s">
        <v>752</v>
      </c>
      <c r="AU8" s="1068" t="s">
        <v>753</v>
      </c>
      <c r="AV8" s="1068" t="s">
        <v>741</v>
      </c>
      <c r="AW8" s="1068" t="s">
        <v>742</v>
      </c>
      <c r="AX8" s="1068" t="s">
        <v>743</v>
      </c>
      <c r="AY8" s="1068" t="s">
        <v>744</v>
      </c>
      <c r="AZ8" s="1068" t="s">
        <v>745</v>
      </c>
      <c r="BA8" s="1068" t="s">
        <v>747</v>
      </c>
      <c r="BB8" s="1068" t="s">
        <v>748</v>
      </c>
      <c r="BC8" s="1068" t="s">
        <v>749</v>
      </c>
      <c r="BD8" s="1068" t="s">
        <v>750</v>
      </c>
      <c r="BE8" s="1068" t="s">
        <v>751</v>
      </c>
      <c r="BF8" s="1068" t="s">
        <v>752</v>
      </c>
      <c r="BG8" s="1068" t="s">
        <v>753</v>
      </c>
      <c r="BH8" s="2179" t="s">
        <v>369</v>
      </c>
      <c r="BI8" s="2180" t="s">
        <v>622</v>
      </c>
      <c r="BJ8" s="2180" t="s">
        <v>623</v>
      </c>
      <c r="BK8" s="1837"/>
      <c r="BL8" s="1067" t="s">
        <v>975</v>
      </c>
      <c r="BM8" s="1100" t="s">
        <v>741</v>
      </c>
      <c r="BN8" s="1067" t="s">
        <v>742</v>
      </c>
      <c r="BO8" s="1068" t="s">
        <v>743</v>
      </c>
      <c r="BP8" s="1068" t="s">
        <v>744</v>
      </c>
      <c r="BQ8" s="1068" t="s">
        <v>745</v>
      </c>
      <c r="BR8" s="1068" t="s">
        <v>747</v>
      </c>
      <c r="BS8" s="1068" t="s">
        <v>748</v>
      </c>
      <c r="BT8" s="1068" t="s">
        <v>749</v>
      </c>
      <c r="BU8" s="1068" t="s">
        <v>750</v>
      </c>
      <c r="BV8" s="1068" t="s">
        <v>751</v>
      </c>
      <c r="BW8" s="1068" t="s">
        <v>752</v>
      </c>
      <c r="BX8" s="1068" t="s">
        <v>753</v>
      </c>
      <c r="BY8" s="1068" t="s">
        <v>741</v>
      </c>
      <c r="BZ8" s="1068" t="s">
        <v>742</v>
      </c>
      <c r="CA8" s="1068" t="s">
        <v>743</v>
      </c>
      <c r="CB8" s="1068" t="s">
        <v>744</v>
      </c>
      <c r="CC8" s="1068" t="s">
        <v>745</v>
      </c>
      <c r="CD8" s="1068" t="s">
        <v>747</v>
      </c>
      <c r="CE8" s="1068" t="s">
        <v>748</v>
      </c>
      <c r="CF8" s="1068" t="s">
        <v>749</v>
      </c>
      <c r="CG8" s="1068" t="s">
        <v>750</v>
      </c>
      <c r="CH8" s="1068" t="s">
        <v>751</v>
      </c>
      <c r="CI8" s="1068" t="s">
        <v>752</v>
      </c>
      <c r="CJ8" s="1068" t="s">
        <v>753</v>
      </c>
      <c r="CK8" s="2179" t="s">
        <v>369</v>
      </c>
      <c r="CL8" s="2180" t="s">
        <v>622</v>
      </c>
      <c r="CM8" s="2180" t="s">
        <v>623</v>
      </c>
      <c r="CN8" s="1837"/>
      <c r="CO8" s="2179" t="s">
        <v>975</v>
      </c>
      <c r="CP8" s="1100" t="s">
        <v>741</v>
      </c>
      <c r="CQ8" s="1067" t="s">
        <v>742</v>
      </c>
      <c r="CR8" s="1068" t="s">
        <v>743</v>
      </c>
      <c r="CS8" s="1068" t="s">
        <v>744</v>
      </c>
      <c r="CT8" s="1068" t="s">
        <v>745</v>
      </c>
      <c r="CU8" s="1068" t="s">
        <v>747</v>
      </c>
      <c r="CV8" s="1068" t="s">
        <v>748</v>
      </c>
      <c r="CW8" s="1068" t="s">
        <v>749</v>
      </c>
      <c r="CX8" s="1068" t="s">
        <v>750</v>
      </c>
      <c r="CY8" s="1068" t="s">
        <v>751</v>
      </c>
      <c r="CZ8" s="1068" t="s">
        <v>752</v>
      </c>
      <c r="DA8" s="1068" t="s">
        <v>753</v>
      </c>
      <c r="DB8" s="1068" t="s">
        <v>741</v>
      </c>
      <c r="DC8" s="1068" t="s">
        <v>742</v>
      </c>
      <c r="DD8" s="1068" t="s">
        <v>743</v>
      </c>
      <c r="DE8" s="1068" t="s">
        <v>744</v>
      </c>
      <c r="DF8" s="1068" t="s">
        <v>745</v>
      </c>
      <c r="DG8" s="1068" t="s">
        <v>747</v>
      </c>
      <c r="DH8" s="1068" t="s">
        <v>748</v>
      </c>
      <c r="DI8" s="1068" t="s">
        <v>749</v>
      </c>
      <c r="DJ8" s="1068" t="s">
        <v>750</v>
      </c>
      <c r="DK8" s="1068" t="s">
        <v>751</v>
      </c>
      <c r="DL8" s="1068" t="s">
        <v>752</v>
      </c>
      <c r="DM8" s="1068" t="s">
        <v>753</v>
      </c>
      <c r="DN8" s="2179" t="s">
        <v>462</v>
      </c>
      <c r="DO8" s="2180" t="s">
        <v>1168</v>
      </c>
      <c r="DP8" s="2180" t="s">
        <v>1169</v>
      </c>
      <c r="DQ8" s="1837"/>
      <c r="DR8" s="1063" t="s">
        <v>312</v>
      </c>
      <c r="DS8" s="1064" t="s">
        <v>933</v>
      </c>
      <c r="DT8" s="1064" t="s">
        <v>933</v>
      </c>
      <c r="DU8" s="1065"/>
      <c r="DV8" s="1065"/>
      <c r="DW8" s="1065"/>
      <c r="DX8" s="1064" t="s">
        <v>933</v>
      </c>
      <c r="DY8" s="1064" t="s">
        <v>933</v>
      </c>
      <c r="DZ8" s="1064" t="s">
        <v>933</v>
      </c>
      <c r="EA8" s="1064" t="s">
        <v>773</v>
      </c>
      <c r="EB8" s="1064" t="s">
        <v>773</v>
      </c>
      <c r="EC8" s="1837"/>
      <c r="ED8" s="103"/>
      <c r="EE8" s="103"/>
      <c r="EV8" s="103"/>
      <c r="EW8" s="103"/>
    </row>
    <row r="9" spans="1:256" ht="15" customHeight="1">
      <c r="A9" s="103"/>
      <c r="B9" s="1067" t="s">
        <v>313</v>
      </c>
      <c r="C9" s="2181">
        <v>67</v>
      </c>
      <c r="D9" s="1066">
        <v>64</v>
      </c>
      <c r="E9" s="1066">
        <v>64</v>
      </c>
      <c r="F9" s="1066">
        <v>71</v>
      </c>
      <c r="G9" s="1066">
        <v>73</v>
      </c>
      <c r="H9" s="1066">
        <v>77</v>
      </c>
      <c r="I9" s="1066">
        <v>81</v>
      </c>
      <c r="J9" s="1066">
        <v>84</v>
      </c>
      <c r="K9" s="1066">
        <v>96</v>
      </c>
      <c r="L9" s="1066">
        <v>126</v>
      </c>
      <c r="M9" s="1066">
        <v>123</v>
      </c>
      <c r="N9" s="1066">
        <v>121</v>
      </c>
      <c r="O9" s="1066">
        <v>119</v>
      </c>
      <c r="P9" s="1066">
        <v>117</v>
      </c>
      <c r="Q9" s="1066">
        <v>114</v>
      </c>
      <c r="R9" s="1066">
        <v>106</v>
      </c>
      <c r="S9" s="1066">
        <v>96</v>
      </c>
      <c r="T9" s="1066">
        <v>95</v>
      </c>
      <c r="U9" s="1066">
        <v>77</v>
      </c>
      <c r="V9" s="1066">
        <v>66</v>
      </c>
      <c r="W9" s="1066">
        <v>66</v>
      </c>
      <c r="X9" s="1066">
        <v>65</v>
      </c>
      <c r="Y9" s="1066">
        <v>63</v>
      </c>
      <c r="Z9" s="1066">
        <v>63</v>
      </c>
      <c r="AA9" s="1067">
        <f t="shared" ref="AA9:AA39" si="0">IF(SUM(C9:Z9)=0,"",ROUND(AVERAGE(C9:Z9),0))</f>
        <v>87</v>
      </c>
      <c r="AB9" s="1068">
        <f>IF(SUM(C9:Z9)=0,"",ROUND(MAX(C9:Z9),0))</f>
        <v>126</v>
      </c>
      <c r="AC9" s="1068">
        <f t="shared" ref="AC9:AC39" si="1">IF(SUM(C9:Z9)=0,"",ROUND(MIN(C9:Z9),0))</f>
        <v>63</v>
      </c>
      <c r="AD9" s="1068">
        <f ca="1">IF(DMREZ!D11&lt;TODAY(),AA55,"")</f>
        <v>87</v>
      </c>
      <c r="AE9" s="658">
        <f t="shared" ref="AE9:AE39" si="2">(IF(SUM(D9:AA9)=0,"",AVERAGE(IF(D9&gt;225,225,D9),IF(E9&gt;225,225,E9),IF(F9&gt;225,225,F9),IF(G9&gt;225,225,G9),IF(H9&gt;225,225,H9),IF(I9&gt;225,225,I9),IF(J9&gt;225,225,J9),IF(K9&gt;225,225,K9),IF(L9&gt;225,225,L9),IF(M9&gt;225,225,M9),IF(N9&gt;225,225,N9),IF(C9&gt;225,225,C9))))</f>
        <v>87.25</v>
      </c>
      <c r="AF9" s="658">
        <f t="shared" ref="AF9:AF39" si="3">(IF(SUM(D9:AA9)=0,"",AVERAGE(IF(P9&gt;225,225,P9),IF(Q9&gt;225,225,Q9),IF(R9&gt;225,225,R9),IF(S9&gt;225,225,S9),IF(T9&gt;225,225,T9),IF(U9&gt;225,225,U9),IF(V9&gt;225,225,V9),IF(W9&gt;225,225,W9),IF(X9&gt;225,225,X9),IF(Y9&gt;225,225,Y9),IF(Z9&gt;225,225,Z9),IF(O9&gt;225,225,O9))))</f>
        <v>87.25</v>
      </c>
      <c r="AG9" s="658">
        <f>IF(ISNUMBER(+AE9)+ISNUMBER(AF9)=0,"",ROUND((AE9+AF9)/2,0))</f>
        <v>87</v>
      </c>
      <c r="AH9" s="1069"/>
      <c r="AI9" s="1067" t="s">
        <v>313</v>
      </c>
      <c r="AJ9" s="1070"/>
      <c r="AK9" s="1071"/>
      <c r="AL9" s="1071"/>
      <c r="AM9" s="1071"/>
      <c r="AN9" s="1071"/>
      <c r="AO9" s="1071"/>
      <c r="AP9" s="1071"/>
      <c r="AQ9" s="1071"/>
      <c r="AR9" s="1071"/>
      <c r="AS9" s="1071"/>
      <c r="AT9" s="1071"/>
      <c r="AU9" s="1071"/>
      <c r="AV9" s="1071"/>
      <c r="AW9" s="1071"/>
      <c r="AX9" s="1071"/>
      <c r="AY9" s="1071"/>
      <c r="AZ9" s="1071"/>
      <c r="BA9" s="1071"/>
      <c r="BB9" s="1071"/>
      <c r="BC9" s="1071"/>
      <c r="BD9" s="1071"/>
      <c r="BE9" s="1071"/>
      <c r="BF9" s="1071"/>
      <c r="BG9" s="1071"/>
      <c r="BH9" s="666" t="str">
        <f t="shared" ref="BH9:BH39" si="4">IF(SUM(AJ9:BG9)=0,"",ROUND(AVERAGE(AJ9:BG9),0))</f>
        <v/>
      </c>
      <c r="BI9" s="658" t="str">
        <f t="shared" ref="BI9:BI39" si="5">IF(SUM(AJ9:BG9)=0,"",ROUND(MAX(AJ9:BG9),0))</f>
        <v/>
      </c>
      <c r="BJ9" s="658" t="str">
        <f t="shared" ref="BJ9:BJ39" si="6">IF(SUM(AJ9:BG9)=0,"",ROUND(MIN(AJ9:BG9),0))</f>
        <v/>
      </c>
      <c r="BK9" s="1069"/>
      <c r="BL9" s="1067" t="s">
        <v>313</v>
      </c>
      <c r="BM9" s="655"/>
      <c r="BN9" s="657"/>
      <c r="BO9" s="657"/>
      <c r="BP9" s="657"/>
      <c r="BQ9" s="657"/>
      <c r="BR9" s="657"/>
      <c r="BS9" s="657"/>
      <c r="BT9" s="657"/>
      <c r="BU9" s="657"/>
      <c r="BV9" s="657"/>
      <c r="BW9" s="657"/>
      <c r="BX9" s="657"/>
      <c r="BY9" s="657"/>
      <c r="BZ9" s="657"/>
      <c r="CA9" s="657"/>
      <c r="CB9" s="657"/>
      <c r="CC9" s="657"/>
      <c r="CD9" s="657"/>
      <c r="CE9" s="657"/>
      <c r="CF9" s="657"/>
      <c r="CG9" s="657"/>
      <c r="CH9" s="657"/>
      <c r="CI9" s="657"/>
      <c r="CJ9" s="657"/>
      <c r="CK9" s="666" t="str">
        <f t="shared" ref="CK9:CK39" si="7">IF(SUM(BM9:CJ9)=0,"",ROUND(AVERAGE(BM9:CJ9),0))</f>
        <v/>
      </c>
      <c r="CL9" s="658" t="str">
        <f t="shared" ref="CL9:CL39" si="8">IF(SUM(BN9:CK9)=0,"",ROUND(MAX(BN9:CK9),0))</f>
        <v/>
      </c>
      <c r="CM9" s="658" t="str">
        <f t="shared" ref="CM9:CM39" si="9">IF(SUM(BO9:CL9)=0,"",ROUND(MIN(BO9:CL9),0))</f>
        <v/>
      </c>
      <c r="CN9" s="1069"/>
      <c r="CO9" s="1072" t="s">
        <v>313</v>
      </c>
      <c r="CP9" s="1071" t="str">
        <f t="shared" ref="CP9:DE24" si="10">IF(C9&gt;225,C9-225," ")</f>
        <v xml:space="preserve"> </v>
      </c>
      <c r="CQ9" s="1071" t="str">
        <f t="shared" si="10"/>
        <v xml:space="preserve"> </v>
      </c>
      <c r="CR9" s="1071" t="str">
        <f t="shared" si="10"/>
        <v xml:space="preserve"> </v>
      </c>
      <c r="CS9" s="1071" t="str">
        <f t="shared" si="10"/>
        <v xml:space="preserve"> </v>
      </c>
      <c r="CT9" s="1071" t="str">
        <f t="shared" si="10"/>
        <v xml:space="preserve"> </v>
      </c>
      <c r="CU9" s="1071" t="str">
        <f t="shared" si="10"/>
        <v xml:space="preserve"> </v>
      </c>
      <c r="CV9" s="1071" t="str">
        <f t="shared" si="10"/>
        <v xml:space="preserve"> </v>
      </c>
      <c r="CW9" s="1071" t="str">
        <f t="shared" si="10"/>
        <v xml:space="preserve"> </v>
      </c>
      <c r="CX9" s="1071" t="str">
        <f t="shared" si="10"/>
        <v xml:space="preserve"> </v>
      </c>
      <c r="CY9" s="1071" t="str">
        <f t="shared" si="10"/>
        <v xml:space="preserve"> </v>
      </c>
      <c r="CZ9" s="1071" t="str">
        <f t="shared" si="10"/>
        <v xml:space="preserve"> </v>
      </c>
      <c r="DA9" s="1071" t="str">
        <f t="shared" si="10"/>
        <v xml:space="preserve"> </v>
      </c>
      <c r="DB9" s="1071" t="str">
        <f t="shared" si="10"/>
        <v xml:space="preserve"> </v>
      </c>
      <c r="DC9" s="1071" t="str">
        <f t="shared" si="10"/>
        <v xml:space="preserve"> </v>
      </c>
      <c r="DD9" s="1071" t="str">
        <f t="shared" si="10"/>
        <v xml:space="preserve"> </v>
      </c>
      <c r="DE9" s="1071" t="str">
        <f t="shared" si="10"/>
        <v xml:space="preserve"> </v>
      </c>
      <c r="DF9" s="1071" t="str">
        <f t="shared" ref="DF9:DM39" si="11">IF(S9&gt;225,S9-225," ")</f>
        <v xml:space="preserve"> </v>
      </c>
      <c r="DG9" s="1071" t="str">
        <f t="shared" si="11"/>
        <v xml:space="preserve"> </v>
      </c>
      <c r="DH9" s="1071" t="str">
        <f t="shared" si="11"/>
        <v xml:space="preserve"> </v>
      </c>
      <c r="DI9" s="1071" t="str">
        <f t="shared" si="11"/>
        <v xml:space="preserve"> </v>
      </c>
      <c r="DJ9" s="1071" t="str">
        <f t="shared" si="11"/>
        <v xml:space="preserve"> </v>
      </c>
      <c r="DK9" s="1071" t="str">
        <f t="shared" si="11"/>
        <v xml:space="preserve"> </v>
      </c>
      <c r="DL9" s="1071" t="str">
        <f t="shared" si="11"/>
        <v xml:space="preserve"> </v>
      </c>
      <c r="DM9" s="1071" t="str">
        <f t="shared" si="11"/>
        <v xml:space="preserve"> </v>
      </c>
      <c r="DN9" s="658" t="str">
        <f t="shared" ref="DN9:DN39" si="12">IF(SUM(CP9:DM9)=0,"",ROUND(AVERAGE(CP9:DM9),0))</f>
        <v/>
      </c>
      <c r="DO9" s="1073">
        <f>+MAX(CP9:DM9)</f>
        <v>0</v>
      </c>
      <c r="DP9" s="1073">
        <f>+MIN(CP9:DM9)</f>
        <v>0</v>
      </c>
      <c r="DQ9" s="1065"/>
      <c r="DR9" s="986" t="s">
        <v>313</v>
      </c>
      <c r="DS9" s="1074">
        <f>IF(+AA9="","",AA9)</f>
        <v>87</v>
      </c>
      <c r="DT9" s="1074">
        <f>IF(+AA55="","",AA55)</f>
        <v>87</v>
      </c>
      <c r="DU9" s="1074">
        <f>IF(+AB9="","",AB9)</f>
        <v>126</v>
      </c>
      <c r="DV9" s="1074">
        <f>IF(+AC9="","",AC9)</f>
        <v>63</v>
      </c>
      <c r="DW9" s="1074">
        <f>IF(+AG9=0,"",AG9)</f>
        <v>87</v>
      </c>
      <c r="DX9" s="1074" t="str">
        <f>IF(+DN9=0,"",DN9)</f>
        <v/>
      </c>
      <c r="DY9" s="1074">
        <f t="shared" ref="DY9:DY13" si="13">DS9*0.65</f>
        <v>56.550000000000004</v>
      </c>
      <c r="DZ9" s="1074">
        <f t="shared" ref="DZ9:DZ13" si="14">DS9*0.35</f>
        <v>30.45</v>
      </c>
      <c r="EA9" s="1075">
        <f>IF(+DY9=0,"",ROUND(+DY9/(DZ9+DY9),2))</f>
        <v>0.65</v>
      </c>
      <c r="EB9" s="1075">
        <f>IF(DZ9=0,"",ROUND(+DZ9/(DY9+DZ9),2))</f>
        <v>0.35</v>
      </c>
      <c r="EC9" s="1837"/>
      <c r="ED9" s="103"/>
      <c r="EE9" s="103"/>
      <c r="EV9" s="103"/>
      <c r="EW9" s="103"/>
    </row>
    <row r="10" spans="1:256" ht="15" customHeight="1">
      <c r="A10" s="103"/>
      <c r="B10" s="1077" t="s">
        <v>314</v>
      </c>
      <c r="C10" s="2182">
        <v>61</v>
      </c>
      <c r="D10" s="2183">
        <v>59</v>
      </c>
      <c r="E10" s="1076">
        <v>65</v>
      </c>
      <c r="F10" s="1076">
        <v>73</v>
      </c>
      <c r="G10" s="1076">
        <v>82</v>
      </c>
      <c r="H10" s="1076">
        <v>87</v>
      </c>
      <c r="I10" s="1076">
        <v>96</v>
      </c>
      <c r="J10" s="1076">
        <v>115</v>
      </c>
      <c r="K10" s="1076">
        <v>115</v>
      </c>
      <c r="L10" s="1076">
        <v>118</v>
      </c>
      <c r="M10" s="1076">
        <v>114</v>
      </c>
      <c r="N10" s="1076">
        <v>113</v>
      </c>
      <c r="O10" s="1076">
        <v>112</v>
      </c>
      <c r="P10" s="1076">
        <v>110</v>
      </c>
      <c r="Q10" s="1076">
        <v>111</v>
      </c>
      <c r="R10" s="1076">
        <v>108</v>
      </c>
      <c r="S10" s="1076">
        <v>116</v>
      </c>
      <c r="T10" s="1076">
        <v>103</v>
      </c>
      <c r="U10" s="1076">
        <v>72</v>
      </c>
      <c r="V10" s="1076">
        <v>72</v>
      </c>
      <c r="W10" s="1076">
        <v>72</v>
      </c>
      <c r="X10" s="1076">
        <v>71</v>
      </c>
      <c r="Y10" s="1076">
        <v>68</v>
      </c>
      <c r="Z10" s="1076">
        <v>67</v>
      </c>
      <c r="AA10" s="1077">
        <f>IF(SUM(C10:Z10)=0,"",ROUND(AVERAGE(C10:Z10),0))</f>
        <v>91</v>
      </c>
      <c r="AB10" s="1078">
        <f>IF(SUM(C10:Z10)=0,"",ROUND(MAX(C10:Z10),0))</f>
        <v>118</v>
      </c>
      <c r="AC10" s="1078">
        <f>IF(SUM(C10:Z10)=0,"",ROUND(MIN(C10:Z10),0))</f>
        <v>59</v>
      </c>
      <c r="AD10" s="1078">
        <f ca="1">IF(DMREZ!D12&lt;TODAY(),AA56,"")</f>
        <v>91</v>
      </c>
      <c r="AE10" s="677">
        <f>(IF(SUM(D10:AA10)=0,"",AVERAGE(IF(D10&gt;225,225,D10),IF(E10&gt;225,225,E10),IF(F10&gt;225,225,F10),IF(G10&gt;225,225,G10),IF(H10&gt;225,225,H10),IF(I10&gt;225,225,I10),IF(J10&gt;225,225,J10),IF(K10&gt;225,225,K10),IF(L10&gt;225,225,L10),IF(M10&gt;225,225,M10),IF(N10&gt;225,225,N10),IF(C10&gt;225,225,C10))))</f>
        <v>91.5</v>
      </c>
      <c r="AF10" s="677">
        <f>(IF(SUM(D10:AA10)=0,"",AVERAGE(IF(P10&gt;225,225,P10),IF(Q10&gt;225,225,Q10),IF(R10&gt;225,225,R10),IF(S10&gt;225,225,S10),IF(T10&gt;225,225,T10),IF(U10&gt;225,225,U10),IF(V10&gt;225,225,V10),IF(W10&gt;225,225,W10),IF(X10&gt;225,225,X10),IF(Y10&gt;225,225,Y10),IF(Z10&gt;225,225,Z10),IF(O10&gt;225,225,O10))))</f>
        <v>90.166666666666671</v>
      </c>
      <c r="AG10" s="677">
        <f t="shared" ref="AG10:AG39" si="15">IF(ISNUMBER(+AE10)+ISNUMBER(AF10)=0,"",ROUND((AE10+AF10)/2,0))</f>
        <v>91</v>
      </c>
      <c r="AH10" s="1069"/>
      <c r="AI10" s="1077" t="s">
        <v>314</v>
      </c>
      <c r="AJ10" s="1079"/>
      <c r="AK10" s="1080"/>
      <c r="AL10" s="1080"/>
      <c r="AM10" s="1080"/>
      <c r="AN10" s="1080"/>
      <c r="AO10" s="1080"/>
      <c r="AP10" s="1080"/>
      <c r="AQ10" s="1080"/>
      <c r="AR10" s="1080"/>
      <c r="AS10" s="1080"/>
      <c r="AT10" s="1080"/>
      <c r="AU10" s="1080"/>
      <c r="AV10" s="1080"/>
      <c r="AW10" s="1080"/>
      <c r="AX10" s="1080"/>
      <c r="AY10" s="1080"/>
      <c r="AZ10" s="1080"/>
      <c r="BA10" s="1080"/>
      <c r="BB10" s="1080"/>
      <c r="BC10" s="1080"/>
      <c r="BD10" s="1080"/>
      <c r="BE10" s="1080"/>
      <c r="BF10" s="1080"/>
      <c r="BG10" s="1080"/>
      <c r="BH10" s="685" t="str">
        <f t="shared" si="4"/>
        <v/>
      </c>
      <c r="BI10" s="677" t="str">
        <f t="shared" si="5"/>
        <v/>
      </c>
      <c r="BJ10" s="677" t="str">
        <f t="shared" si="6"/>
        <v/>
      </c>
      <c r="BK10" s="1069"/>
      <c r="BL10" s="1077" t="s">
        <v>314</v>
      </c>
      <c r="BM10" s="674"/>
      <c r="BN10" s="676"/>
      <c r="BO10" s="676"/>
      <c r="BP10" s="676"/>
      <c r="BQ10" s="676"/>
      <c r="BR10" s="676"/>
      <c r="BS10" s="676"/>
      <c r="BT10" s="676"/>
      <c r="BU10" s="676"/>
      <c r="BV10" s="676"/>
      <c r="BW10" s="676"/>
      <c r="BX10" s="676"/>
      <c r="BY10" s="676"/>
      <c r="BZ10" s="676"/>
      <c r="CA10" s="676"/>
      <c r="CB10" s="676"/>
      <c r="CC10" s="676"/>
      <c r="CD10" s="676"/>
      <c r="CE10" s="676"/>
      <c r="CF10" s="676"/>
      <c r="CG10" s="676"/>
      <c r="CH10" s="676"/>
      <c r="CI10" s="676"/>
      <c r="CJ10" s="676"/>
      <c r="CK10" s="685" t="str">
        <f t="shared" si="7"/>
        <v/>
      </c>
      <c r="CL10" s="677" t="str">
        <f t="shared" si="8"/>
        <v/>
      </c>
      <c r="CM10" s="677" t="str">
        <f t="shared" si="9"/>
        <v/>
      </c>
      <c r="CN10" s="1069"/>
      <c r="CO10" s="1072" t="s">
        <v>314</v>
      </c>
      <c r="CP10" s="1080" t="str">
        <f t="shared" si="10"/>
        <v xml:space="preserve"> </v>
      </c>
      <c r="CQ10" s="1080" t="str">
        <f t="shared" si="10"/>
        <v xml:space="preserve"> </v>
      </c>
      <c r="CR10" s="1080" t="str">
        <f t="shared" si="10"/>
        <v xml:space="preserve"> </v>
      </c>
      <c r="CS10" s="1080" t="str">
        <f t="shared" si="10"/>
        <v xml:space="preserve"> </v>
      </c>
      <c r="CT10" s="1080" t="str">
        <f t="shared" si="10"/>
        <v xml:space="preserve"> </v>
      </c>
      <c r="CU10" s="1080" t="str">
        <f t="shared" si="10"/>
        <v xml:space="preserve"> </v>
      </c>
      <c r="CV10" s="1080" t="str">
        <f t="shared" si="10"/>
        <v xml:space="preserve"> </v>
      </c>
      <c r="CW10" s="1080" t="str">
        <f t="shared" si="10"/>
        <v xml:space="preserve"> </v>
      </c>
      <c r="CX10" s="1080" t="str">
        <f t="shared" si="10"/>
        <v xml:space="preserve"> </v>
      </c>
      <c r="CY10" s="1080" t="str">
        <f t="shared" si="10"/>
        <v xml:space="preserve"> </v>
      </c>
      <c r="CZ10" s="1080" t="str">
        <f t="shared" si="10"/>
        <v xml:space="preserve"> </v>
      </c>
      <c r="DA10" s="1080" t="str">
        <f t="shared" si="10"/>
        <v xml:space="preserve"> </v>
      </c>
      <c r="DB10" s="1080" t="str">
        <f t="shared" si="10"/>
        <v xml:space="preserve"> </v>
      </c>
      <c r="DC10" s="1080" t="str">
        <f t="shared" si="10"/>
        <v xml:space="preserve"> </v>
      </c>
      <c r="DD10" s="1080" t="str">
        <f t="shared" si="10"/>
        <v xml:space="preserve"> </v>
      </c>
      <c r="DE10" s="1080" t="str">
        <f t="shared" si="10"/>
        <v xml:space="preserve"> </v>
      </c>
      <c r="DF10" s="1080" t="str">
        <f t="shared" si="11"/>
        <v xml:space="preserve"> </v>
      </c>
      <c r="DG10" s="1080" t="str">
        <f t="shared" si="11"/>
        <v xml:space="preserve"> </v>
      </c>
      <c r="DH10" s="1080" t="str">
        <f t="shared" si="11"/>
        <v xml:space="preserve"> </v>
      </c>
      <c r="DI10" s="1080" t="str">
        <f t="shared" si="11"/>
        <v xml:space="preserve"> </v>
      </c>
      <c r="DJ10" s="1080" t="str">
        <f t="shared" si="11"/>
        <v xml:space="preserve"> </v>
      </c>
      <c r="DK10" s="1080" t="str">
        <f t="shared" si="11"/>
        <v xml:space="preserve"> </v>
      </c>
      <c r="DL10" s="1080" t="str">
        <f t="shared" si="11"/>
        <v xml:space="preserve"> </v>
      </c>
      <c r="DM10" s="1080" t="str">
        <f t="shared" si="11"/>
        <v xml:space="preserve"> </v>
      </c>
      <c r="DN10" s="677" t="str">
        <f t="shared" si="12"/>
        <v/>
      </c>
      <c r="DO10" s="1073">
        <f t="shared" ref="DO10:DO39" si="16">+MAX(CP10:DM10)</f>
        <v>0</v>
      </c>
      <c r="DP10" s="1073">
        <f t="shared" ref="DP10:DP39" si="17">+MIN(CP10:DM10)</f>
        <v>0</v>
      </c>
      <c r="DQ10" s="1065"/>
      <c r="DR10" s="1081" t="s">
        <v>314</v>
      </c>
      <c r="DS10" s="1082">
        <f t="shared" ref="DS10:DS39" si="18">IF(+AA10="","",AA10)</f>
        <v>91</v>
      </c>
      <c r="DT10" s="1082">
        <f t="shared" ref="DT10:DT39" si="19">IF(+AA56="","",AA56)</f>
        <v>91</v>
      </c>
      <c r="DU10" s="1082">
        <f t="shared" ref="DU10:DV39" si="20">IF(+AB10="","",AB10)</f>
        <v>118</v>
      </c>
      <c r="DV10" s="1082">
        <f t="shared" si="20"/>
        <v>59</v>
      </c>
      <c r="DW10" s="1082">
        <f t="shared" ref="DW10:DW39" si="21">IF(+AG10=0,"",AG10)</f>
        <v>91</v>
      </c>
      <c r="DX10" s="1082" t="str">
        <f t="shared" ref="DX10:DX39" si="22">IF(+DN10=0,"",DN10)</f>
        <v/>
      </c>
      <c r="DY10" s="1082">
        <f t="shared" si="13"/>
        <v>59.15</v>
      </c>
      <c r="DZ10" s="1082">
        <f t="shared" si="14"/>
        <v>31.849999999999998</v>
      </c>
      <c r="EA10" s="1083">
        <f t="shared" ref="EA10:EA29" si="23">IF(+DY10=0,"",ROUND(+DY10/(DZ10+DY10),2))</f>
        <v>0.65</v>
      </c>
      <c r="EB10" s="1083">
        <f t="shared" ref="EB10:EB29" si="24">IF(DZ10=0,"",ROUND(+DZ10/(DY10+DZ10),2))</f>
        <v>0.35</v>
      </c>
      <c r="EC10" s="1837"/>
      <c r="ED10" s="103"/>
      <c r="EE10" s="103"/>
      <c r="EV10" s="103"/>
      <c r="EW10" s="103"/>
    </row>
    <row r="11" spans="1:256" ht="15" customHeight="1">
      <c r="A11" s="103"/>
      <c r="B11" s="1077" t="s">
        <v>315</v>
      </c>
      <c r="C11" s="2184">
        <v>65</v>
      </c>
      <c r="D11" s="2183">
        <v>63</v>
      </c>
      <c r="E11" s="2183">
        <v>65</v>
      </c>
      <c r="F11" s="2183">
        <v>68</v>
      </c>
      <c r="G11" s="2183">
        <v>80</v>
      </c>
      <c r="H11" s="2183">
        <v>87</v>
      </c>
      <c r="I11" s="2183">
        <v>102</v>
      </c>
      <c r="J11" s="2183">
        <v>119</v>
      </c>
      <c r="K11" s="2183">
        <v>120</v>
      </c>
      <c r="L11" s="2183">
        <v>120</v>
      </c>
      <c r="M11" s="2183">
        <v>119</v>
      </c>
      <c r="N11" s="2183">
        <v>111</v>
      </c>
      <c r="O11" s="2183">
        <v>112</v>
      </c>
      <c r="P11" s="2183">
        <v>112</v>
      </c>
      <c r="Q11" s="2183">
        <v>112</v>
      </c>
      <c r="R11" s="2183">
        <v>113</v>
      </c>
      <c r="S11" s="2183">
        <v>111</v>
      </c>
      <c r="T11" s="2183">
        <v>111</v>
      </c>
      <c r="U11" s="2183">
        <v>105</v>
      </c>
      <c r="V11" s="2183">
        <v>96</v>
      </c>
      <c r="W11" s="2183">
        <v>72</v>
      </c>
      <c r="X11" s="2183">
        <v>63</v>
      </c>
      <c r="Y11" s="2183">
        <v>58</v>
      </c>
      <c r="Z11" s="2183">
        <v>57</v>
      </c>
      <c r="AA11" s="1077">
        <f t="shared" si="0"/>
        <v>93</v>
      </c>
      <c r="AB11" s="1078">
        <f t="shared" ref="AB11:AB39" si="25">IF(SUM(C11:Z11)=0,"",ROUND(MAX(C11:Z11),0))</f>
        <v>120</v>
      </c>
      <c r="AC11" s="1078">
        <f t="shared" si="1"/>
        <v>57</v>
      </c>
      <c r="AD11" s="1078">
        <f ca="1">IF(DMREZ!D13&lt;TODAY(),AA57,"")</f>
        <v>93</v>
      </c>
      <c r="AE11" s="677">
        <f t="shared" si="2"/>
        <v>93.25</v>
      </c>
      <c r="AF11" s="677">
        <f t="shared" si="3"/>
        <v>93.5</v>
      </c>
      <c r="AG11" s="677">
        <f t="shared" si="15"/>
        <v>93</v>
      </c>
      <c r="AH11" s="1069"/>
      <c r="AI11" s="1077" t="s">
        <v>315</v>
      </c>
      <c r="AJ11" s="1079"/>
      <c r="AK11" s="1080"/>
      <c r="AL11" s="1080"/>
      <c r="AM11" s="1080"/>
      <c r="AN11" s="1080"/>
      <c r="AO11" s="1080"/>
      <c r="AP11" s="1080"/>
      <c r="AQ11" s="1080"/>
      <c r="AR11" s="1080"/>
      <c r="AS11" s="1080"/>
      <c r="AT11" s="1080"/>
      <c r="AU11" s="1080"/>
      <c r="AV11" s="1080"/>
      <c r="AW11" s="1080"/>
      <c r="AX11" s="1080"/>
      <c r="AY11" s="1080"/>
      <c r="AZ11" s="1080"/>
      <c r="BA11" s="1080"/>
      <c r="BB11" s="1080"/>
      <c r="BC11" s="1080"/>
      <c r="BD11" s="1080"/>
      <c r="BE11" s="1080"/>
      <c r="BF11" s="1080"/>
      <c r="BG11" s="1080"/>
      <c r="BH11" s="685" t="str">
        <f t="shared" si="4"/>
        <v/>
      </c>
      <c r="BI11" s="677" t="str">
        <f t="shared" si="5"/>
        <v/>
      </c>
      <c r="BJ11" s="677" t="str">
        <f t="shared" si="6"/>
        <v/>
      </c>
      <c r="BK11" s="1069"/>
      <c r="BL11" s="1077" t="s">
        <v>315</v>
      </c>
      <c r="BM11" s="674"/>
      <c r="BN11" s="676"/>
      <c r="BO11" s="676"/>
      <c r="BP11" s="676"/>
      <c r="BQ11" s="676"/>
      <c r="BR11" s="676"/>
      <c r="BS11" s="676"/>
      <c r="BT11" s="676"/>
      <c r="BU11" s="676"/>
      <c r="BV11" s="676"/>
      <c r="BW11" s="676"/>
      <c r="BX11" s="676"/>
      <c r="BY11" s="676"/>
      <c r="BZ11" s="676"/>
      <c r="CA11" s="676"/>
      <c r="CB11" s="676"/>
      <c r="CC11" s="676"/>
      <c r="CD11" s="676"/>
      <c r="CE11" s="676"/>
      <c r="CF11" s="676"/>
      <c r="CG11" s="676"/>
      <c r="CH11" s="676"/>
      <c r="CI11" s="676"/>
      <c r="CJ11" s="676"/>
      <c r="CK11" s="685" t="str">
        <f t="shared" si="7"/>
        <v/>
      </c>
      <c r="CL11" s="677" t="str">
        <f t="shared" si="8"/>
        <v/>
      </c>
      <c r="CM11" s="677" t="str">
        <f t="shared" si="9"/>
        <v/>
      </c>
      <c r="CN11" s="1069"/>
      <c r="CO11" s="1072" t="s">
        <v>315</v>
      </c>
      <c r="CP11" s="1080" t="str">
        <f t="shared" si="10"/>
        <v xml:space="preserve"> </v>
      </c>
      <c r="CQ11" s="1080" t="str">
        <f t="shared" si="10"/>
        <v xml:space="preserve"> </v>
      </c>
      <c r="CR11" s="1080" t="str">
        <f t="shared" si="10"/>
        <v xml:space="preserve"> </v>
      </c>
      <c r="CS11" s="1080" t="str">
        <f t="shared" si="10"/>
        <v xml:space="preserve"> </v>
      </c>
      <c r="CT11" s="1080" t="str">
        <f t="shared" si="10"/>
        <v xml:space="preserve"> </v>
      </c>
      <c r="CU11" s="1080" t="str">
        <f t="shared" si="10"/>
        <v xml:space="preserve"> </v>
      </c>
      <c r="CV11" s="1080" t="str">
        <f t="shared" si="10"/>
        <v xml:space="preserve"> </v>
      </c>
      <c r="CW11" s="1080" t="str">
        <f t="shared" si="10"/>
        <v xml:space="preserve"> </v>
      </c>
      <c r="CX11" s="1080" t="str">
        <f t="shared" si="10"/>
        <v xml:space="preserve"> </v>
      </c>
      <c r="CY11" s="1080" t="str">
        <f t="shared" si="10"/>
        <v xml:space="preserve"> </v>
      </c>
      <c r="CZ11" s="1080" t="str">
        <f t="shared" si="10"/>
        <v xml:space="preserve"> </v>
      </c>
      <c r="DA11" s="1080" t="str">
        <f t="shared" si="10"/>
        <v xml:space="preserve"> </v>
      </c>
      <c r="DB11" s="1080" t="str">
        <f t="shared" si="10"/>
        <v xml:space="preserve"> </v>
      </c>
      <c r="DC11" s="1080" t="str">
        <f t="shared" si="10"/>
        <v xml:space="preserve"> </v>
      </c>
      <c r="DD11" s="1080" t="str">
        <f t="shared" si="10"/>
        <v xml:space="preserve"> </v>
      </c>
      <c r="DE11" s="1080" t="str">
        <f t="shared" si="10"/>
        <v xml:space="preserve"> </v>
      </c>
      <c r="DF11" s="1080" t="str">
        <f t="shared" si="11"/>
        <v xml:space="preserve"> </v>
      </c>
      <c r="DG11" s="1080" t="str">
        <f t="shared" si="11"/>
        <v xml:space="preserve"> </v>
      </c>
      <c r="DH11" s="1080" t="str">
        <f t="shared" si="11"/>
        <v xml:space="preserve"> </v>
      </c>
      <c r="DI11" s="1080" t="str">
        <f t="shared" si="11"/>
        <v xml:space="preserve"> </v>
      </c>
      <c r="DJ11" s="1080" t="str">
        <f t="shared" si="11"/>
        <v xml:space="preserve"> </v>
      </c>
      <c r="DK11" s="1080" t="str">
        <f t="shared" si="11"/>
        <v xml:space="preserve"> </v>
      </c>
      <c r="DL11" s="1080" t="str">
        <f t="shared" si="11"/>
        <v xml:space="preserve"> </v>
      </c>
      <c r="DM11" s="1080" t="str">
        <f t="shared" si="11"/>
        <v xml:space="preserve"> </v>
      </c>
      <c r="DN11" s="677" t="str">
        <f t="shared" si="12"/>
        <v/>
      </c>
      <c r="DO11" s="1073">
        <f t="shared" si="16"/>
        <v>0</v>
      </c>
      <c r="DP11" s="1073">
        <f t="shared" si="17"/>
        <v>0</v>
      </c>
      <c r="DQ11" s="1065"/>
      <c r="DR11" s="1081" t="s">
        <v>315</v>
      </c>
      <c r="DS11" s="1082">
        <f t="shared" si="18"/>
        <v>93</v>
      </c>
      <c r="DT11" s="1082">
        <f t="shared" si="19"/>
        <v>93</v>
      </c>
      <c r="DU11" s="1082">
        <f t="shared" si="20"/>
        <v>120</v>
      </c>
      <c r="DV11" s="1082">
        <f t="shared" si="20"/>
        <v>57</v>
      </c>
      <c r="DW11" s="1082">
        <f t="shared" si="21"/>
        <v>93</v>
      </c>
      <c r="DX11" s="1082" t="str">
        <f t="shared" si="22"/>
        <v/>
      </c>
      <c r="DY11" s="1082">
        <f t="shared" si="13"/>
        <v>60.45</v>
      </c>
      <c r="DZ11" s="1082">
        <f t="shared" si="14"/>
        <v>32.549999999999997</v>
      </c>
      <c r="EA11" s="1083">
        <f t="shared" si="23"/>
        <v>0.65</v>
      </c>
      <c r="EB11" s="1083">
        <f t="shared" si="24"/>
        <v>0.35</v>
      </c>
      <c r="EC11" s="1837"/>
      <c r="ED11" s="103"/>
      <c r="EE11" s="103"/>
      <c r="EV11" s="103"/>
      <c r="EW11" s="103"/>
    </row>
    <row r="12" spans="1:256" ht="15" customHeight="1">
      <c r="A12" s="103"/>
      <c r="B12" s="1077" t="s">
        <v>316</v>
      </c>
      <c r="C12" s="2184">
        <v>59</v>
      </c>
      <c r="D12" s="2183">
        <v>74</v>
      </c>
      <c r="E12" s="2183">
        <v>86</v>
      </c>
      <c r="F12" s="2183">
        <v>83</v>
      </c>
      <c r="G12" s="2183">
        <v>84</v>
      </c>
      <c r="H12" s="2183">
        <v>86</v>
      </c>
      <c r="I12" s="2183">
        <v>80</v>
      </c>
      <c r="J12" s="2183">
        <v>73</v>
      </c>
      <c r="K12" s="2183">
        <v>86</v>
      </c>
      <c r="L12" s="2183">
        <v>87</v>
      </c>
      <c r="M12" s="2183">
        <v>90</v>
      </c>
      <c r="N12" s="2183">
        <v>100</v>
      </c>
      <c r="O12" s="2183">
        <v>113</v>
      </c>
      <c r="P12" s="2183">
        <v>114</v>
      </c>
      <c r="Q12" s="2183">
        <v>113</v>
      </c>
      <c r="R12" s="2183">
        <v>110</v>
      </c>
      <c r="S12" s="2183">
        <v>107</v>
      </c>
      <c r="T12" s="2183">
        <v>95</v>
      </c>
      <c r="U12" s="2183">
        <v>78</v>
      </c>
      <c r="V12" s="2183">
        <v>76</v>
      </c>
      <c r="W12" s="2183">
        <v>72</v>
      </c>
      <c r="X12" s="2183">
        <v>72</v>
      </c>
      <c r="Y12" s="2183">
        <v>68</v>
      </c>
      <c r="Z12" s="2183">
        <v>63</v>
      </c>
      <c r="AA12" s="1077">
        <f t="shared" si="0"/>
        <v>86</v>
      </c>
      <c r="AB12" s="1078">
        <f t="shared" si="25"/>
        <v>114</v>
      </c>
      <c r="AC12" s="1078">
        <f t="shared" si="1"/>
        <v>59</v>
      </c>
      <c r="AD12" s="1078">
        <f ca="1">IF(DMREZ!D14&lt;TODAY(),AA58,"")</f>
        <v>86</v>
      </c>
      <c r="AE12" s="677">
        <f t="shared" si="2"/>
        <v>82.333333333333329</v>
      </c>
      <c r="AF12" s="677">
        <f t="shared" si="3"/>
        <v>90.083333333333329</v>
      </c>
      <c r="AG12" s="677">
        <f t="shared" si="15"/>
        <v>86</v>
      </c>
      <c r="AH12" s="1069"/>
      <c r="AI12" s="1077" t="s">
        <v>316</v>
      </c>
      <c r="AJ12" s="1079"/>
      <c r="AK12" s="1080"/>
      <c r="AL12" s="1080"/>
      <c r="AM12" s="1080"/>
      <c r="AN12" s="1080"/>
      <c r="AO12" s="1080"/>
      <c r="AP12" s="1080"/>
      <c r="AQ12" s="1080"/>
      <c r="AR12" s="1080"/>
      <c r="AS12" s="1080"/>
      <c r="AT12" s="1080"/>
      <c r="AU12" s="1080"/>
      <c r="AV12" s="1080"/>
      <c r="AW12" s="1080"/>
      <c r="AX12" s="1080"/>
      <c r="AY12" s="1080"/>
      <c r="AZ12" s="1080"/>
      <c r="BA12" s="1080"/>
      <c r="BB12" s="1080"/>
      <c r="BC12" s="1080"/>
      <c r="BD12" s="1080"/>
      <c r="BE12" s="1080"/>
      <c r="BF12" s="1080"/>
      <c r="BG12" s="1080"/>
      <c r="BH12" s="685" t="str">
        <f t="shared" si="4"/>
        <v/>
      </c>
      <c r="BI12" s="677" t="str">
        <f t="shared" si="5"/>
        <v/>
      </c>
      <c r="BJ12" s="677" t="str">
        <f t="shared" si="6"/>
        <v/>
      </c>
      <c r="BK12" s="1069"/>
      <c r="BL12" s="1077" t="s">
        <v>316</v>
      </c>
      <c r="BM12" s="674"/>
      <c r="BN12" s="676"/>
      <c r="BO12" s="676"/>
      <c r="BP12" s="676"/>
      <c r="BQ12" s="676"/>
      <c r="BR12" s="676"/>
      <c r="BS12" s="676"/>
      <c r="BT12" s="676"/>
      <c r="BU12" s="676"/>
      <c r="BV12" s="676"/>
      <c r="BW12" s="676"/>
      <c r="BX12" s="676"/>
      <c r="BY12" s="676"/>
      <c r="BZ12" s="676"/>
      <c r="CA12" s="676"/>
      <c r="CB12" s="676"/>
      <c r="CC12" s="676"/>
      <c r="CD12" s="676"/>
      <c r="CE12" s="676"/>
      <c r="CF12" s="676"/>
      <c r="CG12" s="676"/>
      <c r="CH12" s="676"/>
      <c r="CI12" s="676"/>
      <c r="CJ12" s="676"/>
      <c r="CK12" s="685" t="str">
        <f t="shared" si="7"/>
        <v/>
      </c>
      <c r="CL12" s="677" t="str">
        <f t="shared" si="8"/>
        <v/>
      </c>
      <c r="CM12" s="677" t="str">
        <f t="shared" si="9"/>
        <v/>
      </c>
      <c r="CN12" s="1069"/>
      <c r="CO12" s="1072" t="s">
        <v>316</v>
      </c>
      <c r="CP12" s="1080" t="str">
        <f t="shared" si="10"/>
        <v xml:space="preserve"> </v>
      </c>
      <c r="CQ12" s="1080" t="str">
        <f t="shared" si="10"/>
        <v xml:space="preserve"> </v>
      </c>
      <c r="CR12" s="1080" t="str">
        <f t="shared" si="10"/>
        <v xml:space="preserve"> </v>
      </c>
      <c r="CS12" s="1080" t="str">
        <f t="shared" si="10"/>
        <v xml:space="preserve"> </v>
      </c>
      <c r="CT12" s="1080" t="str">
        <f t="shared" si="10"/>
        <v xml:space="preserve"> </v>
      </c>
      <c r="CU12" s="1080" t="str">
        <f t="shared" si="10"/>
        <v xml:space="preserve"> </v>
      </c>
      <c r="CV12" s="1080" t="str">
        <f t="shared" si="10"/>
        <v xml:space="preserve"> </v>
      </c>
      <c r="CW12" s="1080" t="str">
        <f t="shared" si="10"/>
        <v xml:space="preserve"> </v>
      </c>
      <c r="CX12" s="1080" t="str">
        <f t="shared" si="10"/>
        <v xml:space="preserve"> </v>
      </c>
      <c r="CY12" s="1080" t="str">
        <f t="shared" si="10"/>
        <v xml:space="preserve"> </v>
      </c>
      <c r="CZ12" s="1080" t="str">
        <f t="shared" si="10"/>
        <v xml:space="preserve"> </v>
      </c>
      <c r="DA12" s="1080" t="str">
        <f t="shared" si="10"/>
        <v xml:space="preserve"> </v>
      </c>
      <c r="DB12" s="1080" t="str">
        <f t="shared" si="10"/>
        <v xml:space="preserve"> </v>
      </c>
      <c r="DC12" s="1080" t="str">
        <f t="shared" si="10"/>
        <v xml:space="preserve"> </v>
      </c>
      <c r="DD12" s="1080" t="str">
        <f t="shared" si="10"/>
        <v xml:space="preserve"> </v>
      </c>
      <c r="DE12" s="1080" t="str">
        <f t="shared" si="10"/>
        <v xml:space="preserve"> </v>
      </c>
      <c r="DF12" s="1080" t="str">
        <f t="shared" si="11"/>
        <v xml:space="preserve"> </v>
      </c>
      <c r="DG12" s="1080" t="str">
        <f t="shared" si="11"/>
        <v xml:space="preserve"> </v>
      </c>
      <c r="DH12" s="1080" t="str">
        <f t="shared" si="11"/>
        <v xml:space="preserve"> </v>
      </c>
      <c r="DI12" s="1080" t="str">
        <f t="shared" si="11"/>
        <v xml:space="preserve"> </v>
      </c>
      <c r="DJ12" s="1080" t="str">
        <f t="shared" si="11"/>
        <v xml:space="preserve"> </v>
      </c>
      <c r="DK12" s="1080" t="str">
        <f t="shared" si="11"/>
        <v xml:space="preserve"> </v>
      </c>
      <c r="DL12" s="1080" t="str">
        <f t="shared" si="11"/>
        <v xml:space="preserve"> </v>
      </c>
      <c r="DM12" s="1080" t="str">
        <f t="shared" si="11"/>
        <v xml:space="preserve"> </v>
      </c>
      <c r="DN12" s="677" t="str">
        <f t="shared" si="12"/>
        <v/>
      </c>
      <c r="DO12" s="1073">
        <f t="shared" si="16"/>
        <v>0</v>
      </c>
      <c r="DP12" s="1073">
        <f t="shared" si="17"/>
        <v>0</v>
      </c>
      <c r="DQ12" s="1065"/>
      <c r="DR12" s="1081" t="s">
        <v>316</v>
      </c>
      <c r="DS12" s="1082">
        <f t="shared" si="18"/>
        <v>86</v>
      </c>
      <c r="DT12" s="1082">
        <f t="shared" si="19"/>
        <v>86</v>
      </c>
      <c r="DU12" s="1082">
        <f t="shared" si="20"/>
        <v>114</v>
      </c>
      <c r="DV12" s="1082">
        <f t="shared" si="20"/>
        <v>59</v>
      </c>
      <c r="DW12" s="1082">
        <f t="shared" si="21"/>
        <v>86</v>
      </c>
      <c r="DX12" s="1082" t="str">
        <f t="shared" si="22"/>
        <v/>
      </c>
      <c r="DY12" s="1082">
        <f t="shared" si="13"/>
        <v>55.9</v>
      </c>
      <c r="DZ12" s="1082">
        <f t="shared" si="14"/>
        <v>30.099999999999998</v>
      </c>
      <c r="EA12" s="1083">
        <f t="shared" si="23"/>
        <v>0.65</v>
      </c>
      <c r="EB12" s="1083">
        <f t="shared" si="24"/>
        <v>0.35</v>
      </c>
      <c r="EC12" s="1837"/>
      <c r="ED12" s="103"/>
      <c r="EE12" s="103"/>
      <c r="EV12" s="103"/>
      <c r="EW12" s="103"/>
    </row>
    <row r="13" spans="1:256">
      <c r="A13" s="103"/>
      <c r="B13" s="1077" t="s">
        <v>317</v>
      </c>
      <c r="C13" s="2184">
        <v>60</v>
      </c>
      <c r="D13" s="2183">
        <v>59</v>
      </c>
      <c r="E13" s="2183">
        <v>61</v>
      </c>
      <c r="F13" s="2183">
        <v>84</v>
      </c>
      <c r="G13" s="2183">
        <v>113</v>
      </c>
      <c r="H13" s="2183">
        <v>103</v>
      </c>
      <c r="I13" s="2183">
        <v>78</v>
      </c>
      <c r="J13" s="2183">
        <v>94</v>
      </c>
      <c r="K13" s="2183">
        <v>95</v>
      </c>
      <c r="L13" s="2183">
        <v>96</v>
      </c>
      <c r="M13" s="2183">
        <v>98</v>
      </c>
      <c r="N13" s="2183">
        <v>99</v>
      </c>
      <c r="O13" s="2183">
        <v>99</v>
      </c>
      <c r="P13" s="2183">
        <v>99</v>
      </c>
      <c r="Q13" s="2183">
        <v>108</v>
      </c>
      <c r="R13" s="2183">
        <v>108</v>
      </c>
      <c r="S13" s="2183">
        <v>103</v>
      </c>
      <c r="T13" s="2183">
        <v>92</v>
      </c>
      <c r="U13" s="2183">
        <v>87</v>
      </c>
      <c r="V13" s="2183">
        <v>78</v>
      </c>
      <c r="W13" s="2183">
        <v>75</v>
      </c>
      <c r="X13" s="2183">
        <v>66</v>
      </c>
      <c r="Y13" s="2183">
        <v>64</v>
      </c>
      <c r="Z13" s="2183">
        <v>60</v>
      </c>
      <c r="AA13" s="1077">
        <f t="shared" si="0"/>
        <v>87</v>
      </c>
      <c r="AB13" s="1078">
        <f t="shared" si="25"/>
        <v>113</v>
      </c>
      <c r="AC13" s="1078">
        <f t="shared" si="1"/>
        <v>59</v>
      </c>
      <c r="AD13" s="1078">
        <f ca="1">IF(DMREZ!D15&lt;TODAY(),AA59,"")</f>
        <v>87</v>
      </c>
      <c r="AE13" s="677">
        <f t="shared" si="2"/>
        <v>86.666666666666671</v>
      </c>
      <c r="AF13" s="677">
        <f t="shared" si="3"/>
        <v>86.583333333333329</v>
      </c>
      <c r="AG13" s="677">
        <f t="shared" si="15"/>
        <v>87</v>
      </c>
      <c r="AH13" s="1069"/>
      <c r="AI13" s="1077" t="s">
        <v>317</v>
      </c>
      <c r="AJ13" s="1079"/>
      <c r="AK13" s="1080"/>
      <c r="AL13" s="1080"/>
      <c r="AM13" s="1080"/>
      <c r="AN13" s="1080"/>
      <c r="AO13" s="1080"/>
      <c r="AP13" s="1080"/>
      <c r="AQ13" s="1080"/>
      <c r="AR13" s="1080"/>
      <c r="AS13" s="1080"/>
      <c r="AT13" s="1080"/>
      <c r="AU13" s="1080"/>
      <c r="AV13" s="1080"/>
      <c r="AW13" s="1080"/>
      <c r="AX13" s="1080"/>
      <c r="AY13" s="1080"/>
      <c r="AZ13" s="1080"/>
      <c r="BA13" s="1080"/>
      <c r="BB13" s="1080"/>
      <c r="BC13" s="1080"/>
      <c r="BD13" s="1080"/>
      <c r="BE13" s="1080"/>
      <c r="BF13" s="1080"/>
      <c r="BG13" s="1080"/>
      <c r="BH13" s="685" t="str">
        <f t="shared" si="4"/>
        <v/>
      </c>
      <c r="BI13" s="677" t="str">
        <f t="shared" si="5"/>
        <v/>
      </c>
      <c r="BJ13" s="677" t="str">
        <f t="shared" si="6"/>
        <v/>
      </c>
      <c r="BK13" s="1069"/>
      <c r="BL13" s="1077" t="s">
        <v>317</v>
      </c>
      <c r="BM13" s="674"/>
      <c r="BN13" s="676"/>
      <c r="BO13" s="676"/>
      <c r="BP13" s="676"/>
      <c r="BQ13" s="676"/>
      <c r="BR13" s="676"/>
      <c r="BS13" s="676"/>
      <c r="BT13" s="676"/>
      <c r="BU13" s="676"/>
      <c r="BV13" s="676"/>
      <c r="BW13" s="676"/>
      <c r="BX13" s="676"/>
      <c r="BY13" s="676"/>
      <c r="BZ13" s="676"/>
      <c r="CA13" s="676"/>
      <c r="CB13" s="676"/>
      <c r="CC13" s="676"/>
      <c r="CD13" s="676"/>
      <c r="CE13" s="676"/>
      <c r="CF13" s="676"/>
      <c r="CG13" s="676"/>
      <c r="CH13" s="676"/>
      <c r="CI13" s="676"/>
      <c r="CJ13" s="676"/>
      <c r="CK13" s="685" t="str">
        <f t="shared" si="7"/>
        <v/>
      </c>
      <c r="CL13" s="677" t="str">
        <f t="shared" si="8"/>
        <v/>
      </c>
      <c r="CM13" s="677" t="str">
        <f t="shared" si="9"/>
        <v/>
      </c>
      <c r="CN13" s="1069"/>
      <c r="CO13" s="1072" t="s">
        <v>317</v>
      </c>
      <c r="CP13" s="1080" t="str">
        <f t="shared" si="10"/>
        <v xml:space="preserve"> </v>
      </c>
      <c r="CQ13" s="1080" t="str">
        <f t="shared" si="10"/>
        <v xml:space="preserve"> </v>
      </c>
      <c r="CR13" s="1080" t="str">
        <f t="shared" si="10"/>
        <v xml:space="preserve"> </v>
      </c>
      <c r="CS13" s="1080" t="str">
        <f t="shared" si="10"/>
        <v xml:space="preserve"> </v>
      </c>
      <c r="CT13" s="1080" t="str">
        <f t="shared" si="10"/>
        <v xml:space="preserve"> </v>
      </c>
      <c r="CU13" s="1080" t="str">
        <f t="shared" si="10"/>
        <v xml:space="preserve"> </v>
      </c>
      <c r="CV13" s="1080" t="str">
        <f t="shared" si="10"/>
        <v xml:space="preserve"> </v>
      </c>
      <c r="CW13" s="1080" t="str">
        <f t="shared" si="10"/>
        <v xml:space="preserve"> </v>
      </c>
      <c r="CX13" s="1080" t="str">
        <f t="shared" si="10"/>
        <v xml:space="preserve"> </v>
      </c>
      <c r="CY13" s="1080" t="str">
        <f t="shared" si="10"/>
        <v xml:space="preserve"> </v>
      </c>
      <c r="CZ13" s="1080" t="str">
        <f t="shared" si="10"/>
        <v xml:space="preserve"> </v>
      </c>
      <c r="DA13" s="1080" t="str">
        <f t="shared" si="10"/>
        <v xml:space="preserve"> </v>
      </c>
      <c r="DB13" s="1080" t="str">
        <f t="shared" si="10"/>
        <v xml:space="preserve"> </v>
      </c>
      <c r="DC13" s="1080" t="str">
        <f t="shared" si="10"/>
        <v xml:space="preserve"> </v>
      </c>
      <c r="DD13" s="1080" t="str">
        <f t="shared" si="10"/>
        <v xml:space="preserve"> </v>
      </c>
      <c r="DE13" s="1080" t="str">
        <f t="shared" si="10"/>
        <v xml:space="preserve"> </v>
      </c>
      <c r="DF13" s="1080" t="str">
        <f t="shared" si="11"/>
        <v xml:space="preserve"> </v>
      </c>
      <c r="DG13" s="1080" t="str">
        <f t="shared" si="11"/>
        <v xml:space="preserve"> </v>
      </c>
      <c r="DH13" s="1080" t="str">
        <f t="shared" si="11"/>
        <v xml:space="preserve"> </v>
      </c>
      <c r="DI13" s="1080" t="str">
        <f t="shared" si="11"/>
        <v xml:space="preserve"> </v>
      </c>
      <c r="DJ13" s="1080" t="str">
        <f t="shared" si="11"/>
        <v xml:space="preserve"> </v>
      </c>
      <c r="DK13" s="1080" t="str">
        <f t="shared" si="11"/>
        <v xml:space="preserve"> </v>
      </c>
      <c r="DL13" s="1080" t="str">
        <f t="shared" si="11"/>
        <v xml:space="preserve"> </v>
      </c>
      <c r="DM13" s="1080" t="str">
        <f t="shared" si="11"/>
        <v xml:space="preserve"> </v>
      </c>
      <c r="DN13" s="677" t="str">
        <f t="shared" si="12"/>
        <v/>
      </c>
      <c r="DO13" s="1073">
        <f t="shared" si="16"/>
        <v>0</v>
      </c>
      <c r="DP13" s="1073">
        <f t="shared" si="17"/>
        <v>0</v>
      </c>
      <c r="DQ13" s="1065"/>
      <c r="DR13" s="1081" t="s">
        <v>317</v>
      </c>
      <c r="DS13" s="1082">
        <f t="shared" si="18"/>
        <v>87</v>
      </c>
      <c r="DT13" s="1082">
        <f t="shared" si="19"/>
        <v>87</v>
      </c>
      <c r="DU13" s="1082">
        <f t="shared" si="20"/>
        <v>113</v>
      </c>
      <c r="DV13" s="1082">
        <f t="shared" si="20"/>
        <v>59</v>
      </c>
      <c r="DW13" s="1082">
        <f t="shared" si="21"/>
        <v>87</v>
      </c>
      <c r="DX13" s="1082" t="str">
        <f t="shared" si="22"/>
        <v/>
      </c>
      <c r="DY13" s="1082">
        <f t="shared" si="13"/>
        <v>56.550000000000004</v>
      </c>
      <c r="DZ13" s="1082">
        <f t="shared" si="14"/>
        <v>30.45</v>
      </c>
      <c r="EA13" s="1083">
        <f t="shared" si="23"/>
        <v>0.65</v>
      </c>
      <c r="EB13" s="1083">
        <f t="shared" si="24"/>
        <v>0.35</v>
      </c>
      <c r="EC13" s="1837"/>
      <c r="ED13" s="103"/>
      <c r="EE13" s="103"/>
      <c r="EV13" s="103"/>
      <c r="EW13" s="103"/>
    </row>
    <row r="14" spans="1:256">
      <c r="A14" s="103"/>
      <c r="B14" s="1077" t="s">
        <v>318</v>
      </c>
      <c r="C14" s="2184">
        <v>59</v>
      </c>
      <c r="D14" s="2183">
        <v>66</v>
      </c>
      <c r="E14" s="2183">
        <v>83</v>
      </c>
      <c r="F14" s="2183">
        <v>96</v>
      </c>
      <c r="G14" s="2183">
        <v>98</v>
      </c>
      <c r="H14" s="2183">
        <v>93</v>
      </c>
      <c r="I14" s="2183">
        <v>92</v>
      </c>
      <c r="J14" s="2183">
        <v>92</v>
      </c>
      <c r="K14" s="2183">
        <v>95</v>
      </c>
      <c r="L14" s="2183">
        <v>97</v>
      </c>
      <c r="M14" s="2183">
        <v>97</v>
      </c>
      <c r="N14" s="2183">
        <v>100</v>
      </c>
      <c r="O14" s="2183">
        <v>100</v>
      </c>
      <c r="P14" s="2183">
        <v>102</v>
      </c>
      <c r="Q14" s="2183">
        <v>103</v>
      </c>
      <c r="R14" s="2183">
        <v>103</v>
      </c>
      <c r="S14" s="2183">
        <v>140</v>
      </c>
      <c r="T14" s="2183">
        <v>158</v>
      </c>
      <c r="U14" s="2183">
        <v>102</v>
      </c>
      <c r="V14" s="2183">
        <v>55</v>
      </c>
      <c r="W14" s="2183">
        <v>48</v>
      </c>
      <c r="X14" s="2183">
        <v>47</v>
      </c>
      <c r="Y14" s="2183">
        <v>42</v>
      </c>
      <c r="Z14" s="2183">
        <v>40</v>
      </c>
      <c r="AA14" s="1077">
        <f t="shared" si="0"/>
        <v>88</v>
      </c>
      <c r="AB14" s="1078">
        <f t="shared" si="25"/>
        <v>158</v>
      </c>
      <c r="AC14" s="1078">
        <f t="shared" si="1"/>
        <v>40</v>
      </c>
      <c r="AD14" s="1078">
        <f ca="1">IF(DMREZ!D16&lt;TODAY(),AA60,"")</f>
        <v>88</v>
      </c>
      <c r="AE14" s="677">
        <f t="shared" si="2"/>
        <v>89</v>
      </c>
      <c r="AF14" s="677">
        <f t="shared" si="3"/>
        <v>86.666666666666671</v>
      </c>
      <c r="AG14" s="677">
        <f t="shared" si="15"/>
        <v>88</v>
      </c>
      <c r="AH14" s="1182"/>
      <c r="AI14" s="1077" t="s">
        <v>318</v>
      </c>
      <c r="AJ14" s="1079"/>
      <c r="AK14" s="1080"/>
      <c r="AL14" s="1080"/>
      <c r="AM14" s="1080"/>
      <c r="AN14" s="1080"/>
      <c r="AO14" s="1080"/>
      <c r="AP14" s="1080"/>
      <c r="AQ14" s="1080"/>
      <c r="AR14" s="1080"/>
      <c r="AS14" s="1080"/>
      <c r="AT14" s="1080"/>
      <c r="AU14" s="1080"/>
      <c r="AV14" s="1080"/>
      <c r="AW14" s="1080"/>
      <c r="AX14" s="1080"/>
      <c r="AY14" s="1080"/>
      <c r="AZ14" s="1080"/>
      <c r="BA14" s="1080"/>
      <c r="BB14" s="1080"/>
      <c r="BC14" s="1080"/>
      <c r="BD14" s="1080"/>
      <c r="BE14" s="1080"/>
      <c r="BF14" s="1080"/>
      <c r="BG14" s="1080"/>
      <c r="BH14" s="685" t="str">
        <f t="shared" si="4"/>
        <v/>
      </c>
      <c r="BI14" s="677" t="str">
        <f t="shared" si="5"/>
        <v/>
      </c>
      <c r="BJ14" s="677" t="str">
        <f t="shared" si="6"/>
        <v/>
      </c>
      <c r="BK14" s="1069"/>
      <c r="BL14" s="1077" t="s">
        <v>318</v>
      </c>
      <c r="BM14" s="674"/>
      <c r="BN14" s="676"/>
      <c r="BO14" s="676"/>
      <c r="BP14" s="676"/>
      <c r="BQ14" s="676"/>
      <c r="BR14" s="676"/>
      <c r="BS14" s="676"/>
      <c r="BT14" s="676"/>
      <c r="BU14" s="676"/>
      <c r="BV14" s="676"/>
      <c r="BW14" s="676"/>
      <c r="BX14" s="676"/>
      <c r="BY14" s="676"/>
      <c r="BZ14" s="676"/>
      <c r="CA14" s="676"/>
      <c r="CB14" s="676"/>
      <c r="CC14" s="676"/>
      <c r="CD14" s="676"/>
      <c r="CE14" s="676"/>
      <c r="CF14" s="676"/>
      <c r="CG14" s="676"/>
      <c r="CH14" s="676"/>
      <c r="CI14" s="676"/>
      <c r="CJ14" s="676"/>
      <c r="CK14" s="685" t="str">
        <f t="shared" si="7"/>
        <v/>
      </c>
      <c r="CL14" s="677" t="str">
        <f t="shared" si="8"/>
        <v/>
      </c>
      <c r="CM14" s="677" t="str">
        <f t="shared" si="9"/>
        <v/>
      </c>
      <c r="CN14" s="1069"/>
      <c r="CO14" s="1072" t="s">
        <v>318</v>
      </c>
      <c r="CP14" s="1080" t="str">
        <f t="shared" si="10"/>
        <v xml:space="preserve"> </v>
      </c>
      <c r="CQ14" s="1080" t="str">
        <f t="shared" si="10"/>
        <v xml:space="preserve"> </v>
      </c>
      <c r="CR14" s="1080" t="str">
        <f t="shared" si="10"/>
        <v xml:space="preserve"> </v>
      </c>
      <c r="CS14" s="1080" t="str">
        <f t="shared" si="10"/>
        <v xml:space="preserve"> </v>
      </c>
      <c r="CT14" s="1080" t="str">
        <f t="shared" si="10"/>
        <v xml:space="preserve"> </v>
      </c>
      <c r="CU14" s="1080" t="str">
        <f t="shared" si="10"/>
        <v xml:space="preserve"> </v>
      </c>
      <c r="CV14" s="1080" t="str">
        <f t="shared" si="10"/>
        <v xml:space="preserve"> </v>
      </c>
      <c r="CW14" s="1080" t="str">
        <f t="shared" si="10"/>
        <v xml:space="preserve"> </v>
      </c>
      <c r="CX14" s="1080" t="str">
        <f t="shared" si="10"/>
        <v xml:space="preserve"> </v>
      </c>
      <c r="CY14" s="1080" t="str">
        <f t="shared" si="10"/>
        <v xml:space="preserve"> </v>
      </c>
      <c r="CZ14" s="1080" t="str">
        <f t="shared" si="10"/>
        <v xml:space="preserve"> </v>
      </c>
      <c r="DA14" s="1080" t="str">
        <f t="shared" si="10"/>
        <v xml:space="preserve"> </v>
      </c>
      <c r="DB14" s="1080" t="str">
        <f t="shared" si="10"/>
        <v xml:space="preserve"> </v>
      </c>
      <c r="DC14" s="1080" t="str">
        <f t="shared" si="10"/>
        <v xml:space="preserve"> </v>
      </c>
      <c r="DD14" s="1080" t="str">
        <f t="shared" si="10"/>
        <v xml:space="preserve"> </v>
      </c>
      <c r="DE14" s="1080" t="str">
        <f t="shared" si="10"/>
        <v xml:space="preserve"> </v>
      </c>
      <c r="DF14" s="1080" t="str">
        <f t="shared" si="11"/>
        <v xml:space="preserve"> </v>
      </c>
      <c r="DG14" s="1080" t="str">
        <f t="shared" si="11"/>
        <v xml:space="preserve"> </v>
      </c>
      <c r="DH14" s="1080" t="str">
        <f t="shared" si="11"/>
        <v xml:space="preserve"> </v>
      </c>
      <c r="DI14" s="1080" t="str">
        <f t="shared" si="11"/>
        <v xml:space="preserve"> </v>
      </c>
      <c r="DJ14" s="1080" t="str">
        <f t="shared" si="11"/>
        <v xml:space="preserve"> </v>
      </c>
      <c r="DK14" s="1080" t="str">
        <f t="shared" si="11"/>
        <v xml:space="preserve"> </v>
      </c>
      <c r="DL14" s="1080" t="str">
        <f t="shared" si="11"/>
        <v xml:space="preserve"> </v>
      </c>
      <c r="DM14" s="1080" t="str">
        <f t="shared" si="11"/>
        <v xml:space="preserve"> </v>
      </c>
      <c r="DN14" s="677" t="str">
        <f t="shared" si="12"/>
        <v/>
      </c>
      <c r="DO14" s="1073">
        <f t="shared" si="16"/>
        <v>0</v>
      </c>
      <c r="DP14" s="1073">
        <f t="shared" si="17"/>
        <v>0</v>
      </c>
      <c r="DQ14" s="1065"/>
      <c r="DR14" s="1081" t="s">
        <v>318</v>
      </c>
      <c r="DS14" s="1082">
        <f t="shared" si="18"/>
        <v>88</v>
      </c>
      <c r="DT14" s="1082">
        <f t="shared" si="19"/>
        <v>88</v>
      </c>
      <c r="DU14" s="1082">
        <f t="shared" si="20"/>
        <v>158</v>
      </c>
      <c r="DV14" s="1082">
        <f t="shared" si="20"/>
        <v>40</v>
      </c>
      <c r="DW14" s="1082">
        <f t="shared" si="21"/>
        <v>88</v>
      </c>
      <c r="DX14" s="1082" t="str">
        <f t="shared" si="22"/>
        <v/>
      </c>
      <c r="DY14" s="1082">
        <f t="shared" ref="DY14:DY36" si="26">DS14*0.65</f>
        <v>57.2</v>
      </c>
      <c r="DZ14" s="1082">
        <f t="shared" ref="DZ14:DZ36" si="27">DS14*0.35</f>
        <v>30.799999999999997</v>
      </c>
      <c r="EA14" s="1083">
        <f>IF(+DY14=0,"",ROUND(+DY14/(DZ14+DY14),2))</f>
        <v>0.65</v>
      </c>
      <c r="EB14" s="1083">
        <f t="shared" si="24"/>
        <v>0.35</v>
      </c>
      <c r="EC14" s="1837"/>
      <c r="ED14" s="103"/>
      <c r="EE14" s="103"/>
      <c r="EV14" s="103"/>
      <c r="EW14" s="103"/>
    </row>
    <row r="15" spans="1:256">
      <c r="A15" s="103"/>
      <c r="B15" s="1077" t="s">
        <v>319</v>
      </c>
      <c r="C15" s="2184">
        <v>54</v>
      </c>
      <c r="D15" s="2183">
        <v>76</v>
      </c>
      <c r="E15" s="2183">
        <v>79</v>
      </c>
      <c r="F15" s="2183">
        <v>97</v>
      </c>
      <c r="G15" s="2183">
        <v>97</v>
      </c>
      <c r="H15" s="2183">
        <v>99</v>
      </c>
      <c r="I15" s="2183">
        <v>99</v>
      </c>
      <c r="J15" s="2183">
        <v>100</v>
      </c>
      <c r="K15" s="2183">
        <v>99</v>
      </c>
      <c r="L15" s="2183">
        <v>99</v>
      </c>
      <c r="M15" s="2183">
        <v>101</v>
      </c>
      <c r="N15" s="2183">
        <v>99</v>
      </c>
      <c r="O15" s="2183">
        <v>100</v>
      </c>
      <c r="P15" s="2183">
        <v>100</v>
      </c>
      <c r="Q15" s="2183">
        <v>103</v>
      </c>
      <c r="R15" s="2183">
        <v>104</v>
      </c>
      <c r="S15" s="2183">
        <v>107</v>
      </c>
      <c r="T15" s="2183">
        <v>108</v>
      </c>
      <c r="U15" s="2183">
        <v>109</v>
      </c>
      <c r="V15" s="2458">
        <v>104</v>
      </c>
      <c r="W15" s="2183">
        <v>76</v>
      </c>
      <c r="X15" s="2183">
        <v>56</v>
      </c>
      <c r="Y15" s="2183">
        <v>55</v>
      </c>
      <c r="Z15" s="2183">
        <v>64</v>
      </c>
      <c r="AA15" s="1077">
        <f t="shared" si="0"/>
        <v>91</v>
      </c>
      <c r="AB15" s="1078">
        <f t="shared" si="25"/>
        <v>109</v>
      </c>
      <c r="AC15" s="1078">
        <f t="shared" si="1"/>
        <v>54</v>
      </c>
      <c r="AD15" s="1078">
        <f ca="1">IF(DMREZ!D17&lt;TODAY(),AA61,"")</f>
        <v>91</v>
      </c>
      <c r="AE15" s="677">
        <f t="shared" si="2"/>
        <v>91.583333333333329</v>
      </c>
      <c r="AF15" s="677">
        <f t="shared" si="3"/>
        <v>90.5</v>
      </c>
      <c r="AG15" s="677">
        <f t="shared" si="15"/>
        <v>91</v>
      </c>
      <c r="AH15" s="1069"/>
      <c r="AI15" s="1077" t="s">
        <v>319</v>
      </c>
      <c r="AJ15" s="1079"/>
      <c r="AK15" s="1080"/>
      <c r="AL15" s="1080"/>
      <c r="AM15" s="1080"/>
      <c r="AN15" s="1080"/>
      <c r="AO15" s="1080"/>
      <c r="AP15" s="1080"/>
      <c r="AQ15" s="1080"/>
      <c r="AR15" s="1080"/>
      <c r="AS15" s="1080"/>
      <c r="AT15" s="1080"/>
      <c r="AU15" s="1080"/>
      <c r="AV15" s="1080"/>
      <c r="AW15" s="1080"/>
      <c r="AX15" s="1080"/>
      <c r="AY15" s="1080"/>
      <c r="AZ15" s="1080"/>
      <c r="BA15" s="1080"/>
      <c r="BB15" s="1080"/>
      <c r="BC15" s="1080"/>
      <c r="BD15" s="1080"/>
      <c r="BE15" s="1080"/>
      <c r="BF15" s="1080"/>
      <c r="BG15" s="1080"/>
      <c r="BH15" s="685" t="str">
        <f t="shared" si="4"/>
        <v/>
      </c>
      <c r="BI15" s="677" t="str">
        <f t="shared" si="5"/>
        <v/>
      </c>
      <c r="BJ15" s="677" t="str">
        <f t="shared" si="6"/>
        <v/>
      </c>
      <c r="BK15" s="1069"/>
      <c r="BL15" s="1077" t="s">
        <v>319</v>
      </c>
      <c r="BM15" s="674"/>
      <c r="BN15" s="676"/>
      <c r="BO15" s="676"/>
      <c r="BP15" s="676"/>
      <c r="BQ15" s="676"/>
      <c r="BR15" s="676"/>
      <c r="BS15" s="676"/>
      <c r="BT15" s="676"/>
      <c r="BU15" s="676"/>
      <c r="BV15" s="676"/>
      <c r="BW15" s="676"/>
      <c r="BX15" s="676"/>
      <c r="BY15" s="676"/>
      <c r="BZ15" s="676"/>
      <c r="CA15" s="676"/>
      <c r="CB15" s="676"/>
      <c r="CC15" s="676"/>
      <c r="CD15" s="676"/>
      <c r="CE15" s="676"/>
      <c r="CF15" s="676"/>
      <c r="CG15" s="676"/>
      <c r="CH15" s="676"/>
      <c r="CI15" s="676"/>
      <c r="CJ15" s="676"/>
      <c r="CK15" s="685" t="str">
        <f t="shared" si="7"/>
        <v/>
      </c>
      <c r="CL15" s="677" t="str">
        <f t="shared" si="8"/>
        <v/>
      </c>
      <c r="CM15" s="677" t="str">
        <f t="shared" si="9"/>
        <v/>
      </c>
      <c r="CN15" s="1069"/>
      <c r="CO15" s="1072" t="s">
        <v>319</v>
      </c>
      <c r="CP15" s="1080" t="str">
        <f t="shared" si="10"/>
        <v xml:space="preserve"> </v>
      </c>
      <c r="CQ15" s="1080" t="str">
        <f t="shared" si="10"/>
        <v xml:space="preserve"> </v>
      </c>
      <c r="CR15" s="1080" t="str">
        <f t="shared" si="10"/>
        <v xml:space="preserve"> </v>
      </c>
      <c r="CS15" s="1080" t="str">
        <f t="shared" si="10"/>
        <v xml:space="preserve"> </v>
      </c>
      <c r="CT15" s="1080" t="str">
        <f t="shared" si="10"/>
        <v xml:space="preserve"> </v>
      </c>
      <c r="CU15" s="1080" t="str">
        <f t="shared" si="10"/>
        <v xml:space="preserve"> </v>
      </c>
      <c r="CV15" s="1080" t="str">
        <f t="shared" si="10"/>
        <v xml:space="preserve"> </v>
      </c>
      <c r="CW15" s="1080" t="str">
        <f t="shared" si="10"/>
        <v xml:space="preserve"> </v>
      </c>
      <c r="CX15" s="1080" t="str">
        <f t="shared" si="10"/>
        <v xml:space="preserve"> </v>
      </c>
      <c r="CY15" s="1080" t="str">
        <f t="shared" si="10"/>
        <v xml:space="preserve"> </v>
      </c>
      <c r="CZ15" s="1080" t="str">
        <f t="shared" si="10"/>
        <v xml:space="preserve"> </v>
      </c>
      <c r="DA15" s="1080" t="str">
        <f t="shared" si="10"/>
        <v xml:space="preserve"> </v>
      </c>
      <c r="DB15" s="1080" t="str">
        <f t="shared" si="10"/>
        <v xml:space="preserve"> </v>
      </c>
      <c r="DC15" s="1080" t="str">
        <f t="shared" si="10"/>
        <v xml:space="preserve"> </v>
      </c>
      <c r="DD15" s="1080" t="str">
        <f t="shared" si="10"/>
        <v xml:space="preserve"> </v>
      </c>
      <c r="DE15" s="1080" t="str">
        <f t="shared" si="10"/>
        <v xml:space="preserve"> </v>
      </c>
      <c r="DF15" s="1080" t="str">
        <f t="shared" si="11"/>
        <v xml:space="preserve"> </v>
      </c>
      <c r="DG15" s="1080" t="str">
        <f t="shared" si="11"/>
        <v xml:space="preserve"> </v>
      </c>
      <c r="DH15" s="1080" t="str">
        <f t="shared" si="11"/>
        <v xml:space="preserve"> </v>
      </c>
      <c r="DI15" s="1080" t="str">
        <f t="shared" si="11"/>
        <v xml:space="preserve"> </v>
      </c>
      <c r="DJ15" s="1080" t="str">
        <f t="shared" si="11"/>
        <v xml:space="preserve"> </v>
      </c>
      <c r="DK15" s="1080" t="str">
        <f t="shared" si="11"/>
        <v xml:space="preserve"> </v>
      </c>
      <c r="DL15" s="1080" t="str">
        <f t="shared" si="11"/>
        <v xml:space="preserve"> </v>
      </c>
      <c r="DM15" s="1080" t="str">
        <f t="shared" si="11"/>
        <v xml:space="preserve"> </v>
      </c>
      <c r="DN15" s="677" t="str">
        <f t="shared" si="12"/>
        <v/>
      </c>
      <c r="DO15" s="1073">
        <f t="shared" si="16"/>
        <v>0</v>
      </c>
      <c r="DP15" s="1073">
        <f t="shared" si="17"/>
        <v>0</v>
      </c>
      <c r="DQ15" s="1065"/>
      <c r="DR15" s="1081" t="s">
        <v>319</v>
      </c>
      <c r="DS15" s="1082">
        <f t="shared" si="18"/>
        <v>91</v>
      </c>
      <c r="DT15" s="1082">
        <f t="shared" si="19"/>
        <v>91</v>
      </c>
      <c r="DU15" s="1082">
        <f t="shared" si="20"/>
        <v>109</v>
      </c>
      <c r="DV15" s="1082">
        <f t="shared" si="20"/>
        <v>54</v>
      </c>
      <c r="DW15" s="1082">
        <f t="shared" si="21"/>
        <v>91</v>
      </c>
      <c r="DX15" s="1082" t="str">
        <f t="shared" si="22"/>
        <v/>
      </c>
      <c r="DY15" s="1082">
        <f t="shared" si="26"/>
        <v>59.15</v>
      </c>
      <c r="DZ15" s="1082">
        <f t="shared" si="27"/>
        <v>31.849999999999998</v>
      </c>
      <c r="EA15" s="1083">
        <f t="shared" si="23"/>
        <v>0.65</v>
      </c>
      <c r="EB15" s="1083">
        <f t="shared" si="24"/>
        <v>0.35</v>
      </c>
      <c r="EC15" s="1837"/>
      <c r="ED15" s="103"/>
      <c r="EE15" s="103"/>
      <c r="EV15" s="103"/>
      <c r="EW15" s="103"/>
    </row>
    <row r="16" spans="1:256">
      <c r="A16" s="103"/>
      <c r="B16" s="1077" t="s">
        <v>320</v>
      </c>
      <c r="C16" s="2184">
        <v>77</v>
      </c>
      <c r="D16" s="2183">
        <v>78</v>
      </c>
      <c r="E16" s="2183">
        <v>84</v>
      </c>
      <c r="F16" s="2183">
        <v>75</v>
      </c>
      <c r="G16" s="2183">
        <v>93</v>
      </c>
      <c r="H16" s="2183">
        <v>99</v>
      </c>
      <c r="I16" s="2183">
        <v>110</v>
      </c>
      <c r="J16" s="2183">
        <v>112</v>
      </c>
      <c r="K16" s="2183">
        <v>109</v>
      </c>
      <c r="L16" s="2183">
        <v>100</v>
      </c>
      <c r="M16" s="2183">
        <v>79</v>
      </c>
      <c r="N16" s="2183">
        <v>78</v>
      </c>
      <c r="O16" s="2183">
        <v>84</v>
      </c>
      <c r="P16" s="2183">
        <v>91</v>
      </c>
      <c r="Q16" s="2183">
        <v>90</v>
      </c>
      <c r="R16" s="2183">
        <v>94</v>
      </c>
      <c r="S16" s="2183">
        <v>95</v>
      </c>
      <c r="T16" s="2183">
        <v>95</v>
      </c>
      <c r="U16" s="2183">
        <v>91</v>
      </c>
      <c r="V16" s="2183">
        <v>85</v>
      </c>
      <c r="W16" s="2183">
        <v>75</v>
      </c>
      <c r="X16" s="2183">
        <v>72</v>
      </c>
      <c r="Y16" s="2183">
        <v>61</v>
      </c>
      <c r="Z16" s="2183">
        <v>61</v>
      </c>
      <c r="AA16" s="1077">
        <f t="shared" si="0"/>
        <v>87</v>
      </c>
      <c r="AB16" s="1078">
        <f t="shared" si="25"/>
        <v>112</v>
      </c>
      <c r="AC16" s="1078">
        <f t="shared" si="1"/>
        <v>61</v>
      </c>
      <c r="AD16" s="1078">
        <f ca="1">IF(DMREZ!D18&lt;TODAY(),AA62,"")</f>
        <v>87</v>
      </c>
      <c r="AE16" s="677">
        <f t="shared" si="2"/>
        <v>91.166666666666671</v>
      </c>
      <c r="AF16" s="677">
        <f t="shared" si="3"/>
        <v>82.833333333333329</v>
      </c>
      <c r="AG16" s="677">
        <f t="shared" si="15"/>
        <v>87</v>
      </c>
      <c r="AH16" s="1069"/>
      <c r="AI16" s="1077" t="s">
        <v>320</v>
      </c>
      <c r="AJ16" s="1079"/>
      <c r="AK16" s="1080"/>
      <c r="AL16" s="1080"/>
      <c r="AM16" s="1080"/>
      <c r="AN16" s="1080"/>
      <c r="AO16" s="1080"/>
      <c r="AP16" s="1080"/>
      <c r="AQ16" s="1080"/>
      <c r="AR16" s="1080"/>
      <c r="AS16" s="1080"/>
      <c r="AT16" s="1080"/>
      <c r="AU16" s="1080"/>
      <c r="AV16" s="1080"/>
      <c r="AW16" s="1080"/>
      <c r="AX16" s="1080"/>
      <c r="AY16" s="1080"/>
      <c r="AZ16" s="1080"/>
      <c r="BA16" s="1080"/>
      <c r="BB16" s="1080"/>
      <c r="BC16" s="1080"/>
      <c r="BD16" s="1080"/>
      <c r="BE16" s="1080"/>
      <c r="BF16" s="1080"/>
      <c r="BG16" s="1080"/>
      <c r="BH16" s="685" t="str">
        <f t="shared" si="4"/>
        <v/>
      </c>
      <c r="BI16" s="677" t="str">
        <f t="shared" si="5"/>
        <v/>
      </c>
      <c r="BJ16" s="677" t="str">
        <f t="shared" si="6"/>
        <v/>
      </c>
      <c r="BK16" s="1069"/>
      <c r="BL16" s="1077" t="s">
        <v>320</v>
      </c>
      <c r="BM16" s="674"/>
      <c r="BN16" s="676"/>
      <c r="BO16" s="676"/>
      <c r="BP16" s="676"/>
      <c r="BQ16" s="676"/>
      <c r="BR16" s="676"/>
      <c r="BS16" s="676"/>
      <c r="BT16" s="676"/>
      <c r="BU16" s="676"/>
      <c r="BV16" s="676"/>
      <c r="BW16" s="676"/>
      <c r="BX16" s="676"/>
      <c r="BY16" s="676"/>
      <c r="BZ16" s="676"/>
      <c r="CA16" s="676"/>
      <c r="CB16" s="676"/>
      <c r="CC16" s="676"/>
      <c r="CD16" s="676"/>
      <c r="CE16" s="676"/>
      <c r="CF16" s="676"/>
      <c r="CG16" s="676"/>
      <c r="CH16" s="676"/>
      <c r="CI16" s="676"/>
      <c r="CJ16" s="676"/>
      <c r="CK16" s="685" t="str">
        <f t="shared" si="7"/>
        <v/>
      </c>
      <c r="CL16" s="677" t="str">
        <f t="shared" si="8"/>
        <v/>
      </c>
      <c r="CM16" s="677" t="str">
        <f t="shared" si="9"/>
        <v/>
      </c>
      <c r="CN16" s="1069"/>
      <c r="CO16" s="1072" t="s">
        <v>320</v>
      </c>
      <c r="CP16" s="1080" t="str">
        <f t="shared" si="10"/>
        <v xml:space="preserve"> </v>
      </c>
      <c r="CQ16" s="1080" t="str">
        <f t="shared" si="10"/>
        <v xml:space="preserve"> </v>
      </c>
      <c r="CR16" s="1080" t="str">
        <f t="shared" si="10"/>
        <v xml:space="preserve"> </v>
      </c>
      <c r="CS16" s="1080" t="str">
        <f t="shared" si="10"/>
        <v xml:space="preserve"> </v>
      </c>
      <c r="CT16" s="1080" t="str">
        <f t="shared" si="10"/>
        <v xml:space="preserve"> </v>
      </c>
      <c r="CU16" s="1080" t="str">
        <f t="shared" si="10"/>
        <v xml:space="preserve"> </v>
      </c>
      <c r="CV16" s="1080" t="str">
        <f t="shared" si="10"/>
        <v xml:space="preserve"> </v>
      </c>
      <c r="CW16" s="1080" t="str">
        <f t="shared" si="10"/>
        <v xml:space="preserve"> </v>
      </c>
      <c r="CX16" s="1080" t="str">
        <f t="shared" si="10"/>
        <v xml:space="preserve"> </v>
      </c>
      <c r="CY16" s="1080" t="str">
        <f t="shared" si="10"/>
        <v xml:space="preserve"> </v>
      </c>
      <c r="CZ16" s="1080" t="str">
        <f t="shared" si="10"/>
        <v xml:space="preserve"> </v>
      </c>
      <c r="DA16" s="1080" t="str">
        <f t="shared" si="10"/>
        <v xml:space="preserve"> </v>
      </c>
      <c r="DB16" s="1080" t="str">
        <f t="shared" si="10"/>
        <v xml:space="preserve"> </v>
      </c>
      <c r="DC16" s="1080" t="str">
        <f t="shared" si="10"/>
        <v xml:space="preserve"> </v>
      </c>
      <c r="DD16" s="1080" t="str">
        <f t="shared" si="10"/>
        <v xml:space="preserve"> </v>
      </c>
      <c r="DE16" s="1080" t="str">
        <f t="shared" si="10"/>
        <v xml:space="preserve"> </v>
      </c>
      <c r="DF16" s="1080" t="str">
        <f t="shared" si="11"/>
        <v xml:space="preserve"> </v>
      </c>
      <c r="DG16" s="1080" t="str">
        <f t="shared" si="11"/>
        <v xml:space="preserve"> </v>
      </c>
      <c r="DH16" s="1080" t="str">
        <f t="shared" si="11"/>
        <v xml:space="preserve"> </v>
      </c>
      <c r="DI16" s="1080" t="str">
        <f t="shared" si="11"/>
        <v xml:space="preserve"> </v>
      </c>
      <c r="DJ16" s="1080" t="str">
        <f t="shared" si="11"/>
        <v xml:space="preserve"> </v>
      </c>
      <c r="DK16" s="1080" t="str">
        <f t="shared" si="11"/>
        <v xml:space="preserve"> </v>
      </c>
      <c r="DL16" s="1080" t="str">
        <f t="shared" si="11"/>
        <v xml:space="preserve"> </v>
      </c>
      <c r="DM16" s="1080" t="str">
        <f t="shared" si="11"/>
        <v xml:space="preserve"> </v>
      </c>
      <c r="DN16" s="677" t="str">
        <f t="shared" si="12"/>
        <v/>
      </c>
      <c r="DO16" s="1073">
        <f t="shared" si="16"/>
        <v>0</v>
      </c>
      <c r="DP16" s="1073">
        <f t="shared" si="17"/>
        <v>0</v>
      </c>
      <c r="DQ16" s="1065"/>
      <c r="DR16" s="1081" t="s">
        <v>320</v>
      </c>
      <c r="DS16" s="1082">
        <f t="shared" si="18"/>
        <v>87</v>
      </c>
      <c r="DT16" s="1082">
        <f t="shared" si="19"/>
        <v>87</v>
      </c>
      <c r="DU16" s="1082">
        <f t="shared" si="20"/>
        <v>112</v>
      </c>
      <c r="DV16" s="1082">
        <f t="shared" si="20"/>
        <v>61</v>
      </c>
      <c r="DW16" s="1082">
        <f t="shared" si="21"/>
        <v>87</v>
      </c>
      <c r="DX16" s="1082" t="str">
        <f t="shared" si="22"/>
        <v/>
      </c>
      <c r="DY16" s="1082">
        <f t="shared" si="26"/>
        <v>56.550000000000004</v>
      </c>
      <c r="DZ16" s="1082">
        <f t="shared" si="27"/>
        <v>30.45</v>
      </c>
      <c r="EA16" s="1083">
        <f t="shared" si="23"/>
        <v>0.65</v>
      </c>
      <c r="EB16" s="1083">
        <f t="shared" si="24"/>
        <v>0.35</v>
      </c>
      <c r="EC16" s="1837"/>
      <c r="ED16" s="103"/>
      <c r="EE16" s="103"/>
      <c r="EV16" s="103"/>
      <c r="EW16" s="103"/>
    </row>
    <row r="17" spans="1:153">
      <c r="A17" s="103"/>
      <c r="B17" s="1077" t="s">
        <v>321</v>
      </c>
      <c r="C17" s="2184">
        <v>59</v>
      </c>
      <c r="D17" s="2183">
        <v>59</v>
      </c>
      <c r="E17" s="2183">
        <v>71</v>
      </c>
      <c r="F17" s="2183">
        <v>91</v>
      </c>
      <c r="G17" s="2183">
        <v>109</v>
      </c>
      <c r="H17" s="2183">
        <v>123</v>
      </c>
      <c r="I17" s="2183">
        <v>135</v>
      </c>
      <c r="J17" s="2183">
        <v>137</v>
      </c>
      <c r="K17" s="2183">
        <v>137</v>
      </c>
      <c r="L17" s="2183">
        <v>136</v>
      </c>
      <c r="M17" s="2183">
        <v>135</v>
      </c>
      <c r="N17" s="2183">
        <v>127</v>
      </c>
      <c r="O17" s="2183">
        <v>122</v>
      </c>
      <c r="P17" s="2183">
        <v>123</v>
      </c>
      <c r="Q17" s="2183">
        <v>120</v>
      </c>
      <c r="R17" s="2183">
        <v>121</v>
      </c>
      <c r="S17" s="2183">
        <v>117</v>
      </c>
      <c r="T17" s="2183">
        <v>114</v>
      </c>
      <c r="U17" s="2183">
        <v>108</v>
      </c>
      <c r="V17" s="2183">
        <v>77</v>
      </c>
      <c r="W17" s="2183">
        <v>70</v>
      </c>
      <c r="X17" s="2183">
        <v>71</v>
      </c>
      <c r="Y17" s="2183">
        <v>181</v>
      </c>
      <c r="Z17" s="2183">
        <v>210</v>
      </c>
      <c r="AA17" s="1077">
        <f t="shared" si="0"/>
        <v>115</v>
      </c>
      <c r="AB17" s="1078">
        <f t="shared" si="25"/>
        <v>210</v>
      </c>
      <c r="AC17" s="1078">
        <f t="shared" si="1"/>
        <v>59</v>
      </c>
      <c r="AD17" s="1078">
        <f ca="1">IF(DMREZ!D19&lt;TODAY(),AA63,"")</f>
        <v>104</v>
      </c>
      <c r="AE17" s="677">
        <f t="shared" si="2"/>
        <v>109.91666666666667</v>
      </c>
      <c r="AF17" s="677">
        <f t="shared" si="3"/>
        <v>119.5</v>
      </c>
      <c r="AG17" s="677">
        <f t="shared" si="15"/>
        <v>115</v>
      </c>
      <c r="AH17" s="1069"/>
      <c r="AI17" s="1077" t="s">
        <v>321</v>
      </c>
      <c r="AJ17" s="1079"/>
      <c r="AK17" s="1080"/>
      <c r="AL17" s="1080"/>
      <c r="AM17" s="1080"/>
      <c r="AN17" s="1080"/>
      <c r="AO17" s="1080"/>
      <c r="AP17" s="1080"/>
      <c r="AQ17" s="1080"/>
      <c r="AR17" s="1080"/>
      <c r="AS17" s="1080"/>
      <c r="AT17" s="1080"/>
      <c r="AU17" s="1080"/>
      <c r="AV17" s="1080"/>
      <c r="AW17" s="1080"/>
      <c r="AX17" s="1080"/>
      <c r="AY17" s="1080"/>
      <c r="AZ17" s="1080"/>
      <c r="BA17" s="1080"/>
      <c r="BB17" s="1080"/>
      <c r="BC17" s="1080"/>
      <c r="BD17" s="1080"/>
      <c r="BE17" s="1080"/>
      <c r="BF17" s="1080"/>
      <c r="BG17" s="1080"/>
      <c r="BH17" s="685" t="str">
        <f t="shared" si="4"/>
        <v/>
      </c>
      <c r="BI17" s="677" t="str">
        <f t="shared" si="5"/>
        <v/>
      </c>
      <c r="BJ17" s="677" t="str">
        <f t="shared" si="6"/>
        <v/>
      </c>
      <c r="BK17" s="1069"/>
      <c r="BL17" s="1077" t="s">
        <v>321</v>
      </c>
      <c r="BM17" s="674"/>
      <c r="BN17" s="676"/>
      <c r="BO17" s="676"/>
      <c r="BP17" s="676"/>
      <c r="BQ17" s="676"/>
      <c r="BR17" s="676"/>
      <c r="BS17" s="676"/>
      <c r="BT17" s="676"/>
      <c r="BU17" s="676"/>
      <c r="BV17" s="676"/>
      <c r="BW17" s="676"/>
      <c r="BX17" s="676"/>
      <c r="BY17" s="676"/>
      <c r="BZ17" s="676"/>
      <c r="CA17" s="676"/>
      <c r="CB17" s="676"/>
      <c r="CC17" s="676"/>
      <c r="CD17" s="676"/>
      <c r="CE17" s="676"/>
      <c r="CF17" s="676"/>
      <c r="CG17" s="676"/>
      <c r="CH17" s="676"/>
      <c r="CI17" s="676"/>
      <c r="CJ17" s="676"/>
      <c r="CK17" s="685" t="str">
        <f t="shared" si="7"/>
        <v/>
      </c>
      <c r="CL17" s="677" t="str">
        <f t="shared" si="8"/>
        <v/>
      </c>
      <c r="CM17" s="677" t="str">
        <f t="shared" si="9"/>
        <v/>
      </c>
      <c r="CN17" s="1069"/>
      <c r="CO17" s="1072" t="s">
        <v>321</v>
      </c>
      <c r="CP17" s="1080" t="str">
        <f t="shared" si="10"/>
        <v xml:space="preserve"> </v>
      </c>
      <c r="CQ17" s="1080" t="str">
        <f t="shared" si="10"/>
        <v xml:space="preserve"> </v>
      </c>
      <c r="CR17" s="1080" t="str">
        <f t="shared" si="10"/>
        <v xml:space="preserve"> </v>
      </c>
      <c r="CS17" s="1080" t="str">
        <f t="shared" si="10"/>
        <v xml:space="preserve"> </v>
      </c>
      <c r="CT17" s="1080" t="str">
        <f t="shared" si="10"/>
        <v xml:space="preserve"> </v>
      </c>
      <c r="CU17" s="1080" t="str">
        <f t="shared" si="10"/>
        <v xml:space="preserve"> </v>
      </c>
      <c r="CV17" s="1080" t="str">
        <f t="shared" si="10"/>
        <v xml:space="preserve"> </v>
      </c>
      <c r="CW17" s="1080" t="str">
        <f t="shared" si="10"/>
        <v xml:space="preserve"> </v>
      </c>
      <c r="CX17" s="1080" t="str">
        <f t="shared" si="10"/>
        <v xml:space="preserve"> </v>
      </c>
      <c r="CY17" s="1080" t="str">
        <f t="shared" si="10"/>
        <v xml:space="preserve"> </v>
      </c>
      <c r="CZ17" s="1080" t="str">
        <f t="shared" si="10"/>
        <v xml:space="preserve"> </v>
      </c>
      <c r="DA17" s="1080" t="str">
        <f t="shared" si="10"/>
        <v xml:space="preserve"> </v>
      </c>
      <c r="DB17" s="1080" t="str">
        <f t="shared" si="10"/>
        <v xml:space="preserve"> </v>
      </c>
      <c r="DC17" s="1080" t="str">
        <f t="shared" si="10"/>
        <v xml:space="preserve"> </v>
      </c>
      <c r="DD17" s="1080" t="str">
        <f t="shared" si="10"/>
        <v xml:space="preserve"> </v>
      </c>
      <c r="DE17" s="1080" t="str">
        <f t="shared" si="10"/>
        <v xml:space="preserve"> </v>
      </c>
      <c r="DF17" s="1080" t="str">
        <f t="shared" si="11"/>
        <v xml:space="preserve"> </v>
      </c>
      <c r="DG17" s="1080" t="str">
        <f t="shared" si="11"/>
        <v xml:space="preserve"> </v>
      </c>
      <c r="DH17" s="1080" t="str">
        <f t="shared" si="11"/>
        <v xml:space="preserve"> </v>
      </c>
      <c r="DI17" s="1080" t="str">
        <f t="shared" si="11"/>
        <v xml:space="preserve"> </v>
      </c>
      <c r="DJ17" s="1080" t="str">
        <f t="shared" si="11"/>
        <v xml:space="preserve"> </v>
      </c>
      <c r="DK17" s="1080" t="str">
        <f t="shared" si="11"/>
        <v xml:space="preserve"> </v>
      </c>
      <c r="DL17" s="1080" t="str">
        <f t="shared" si="11"/>
        <v xml:space="preserve"> </v>
      </c>
      <c r="DM17" s="1080" t="str">
        <f t="shared" si="11"/>
        <v xml:space="preserve"> </v>
      </c>
      <c r="DN17" s="677" t="str">
        <f t="shared" si="12"/>
        <v/>
      </c>
      <c r="DO17" s="1073">
        <f t="shared" si="16"/>
        <v>0</v>
      </c>
      <c r="DP17" s="1073">
        <f t="shared" si="17"/>
        <v>0</v>
      </c>
      <c r="DQ17" s="1065"/>
      <c r="DR17" s="1081" t="s">
        <v>321</v>
      </c>
      <c r="DS17" s="1082">
        <f t="shared" si="18"/>
        <v>115</v>
      </c>
      <c r="DT17" s="1082">
        <f t="shared" si="19"/>
        <v>104</v>
      </c>
      <c r="DU17" s="1082">
        <f t="shared" si="20"/>
        <v>210</v>
      </c>
      <c r="DV17" s="1082">
        <f t="shared" si="20"/>
        <v>59</v>
      </c>
      <c r="DW17" s="1082">
        <f t="shared" si="21"/>
        <v>115</v>
      </c>
      <c r="DX17" s="1082" t="str">
        <f t="shared" si="22"/>
        <v/>
      </c>
      <c r="DY17" s="1082">
        <f t="shared" si="26"/>
        <v>74.75</v>
      </c>
      <c r="DZ17" s="1082">
        <f t="shared" si="27"/>
        <v>40.25</v>
      </c>
      <c r="EA17" s="1083">
        <f t="shared" si="23"/>
        <v>0.65</v>
      </c>
      <c r="EB17" s="1083">
        <f t="shared" si="24"/>
        <v>0.35</v>
      </c>
      <c r="EC17" s="1837"/>
      <c r="ED17" s="103"/>
      <c r="EE17" s="103"/>
      <c r="EV17" s="103"/>
      <c r="EW17" s="103"/>
    </row>
    <row r="18" spans="1:153">
      <c r="A18" s="103"/>
      <c r="B18" s="1077" t="s">
        <v>322</v>
      </c>
      <c r="C18" s="2184">
        <v>219</v>
      </c>
      <c r="D18" s="2183">
        <v>224</v>
      </c>
      <c r="E18" s="2183">
        <v>220</v>
      </c>
      <c r="F18" s="2183">
        <v>214</v>
      </c>
      <c r="G18" s="2183">
        <v>213</v>
      </c>
      <c r="H18" s="2183">
        <v>214</v>
      </c>
      <c r="I18" s="2183">
        <v>214</v>
      </c>
      <c r="J18" s="2183">
        <v>215</v>
      </c>
      <c r="K18" s="2183">
        <v>212</v>
      </c>
      <c r="L18" s="2183">
        <v>211</v>
      </c>
      <c r="M18" s="2183">
        <v>210</v>
      </c>
      <c r="N18" s="2183">
        <v>207</v>
      </c>
      <c r="O18" s="2183">
        <v>211</v>
      </c>
      <c r="P18" s="2183">
        <v>208</v>
      </c>
      <c r="Q18" s="2183">
        <v>202</v>
      </c>
      <c r="R18" s="2183">
        <v>182</v>
      </c>
      <c r="S18" s="2183">
        <v>132</v>
      </c>
      <c r="T18" s="2183">
        <v>113</v>
      </c>
      <c r="U18" s="2183">
        <v>103</v>
      </c>
      <c r="V18" s="2183">
        <v>93</v>
      </c>
      <c r="W18" s="2183">
        <v>83</v>
      </c>
      <c r="X18" s="2183">
        <v>79</v>
      </c>
      <c r="Y18" s="2183">
        <v>74</v>
      </c>
      <c r="Z18" s="2183">
        <v>69</v>
      </c>
      <c r="AA18" s="1077">
        <f t="shared" si="0"/>
        <v>172</v>
      </c>
      <c r="AB18" s="1078">
        <f t="shared" si="25"/>
        <v>224</v>
      </c>
      <c r="AC18" s="1078">
        <f t="shared" si="1"/>
        <v>69</v>
      </c>
      <c r="AD18" s="1078">
        <f ca="1">IF(DMREZ!D20&lt;TODAY(),AA64,"")</f>
        <v>96</v>
      </c>
      <c r="AE18" s="677">
        <f t="shared" si="2"/>
        <v>214.41666666666666</v>
      </c>
      <c r="AF18" s="677">
        <f t="shared" si="3"/>
        <v>129.08333333333334</v>
      </c>
      <c r="AG18" s="677">
        <f t="shared" si="15"/>
        <v>172</v>
      </c>
      <c r="AH18" s="1069"/>
      <c r="AI18" s="1077" t="s">
        <v>322</v>
      </c>
      <c r="AJ18" s="1079"/>
      <c r="AK18" s="1080"/>
      <c r="AL18" s="1080"/>
      <c r="AM18" s="1080"/>
      <c r="AN18" s="1080"/>
      <c r="AO18" s="1080"/>
      <c r="AP18" s="1080"/>
      <c r="AQ18" s="1080"/>
      <c r="AR18" s="1080"/>
      <c r="AS18" s="1080"/>
      <c r="AT18" s="1080"/>
      <c r="AU18" s="1080"/>
      <c r="AV18" s="1080"/>
      <c r="AW18" s="1080"/>
      <c r="AX18" s="1080"/>
      <c r="AY18" s="1080"/>
      <c r="AZ18" s="1080"/>
      <c r="BA18" s="1080"/>
      <c r="BB18" s="1080"/>
      <c r="BC18" s="1080"/>
      <c r="BD18" s="1080"/>
      <c r="BE18" s="1080"/>
      <c r="BF18" s="1080"/>
      <c r="BG18" s="1080"/>
      <c r="BH18" s="685" t="str">
        <f t="shared" si="4"/>
        <v/>
      </c>
      <c r="BI18" s="677" t="str">
        <f t="shared" si="5"/>
        <v/>
      </c>
      <c r="BJ18" s="677" t="str">
        <f t="shared" si="6"/>
        <v/>
      </c>
      <c r="BK18" s="1069"/>
      <c r="BL18" s="1077" t="s">
        <v>322</v>
      </c>
      <c r="BM18" s="674"/>
      <c r="BN18" s="676"/>
      <c r="BO18" s="676"/>
      <c r="BP18" s="676"/>
      <c r="BQ18" s="676"/>
      <c r="BR18" s="676"/>
      <c r="BS18" s="676"/>
      <c r="BT18" s="676"/>
      <c r="BU18" s="676"/>
      <c r="BV18" s="676"/>
      <c r="BW18" s="676"/>
      <c r="BX18" s="676"/>
      <c r="BY18" s="676"/>
      <c r="BZ18" s="676"/>
      <c r="CA18" s="676"/>
      <c r="CB18" s="676"/>
      <c r="CC18" s="676"/>
      <c r="CD18" s="676"/>
      <c r="CE18" s="676"/>
      <c r="CF18" s="676"/>
      <c r="CG18" s="676"/>
      <c r="CH18" s="676"/>
      <c r="CI18" s="676"/>
      <c r="CJ18" s="676"/>
      <c r="CK18" s="685" t="str">
        <f t="shared" si="7"/>
        <v/>
      </c>
      <c r="CL18" s="677" t="str">
        <f t="shared" si="8"/>
        <v/>
      </c>
      <c r="CM18" s="677" t="str">
        <f t="shared" si="9"/>
        <v/>
      </c>
      <c r="CN18" s="1069"/>
      <c r="CO18" s="1072" t="s">
        <v>322</v>
      </c>
      <c r="CP18" s="1080" t="str">
        <f t="shared" si="10"/>
        <v xml:space="preserve"> </v>
      </c>
      <c r="CQ18" s="1080" t="str">
        <f t="shared" si="10"/>
        <v xml:space="preserve"> </v>
      </c>
      <c r="CR18" s="1080" t="str">
        <f t="shared" si="10"/>
        <v xml:space="preserve"> </v>
      </c>
      <c r="CS18" s="1080" t="str">
        <f t="shared" si="10"/>
        <v xml:space="preserve"> </v>
      </c>
      <c r="CT18" s="1080" t="str">
        <f t="shared" si="10"/>
        <v xml:space="preserve"> </v>
      </c>
      <c r="CU18" s="1080" t="str">
        <f t="shared" si="10"/>
        <v xml:space="preserve"> </v>
      </c>
      <c r="CV18" s="1080" t="str">
        <f t="shared" si="10"/>
        <v xml:space="preserve"> </v>
      </c>
      <c r="CW18" s="1080" t="str">
        <f t="shared" si="10"/>
        <v xml:space="preserve"> </v>
      </c>
      <c r="CX18" s="1080" t="str">
        <f t="shared" si="10"/>
        <v xml:space="preserve"> </v>
      </c>
      <c r="CY18" s="1080" t="str">
        <f t="shared" si="10"/>
        <v xml:space="preserve"> </v>
      </c>
      <c r="CZ18" s="1080" t="str">
        <f t="shared" si="10"/>
        <v xml:space="preserve"> </v>
      </c>
      <c r="DA18" s="1080" t="str">
        <f t="shared" si="10"/>
        <v xml:space="preserve"> </v>
      </c>
      <c r="DB18" s="1080" t="str">
        <f t="shared" si="10"/>
        <v xml:space="preserve"> </v>
      </c>
      <c r="DC18" s="1080" t="str">
        <f t="shared" si="10"/>
        <v xml:space="preserve"> </v>
      </c>
      <c r="DD18" s="1080" t="str">
        <f t="shared" si="10"/>
        <v xml:space="preserve"> </v>
      </c>
      <c r="DE18" s="1080" t="str">
        <f t="shared" si="10"/>
        <v xml:space="preserve"> </v>
      </c>
      <c r="DF18" s="1080" t="str">
        <f t="shared" si="11"/>
        <v xml:space="preserve"> </v>
      </c>
      <c r="DG18" s="1080" t="str">
        <f t="shared" si="11"/>
        <v xml:space="preserve"> </v>
      </c>
      <c r="DH18" s="1080" t="str">
        <f t="shared" si="11"/>
        <v xml:space="preserve"> </v>
      </c>
      <c r="DI18" s="1080" t="str">
        <f t="shared" si="11"/>
        <v xml:space="preserve"> </v>
      </c>
      <c r="DJ18" s="1080" t="str">
        <f t="shared" si="11"/>
        <v xml:space="preserve"> </v>
      </c>
      <c r="DK18" s="1080" t="str">
        <f t="shared" si="11"/>
        <v xml:space="preserve"> </v>
      </c>
      <c r="DL18" s="1080" t="str">
        <f t="shared" si="11"/>
        <v xml:space="preserve"> </v>
      </c>
      <c r="DM18" s="1080" t="str">
        <f t="shared" si="11"/>
        <v xml:space="preserve"> </v>
      </c>
      <c r="DN18" s="677" t="str">
        <f t="shared" si="12"/>
        <v/>
      </c>
      <c r="DO18" s="1073">
        <f t="shared" si="16"/>
        <v>0</v>
      </c>
      <c r="DP18" s="1073">
        <f t="shared" si="17"/>
        <v>0</v>
      </c>
      <c r="DQ18" s="1065"/>
      <c r="DR18" s="1081" t="s">
        <v>322</v>
      </c>
      <c r="DS18" s="1082">
        <f t="shared" si="18"/>
        <v>172</v>
      </c>
      <c r="DT18" s="1082">
        <f t="shared" si="19"/>
        <v>96</v>
      </c>
      <c r="DU18" s="1082">
        <f t="shared" si="20"/>
        <v>224</v>
      </c>
      <c r="DV18" s="1082">
        <f t="shared" si="20"/>
        <v>69</v>
      </c>
      <c r="DW18" s="1082">
        <f t="shared" si="21"/>
        <v>172</v>
      </c>
      <c r="DX18" s="1082" t="str">
        <f t="shared" si="22"/>
        <v/>
      </c>
      <c r="DY18" s="1082">
        <f t="shared" si="26"/>
        <v>111.8</v>
      </c>
      <c r="DZ18" s="1082">
        <f t="shared" si="27"/>
        <v>60.199999999999996</v>
      </c>
      <c r="EA18" s="1083">
        <f t="shared" si="23"/>
        <v>0.65</v>
      </c>
      <c r="EB18" s="1083">
        <f t="shared" si="24"/>
        <v>0.35</v>
      </c>
      <c r="EC18" s="1837"/>
      <c r="ED18" s="103"/>
      <c r="EE18" s="103"/>
      <c r="EV18" s="103"/>
      <c r="EW18" s="103"/>
    </row>
    <row r="19" spans="1:153">
      <c r="A19" s="103"/>
      <c r="B19" s="1077" t="s">
        <v>323</v>
      </c>
      <c r="C19" s="2184">
        <v>70</v>
      </c>
      <c r="D19" s="2183">
        <v>71</v>
      </c>
      <c r="E19" s="2183">
        <v>99</v>
      </c>
      <c r="F19" s="2183">
        <v>102</v>
      </c>
      <c r="G19" s="2183">
        <v>106</v>
      </c>
      <c r="H19" s="2183">
        <v>106</v>
      </c>
      <c r="I19" s="2183">
        <v>106</v>
      </c>
      <c r="J19" s="2183">
        <v>107</v>
      </c>
      <c r="K19" s="2183">
        <v>99</v>
      </c>
      <c r="L19" s="2183">
        <v>75</v>
      </c>
      <c r="M19" s="2183">
        <v>88</v>
      </c>
      <c r="N19" s="2183">
        <v>103</v>
      </c>
      <c r="O19" s="2183">
        <v>104</v>
      </c>
      <c r="P19" s="2183">
        <v>116</v>
      </c>
      <c r="Q19" s="2183">
        <v>124</v>
      </c>
      <c r="R19" s="2183">
        <v>124</v>
      </c>
      <c r="S19" s="2183">
        <v>123</v>
      </c>
      <c r="T19" s="2183">
        <v>128</v>
      </c>
      <c r="U19" s="2183">
        <v>123</v>
      </c>
      <c r="V19" s="2183">
        <v>82</v>
      </c>
      <c r="W19" s="2183">
        <v>69</v>
      </c>
      <c r="X19" s="2183">
        <v>63</v>
      </c>
      <c r="Y19" s="2183">
        <v>59</v>
      </c>
      <c r="Z19" s="2183">
        <v>59</v>
      </c>
      <c r="AA19" s="1077">
        <f t="shared" si="0"/>
        <v>96</v>
      </c>
      <c r="AB19" s="1078">
        <f t="shared" si="25"/>
        <v>128</v>
      </c>
      <c r="AC19" s="1078">
        <f t="shared" si="1"/>
        <v>59</v>
      </c>
      <c r="AD19" s="1078">
        <f ca="1">IF(DMREZ!D21&lt;TODAY(),AA65,"")</f>
        <v>96</v>
      </c>
      <c r="AE19" s="677">
        <f t="shared" si="2"/>
        <v>94.333333333333329</v>
      </c>
      <c r="AF19" s="677">
        <f t="shared" si="3"/>
        <v>97.833333333333329</v>
      </c>
      <c r="AG19" s="677">
        <f t="shared" si="15"/>
        <v>96</v>
      </c>
      <c r="AH19" s="1069"/>
      <c r="AI19" s="1077" t="s">
        <v>323</v>
      </c>
      <c r="AJ19" s="1079"/>
      <c r="AK19" s="1080"/>
      <c r="AL19" s="1080"/>
      <c r="AM19" s="1080"/>
      <c r="AN19" s="1080"/>
      <c r="AO19" s="1080"/>
      <c r="AP19" s="1080"/>
      <c r="AQ19" s="1080"/>
      <c r="AR19" s="1080"/>
      <c r="AS19" s="1080"/>
      <c r="AT19" s="1080"/>
      <c r="AU19" s="1080"/>
      <c r="AV19" s="1080"/>
      <c r="AW19" s="1080"/>
      <c r="AX19" s="1080"/>
      <c r="AY19" s="1080"/>
      <c r="AZ19" s="1080"/>
      <c r="BA19" s="1080"/>
      <c r="BB19" s="1080"/>
      <c r="BC19" s="1080"/>
      <c r="BD19" s="1080"/>
      <c r="BE19" s="1080"/>
      <c r="BF19" s="1080"/>
      <c r="BG19" s="1080"/>
      <c r="BH19" s="685" t="str">
        <f t="shared" si="4"/>
        <v/>
      </c>
      <c r="BI19" s="677" t="str">
        <f t="shared" si="5"/>
        <v/>
      </c>
      <c r="BJ19" s="677" t="str">
        <f t="shared" si="6"/>
        <v/>
      </c>
      <c r="BK19" s="1069"/>
      <c r="BL19" s="1077" t="s">
        <v>323</v>
      </c>
      <c r="BM19" s="674"/>
      <c r="BN19" s="676"/>
      <c r="BO19" s="676"/>
      <c r="BP19" s="676"/>
      <c r="BQ19" s="676"/>
      <c r="BR19" s="676"/>
      <c r="BS19" s="676"/>
      <c r="BT19" s="676"/>
      <c r="BU19" s="676"/>
      <c r="BV19" s="676"/>
      <c r="BW19" s="676"/>
      <c r="BX19" s="676"/>
      <c r="BY19" s="676"/>
      <c r="BZ19" s="676"/>
      <c r="CA19" s="676"/>
      <c r="CB19" s="676"/>
      <c r="CC19" s="676"/>
      <c r="CD19" s="676"/>
      <c r="CE19" s="676"/>
      <c r="CF19" s="676"/>
      <c r="CG19" s="676"/>
      <c r="CH19" s="676"/>
      <c r="CI19" s="676"/>
      <c r="CJ19" s="676"/>
      <c r="CK19" s="685" t="str">
        <f t="shared" si="7"/>
        <v/>
      </c>
      <c r="CL19" s="677" t="str">
        <f t="shared" si="8"/>
        <v/>
      </c>
      <c r="CM19" s="677" t="str">
        <f t="shared" si="9"/>
        <v/>
      </c>
      <c r="CN19" s="1069"/>
      <c r="CO19" s="1072" t="s">
        <v>323</v>
      </c>
      <c r="CP19" s="1080" t="str">
        <f t="shared" si="10"/>
        <v xml:space="preserve"> </v>
      </c>
      <c r="CQ19" s="1080" t="str">
        <f t="shared" si="10"/>
        <v xml:space="preserve"> </v>
      </c>
      <c r="CR19" s="1080" t="str">
        <f t="shared" si="10"/>
        <v xml:space="preserve"> </v>
      </c>
      <c r="CS19" s="1080" t="str">
        <f t="shared" si="10"/>
        <v xml:space="preserve"> </v>
      </c>
      <c r="CT19" s="1080" t="str">
        <f t="shared" si="10"/>
        <v xml:space="preserve"> </v>
      </c>
      <c r="CU19" s="1080" t="str">
        <f t="shared" si="10"/>
        <v xml:space="preserve"> </v>
      </c>
      <c r="CV19" s="1080" t="str">
        <f t="shared" si="10"/>
        <v xml:space="preserve"> </v>
      </c>
      <c r="CW19" s="1080" t="str">
        <f t="shared" si="10"/>
        <v xml:space="preserve"> </v>
      </c>
      <c r="CX19" s="1080" t="str">
        <f t="shared" si="10"/>
        <v xml:space="preserve"> </v>
      </c>
      <c r="CY19" s="1080" t="str">
        <f t="shared" si="10"/>
        <v xml:space="preserve"> </v>
      </c>
      <c r="CZ19" s="1080" t="str">
        <f t="shared" si="10"/>
        <v xml:space="preserve"> </v>
      </c>
      <c r="DA19" s="1080" t="str">
        <f t="shared" si="10"/>
        <v xml:space="preserve"> </v>
      </c>
      <c r="DB19" s="1080" t="str">
        <f t="shared" si="10"/>
        <v xml:space="preserve"> </v>
      </c>
      <c r="DC19" s="1080" t="str">
        <f t="shared" si="10"/>
        <v xml:space="preserve"> </v>
      </c>
      <c r="DD19" s="1080" t="str">
        <f t="shared" si="10"/>
        <v xml:space="preserve"> </v>
      </c>
      <c r="DE19" s="1080" t="str">
        <f t="shared" si="10"/>
        <v xml:space="preserve"> </v>
      </c>
      <c r="DF19" s="1080" t="str">
        <f t="shared" si="11"/>
        <v xml:space="preserve"> </v>
      </c>
      <c r="DG19" s="1080" t="str">
        <f t="shared" si="11"/>
        <v xml:space="preserve"> </v>
      </c>
      <c r="DH19" s="1080" t="str">
        <f t="shared" si="11"/>
        <v xml:space="preserve"> </v>
      </c>
      <c r="DI19" s="1080" t="str">
        <f t="shared" si="11"/>
        <v xml:space="preserve"> </v>
      </c>
      <c r="DJ19" s="1080" t="str">
        <f t="shared" si="11"/>
        <v xml:space="preserve"> </v>
      </c>
      <c r="DK19" s="1080" t="str">
        <f t="shared" si="11"/>
        <v xml:space="preserve"> </v>
      </c>
      <c r="DL19" s="1080" t="str">
        <f t="shared" si="11"/>
        <v xml:space="preserve"> </v>
      </c>
      <c r="DM19" s="1080" t="str">
        <f t="shared" si="11"/>
        <v xml:space="preserve"> </v>
      </c>
      <c r="DN19" s="677" t="str">
        <f t="shared" si="12"/>
        <v/>
      </c>
      <c r="DO19" s="1073">
        <f t="shared" si="16"/>
        <v>0</v>
      </c>
      <c r="DP19" s="1073">
        <f t="shared" si="17"/>
        <v>0</v>
      </c>
      <c r="DQ19" s="1065"/>
      <c r="DR19" s="1081" t="s">
        <v>323</v>
      </c>
      <c r="DS19" s="1082">
        <f t="shared" si="18"/>
        <v>96</v>
      </c>
      <c r="DT19" s="1082">
        <f t="shared" si="19"/>
        <v>96</v>
      </c>
      <c r="DU19" s="1082">
        <f t="shared" si="20"/>
        <v>128</v>
      </c>
      <c r="DV19" s="1082">
        <f t="shared" si="20"/>
        <v>59</v>
      </c>
      <c r="DW19" s="1082">
        <f t="shared" si="21"/>
        <v>96</v>
      </c>
      <c r="DX19" s="1082" t="str">
        <f t="shared" si="22"/>
        <v/>
      </c>
      <c r="DY19" s="1082">
        <f t="shared" si="26"/>
        <v>62.400000000000006</v>
      </c>
      <c r="DZ19" s="1082">
        <f t="shared" si="27"/>
        <v>33.599999999999994</v>
      </c>
      <c r="EA19" s="1083">
        <f t="shared" si="23"/>
        <v>0.65</v>
      </c>
      <c r="EB19" s="1083">
        <f t="shared" si="24"/>
        <v>0.35</v>
      </c>
      <c r="EC19" s="1837"/>
      <c r="ED19" s="103"/>
      <c r="EE19" s="103"/>
      <c r="EV19" s="103"/>
      <c r="EW19" s="103"/>
    </row>
    <row r="20" spans="1:153">
      <c r="A20" s="103"/>
      <c r="B20" s="1077" t="s">
        <v>324</v>
      </c>
      <c r="C20" s="2184">
        <v>64</v>
      </c>
      <c r="D20" s="2183">
        <v>69</v>
      </c>
      <c r="E20" s="2183">
        <v>72</v>
      </c>
      <c r="F20" s="2183">
        <v>80</v>
      </c>
      <c r="G20" s="2183">
        <v>112</v>
      </c>
      <c r="H20" s="2183">
        <v>114</v>
      </c>
      <c r="I20" s="2183">
        <v>113</v>
      </c>
      <c r="J20" s="2183">
        <v>112</v>
      </c>
      <c r="K20" s="2183">
        <v>110</v>
      </c>
      <c r="L20" s="2183">
        <v>108</v>
      </c>
      <c r="M20" s="2183">
        <v>106</v>
      </c>
      <c r="N20" s="2183">
        <v>106</v>
      </c>
      <c r="O20" s="2183">
        <v>102</v>
      </c>
      <c r="P20" s="2183">
        <v>104</v>
      </c>
      <c r="Q20" s="2183">
        <v>105</v>
      </c>
      <c r="R20" s="2183">
        <v>107</v>
      </c>
      <c r="S20" s="2183">
        <v>112</v>
      </c>
      <c r="T20" s="2183">
        <v>111</v>
      </c>
      <c r="U20" s="2183">
        <v>115</v>
      </c>
      <c r="V20" s="2183">
        <v>73</v>
      </c>
      <c r="W20" s="2183">
        <v>71</v>
      </c>
      <c r="X20" s="2183">
        <v>70</v>
      </c>
      <c r="Y20" s="2183">
        <v>65</v>
      </c>
      <c r="Z20" s="2183">
        <v>65</v>
      </c>
      <c r="AA20" s="1077">
        <f t="shared" si="0"/>
        <v>94</v>
      </c>
      <c r="AB20" s="1078">
        <f t="shared" si="25"/>
        <v>115</v>
      </c>
      <c r="AC20" s="1078">
        <f t="shared" si="1"/>
        <v>64</v>
      </c>
      <c r="AD20" s="1078">
        <f ca="1">IF(DMREZ!D22&lt;TODAY(),AA66,"")</f>
        <v>94</v>
      </c>
      <c r="AE20" s="677">
        <f t="shared" si="2"/>
        <v>97.166666666666671</v>
      </c>
      <c r="AF20" s="677">
        <f t="shared" si="3"/>
        <v>91.666666666666671</v>
      </c>
      <c r="AG20" s="677">
        <f t="shared" si="15"/>
        <v>94</v>
      </c>
      <c r="AH20" s="1069"/>
      <c r="AI20" s="1077" t="s">
        <v>324</v>
      </c>
      <c r="AJ20" s="1079"/>
      <c r="AK20" s="1080"/>
      <c r="AL20" s="1080"/>
      <c r="AM20" s="1080"/>
      <c r="AN20" s="1080"/>
      <c r="AO20" s="1080"/>
      <c r="AP20" s="1080"/>
      <c r="AQ20" s="1080"/>
      <c r="AR20" s="1080"/>
      <c r="AS20" s="1080"/>
      <c r="AT20" s="1080"/>
      <c r="AU20" s="1080"/>
      <c r="AV20" s="1080"/>
      <c r="AW20" s="1080"/>
      <c r="AX20" s="1080"/>
      <c r="AY20" s="1080"/>
      <c r="AZ20" s="1080"/>
      <c r="BA20" s="1080"/>
      <c r="BB20" s="1080"/>
      <c r="BC20" s="1080"/>
      <c r="BD20" s="1080"/>
      <c r="BE20" s="1080"/>
      <c r="BF20" s="1080"/>
      <c r="BG20" s="1080"/>
      <c r="BH20" s="685" t="str">
        <f t="shared" si="4"/>
        <v/>
      </c>
      <c r="BI20" s="677" t="str">
        <f t="shared" si="5"/>
        <v/>
      </c>
      <c r="BJ20" s="677" t="str">
        <f t="shared" si="6"/>
        <v/>
      </c>
      <c r="BK20" s="1069"/>
      <c r="BL20" s="1077" t="s">
        <v>324</v>
      </c>
      <c r="BM20" s="674"/>
      <c r="BN20" s="676"/>
      <c r="BO20" s="676"/>
      <c r="BP20" s="676"/>
      <c r="BQ20" s="676"/>
      <c r="BR20" s="676"/>
      <c r="BS20" s="676"/>
      <c r="BT20" s="676"/>
      <c r="BU20" s="676"/>
      <c r="BV20" s="676"/>
      <c r="BW20" s="676"/>
      <c r="BX20" s="676"/>
      <c r="BY20" s="676"/>
      <c r="BZ20" s="676"/>
      <c r="CA20" s="676"/>
      <c r="CB20" s="676"/>
      <c r="CC20" s="676"/>
      <c r="CD20" s="676"/>
      <c r="CE20" s="676"/>
      <c r="CF20" s="676"/>
      <c r="CG20" s="676"/>
      <c r="CH20" s="676"/>
      <c r="CI20" s="676"/>
      <c r="CJ20" s="676"/>
      <c r="CK20" s="685" t="str">
        <f t="shared" si="7"/>
        <v/>
      </c>
      <c r="CL20" s="677" t="str">
        <f t="shared" si="8"/>
        <v/>
      </c>
      <c r="CM20" s="677" t="str">
        <f t="shared" si="9"/>
        <v/>
      </c>
      <c r="CN20" s="1069"/>
      <c r="CO20" s="1072" t="s">
        <v>324</v>
      </c>
      <c r="CP20" s="1080" t="str">
        <f t="shared" si="10"/>
        <v xml:space="preserve"> </v>
      </c>
      <c r="CQ20" s="1080" t="str">
        <f t="shared" si="10"/>
        <v xml:space="preserve"> </v>
      </c>
      <c r="CR20" s="1080" t="str">
        <f t="shared" si="10"/>
        <v xml:space="preserve"> </v>
      </c>
      <c r="CS20" s="1080" t="str">
        <f t="shared" si="10"/>
        <v xml:space="preserve"> </v>
      </c>
      <c r="CT20" s="1080" t="str">
        <f t="shared" si="10"/>
        <v xml:space="preserve"> </v>
      </c>
      <c r="CU20" s="1080" t="str">
        <f t="shared" si="10"/>
        <v xml:space="preserve"> </v>
      </c>
      <c r="CV20" s="1080" t="str">
        <f t="shared" si="10"/>
        <v xml:space="preserve"> </v>
      </c>
      <c r="CW20" s="1080" t="str">
        <f t="shared" si="10"/>
        <v xml:space="preserve"> </v>
      </c>
      <c r="CX20" s="1080" t="str">
        <f t="shared" si="10"/>
        <v xml:space="preserve"> </v>
      </c>
      <c r="CY20" s="1080" t="str">
        <f t="shared" si="10"/>
        <v xml:space="preserve"> </v>
      </c>
      <c r="CZ20" s="1080" t="str">
        <f t="shared" si="10"/>
        <v xml:space="preserve"> </v>
      </c>
      <c r="DA20" s="1080" t="str">
        <f t="shared" si="10"/>
        <v xml:space="preserve"> </v>
      </c>
      <c r="DB20" s="1080" t="str">
        <f t="shared" si="10"/>
        <v xml:space="preserve"> </v>
      </c>
      <c r="DC20" s="1080" t="str">
        <f t="shared" si="10"/>
        <v xml:space="preserve"> </v>
      </c>
      <c r="DD20" s="1080" t="str">
        <f t="shared" si="10"/>
        <v xml:space="preserve"> </v>
      </c>
      <c r="DE20" s="1080" t="str">
        <f t="shared" si="10"/>
        <v xml:space="preserve"> </v>
      </c>
      <c r="DF20" s="1080" t="str">
        <f t="shared" si="11"/>
        <v xml:space="preserve"> </v>
      </c>
      <c r="DG20" s="1080" t="str">
        <f t="shared" si="11"/>
        <v xml:space="preserve"> </v>
      </c>
      <c r="DH20" s="1080" t="str">
        <f t="shared" si="11"/>
        <v xml:space="preserve"> </v>
      </c>
      <c r="DI20" s="1080" t="str">
        <f t="shared" si="11"/>
        <v xml:space="preserve"> </v>
      </c>
      <c r="DJ20" s="1080" t="str">
        <f t="shared" si="11"/>
        <v xml:space="preserve"> </v>
      </c>
      <c r="DK20" s="1080" t="str">
        <f t="shared" si="11"/>
        <v xml:space="preserve"> </v>
      </c>
      <c r="DL20" s="1080" t="str">
        <f t="shared" si="11"/>
        <v xml:space="preserve"> </v>
      </c>
      <c r="DM20" s="1080" t="str">
        <f t="shared" si="11"/>
        <v xml:space="preserve"> </v>
      </c>
      <c r="DN20" s="677" t="str">
        <f t="shared" si="12"/>
        <v/>
      </c>
      <c r="DO20" s="1073">
        <f t="shared" si="16"/>
        <v>0</v>
      </c>
      <c r="DP20" s="1073">
        <f t="shared" si="17"/>
        <v>0</v>
      </c>
      <c r="DQ20" s="1065"/>
      <c r="DR20" s="1081" t="s">
        <v>324</v>
      </c>
      <c r="DS20" s="1082">
        <f t="shared" si="18"/>
        <v>94</v>
      </c>
      <c r="DT20" s="1082">
        <f t="shared" si="19"/>
        <v>94</v>
      </c>
      <c r="DU20" s="1082">
        <f t="shared" si="20"/>
        <v>115</v>
      </c>
      <c r="DV20" s="1082">
        <f t="shared" si="20"/>
        <v>64</v>
      </c>
      <c r="DW20" s="1082">
        <f t="shared" si="21"/>
        <v>94</v>
      </c>
      <c r="DX20" s="1082" t="str">
        <f t="shared" si="22"/>
        <v/>
      </c>
      <c r="DY20" s="1082">
        <f t="shared" si="26"/>
        <v>61.1</v>
      </c>
      <c r="DZ20" s="1082">
        <f t="shared" si="27"/>
        <v>32.9</v>
      </c>
      <c r="EA20" s="1083">
        <f t="shared" si="23"/>
        <v>0.65</v>
      </c>
      <c r="EB20" s="1083">
        <f t="shared" si="24"/>
        <v>0.35</v>
      </c>
      <c r="EC20" s="1837"/>
      <c r="ED20" s="103"/>
      <c r="EE20" s="103"/>
      <c r="EV20" s="103"/>
      <c r="EW20" s="103"/>
    </row>
    <row r="21" spans="1:153">
      <c r="A21" s="103"/>
      <c r="B21" s="1077" t="s">
        <v>325</v>
      </c>
      <c r="C21" s="2184">
        <v>65</v>
      </c>
      <c r="D21" s="2183">
        <v>64</v>
      </c>
      <c r="E21" s="2183">
        <v>73</v>
      </c>
      <c r="F21" s="2183">
        <v>86</v>
      </c>
      <c r="G21" s="2183">
        <v>106</v>
      </c>
      <c r="H21" s="2183">
        <v>104</v>
      </c>
      <c r="I21" s="2183">
        <v>105</v>
      </c>
      <c r="J21" s="2183">
        <v>105</v>
      </c>
      <c r="K21" s="2183">
        <v>104</v>
      </c>
      <c r="L21" s="2183">
        <v>101</v>
      </c>
      <c r="M21" s="2183">
        <v>101</v>
      </c>
      <c r="N21" s="2183">
        <v>97</v>
      </c>
      <c r="O21" s="2183">
        <v>94</v>
      </c>
      <c r="P21" s="2183">
        <v>95</v>
      </c>
      <c r="Q21" s="2183">
        <v>103</v>
      </c>
      <c r="R21" s="2183">
        <v>104</v>
      </c>
      <c r="S21" s="2183">
        <v>112</v>
      </c>
      <c r="T21" s="2183">
        <v>117</v>
      </c>
      <c r="U21" s="2183">
        <v>103</v>
      </c>
      <c r="V21" s="2183">
        <v>75</v>
      </c>
      <c r="W21" s="2183">
        <v>73</v>
      </c>
      <c r="X21" s="2183">
        <v>70</v>
      </c>
      <c r="Y21" s="2183">
        <v>61</v>
      </c>
      <c r="Z21" s="2183">
        <v>41</v>
      </c>
      <c r="AA21" s="1077">
        <f t="shared" ref="AA21:AA27" si="28">IF(SUM(C21:Z21)=0,"",ROUND(AVERAGE(C21:Z21),0))</f>
        <v>90</v>
      </c>
      <c r="AB21" s="1078">
        <f t="shared" si="25"/>
        <v>117</v>
      </c>
      <c r="AC21" s="1078">
        <f t="shared" si="1"/>
        <v>41</v>
      </c>
      <c r="AD21" s="1078">
        <f ca="1">IF(DMREZ!D23&lt;TODAY(),AA67,"")</f>
        <v>90</v>
      </c>
      <c r="AE21" s="677">
        <f t="shared" si="2"/>
        <v>92.583333333333329</v>
      </c>
      <c r="AF21" s="677">
        <f t="shared" si="3"/>
        <v>87.333333333333329</v>
      </c>
      <c r="AG21" s="677">
        <f t="shared" si="15"/>
        <v>90</v>
      </c>
      <c r="AH21" s="1069"/>
      <c r="AI21" s="1077" t="s">
        <v>325</v>
      </c>
      <c r="AJ21" s="1079"/>
      <c r="AK21" s="1080"/>
      <c r="AL21" s="1080"/>
      <c r="AM21" s="1080"/>
      <c r="AN21" s="1080"/>
      <c r="AO21" s="1080"/>
      <c r="AP21" s="1080"/>
      <c r="AQ21" s="1080"/>
      <c r="AR21" s="1080"/>
      <c r="AS21" s="1080"/>
      <c r="AT21" s="1080"/>
      <c r="AU21" s="1080"/>
      <c r="AV21" s="1080"/>
      <c r="AW21" s="1080"/>
      <c r="AX21" s="1080"/>
      <c r="AY21" s="1080"/>
      <c r="AZ21" s="1080"/>
      <c r="BA21" s="1080"/>
      <c r="BB21" s="1080"/>
      <c r="BC21" s="1080"/>
      <c r="BD21" s="1080"/>
      <c r="BE21" s="1080"/>
      <c r="BF21" s="1080"/>
      <c r="BG21" s="1080"/>
      <c r="BH21" s="685" t="str">
        <f t="shared" si="4"/>
        <v/>
      </c>
      <c r="BI21" s="677" t="str">
        <f t="shared" si="5"/>
        <v/>
      </c>
      <c r="BJ21" s="677" t="str">
        <f t="shared" si="6"/>
        <v/>
      </c>
      <c r="BK21" s="1069"/>
      <c r="BL21" s="1077" t="s">
        <v>325</v>
      </c>
      <c r="BM21" s="674"/>
      <c r="BN21" s="676"/>
      <c r="BO21" s="676"/>
      <c r="BP21" s="676"/>
      <c r="BQ21" s="676"/>
      <c r="BR21" s="676"/>
      <c r="BS21" s="676"/>
      <c r="BT21" s="676"/>
      <c r="BU21" s="676"/>
      <c r="BV21" s="676"/>
      <c r="BW21" s="676"/>
      <c r="BX21" s="676"/>
      <c r="BY21" s="676"/>
      <c r="BZ21" s="676"/>
      <c r="CA21" s="676"/>
      <c r="CB21" s="676"/>
      <c r="CC21" s="676"/>
      <c r="CD21" s="676"/>
      <c r="CE21" s="676"/>
      <c r="CF21" s="676"/>
      <c r="CG21" s="676"/>
      <c r="CH21" s="676"/>
      <c r="CI21" s="676"/>
      <c r="CJ21" s="676"/>
      <c r="CK21" s="685" t="str">
        <f t="shared" si="7"/>
        <v/>
      </c>
      <c r="CL21" s="677" t="str">
        <f t="shared" si="8"/>
        <v/>
      </c>
      <c r="CM21" s="677" t="str">
        <f t="shared" si="9"/>
        <v/>
      </c>
      <c r="CN21" s="1069"/>
      <c r="CO21" s="1072" t="s">
        <v>325</v>
      </c>
      <c r="CP21" s="1080" t="str">
        <f t="shared" si="10"/>
        <v xml:space="preserve"> </v>
      </c>
      <c r="CQ21" s="1080" t="str">
        <f t="shared" si="10"/>
        <v xml:space="preserve"> </v>
      </c>
      <c r="CR21" s="1080" t="str">
        <f t="shared" si="10"/>
        <v xml:space="preserve"> </v>
      </c>
      <c r="CS21" s="1080" t="str">
        <f t="shared" si="10"/>
        <v xml:space="preserve"> </v>
      </c>
      <c r="CT21" s="1080" t="str">
        <f t="shared" si="10"/>
        <v xml:space="preserve"> </v>
      </c>
      <c r="CU21" s="1080" t="str">
        <f t="shared" si="10"/>
        <v xml:space="preserve"> </v>
      </c>
      <c r="CV21" s="1080" t="str">
        <f t="shared" si="10"/>
        <v xml:space="preserve"> </v>
      </c>
      <c r="CW21" s="1080" t="str">
        <f t="shared" si="10"/>
        <v xml:space="preserve"> </v>
      </c>
      <c r="CX21" s="1080" t="str">
        <f t="shared" si="10"/>
        <v xml:space="preserve"> </v>
      </c>
      <c r="CY21" s="1080" t="str">
        <f t="shared" si="10"/>
        <v xml:space="preserve"> </v>
      </c>
      <c r="CZ21" s="1080" t="str">
        <f t="shared" si="10"/>
        <v xml:space="preserve"> </v>
      </c>
      <c r="DA21" s="1080" t="str">
        <f t="shared" si="10"/>
        <v xml:space="preserve"> </v>
      </c>
      <c r="DB21" s="1080" t="str">
        <f t="shared" si="10"/>
        <v xml:space="preserve"> </v>
      </c>
      <c r="DC21" s="1080" t="str">
        <f t="shared" si="10"/>
        <v xml:space="preserve"> </v>
      </c>
      <c r="DD21" s="1080" t="str">
        <f t="shared" si="10"/>
        <v xml:space="preserve"> </v>
      </c>
      <c r="DE21" s="1080" t="str">
        <f t="shared" si="10"/>
        <v xml:space="preserve"> </v>
      </c>
      <c r="DF21" s="1080" t="str">
        <f t="shared" si="11"/>
        <v xml:space="preserve"> </v>
      </c>
      <c r="DG21" s="1080" t="str">
        <f t="shared" si="11"/>
        <v xml:space="preserve"> </v>
      </c>
      <c r="DH21" s="1080" t="str">
        <f t="shared" si="11"/>
        <v xml:space="preserve"> </v>
      </c>
      <c r="DI21" s="1080" t="str">
        <f t="shared" si="11"/>
        <v xml:space="preserve"> </v>
      </c>
      <c r="DJ21" s="1080" t="str">
        <f t="shared" si="11"/>
        <v xml:space="preserve"> </v>
      </c>
      <c r="DK21" s="1080" t="str">
        <f t="shared" si="11"/>
        <v xml:space="preserve"> </v>
      </c>
      <c r="DL21" s="1080" t="str">
        <f t="shared" si="11"/>
        <v xml:space="preserve"> </v>
      </c>
      <c r="DM21" s="1080" t="str">
        <f t="shared" si="11"/>
        <v xml:space="preserve"> </v>
      </c>
      <c r="DN21" s="677" t="str">
        <f t="shared" si="12"/>
        <v/>
      </c>
      <c r="DO21" s="1073">
        <f t="shared" si="16"/>
        <v>0</v>
      </c>
      <c r="DP21" s="1073">
        <f t="shared" si="17"/>
        <v>0</v>
      </c>
      <c r="DQ21" s="1065"/>
      <c r="DR21" s="1081" t="s">
        <v>325</v>
      </c>
      <c r="DS21" s="1082">
        <f t="shared" si="18"/>
        <v>90</v>
      </c>
      <c r="DT21" s="1082">
        <f t="shared" si="19"/>
        <v>90</v>
      </c>
      <c r="DU21" s="1082">
        <f t="shared" si="20"/>
        <v>117</v>
      </c>
      <c r="DV21" s="1082">
        <f t="shared" si="20"/>
        <v>41</v>
      </c>
      <c r="DW21" s="1082">
        <f t="shared" si="21"/>
        <v>90</v>
      </c>
      <c r="DX21" s="1082" t="str">
        <f t="shared" si="22"/>
        <v/>
      </c>
      <c r="DY21" s="1082">
        <f t="shared" si="26"/>
        <v>58.5</v>
      </c>
      <c r="DZ21" s="1082">
        <f t="shared" si="27"/>
        <v>31.499999999999996</v>
      </c>
      <c r="EA21" s="1083">
        <f t="shared" si="23"/>
        <v>0.65</v>
      </c>
      <c r="EB21" s="1083">
        <f t="shared" si="24"/>
        <v>0.35</v>
      </c>
      <c r="EC21" s="1837"/>
      <c r="ED21" s="103"/>
      <c r="EE21" s="103"/>
      <c r="EV21" s="103"/>
      <c r="EW21" s="103"/>
    </row>
    <row r="22" spans="1:153">
      <c r="A22" s="103"/>
      <c r="B22" s="1077" t="s">
        <v>326</v>
      </c>
      <c r="C22" s="2184">
        <v>62</v>
      </c>
      <c r="D22" s="2183">
        <v>71</v>
      </c>
      <c r="E22" s="2183">
        <v>81</v>
      </c>
      <c r="F22" s="2183">
        <v>82</v>
      </c>
      <c r="G22" s="2183">
        <v>85</v>
      </c>
      <c r="H22" s="2183">
        <v>87</v>
      </c>
      <c r="I22" s="2183">
        <v>90</v>
      </c>
      <c r="J22" s="2183">
        <v>82</v>
      </c>
      <c r="K22" s="2183">
        <v>84</v>
      </c>
      <c r="L22" s="2183">
        <v>85</v>
      </c>
      <c r="M22" s="2183">
        <v>86</v>
      </c>
      <c r="N22" s="2183">
        <v>86</v>
      </c>
      <c r="O22" s="2183">
        <v>86</v>
      </c>
      <c r="P22" s="2183">
        <v>88</v>
      </c>
      <c r="Q22" s="2183">
        <v>111</v>
      </c>
      <c r="R22" s="2183">
        <v>114</v>
      </c>
      <c r="S22" s="2183">
        <v>112</v>
      </c>
      <c r="T22" s="2183">
        <v>110</v>
      </c>
      <c r="U22" s="2183">
        <v>110</v>
      </c>
      <c r="V22" s="2183">
        <v>97</v>
      </c>
      <c r="W22" s="2183">
        <v>80</v>
      </c>
      <c r="X22" s="2183">
        <v>69</v>
      </c>
      <c r="Y22" s="2183">
        <v>64</v>
      </c>
      <c r="Z22" s="2183">
        <v>56</v>
      </c>
      <c r="AA22" s="1077">
        <f t="shared" si="28"/>
        <v>87</v>
      </c>
      <c r="AB22" s="1078">
        <f t="shared" si="25"/>
        <v>114</v>
      </c>
      <c r="AC22" s="1078">
        <f t="shared" si="1"/>
        <v>56</v>
      </c>
      <c r="AD22" s="1078">
        <f ca="1">IF(DMREZ!D24&lt;TODAY(),AA68,"")</f>
        <v>87</v>
      </c>
      <c r="AE22" s="677">
        <f t="shared" si="2"/>
        <v>81.75</v>
      </c>
      <c r="AF22" s="677">
        <f t="shared" si="3"/>
        <v>91.416666666666671</v>
      </c>
      <c r="AG22" s="677">
        <f t="shared" si="15"/>
        <v>87</v>
      </c>
      <c r="AH22" s="1069"/>
      <c r="AI22" s="1077" t="s">
        <v>326</v>
      </c>
      <c r="AJ22" s="1079"/>
      <c r="AK22" s="1080"/>
      <c r="AL22" s="1080"/>
      <c r="AM22" s="1080"/>
      <c r="AN22" s="1080"/>
      <c r="AO22" s="1080"/>
      <c r="AP22" s="1080"/>
      <c r="AQ22" s="1080"/>
      <c r="AR22" s="1080"/>
      <c r="AS22" s="1080"/>
      <c r="AT22" s="1080"/>
      <c r="AU22" s="1080"/>
      <c r="AV22" s="1080"/>
      <c r="AW22" s="1080"/>
      <c r="AX22" s="1080"/>
      <c r="AY22" s="1080"/>
      <c r="AZ22" s="1080"/>
      <c r="BA22" s="1080"/>
      <c r="BB22" s="1080"/>
      <c r="BC22" s="1080"/>
      <c r="BD22" s="1080"/>
      <c r="BE22" s="1080"/>
      <c r="BF22" s="1080"/>
      <c r="BG22" s="1080"/>
      <c r="BH22" s="685" t="str">
        <f t="shared" si="4"/>
        <v/>
      </c>
      <c r="BI22" s="677" t="str">
        <f t="shared" si="5"/>
        <v/>
      </c>
      <c r="BJ22" s="677" t="str">
        <f t="shared" si="6"/>
        <v/>
      </c>
      <c r="BK22" s="1069"/>
      <c r="BL22" s="1077" t="s">
        <v>326</v>
      </c>
      <c r="BM22" s="674"/>
      <c r="BN22" s="676"/>
      <c r="BO22" s="676"/>
      <c r="BP22" s="676"/>
      <c r="BQ22" s="676"/>
      <c r="BR22" s="676"/>
      <c r="BS22" s="676"/>
      <c r="BT22" s="676"/>
      <c r="BU22" s="676"/>
      <c r="BV22" s="676"/>
      <c r="BW22" s="676"/>
      <c r="BX22" s="676"/>
      <c r="BY22" s="676"/>
      <c r="BZ22" s="676"/>
      <c r="CA22" s="676"/>
      <c r="CB22" s="676"/>
      <c r="CC22" s="676"/>
      <c r="CD22" s="676"/>
      <c r="CE22" s="676"/>
      <c r="CF22" s="676"/>
      <c r="CG22" s="676"/>
      <c r="CH22" s="676"/>
      <c r="CI22" s="676"/>
      <c r="CJ22" s="676"/>
      <c r="CK22" s="685" t="str">
        <f t="shared" si="7"/>
        <v/>
      </c>
      <c r="CL22" s="677" t="str">
        <f t="shared" si="8"/>
        <v/>
      </c>
      <c r="CM22" s="677" t="str">
        <f t="shared" si="9"/>
        <v/>
      </c>
      <c r="CN22" s="1069"/>
      <c r="CO22" s="1072" t="s">
        <v>326</v>
      </c>
      <c r="CP22" s="1080" t="str">
        <f t="shared" si="10"/>
        <v xml:space="preserve"> </v>
      </c>
      <c r="CQ22" s="1080" t="str">
        <f t="shared" si="10"/>
        <v xml:space="preserve"> </v>
      </c>
      <c r="CR22" s="1080" t="str">
        <f t="shared" si="10"/>
        <v xml:space="preserve"> </v>
      </c>
      <c r="CS22" s="1080" t="str">
        <f t="shared" si="10"/>
        <v xml:space="preserve"> </v>
      </c>
      <c r="CT22" s="1080" t="str">
        <f t="shared" si="10"/>
        <v xml:space="preserve"> </v>
      </c>
      <c r="CU22" s="1080" t="str">
        <f t="shared" si="10"/>
        <v xml:space="preserve"> </v>
      </c>
      <c r="CV22" s="1080" t="str">
        <f t="shared" si="10"/>
        <v xml:space="preserve"> </v>
      </c>
      <c r="CW22" s="1080" t="str">
        <f t="shared" si="10"/>
        <v xml:space="preserve"> </v>
      </c>
      <c r="CX22" s="1080" t="str">
        <f t="shared" si="10"/>
        <v xml:space="preserve"> </v>
      </c>
      <c r="CY22" s="1080" t="str">
        <f t="shared" si="10"/>
        <v xml:space="preserve"> </v>
      </c>
      <c r="CZ22" s="1080" t="str">
        <f t="shared" si="10"/>
        <v xml:space="preserve"> </v>
      </c>
      <c r="DA22" s="1080" t="str">
        <f t="shared" si="10"/>
        <v xml:space="preserve"> </v>
      </c>
      <c r="DB22" s="1080" t="str">
        <f t="shared" si="10"/>
        <v xml:space="preserve"> </v>
      </c>
      <c r="DC22" s="1080" t="str">
        <f t="shared" si="10"/>
        <v xml:space="preserve"> </v>
      </c>
      <c r="DD22" s="1080" t="str">
        <f t="shared" si="10"/>
        <v xml:space="preserve"> </v>
      </c>
      <c r="DE22" s="1080" t="str">
        <f t="shared" si="10"/>
        <v xml:space="preserve"> </v>
      </c>
      <c r="DF22" s="1080" t="str">
        <f t="shared" si="11"/>
        <v xml:space="preserve"> </v>
      </c>
      <c r="DG22" s="1080" t="str">
        <f t="shared" si="11"/>
        <v xml:space="preserve"> </v>
      </c>
      <c r="DH22" s="1080" t="str">
        <f t="shared" si="11"/>
        <v xml:space="preserve"> </v>
      </c>
      <c r="DI22" s="1080" t="str">
        <f t="shared" si="11"/>
        <v xml:space="preserve"> </v>
      </c>
      <c r="DJ22" s="1080" t="str">
        <f t="shared" si="11"/>
        <v xml:space="preserve"> </v>
      </c>
      <c r="DK22" s="1080" t="str">
        <f t="shared" si="11"/>
        <v xml:space="preserve"> </v>
      </c>
      <c r="DL22" s="1080" t="str">
        <f t="shared" si="11"/>
        <v xml:space="preserve"> </v>
      </c>
      <c r="DM22" s="1080" t="str">
        <f t="shared" si="11"/>
        <v xml:space="preserve"> </v>
      </c>
      <c r="DN22" s="677" t="str">
        <f t="shared" si="12"/>
        <v/>
      </c>
      <c r="DO22" s="1073">
        <f t="shared" si="16"/>
        <v>0</v>
      </c>
      <c r="DP22" s="1073">
        <f t="shared" si="17"/>
        <v>0</v>
      </c>
      <c r="DQ22" s="1065"/>
      <c r="DR22" s="1081" t="s">
        <v>326</v>
      </c>
      <c r="DS22" s="1082">
        <f t="shared" si="18"/>
        <v>87</v>
      </c>
      <c r="DT22" s="1082">
        <f t="shared" si="19"/>
        <v>87</v>
      </c>
      <c r="DU22" s="1082">
        <f t="shared" si="20"/>
        <v>114</v>
      </c>
      <c r="DV22" s="1082">
        <f t="shared" si="20"/>
        <v>56</v>
      </c>
      <c r="DW22" s="1082">
        <f t="shared" si="21"/>
        <v>87</v>
      </c>
      <c r="DX22" s="1082" t="str">
        <f t="shared" si="22"/>
        <v/>
      </c>
      <c r="DY22" s="1082">
        <f t="shared" si="26"/>
        <v>56.550000000000004</v>
      </c>
      <c r="DZ22" s="1082">
        <f t="shared" si="27"/>
        <v>30.45</v>
      </c>
      <c r="EA22" s="1083">
        <f t="shared" si="23"/>
        <v>0.65</v>
      </c>
      <c r="EB22" s="1083">
        <f t="shared" si="24"/>
        <v>0.35</v>
      </c>
      <c r="EC22" s="1837"/>
      <c r="ED22" s="103"/>
      <c r="EE22" s="103"/>
      <c r="EV22" s="103"/>
      <c r="EW22" s="103"/>
    </row>
    <row r="23" spans="1:153">
      <c r="A23" s="103"/>
      <c r="B23" s="1077" t="s">
        <v>327</v>
      </c>
      <c r="C23" s="2184">
        <v>59</v>
      </c>
      <c r="D23" s="2183">
        <v>72</v>
      </c>
      <c r="E23" s="2183">
        <v>86</v>
      </c>
      <c r="F23" s="2183">
        <v>87</v>
      </c>
      <c r="G23" s="2183">
        <v>85</v>
      </c>
      <c r="H23" s="2183">
        <v>88</v>
      </c>
      <c r="I23" s="2183">
        <v>116</v>
      </c>
      <c r="J23" s="2183">
        <v>111</v>
      </c>
      <c r="K23" s="2183">
        <v>113</v>
      </c>
      <c r="L23" s="2183">
        <v>112</v>
      </c>
      <c r="M23" s="2183">
        <v>108</v>
      </c>
      <c r="N23" s="2183">
        <v>105</v>
      </c>
      <c r="O23" s="2183">
        <v>104</v>
      </c>
      <c r="P23" s="2183">
        <v>104</v>
      </c>
      <c r="Q23" s="2183">
        <v>104</v>
      </c>
      <c r="R23" s="2183">
        <v>103</v>
      </c>
      <c r="S23" s="2183">
        <v>104</v>
      </c>
      <c r="T23" s="2183">
        <v>103</v>
      </c>
      <c r="U23" s="2183">
        <v>101</v>
      </c>
      <c r="V23" s="2183">
        <v>105</v>
      </c>
      <c r="W23" s="2183">
        <v>176</v>
      </c>
      <c r="X23" s="2183">
        <v>212</v>
      </c>
      <c r="Y23" s="2183">
        <v>212</v>
      </c>
      <c r="Z23" s="2183">
        <v>208</v>
      </c>
      <c r="AA23" s="1077">
        <f t="shared" si="28"/>
        <v>116</v>
      </c>
      <c r="AB23" s="1078">
        <f t="shared" si="25"/>
        <v>212</v>
      </c>
      <c r="AC23" s="1078">
        <f t="shared" si="1"/>
        <v>59</v>
      </c>
      <c r="AD23" s="1078">
        <f ca="1">IF(DMREZ!D25&lt;TODAY(),AA69,"")</f>
        <v>93</v>
      </c>
      <c r="AE23" s="677">
        <f t="shared" si="2"/>
        <v>95.166666666666671</v>
      </c>
      <c r="AF23" s="677">
        <f t="shared" si="3"/>
        <v>136.33333333333334</v>
      </c>
      <c r="AG23" s="677">
        <f t="shared" si="15"/>
        <v>116</v>
      </c>
      <c r="AH23" s="1069"/>
      <c r="AI23" s="1077" t="s">
        <v>327</v>
      </c>
      <c r="AJ23" s="1079"/>
      <c r="AK23" s="1080"/>
      <c r="AL23" s="1080"/>
      <c r="AM23" s="1080"/>
      <c r="AN23" s="1080"/>
      <c r="AO23" s="1080"/>
      <c r="AP23" s="1080"/>
      <c r="AQ23" s="1080"/>
      <c r="AR23" s="1080"/>
      <c r="AS23" s="1080"/>
      <c r="AT23" s="1080"/>
      <c r="AU23" s="1080"/>
      <c r="AV23" s="1080"/>
      <c r="AW23" s="1080"/>
      <c r="AX23" s="1080"/>
      <c r="AY23" s="1080"/>
      <c r="AZ23" s="1080"/>
      <c r="BA23" s="1080"/>
      <c r="BB23" s="1080"/>
      <c r="BC23" s="1080"/>
      <c r="BD23" s="1080"/>
      <c r="BE23" s="1080"/>
      <c r="BF23" s="1080"/>
      <c r="BG23" s="1080"/>
      <c r="BH23" s="685" t="str">
        <f t="shared" si="4"/>
        <v/>
      </c>
      <c r="BI23" s="677" t="str">
        <f t="shared" si="5"/>
        <v/>
      </c>
      <c r="BJ23" s="677" t="str">
        <f t="shared" si="6"/>
        <v/>
      </c>
      <c r="BK23" s="1069"/>
      <c r="BL23" s="1077" t="s">
        <v>327</v>
      </c>
      <c r="BM23" s="674"/>
      <c r="BN23" s="676"/>
      <c r="BO23" s="676"/>
      <c r="BP23" s="676"/>
      <c r="BQ23" s="676"/>
      <c r="BR23" s="676"/>
      <c r="BS23" s="676"/>
      <c r="BT23" s="676"/>
      <c r="BU23" s="676"/>
      <c r="BV23" s="676"/>
      <c r="BW23" s="676"/>
      <c r="BX23" s="676"/>
      <c r="BY23" s="676"/>
      <c r="BZ23" s="676"/>
      <c r="CA23" s="676"/>
      <c r="CB23" s="676"/>
      <c r="CC23" s="676"/>
      <c r="CD23" s="676"/>
      <c r="CE23" s="676"/>
      <c r="CF23" s="676"/>
      <c r="CG23" s="676"/>
      <c r="CH23" s="676"/>
      <c r="CI23" s="676"/>
      <c r="CJ23" s="676"/>
      <c r="CK23" s="685" t="str">
        <f t="shared" si="7"/>
        <v/>
      </c>
      <c r="CL23" s="677" t="str">
        <f t="shared" si="8"/>
        <v/>
      </c>
      <c r="CM23" s="677" t="str">
        <f t="shared" si="9"/>
        <v/>
      </c>
      <c r="CN23" s="1069"/>
      <c r="CO23" s="1072" t="s">
        <v>327</v>
      </c>
      <c r="CP23" s="1080" t="str">
        <f t="shared" si="10"/>
        <v xml:space="preserve"> </v>
      </c>
      <c r="CQ23" s="1080" t="str">
        <f t="shared" si="10"/>
        <v xml:space="preserve"> </v>
      </c>
      <c r="CR23" s="1080" t="str">
        <f t="shared" si="10"/>
        <v xml:space="preserve"> </v>
      </c>
      <c r="CS23" s="1080" t="str">
        <f t="shared" si="10"/>
        <v xml:space="preserve"> </v>
      </c>
      <c r="CT23" s="1080" t="str">
        <f t="shared" si="10"/>
        <v xml:space="preserve"> </v>
      </c>
      <c r="CU23" s="1080" t="str">
        <f t="shared" si="10"/>
        <v xml:space="preserve"> </v>
      </c>
      <c r="CV23" s="1080" t="str">
        <f t="shared" si="10"/>
        <v xml:space="preserve"> </v>
      </c>
      <c r="CW23" s="1080" t="str">
        <f t="shared" si="10"/>
        <v xml:space="preserve"> </v>
      </c>
      <c r="CX23" s="1080" t="str">
        <f t="shared" si="10"/>
        <v xml:space="preserve"> </v>
      </c>
      <c r="CY23" s="1080" t="str">
        <f t="shared" si="10"/>
        <v xml:space="preserve"> </v>
      </c>
      <c r="CZ23" s="1080" t="str">
        <f t="shared" si="10"/>
        <v xml:space="preserve"> </v>
      </c>
      <c r="DA23" s="1080" t="str">
        <f t="shared" si="10"/>
        <v xml:space="preserve"> </v>
      </c>
      <c r="DB23" s="1080" t="str">
        <f t="shared" si="10"/>
        <v xml:space="preserve"> </v>
      </c>
      <c r="DC23" s="1080" t="str">
        <f t="shared" si="10"/>
        <v xml:space="preserve"> </v>
      </c>
      <c r="DD23" s="1080" t="str">
        <f t="shared" si="10"/>
        <v xml:space="preserve"> </v>
      </c>
      <c r="DE23" s="1080" t="str">
        <f t="shared" si="10"/>
        <v xml:space="preserve"> </v>
      </c>
      <c r="DF23" s="1080" t="str">
        <f t="shared" si="11"/>
        <v xml:space="preserve"> </v>
      </c>
      <c r="DG23" s="1080" t="str">
        <f t="shared" si="11"/>
        <v xml:space="preserve"> </v>
      </c>
      <c r="DH23" s="1080" t="str">
        <f t="shared" si="11"/>
        <v xml:space="preserve"> </v>
      </c>
      <c r="DI23" s="1080" t="str">
        <f t="shared" si="11"/>
        <v xml:space="preserve"> </v>
      </c>
      <c r="DJ23" s="1080" t="str">
        <f t="shared" si="11"/>
        <v xml:space="preserve"> </v>
      </c>
      <c r="DK23" s="1080" t="str">
        <f t="shared" si="11"/>
        <v xml:space="preserve"> </v>
      </c>
      <c r="DL23" s="1080" t="str">
        <f t="shared" si="11"/>
        <v xml:space="preserve"> </v>
      </c>
      <c r="DM23" s="1080" t="str">
        <f t="shared" si="11"/>
        <v xml:space="preserve"> </v>
      </c>
      <c r="DN23" s="677" t="str">
        <f t="shared" si="12"/>
        <v/>
      </c>
      <c r="DO23" s="1073">
        <f t="shared" si="16"/>
        <v>0</v>
      </c>
      <c r="DP23" s="1073">
        <f t="shared" si="17"/>
        <v>0</v>
      </c>
      <c r="DQ23" s="1065"/>
      <c r="DR23" s="1081" t="s">
        <v>327</v>
      </c>
      <c r="DS23" s="1082">
        <f t="shared" si="18"/>
        <v>116</v>
      </c>
      <c r="DT23" s="1082">
        <f t="shared" si="19"/>
        <v>93</v>
      </c>
      <c r="DU23" s="1082">
        <f t="shared" si="20"/>
        <v>212</v>
      </c>
      <c r="DV23" s="1082">
        <f t="shared" si="20"/>
        <v>59</v>
      </c>
      <c r="DW23" s="1082">
        <f t="shared" si="21"/>
        <v>116</v>
      </c>
      <c r="DX23" s="1082" t="str">
        <f t="shared" si="22"/>
        <v/>
      </c>
      <c r="DY23" s="1082">
        <f t="shared" si="26"/>
        <v>75.400000000000006</v>
      </c>
      <c r="DZ23" s="1082">
        <f t="shared" si="27"/>
        <v>40.599999999999994</v>
      </c>
      <c r="EA23" s="1083">
        <f t="shared" si="23"/>
        <v>0.65</v>
      </c>
      <c r="EB23" s="1083">
        <f t="shared" si="24"/>
        <v>0.35</v>
      </c>
      <c r="EC23" s="1837"/>
      <c r="ED23" s="103"/>
      <c r="EE23" s="103"/>
      <c r="EV23" s="103"/>
      <c r="EW23" s="103"/>
    </row>
    <row r="24" spans="1:153">
      <c r="A24" s="103"/>
      <c r="B24" s="1077" t="s">
        <v>328</v>
      </c>
      <c r="C24" s="2185">
        <v>187</v>
      </c>
      <c r="D24" s="2186">
        <v>151</v>
      </c>
      <c r="E24" s="2186">
        <v>122</v>
      </c>
      <c r="F24" s="2186">
        <v>112</v>
      </c>
      <c r="G24" s="2186">
        <v>103</v>
      </c>
      <c r="H24" s="2186">
        <v>110</v>
      </c>
      <c r="I24" s="2186">
        <v>120</v>
      </c>
      <c r="J24" s="2186">
        <v>142</v>
      </c>
      <c r="K24" s="2186">
        <v>144</v>
      </c>
      <c r="L24" s="2186">
        <v>142</v>
      </c>
      <c r="M24" s="2186">
        <v>132</v>
      </c>
      <c r="N24" s="2186">
        <v>123</v>
      </c>
      <c r="O24" s="2186">
        <v>119</v>
      </c>
      <c r="P24" s="2186">
        <v>110</v>
      </c>
      <c r="Q24" s="2186">
        <v>109</v>
      </c>
      <c r="R24" s="2186">
        <v>108</v>
      </c>
      <c r="S24" s="2186">
        <v>104</v>
      </c>
      <c r="T24" s="2186">
        <v>89</v>
      </c>
      <c r="U24" s="2186">
        <v>80</v>
      </c>
      <c r="V24" s="2183">
        <v>74</v>
      </c>
      <c r="W24" s="2183">
        <v>73</v>
      </c>
      <c r="X24" s="2183">
        <v>66</v>
      </c>
      <c r="Y24" s="2183">
        <v>62</v>
      </c>
      <c r="Z24" s="2183">
        <v>60</v>
      </c>
      <c r="AA24" s="1077">
        <f t="shared" si="28"/>
        <v>110</v>
      </c>
      <c r="AB24" s="1078">
        <f t="shared" si="25"/>
        <v>187</v>
      </c>
      <c r="AC24" s="1078">
        <f t="shared" si="1"/>
        <v>60</v>
      </c>
      <c r="AD24" s="1078">
        <f ca="1">IF(DMREZ!D26&lt;TODAY(),AA70,"")</f>
        <v>95</v>
      </c>
      <c r="AE24" s="677">
        <f t="shared" si="2"/>
        <v>132.33333333333334</v>
      </c>
      <c r="AF24" s="677">
        <f t="shared" si="3"/>
        <v>87.833333333333329</v>
      </c>
      <c r="AG24" s="677">
        <f t="shared" si="15"/>
        <v>110</v>
      </c>
      <c r="AH24" s="1069"/>
      <c r="AI24" s="1077" t="s">
        <v>328</v>
      </c>
      <c r="AJ24" s="1079"/>
      <c r="AK24" s="1080"/>
      <c r="AL24" s="1080"/>
      <c r="AM24" s="1080"/>
      <c r="AN24" s="1080"/>
      <c r="AO24" s="1080"/>
      <c r="AP24" s="1080"/>
      <c r="AQ24" s="1080"/>
      <c r="AR24" s="1080"/>
      <c r="AS24" s="1080"/>
      <c r="AT24" s="1080"/>
      <c r="AU24" s="1080"/>
      <c r="AV24" s="1080"/>
      <c r="AW24" s="1080"/>
      <c r="AX24" s="1080"/>
      <c r="AY24" s="1080"/>
      <c r="AZ24" s="1080"/>
      <c r="BA24" s="1080"/>
      <c r="BB24" s="1080"/>
      <c r="BC24" s="1080"/>
      <c r="BD24" s="1080"/>
      <c r="BE24" s="1080"/>
      <c r="BF24" s="1080"/>
      <c r="BG24" s="1080"/>
      <c r="BH24" s="685" t="str">
        <f t="shared" si="4"/>
        <v/>
      </c>
      <c r="BI24" s="677" t="str">
        <f t="shared" si="5"/>
        <v/>
      </c>
      <c r="BJ24" s="677" t="str">
        <f t="shared" si="6"/>
        <v/>
      </c>
      <c r="BK24" s="1069"/>
      <c r="BL24" s="1077" t="s">
        <v>328</v>
      </c>
      <c r="BM24" s="674"/>
      <c r="BN24" s="676"/>
      <c r="BO24" s="676"/>
      <c r="BP24" s="676"/>
      <c r="BQ24" s="676"/>
      <c r="BR24" s="676"/>
      <c r="BS24" s="676"/>
      <c r="BT24" s="676"/>
      <c r="BU24" s="676"/>
      <c r="BV24" s="676"/>
      <c r="BW24" s="676"/>
      <c r="BX24" s="676"/>
      <c r="BY24" s="676"/>
      <c r="BZ24" s="676"/>
      <c r="CA24" s="676"/>
      <c r="CB24" s="676"/>
      <c r="CC24" s="676"/>
      <c r="CD24" s="676"/>
      <c r="CE24" s="676"/>
      <c r="CF24" s="676"/>
      <c r="CG24" s="676"/>
      <c r="CH24" s="676"/>
      <c r="CI24" s="676"/>
      <c r="CJ24" s="676"/>
      <c r="CK24" s="685" t="str">
        <f t="shared" si="7"/>
        <v/>
      </c>
      <c r="CL24" s="677" t="str">
        <f t="shared" si="8"/>
        <v/>
      </c>
      <c r="CM24" s="677" t="str">
        <f t="shared" si="9"/>
        <v/>
      </c>
      <c r="CN24" s="1069"/>
      <c r="CO24" s="1072" t="s">
        <v>328</v>
      </c>
      <c r="CP24" s="1080" t="str">
        <f t="shared" si="10"/>
        <v xml:space="preserve"> </v>
      </c>
      <c r="CQ24" s="1080" t="str">
        <f t="shared" si="10"/>
        <v xml:space="preserve"> </v>
      </c>
      <c r="CR24" s="1080" t="str">
        <f t="shared" si="10"/>
        <v xml:space="preserve"> </v>
      </c>
      <c r="CS24" s="1080" t="str">
        <f t="shared" si="10"/>
        <v xml:space="preserve"> </v>
      </c>
      <c r="CT24" s="1080" t="str">
        <f t="shared" si="10"/>
        <v xml:space="preserve"> </v>
      </c>
      <c r="CU24" s="1080" t="str">
        <f t="shared" si="10"/>
        <v xml:space="preserve"> </v>
      </c>
      <c r="CV24" s="1080" t="str">
        <f t="shared" si="10"/>
        <v xml:space="preserve"> </v>
      </c>
      <c r="CW24" s="1080" t="str">
        <f t="shared" si="10"/>
        <v xml:space="preserve"> </v>
      </c>
      <c r="CX24" s="1080" t="str">
        <f t="shared" si="10"/>
        <v xml:space="preserve"> </v>
      </c>
      <c r="CY24" s="1080" t="str">
        <f t="shared" si="10"/>
        <v xml:space="preserve"> </v>
      </c>
      <c r="CZ24" s="1080" t="str">
        <f t="shared" si="10"/>
        <v xml:space="preserve"> </v>
      </c>
      <c r="DA24" s="1080" t="str">
        <f t="shared" si="10"/>
        <v xml:space="preserve"> </v>
      </c>
      <c r="DB24" s="1080" t="str">
        <f t="shared" si="10"/>
        <v xml:space="preserve"> </v>
      </c>
      <c r="DC24" s="1080" t="str">
        <f t="shared" si="10"/>
        <v xml:space="preserve"> </v>
      </c>
      <c r="DD24" s="1080" t="str">
        <f t="shared" si="10"/>
        <v xml:space="preserve"> </v>
      </c>
      <c r="DE24" s="1080" t="str">
        <f t="shared" ref="DE24:DE39" si="29">IF(R24&gt;225,R24-225," ")</f>
        <v xml:space="preserve"> </v>
      </c>
      <c r="DF24" s="1080" t="str">
        <f t="shared" si="11"/>
        <v xml:space="preserve"> </v>
      </c>
      <c r="DG24" s="1080" t="str">
        <f t="shared" si="11"/>
        <v xml:space="preserve"> </v>
      </c>
      <c r="DH24" s="1080" t="str">
        <f t="shared" si="11"/>
        <v xml:space="preserve"> </v>
      </c>
      <c r="DI24" s="1080" t="str">
        <f t="shared" si="11"/>
        <v xml:space="preserve"> </v>
      </c>
      <c r="DJ24" s="1080" t="str">
        <f t="shared" si="11"/>
        <v xml:space="preserve"> </v>
      </c>
      <c r="DK24" s="1080" t="str">
        <f t="shared" si="11"/>
        <v xml:space="preserve"> </v>
      </c>
      <c r="DL24" s="1080" t="str">
        <f t="shared" si="11"/>
        <v xml:space="preserve"> </v>
      </c>
      <c r="DM24" s="1080" t="str">
        <f t="shared" si="11"/>
        <v xml:space="preserve"> </v>
      </c>
      <c r="DN24" s="677" t="str">
        <f t="shared" si="12"/>
        <v/>
      </c>
      <c r="DO24" s="1073">
        <f t="shared" si="16"/>
        <v>0</v>
      </c>
      <c r="DP24" s="1073">
        <f t="shared" si="17"/>
        <v>0</v>
      </c>
      <c r="DQ24" s="1065"/>
      <c r="DR24" s="1081" t="s">
        <v>328</v>
      </c>
      <c r="DS24" s="1082">
        <f t="shared" si="18"/>
        <v>110</v>
      </c>
      <c r="DT24" s="1082">
        <f t="shared" si="19"/>
        <v>95</v>
      </c>
      <c r="DU24" s="1082">
        <f t="shared" si="20"/>
        <v>187</v>
      </c>
      <c r="DV24" s="1082">
        <f t="shared" si="20"/>
        <v>60</v>
      </c>
      <c r="DW24" s="1082">
        <f t="shared" si="21"/>
        <v>110</v>
      </c>
      <c r="DX24" s="1082" t="str">
        <f t="shared" si="22"/>
        <v/>
      </c>
      <c r="DY24" s="1082">
        <f t="shared" si="26"/>
        <v>71.5</v>
      </c>
      <c r="DZ24" s="1082">
        <f t="shared" si="27"/>
        <v>38.5</v>
      </c>
      <c r="EA24" s="1083">
        <f t="shared" si="23"/>
        <v>0.65</v>
      </c>
      <c r="EB24" s="1083">
        <f t="shared" si="24"/>
        <v>0.35</v>
      </c>
      <c r="EC24" s="1837"/>
      <c r="ED24" s="103"/>
      <c r="EE24" s="103"/>
      <c r="EV24" s="103"/>
      <c r="EW24" s="103"/>
    </row>
    <row r="25" spans="1:153">
      <c r="A25" s="103"/>
      <c r="B25" s="1077" t="s">
        <v>329</v>
      </c>
      <c r="C25" s="2185">
        <v>65</v>
      </c>
      <c r="D25" s="2186">
        <v>72</v>
      </c>
      <c r="E25" s="2186">
        <v>73</v>
      </c>
      <c r="F25" s="2186">
        <v>86</v>
      </c>
      <c r="G25" s="2186">
        <v>88</v>
      </c>
      <c r="H25" s="2186">
        <v>92</v>
      </c>
      <c r="I25" s="2186">
        <v>102</v>
      </c>
      <c r="J25" s="2186">
        <v>112</v>
      </c>
      <c r="K25" s="2186">
        <v>134</v>
      </c>
      <c r="L25" s="2186">
        <v>131</v>
      </c>
      <c r="M25" s="2186">
        <v>130</v>
      </c>
      <c r="N25" s="2186">
        <v>127</v>
      </c>
      <c r="O25" s="2186">
        <v>125</v>
      </c>
      <c r="P25" s="2186">
        <v>116</v>
      </c>
      <c r="Q25" s="2186">
        <v>108</v>
      </c>
      <c r="R25" s="2186">
        <v>109</v>
      </c>
      <c r="S25" s="2186">
        <v>109</v>
      </c>
      <c r="T25" s="2186">
        <v>89</v>
      </c>
      <c r="U25" s="2186">
        <v>80</v>
      </c>
      <c r="V25" s="2183">
        <v>79</v>
      </c>
      <c r="W25" s="2183">
        <v>77</v>
      </c>
      <c r="X25" s="2183">
        <v>74</v>
      </c>
      <c r="Y25" s="2183">
        <v>68</v>
      </c>
      <c r="Z25" s="2183">
        <v>58</v>
      </c>
      <c r="AA25" s="1077">
        <f t="shared" si="28"/>
        <v>96</v>
      </c>
      <c r="AB25" s="1078">
        <f t="shared" si="25"/>
        <v>134</v>
      </c>
      <c r="AC25" s="1078">
        <f t="shared" si="1"/>
        <v>58</v>
      </c>
      <c r="AD25" s="1078">
        <f ca="1">IF(DMREZ!D27&lt;TODAY(),AA71,"")</f>
        <v>96</v>
      </c>
      <c r="AE25" s="677">
        <f t="shared" si="2"/>
        <v>101</v>
      </c>
      <c r="AF25" s="677">
        <f t="shared" si="3"/>
        <v>91</v>
      </c>
      <c r="AG25" s="677">
        <f t="shared" si="15"/>
        <v>96</v>
      </c>
      <c r="AH25" s="1069"/>
      <c r="AI25" s="1077" t="s">
        <v>329</v>
      </c>
      <c r="AJ25" s="1079"/>
      <c r="AK25" s="1080"/>
      <c r="AL25" s="1080"/>
      <c r="AM25" s="1080"/>
      <c r="AN25" s="1080"/>
      <c r="AO25" s="1080"/>
      <c r="AP25" s="1080"/>
      <c r="AQ25" s="1080"/>
      <c r="AR25" s="1080"/>
      <c r="AS25" s="1080"/>
      <c r="AT25" s="1080"/>
      <c r="AU25" s="1080"/>
      <c r="AV25" s="1080"/>
      <c r="AW25" s="1080"/>
      <c r="AX25" s="1080"/>
      <c r="AY25" s="1080"/>
      <c r="AZ25" s="1080"/>
      <c r="BA25" s="1080"/>
      <c r="BB25" s="1080"/>
      <c r="BC25" s="1080"/>
      <c r="BD25" s="1080"/>
      <c r="BE25" s="1080"/>
      <c r="BF25" s="1080"/>
      <c r="BG25" s="1080"/>
      <c r="BH25" s="685" t="str">
        <f t="shared" si="4"/>
        <v/>
      </c>
      <c r="BI25" s="677" t="str">
        <f t="shared" si="5"/>
        <v/>
      </c>
      <c r="BJ25" s="677" t="str">
        <f t="shared" si="6"/>
        <v/>
      </c>
      <c r="BK25" s="1069"/>
      <c r="BL25" s="1077" t="s">
        <v>329</v>
      </c>
      <c r="BM25" s="674"/>
      <c r="BN25" s="676"/>
      <c r="BO25" s="676"/>
      <c r="BP25" s="676"/>
      <c r="BQ25" s="676"/>
      <c r="BR25" s="676"/>
      <c r="BS25" s="676"/>
      <c r="BT25" s="676"/>
      <c r="BU25" s="676"/>
      <c r="BV25" s="676"/>
      <c r="BW25" s="676"/>
      <c r="BX25" s="676"/>
      <c r="BY25" s="676"/>
      <c r="BZ25" s="676"/>
      <c r="CA25" s="676"/>
      <c r="CB25" s="676"/>
      <c r="CC25" s="676"/>
      <c r="CD25" s="676"/>
      <c r="CE25" s="676"/>
      <c r="CF25" s="676"/>
      <c r="CG25" s="676"/>
      <c r="CH25" s="676"/>
      <c r="CI25" s="676"/>
      <c r="CJ25" s="676"/>
      <c r="CK25" s="685" t="str">
        <f t="shared" si="7"/>
        <v/>
      </c>
      <c r="CL25" s="677" t="str">
        <f t="shared" si="8"/>
        <v/>
      </c>
      <c r="CM25" s="677" t="str">
        <f t="shared" si="9"/>
        <v/>
      </c>
      <c r="CN25" s="1069"/>
      <c r="CO25" s="1072" t="s">
        <v>329</v>
      </c>
      <c r="CP25" s="1080" t="str">
        <f t="shared" ref="CP25:DE39" si="30">IF(C25&gt;225,C25-225," ")</f>
        <v xml:space="preserve"> </v>
      </c>
      <c r="CQ25" s="1080" t="str">
        <f t="shared" si="30"/>
        <v xml:space="preserve"> </v>
      </c>
      <c r="CR25" s="1080" t="str">
        <f t="shared" si="30"/>
        <v xml:space="preserve"> </v>
      </c>
      <c r="CS25" s="1080" t="str">
        <f t="shared" si="30"/>
        <v xml:space="preserve"> </v>
      </c>
      <c r="CT25" s="1080" t="str">
        <f t="shared" si="30"/>
        <v xml:space="preserve"> </v>
      </c>
      <c r="CU25" s="1080" t="str">
        <f t="shared" si="30"/>
        <v xml:space="preserve"> </v>
      </c>
      <c r="CV25" s="1080" t="str">
        <f t="shared" si="30"/>
        <v xml:space="preserve"> </v>
      </c>
      <c r="CW25" s="1080" t="str">
        <f t="shared" si="30"/>
        <v xml:space="preserve"> </v>
      </c>
      <c r="CX25" s="1080" t="str">
        <f t="shared" si="30"/>
        <v xml:space="preserve"> </v>
      </c>
      <c r="CY25" s="1080" t="str">
        <f t="shared" si="30"/>
        <v xml:space="preserve"> </v>
      </c>
      <c r="CZ25" s="1080" t="str">
        <f t="shared" si="30"/>
        <v xml:space="preserve"> </v>
      </c>
      <c r="DA25" s="1080" t="str">
        <f t="shared" si="30"/>
        <v xml:space="preserve"> </v>
      </c>
      <c r="DB25" s="1080" t="str">
        <f t="shared" si="30"/>
        <v xml:space="preserve"> </v>
      </c>
      <c r="DC25" s="1080" t="str">
        <f t="shared" si="30"/>
        <v xml:space="preserve"> </v>
      </c>
      <c r="DD25" s="1080" t="str">
        <f t="shared" si="30"/>
        <v xml:space="preserve"> </v>
      </c>
      <c r="DE25" s="1080" t="str">
        <f t="shared" si="29"/>
        <v xml:space="preserve"> </v>
      </c>
      <c r="DF25" s="1080" t="str">
        <f t="shared" si="11"/>
        <v xml:space="preserve"> </v>
      </c>
      <c r="DG25" s="1080" t="str">
        <f t="shared" si="11"/>
        <v xml:space="preserve"> </v>
      </c>
      <c r="DH25" s="1080" t="str">
        <f t="shared" si="11"/>
        <v xml:space="preserve"> </v>
      </c>
      <c r="DI25" s="1080" t="str">
        <f t="shared" si="11"/>
        <v xml:space="preserve"> </v>
      </c>
      <c r="DJ25" s="1080" t="str">
        <f t="shared" si="11"/>
        <v xml:space="preserve"> </v>
      </c>
      <c r="DK25" s="1080" t="str">
        <f t="shared" si="11"/>
        <v xml:space="preserve"> </v>
      </c>
      <c r="DL25" s="1080" t="str">
        <f t="shared" si="11"/>
        <v xml:space="preserve"> </v>
      </c>
      <c r="DM25" s="1080" t="str">
        <f t="shared" si="11"/>
        <v xml:space="preserve"> </v>
      </c>
      <c r="DN25" s="677" t="str">
        <f t="shared" si="12"/>
        <v/>
      </c>
      <c r="DO25" s="1073">
        <f t="shared" si="16"/>
        <v>0</v>
      </c>
      <c r="DP25" s="1073">
        <f t="shared" si="17"/>
        <v>0</v>
      </c>
      <c r="DQ25" s="1065"/>
      <c r="DR25" s="1081" t="s">
        <v>329</v>
      </c>
      <c r="DS25" s="1082">
        <f t="shared" si="18"/>
        <v>96</v>
      </c>
      <c r="DT25" s="1082">
        <f t="shared" si="19"/>
        <v>96</v>
      </c>
      <c r="DU25" s="1082">
        <f t="shared" si="20"/>
        <v>134</v>
      </c>
      <c r="DV25" s="1082">
        <f t="shared" si="20"/>
        <v>58</v>
      </c>
      <c r="DW25" s="1082">
        <f t="shared" si="21"/>
        <v>96</v>
      </c>
      <c r="DX25" s="1082" t="str">
        <f t="shared" si="22"/>
        <v/>
      </c>
      <c r="DY25" s="1082">
        <f t="shared" si="26"/>
        <v>62.400000000000006</v>
      </c>
      <c r="DZ25" s="1082">
        <f t="shared" si="27"/>
        <v>33.599999999999994</v>
      </c>
      <c r="EA25" s="1083">
        <f t="shared" si="23"/>
        <v>0.65</v>
      </c>
      <c r="EB25" s="1083">
        <f t="shared" si="24"/>
        <v>0.35</v>
      </c>
      <c r="EC25" s="1837"/>
      <c r="ED25" s="103"/>
      <c r="EE25" s="103"/>
      <c r="EV25" s="103"/>
      <c r="EW25" s="103"/>
    </row>
    <row r="26" spans="1:153">
      <c r="A26" s="103"/>
      <c r="B26" s="1077" t="s">
        <v>330</v>
      </c>
      <c r="C26" s="2185">
        <v>59</v>
      </c>
      <c r="D26" s="2186">
        <v>57</v>
      </c>
      <c r="E26" s="2186">
        <v>65</v>
      </c>
      <c r="F26" s="2186">
        <v>70</v>
      </c>
      <c r="G26" s="2186">
        <v>74</v>
      </c>
      <c r="H26" s="2186">
        <v>86</v>
      </c>
      <c r="I26" s="2186">
        <v>112</v>
      </c>
      <c r="J26" s="2186">
        <v>124</v>
      </c>
      <c r="K26" s="2186">
        <v>124</v>
      </c>
      <c r="L26" s="2186">
        <v>123</v>
      </c>
      <c r="M26" s="2186">
        <v>118</v>
      </c>
      <c r="N26" s="2186">
        <v>112</v>
      </c>
      <c r="O26" s="2186">
        <v>113</v>
      </c>
      <c r="P26" s="2186">
        <v>113</v>
      </c>
      <c r="Q26" s="2186">
        <v>114</v>
      </c>
      <c r="R26" s="2186">
        <v>113</v>
      </c>
      <c r="S26" s="2186">
        <v>113</v>
      </c>
      <c r="T26" s="2186">
        <v>111</v>
      </c>
      <c r="U26" s="2186">
        <v>107</v>
      </c>
      <c r="V26" s="2183">
        <v>80</v>
      </c>
      <c r="W26" s="2183">
        <v>69</v>
      </c>
      <c r="X26" s="2183">
        <v>62</v>
      </c>
      <c r="Y26" s="2183">
        <v>60</v>
      </c>
      <c r="Z26" s="2183">
        <v>59</v>
      </c>
      <c r="AA26" s="1077">
        <f t="shared" si="28"/>
        <v>93</v>
      </c>
      <c r="AB26" s="1078">
        <f t="shared" si="25"/>
        <v>124</v>
      </c>
      <c r="AC26" s="1078">
        <f t="shared" si="1"/>
        <v>57</v>
      </c>
      <c r="AD26" s="1078">
        <f ca="1">IF(DMREZ!D28&lt;TODAY(),AA72,"")</f>
        <v>93</v>
      </c>
      <c r="AE26" s="677">
        <f t="shared" si="2"/>
        <v>93.666666666666671</v>
      </c>
      <c r="AF26" s="677">
        <f t="shared" si="3"/>
        <v>92.833333333333329</v>
      </c>
      <c r="AG26" s="677">
        <f t="shared" si="15"/>
        <v>93</v>
      </c>
      <c r="AH26" s="1069"/>
      <c r="AI26" s="1077" t="s">
        <v>330</v>
      </c>
      <c r="AJ26" s="1079"/>
      <c r="AK26" s="1080"/>
      <c r="AL26" s="1080"/>
      <c r="AM26" s="1080"/>
      <c r="AN26" s="1080"/>
      <c r="AO26" s="1080"/>
      <c r="AP26" s="1080"/>
      <c r="AQ26" s="1080"/>
      <c r="AR26" s="1080"/>
      <c r="AS26" s="1080"/>
      <c r="AT26" s="1080"/>
      <c r="AU26" s="1080"/>
      <c r="AV26" s="1080"/>
      <c r="AW26" s="1080"/>
      <c r="AX26" s="1080"/>
      <c r="AY26" s="1080"/>
      <c r="AZ26" s="1080"/>
      <c r="BA26" s="1080"/>
      <c r="BB26" s="1080"/>
      <c r="BC26" s="1080"/>
      <c r="BD26" s="1080"/>
      <c r="BE26" s="1080"/>
      <c r="BF26" s="1080"/>
      <c r="BG26" s="1080"/>
      <c r="BH26" s="685" t="str">
        <f t="shared" si="4"/>
        <v/>
      </c>
      <c r="BI26" s="677" t="str">
        <f t="shared" si="5"/>
        <v/>
      </c>
      <c r="BJ26" s="677" t="str">
        <f t="shared" si="6"/>
        <v/>
      </c>
      <c r="BK26" s="1069"/>
      <c r="BL26" s="1077" t="s">
        <v>330</v>
      </c>
      <c r="BM26" s="674"/>
      <c r="BN26" s="676"/>
      <c r="BO26" s="676"/>
      <c r="BP26" s="676"/>
      <c r="BQ26" s="676"/>
      <c r="BR26" s="676"/>
      <c r="BS26" s="676"/>
      <c r="BT26" s="676"/>
      <c r="BU26" s="676"/>
      <c r="BV26" s="676"/>
      <c r="BW26" s="676"/>
      <c r="BX26" s="676"/>
      <c r="BY26" s="676"/>
      <c r="BZ26" s="676"/>
      <c r="CA26" s="676"/>
      <c r="CB26" s="676"/>
      <c r="CC26" s="676"/>
      <c r="CD26" s="676"/>
      <c r="CE26" s="676"/>
      <c r="CF26" s="676"/>
      <c r="CG26" s="676"/>
      <c r="CH26" s="676"/>
      <c r="CI26" s="676"/>
      <c r="CJ26" s="676"/>
      <c r="CK26" s="685" t="str">
        <f t="shared" si="7"/>
        <v/>
      </c>
      <c r="CL26" s="677" t="str">
        <f t="shared" si="8"/>
        <v/>
      </c>
      <c r="CM26" s="677" t="str">
        <f t="shared" si="9"/>
        <v/>
      </c>
      <c r="CN26" s="1069"/>
      <c r="CO26" s="1072" t="s">
        <v>330</v>
      </c>
      <c r="CP26" s="1080" t="str">
        <f t="shared" si="30"/>
        <v xml:space="preserve"> </v>
      </c>
      <c r="CQ26" s="1080" t="str">
        <f t="shared" si="30"/>
        <v xml:space="preserve"> </v>
      </c>
      <c r="CR26" s="1080" t="str">
        <f t="shared" si="30"/>
        <v xml:space="preserve"> </v>
      </c>
      <c r="CS26" s="1080" t="str">
        <f t="shared" si="30"/>
        <v xml:space="preserve"> </v>
      </c>
      <c r="CT26" s="1080" t="str">
        <f t="shared" si="30"/>
        <v xml:space="preserve"> </v>
      </c>
      <c r="CU26" s="1080" t="str">
        <f t="shared" si="30"/>
        <v xml:space="preserve"> </v>
      </c>
      <c r="CV26" s="1080" t="str">
        <f t="shared" si="30"/>
        <v xml:space="preserve"> </v>
      </c>
      <c r="CW26" s="1080" t="str">
        <f t="shared" si="30"/>
        <v xml:space="preserve"> </v>
      </c>
      <c r="CX26" s="1080" t="str">
        <f t="shared" si="30"/>
        <v xml:space="preserve"> </v>
      </c>
      <c r="CY26" s="1080" t="str">
        <f t="shared" si="30"/>
        <v xml:space="preserve"> </v>
      </c>
      <c r="CZ26" s="1080" t="str">
        <f t="shared" si="30"/>
        <v xml:space="preserve"> </v>
      </c>
      <c r="DA26" s="1080" t="str">
        <f t="shared" si="30"/>
        <v xml:space="preserve"> </v>
      </c>
      <c r="DB26" s="1080" t="str">
        <f t="shared" si="30"/>
        <v xml:space="preserve"> </v>
      </c>
      <c r="DC26" s="1080" t="str">
        <f t="shared" si="30"/>
        <v xml:space="preserve"> </v>
      </c>
      <c r="DD26" s="1080" t="str">
        <f t="shared" si="30"/>
        <v xml:space="preserve"> </v>
      </c>
      <c r="DE26" s="1080" t="str">
        <f t="shared" si="29"/>
        <v xml:space="preserve"> </v>
      </c>
      <c r="DF26" s="1080" t="str">
        <f t="shared" si="11"/>
        <v xml:space="preserve"> </v>
      </c>
      <c r="DG26" s="1080" t="str">
        <f t="shared" si="11"/>
        <v xml:space="preserve"> </v>
      </c>
      <c r="DH26" s="1080" t="str">
        <f t="shared" si="11"/>
        <v xml:space="preserve"> </v>
      </c>
      <c r="DI26" s="1080" t="str">
        <f t="shared" si="11"/>
        <v xml:space="preserve"> </v>
      </c>
      <c r="DJ26" s="1080" t="str">
        <f t="shared" si="11"/>
        <v xml:space="preserve"> </v>
      </c>
      <c r="DK26" s="1080" t="str">
        <f t="shared" si="11"/>
        <v xml:space="preserve"> </v>
      </c>
      <c r="DL26" s="1080" t="str">
        <f t="shared" si="11"/>
        <v xml:space="preserve"> </v>
      </c>
      <c r="DM26" s="1080" t="str">
        <f t="shared" si="11"/>
        <v xml:space="preserve"> </v>
      </c>
      <c r="DN26" s="677" t="str">
        <f t="shared" si="12"/>
        <v/>
      </c>
      <c r="DO26" s="1073">
        <f t="shared" si="16"/>
        <v>0</v>
      </c>
      <c r="DP26" s="1073">
        <f t="shared" si="17"/>
        <v>0</v>
      </c>
      <c r="DQ26" s="1065"/>
      <c r="DR26" s="1081" t="s">
        <v>330</v>
      </c>
      <c r="DS26" s="1082">
        <f t="shared" si="18"/>
        <v>93</v>
      </c>
      <c r="DT26" s="1082">
        <f t="shared" si="19"/>
        <v>93</v>
      </c>
      <c r="DU26" s="1082">
        <f t="shared" si="20"/>
        <v>124</v>
      </c>
      <c r="DV26" s="1082">
        <f t="shared" si="20"/>
        <v>57</v>
      </c>
      <c r="DW26" s="1082">
        <f t="shared" si="21"/>
        <v>93</v>
      </c>
      <c r="DX26" s="1082" t="str">
        <f t="shared" si="22"/>
        <v/>
      </c>
      <c r="DY26" s="1082">
        <f t="shared" si="26"/>
        <v>60.45</v>
      </c>
      <c r="DZ26" s="1082">
        <f t="shared" si="27"/>
        <v>32.549999999999997</v>
      </c>
      <c r="EA26" s="1083">
        <f t="shared" si="23"/>
        <v>0.65</v>
      </c>
      <c r="EB26" s="1083">
        <f t="shared" si="24"/>
        <v>0.35</v>
      </c>
      <c r="EC26" s="1837"/>
      <c r="ED26" s="103"/>
      <c r="EE26" s="103"/>
      <c r="EV26" s="103"/>
      <c r="EW26" s="103"/>
    </row>
    <row r="27" spans="1:153">
      <c r="A27" s="103"/>
      <c r="B27" s="1077" t="s">
        <v>331</v>
      </c>
      <c r="C27" s="2185">
        <v>61</v>
      </c>
      <c r="D27" s="2186">
        <v>64</v>
      </c>
      <c r="E27" s="2186">
        <v>64</v>
      </c>
      <c r="F27" s="2186">
        <v>77</v>
      </c>
      <c r="G27" s="2186">
        <v>78</v>
      </c>
      <c r="H27" s="2186">
        <v>71</v>
      </c>
      <c r="I27" s="2186">
        <v>102</v>
      </c>
      <c r="J27" s="2186">
        <v>107</v>
      </c>
      <c r="K27" s="2186">
        <v>110</v>
      </c>
      <c r="L27" s="2186">
        <v>106</v>
      </c>
      <c r="M27" s="2186">
        <v>105</v>
      </c>
      <c r="N27" s="2186">
        <v>106</v>
      </c>
      <c r="O27" s="2186">
        <v>103</v>
      </c>
      <c r="P27" s="2186">
        <v>98</v>
      </c>
      <c r="Q27" s="2186">
        <v>100</v>
      </c>
      <c r="R27" s="2186">
        <v>108</v>
      </c>
      <c r="S27" s="2186">
        <v>109</v>
      </c>
      <c r="T27" s="2186">
        <v>108</v>
      </c>
      <c r="U27" s="2186">
        <v>106</v>
      </c>
      <c r="V27" s="2183">
        <v>94</v>
      </c>
      <c r="W27" s="2183">
        <v>71</v>
      </c>
      <c r="X27" s="2183">
        <v>68</v>
      </c>
      <c r="Y27" s="2183">
        <v>58</v>
      </c>
      <c r="Z27" s="2183">
        <v>57</v>
      </c>
      <c r="AA27" s="1077">
        <f t="shared" si="28"/>
        <v>89</v>
      </c>
      <c r="AB27" s="1078">
        <f t="shared" si="25"/>
        <v>110</v>
      </c>
      <c r="AC27" s="1078">
        <f t="shared" si="1"/>
        <v>57</v>
      </c>
      <c r="AD27" s="1078">
        <f ca="1">IF(DMREZ!D29&lt;TODAY(),AA73,"")</f>
        <v>89</v>
      </c>
      <c r="AE27" s="677">
        <f t="shared" si="2"/>
        <v>87.583333333333329</v>
      </c>
      <c r="AF27" s="677">
        <f t="shared" si="3"/>
        <v>90</v>
      </c>
      <c r="AG27" s="677">
        <f t="shared" si="15"/>
        <v>89</v>
      </c>
      <c r="AH27" s="1069"/>
      <c r="AI27" s="1077" t="s">
        <v>331</v>
      </c>
      <c r="AJ27" s="1079"/>
      <c r="AK27" s="1080"/>
      <c r="AL27" s="1080"/>
      <c r="AM27" s="1080"/>
      <c r="AN27" s="1080"/>
      <c r="AO27" s="1080"/>
      <c r="AP27" s="1080"/>
      <c r="AQ27" s="1080"/>
      <c r="AR27" s="1080"/>
      <c r="AS27" s="1080"/>
      <c r="AT27" s="1080"/>
      <c r="AU27" s="1080"/>
      <c r="AV27" s="1080"/>
      <c r="AW27" s="1080"/>
      <c r="AX27" s="1080"/>
      <c r="AY27" s="1080"/>
      <c r="AZ27" s="1080"/>
      <c r="BA27" s="1080"/>
      <c r="BB27" s="1080"/>
      <c r="BC27" s="1080"/>
      <c r="BD27" s="1080"/>
      <c r="BE27" s="1080"/>
      <c r="BF27" s="1080"/>
      <c r="BG27" s="1080"/>
      <c r="BH27" s="685" t="str">
        <f t="shared" si="4"/>
        <v/>
      </c>
      <c r="BI27" s="677" t="str">
        <f t="shared" si="5"/>
        <v/>
      </c>
      <c r="BJ27" s="677" t="str">
        <f t="shared" si="6"/>
        <v/>
      </c>
      <c r="BK27" s="1069"/>
      <c r="BL27" s="1077" t="s">
        <v>331</v>
      </c>
      <c r="BM27" s="674"/>
      <c r="BN27" s="676"/>
      <c r="BO27" s="676"/>
      <c r="BP27" s="676"/>
      <c r="BQ27" s="676"/>
      <c r="BR27" s="676"/>
      <c r="BS27" s="676"/>
      <c r="BT27" s="676"/>
      <c r="BU27" s="676"/>
      <c r="BV27" s="676"/>
      <c r="BW27" s="676"/>
      <c r="BX27" s="676"/>
      <c r="BY27" s="676"/>
      <c r="BZ27" s="676"/>
      <c r="CA27" s="676"/>
      <c r="CB27" s="676"/>
      <c r="CC27" s="676"/>
      <c r="CD27" s="676"/>
      <c r="CE27" s="676"/>
      <c r="CF27" s="676"/>
      <c r="CG27" s="676"/>
      <c r="CH27" s="676"/>
      <c r="CI27" s="676"/>
      <c r="CJ27" s="676"/>
      <c r="CK27" s="685" t="str">
        <f t="shared" si="7"/>
        <v/>
      </c>
      <c r="CL27" s="677" t="str">
        <f t="shared" si="8"/>
        <v/>
      </c>
      <c r="CM27" s="677" t="str">
        <f t="shared" si="9"/>
        <v/>
      </c>
      <c r="CN27" s="1069"/>
      <c r="CO27" s="1072" t="s">
        <v>331</v>
      </c>
      <c r="CP27" s="1080" t="str">
        <f t="shared" si="30"/>
        <v xml:space="preserve"> </v>
      </c>
      <c r="CQ27" s="1080" t="str">
        <f t="shared" si="30"/>
        <v xml:space="preserve"> </v>
      </c>
      <c r="CR27" s="1080" t="str">
        <f t="shared" si="30"/>
        <v xml:space="preserve"> </v>
      </c>
      <c r="CS27" s="1080" t="str">
        <f t="shared" si="30"/>
        <v xml:space="preserve"> </v>
      </c>
      <c r="CT27" s="1080" t="str">
        <f t="shared" si="30"/>
        <v xml:space="preserve"> </v>
      </c>
      <c r="CU27" s="1080" t="str">
        <f t="shared" si="30"/>
        <v xml:space="preserve"> </v>
      </c>
      <c r="CV27" s="1080" t="str">
        <f t="shared" si="30"/>
        <v xml:space="preserve"> </v>
      </c>
      <c r="CW27" s="1080" t="str">
        <f t="shared" si="30"/>
        <v xml:space="preserve"> </v>
      </c>
      <c r="CX27" s="1080" t="str">
        <f t="shared" si="30"/>
        <v xml:space="preserve"> </v>
      </c>
      <c r="CY27" s="1080" t="str">
        <f t="shared" si="30"/>
        <v xml:space="preserve"> </v>
      </c>
      <c r="CZ27" s="1080" t="str">
        <f t="shared" si="30"/>
        <v xml:space="preserve"> </v>
      </c>
      <c r="DA27" s="1080" t="str">
        <f t="shared" si="30"/>
        <v xml:space="preserve"> </v>
      </c>
      <c r="DB27" s="1080" t="str">
        <f t="shared" si="30"/>
        <v xml:space="preserve"> </v>
      </c>
      <c r="DC27" s="1080" t="str">
        <f t="shared" si="30"/>
        <v xml:space="preserve"> </v>
      </c>
      <c r="DD27" s="1080" t="str">
        <f t="shared" si="30"/>
        <v xml:space="preserve"> </v>
      </c>
      <c r="DE27" s="1080" t="str">
        <f t="shared" si="29"/>
        <v xml:space="preserve"> </v>
      </c>
      <c r="DF27" s="1080" t="str">
        <f t="shared" si="11"/>
        <v xml:space="preserve"> </v>
      </c>
      <c r="DG27" s="1080" t="str">
        <f t="shared" si="11"/>
        <v xml:space="preserve"> </v>
      </c>
      <c r="DH27" s="1080" t="str">
        <f t="shared" si="11"/>
        <v xml:space="preserve"> </v>
      </c>
      <c r="DI27" s="1080" t="str">
        <f t="shared" si="11"/>
        <v xml:space="preserve"> </v>
      </c>
      <c r="DJ27" s="1080" t="str">
        <f t="shared" si="11"/>
        <v xml:space="preserve"> </v>
      </c>
      <c r="DK27" s="1080" t="str">
        <f t="shared" si="11"/>
        <v xml:space="preserve"> </v>
      </c>
      <c r="DL27" s="1080" t="str">
        <f t="shared" si="11"/>
        <v xml:space="preserve"> </v>
      </c>
      <c r="DM27" s="1080" t="str">
        <f t="shared" si="11"/>
        <v xml:space="preserve"> </v>
      </c>
      <c r="DN27" s="677" t="str">
        <f t="shared" si="12"/>
        <v/>
      </c>
      <c r="DO27" s="1073">
        <f t="shared" si="16"/>
        <v>0</v>
      </c>
      <c r="DP27" s="1073">
        <f t="shared" si="17"/>
        <v>0</v>
      </c>
      <c r="DQ27" s="1065"/>
      <c r="DR27" s="1081" t="s">
        <v>331</v>
      </c>
      <c r="DS27" s="1082">
        <f t="shared" si="18"/>
        <v>89</v>
      </c>
      <c r="DT27" s="1082">
        <f t="shared" si="19"/>
        <v>89</v>
      </c>
      <c r="DU27" s="1082">
        <f t="shared" si="20"/>
        <v>110</v>
      </c>
      <c r="DV27" s="1082">
        <f t="shared" si="20"/>
        <v>57</v>
      </c>
      <c r="DW27" s="1082">
        <f t="shared" si="21"/>
        <v>89</v>
      </c>
      <c r="DX27" s="1082" t="str">
        <f t="shared" si="22"/>
        <v/>
      </c>
      <c r="DY27" s="1082">
        <f t="shared" si="26"/>
        <v>57.85</v>
      </c>
      <c r="DZ27" s="1082">
        <f t="shared" si="27"/>
        <v>31.15</v>
      </c>
      <c r="EA27" s="1083">
        <f t="shared" si="23"/>
        <v>0.65</v>
      </c>
      <c r="EB27" s="1083">
        <f t="shared" si="24"/>
        <v>0.35</v>
      </c>
      <c r="EC27" s="1837"/>
      <c r="ED27" s="103"/>
      <c r="EE27" s="103"/>
      <c r="EV27" s="103"/>
      <c r="EW27" s="103"/>
    </row>
    <row r="28" spans="1:153">
      <c r="A28" s="103"/>
      <c r="B28" s="1077" t="s">
        <v>332</v>
      </c>
      <c r="C28" s="2185">
        <v>60</v>
      </c>
      <c r="D28" s="2186">
        <v>62</v>
      </c>
      <c r="E28" s="2186">
        <v>63</v>
      </c>
      <c r="F28" s="2186">
        <v>73</v>
      </c>
      <c r="G28" s="2186">
        <v>78</v>
      </c>
      <c r="H28" s="2186">
        <v>80</v>
      </c>
      <c r="I28" s="2186">
        <v>97</v>
      </c>
      <c r="J28" s="2186">
        <v>103</v>
      </c>
      <c r="K28" s="2186">
        <v>105</v>
      </c>
      <c r="L28" s="2186">
        <v>104</v>
      </c>
      <c r="M28" s="2186">
        <v>103</v>
      </c>
      <c r="N28" s="2186">
        <v>102</v>
      </c>
      <c r="O28" s="2186">
        <v>101</v>
      </c>
      <c r="P28" s="2186">
        <v>102</v>
      </c>
      <c r="Q28" s="2186">
        <v>100</v>
      </c>
      <c r="R28" s="2186">
        <v>106</v>
      </c>
      <c r="S28" s="2186">
        <v>112</v>
      </c>
      <c r="T28" s="2186">
        <v>109</v>
      </c>
      <c r="U28" s="2186">
        <v>99</v>
      </c>
      <c r="V28" s="2183">
        <v>78</v>
      </c>
      <c r="W28" s="2183">
        <v>72</v>
      </c>
      <c r="X28" s="2183">
        <v>63</v>
      </c>
      <c r="Y28" s="2183">
        <v>61</v>
      </c>
      <c r="Z28" s="2183">
        <v>60</v>
      </c>
      <c r="AA28" s="1077">
        <f t="shared" si="0"/>
        <v>87</v>
      </c>
      <c r="AB28" s="1078">
        <f t="shared" si="25"/>
        <v>112</v>
      </c>
      <c r="AC28" s="1078">
        <f t="shared" si="1"/>
        <v>60</v>
      </c>
      <c r="AD28" s="1078">
        <f ca="1">IF(DMREZ!D30&lt;TODAY(),AA74,"")</f>
        <v>87</v>
      </c>
      <c r="AE28" s="677">
        <f t="shared" si="2"/>
        <v>85.833333333333329</v>
      </c>
      <c r="AF28" s="677">
        <f t="shared" si="3"/>
        <v>88.583333333333329</v>
      </c>
      <c r="AG28" s="677">
        <f t="shared" si="15"/>
        <v>87</v>
      </c>
      <c r="AH28" s="1069"/>
      <c r="AI28" s="1077" t="s">
        <v>332</v>
      </c>
      <c r="AJ28" s="1079"/>
      <c r="AK28" s="1080"/>
      <c r="AL28" s="1080"/>
      <c r="AM28" s="1080"/>
      <c r="AN28" s="1080"/>
      <c r="AO28" s="1080"/>
      <c r="AP28" s="1080"/>
      <c r="AQ28" s="1080"/>
      <c r="AR28" s="1080"/>
      <c r="AS28" s="1080"/>
      <c r="AT28" s="1080"/>
      <c r="AU28" s="1080"/>
      <c r="AV28" s="1080"/>
      <c r="AW28" s="1080"/>
      <c r="AX28" s="1080"/>
      <c r="AY28" s="1080"/>
      <c r="AZ28" s="1080"/>
      <c r="BA28" s="1080"/>
      <c r="BB28" s="1080"/>
      <c r="BC28" s="1080"/>
      <c r="BD28" s="1080"/>
      <c r="BE28" s="1080"/>
      <c r="BF28" s="1080"/>
      <c r="BG28" s="1080"/>
      <c r="BH28" s="685" t="str">
        <f t="shared" si="4"/>
        <v/>
      </c>
      <c r="BI28" s="677" t="str">
        <f t="shared" si="5"/>
        <v/>
      </c>
      <c r="BJ28" s="677" t="str">
        <f t="shared" si="6"/>
        <v/>
      </c>
      <c r="BK28" s="1069"/>
      <c r="BL28" s="1077" t="s">
        <v>332</v>
      </c>
      <c r="BM28" s="674"/>
      <c r="BN28" s="676"/>
      <c r="BO28" s="676"/>
      <c r="BP28" s="676"/>
      <c r="BQ28" s="676"/>
      <c r="BR28" s="676"/>
      <c r="BS28" s="676"/>
      <c r="BT28" s="676"/>
      <c r="BU28" s="676"/>
      <c r="BV28" s="676"/>
      <c r="BW28" s="676"/>
      <c r="BX28" s="676"/>
      <c r="BY28" s="676"/>
      <c r="BZ28" s="676"/>
      <c r="CA28" s="676"/>
      <c r="CB28" s="676"/>
      <c r="CC28" s="676"/>
      <c r="CD28" s="676"/>
      <c r="CE28" s="676"/>
      <c r="CF28" s="676"/>
      <c r="CG28" s="676"/>
      <c r="CH28" s="676"/>
      <c r="CI28" s="676"/>
      <c r="CJ28" s="676"/>
      <c r="CK28" s="685" t="str">
        <f t="shared" si="7"/>
        <v/>
      </c>
      <c r="CL28" s="677" t="str">
        <f t="shared" si="8"/>
        <v/>
      </c>
      <c r="CM28" s="677" t="str">
        <f t="shared" si="9"/>
        <v/>
      </c>
      <c r="CN28" s="1069"/>
      <c r="CO28" s="1072" t="s">
        <v>332</v>
      </c>
      <c r="CP28" s="1080" t="str">
        <f t="shared" si="30"/>
        <v xml:space="preserve"> </v>
      </c>
      <c r="CQ28" s="1080" t="str">
        <f t="shared" si="30"/>
        <v xml:space="preserve"> </v>
      </c>
      <c r="CR28" s="1080" t="str">
        <f t="shared" si="30"/>
        <v xml:space="preserve"> </v>
      </c>
      <c r="CS28" s="1080" t="str">
        <f t="shared" si="30"/>
        <v xml:space="preserve"> </v>
      </c>
      <c r="CT28" s="1080" t="str">
        <f t="shared" si="30"/>
        <v xml:space="preserve"> </v>
      </c>
      <c r="CU28" s="1080" t="str">
        <f t="shared" si="30"/>
        <v xml:space="preserve"> </v>
      </c>
      <c r="CV28" s="1080" t="str">
        <f t="shared" si="30"/>
        <v xml:space="preserve"> </v>
      </c>
      <c r="CW28" s="1080" t="str">
        <f t="shared" si="30"/>
        <v xml:space="preserve"> </v>
      </c>
      <c r="CX28" s="1080" t="str">
        <f t="shared" si="30"/>
        <v xml:space="preserve"> </v>
      </c>
      <c r="CY28" s="1080" t="str">
        <f t="shared" si="30"/>
        <v xml:space="preserve"> </v>
      </c>
      <c r="CZ28" s="1080" t="str">
        <f t="shared" si="30"/>
        <v xml:space="preserve"> </v>
      </c>
      <c r="DA28" s="1080" t="str">
        <f t="shared" si="30"/>
        <v xml:space="preserve"> </v>
      </c>
      <c r="DB28" s="1080" t="str">
        <f t="shared" si="30"/>
        <v xml:space="preserve"> </v>
      </c>
      <c r="DC28" s="1080" t="str">
        <f t="shared" si="30"/>
        <v xml:space="preserve"> </v>
      </c>
      <c r="DD28" s="1080" t="str">
        <f t="shared" si="30"/>
        <v xml:space="preserve"> </v>
      </c>
      <c r="DE28" s="1080" t="str">
        <f t="shared" si="29"/>
        <v xml:space="preserve"> </v>
      </c>
      <c r="DF28" s="1080" t="str">
        <f t="shared" si="11"/>
        <v xml:space="preserve"> </v>
      </c>
      <c r="DG28" s="1080" t="str">
        <f t="shared" si="11"/>
        <v xml:space="preserve"> </v>
      </c>
      <c r="DH28" s="1080" t="str">
        <f t="shared" si="11"/>
        <v xml:space="preserve"> </v>
      </c>
      <c r="DI28" s="1080" t="str">
        <f t="shared" si="11"/>
        <v xml:space="preserve"> </v>
      </c>
      <c r="DJ28" s="1080" t="str">
        <f t="shared" si="11"/>
        <v xml:space="preserve"> </v>
      </c>
      <c r="DK28" s="1080" t="str">
        <f t="shared" si="11"/>
        <v xml:space="preserve"> </v>
      </c>
      <c r="DL28" s="1080" t="str">
        <f t="shared" si="11"/>
        <v xml:space="preserve"> </v>
      </c>
      <c r="DM28" s="1080" t="str">
        <f t="shared" si="11"/>
        <v xml:space="preserve"> </v>
      </c>
      <c r="DN28" s="677" t="str">
        <f t="shared" si="12"/>
        <v/>
      </c>
      <c r="DO28" s="1073">
        <f t="shared" si="16"/>
        <v>0</v>
      </c>
      <c r="DP28" s="1073">
        <f t="shared" si="17"/>
        <v>0</v>
      </c>
      <c r="DQ28" s="1065"/>
      <c r="DR28" s="1081" t="s">
        <v>332</v>
      </c>
      <c r="DS28" s="1082">
        <f t="shared" si="18"/>
        <v>87</v>
      </c>
      <c r="DT28" s="1082">
        <f t="shared" si="19"/>
        <v>87</v>
      </c>
      <c r="DU28" s="1082">
        <f t="shared" si="20"/>
        <v>112</v>
      </c>
      <c r="DV28" s="1082">
        <f t="shared" si="20"/>
        <v>60</v>
      </c>
      <c r="DW28" s="1082">
        <f t="shared" si="21"/>
        <v>87</v>
      </c>
      <c r="DX28" s="1082" t="str">
        <f t="shared" si="22"/>
        <v/>
      </c>
      <c r="DY28" s="1082">
        <f t="shared" si="26"/>
        <v>56.550000000000004</v>
      </c>
      <c r="DZ28" s="1082">
        <f t="shared" si="27"/>
        <v>30.45</v>
      </c>
      <c r="EA28" s="1083">
        <f t="shared" si="23"/>
        <v>0.65</v>
      </c>
      <c r="EB28" s="1083">
        <f t="shared" si="24"/>
        <v>0.35</v>
      </c>
      <c r="EC28" s="1837"/>
      <c r="ED28" s="103"/>
      <c r="EE28" s="103"/>
      <c r="EV28" s="103"/>
      <c r="EW28" s="103"/>
    </row>
    <row r="29" spans="1:153">
      <c r="A29" s="103"/>
      <c r="B29" s="1077" t="s">
        <v>333</v>
      </c>
      <c r="C29" s="2185">
        <v>61</v>
      </c>
      <c r="D29" s="2186">
        <v>63</v>
      </c>
      <c r="E29" s="2186">
        <v>73</v>
      </c>
      <c r="F29" s="2186">
        <v>81</v>
      </c>
      <c r="G29" s="2186">
        <v>106</v>
      </c>
      <c r="H29" s="2186">
        <v>106</v>
      </c>
      <c r="I29" s="2186">
        <v>104</v>
      </c>
      <c r="J29" s="2186">
        <v>102</v>
      </c>
      <c r="K29" s="2186">
        <v>101</v>
      </c>
      <c r="L29" s="2186">
        <v>100</v>
      </c>
      <c r="M29" s="2186">
        <v>99</v>
      </c>
      <c r="N29" s="2186">
        <v>98</v>
      </c>
      <c r="O29" s="2186">
        <v>97</v>
      </c>
      <c r="P29" s="2186">
        <v>99</v>
      </c>
      <c r="Q29" s="2186">
        <v>109</v>
      </c>
      <c r="R29" s="2186">
        <v>111</v>
      </c>
      <c r="S29" s="2186">
        <v>113</v>
      </c>
      <c r="T29" s="2186">
        <v>109</v>
      </c>
      <c r="U29" s="2186">
        <v>106</v>
      </c>
      <c r="V29" s="2183">
        <v>95</v>
      </c>
      <c r="W29" s="2183">
        <v>48</v>
      </c>
      <c r="X29" s="2183">
        <v>36</v>
      </c>
      <c r="Y29" s="2183">
        <v>38</v>
      </c>
      <c r="Z29" s="2183">
        <v>42</v>
      </c>
      <c r="AA29" s="1077">
        <f t="shared" si="0"/>
        <v>87</v>
      </c>
      <c r="AB29" s="1078">
        <f t="shared" si="25"/>
        <v>113</v>
      </c>
      <c r="AC29" s="1078">
        <f t="shared" si="1"/>
        <v>36</v>
      </c>
      <c r="AD29" s="1078">
        <f ca="1">IF(DMREZ!D31&lt;TODAY(),AA75,"")</f>
        <v>87</v>
      </c>
      <c r="AE29" s="677">
        <f t="shared" si="2"/>
        <v>91.166666666666671</v>
      </c>
      <c r="AF29" s="677">
        <f t="shared" si="3"/>
        <v>83.583333333333329</v>
      </c>
      <c r="AG29" s="677">
        <f t="shared" si="15"/>
        <v>87</v>
      </c>
      <c r="AH29" s="1069"/>
      <c r="AI29" s="1077" t="s">
        <v>333</v>
      </c>
      <c r="AJ29" s="1079"/>
      <c r="AK29" s="1080"/>
      <c r="AL29" s="1080"/>
      <c r="AM29" s="1080"/>
      <c r="AN29" s="1080"/>
      <c r="AO29" s="1080"/>
      <c r="AP29" s="1080"/>
      <c r="AQ29" s="1080"/>
      <c r="AR29" s="1080"/>
      <c r="AS29" s="1080"/>
      <c r="AT29" s="1080"/>
      <c r="AU29" s="1080"/>
      <c r="AV29" s="1080"/>
      <c r="AW29" s="1080"/>
      <c r="AX29" s="1080"/>
      <c r="AY29" s="1080"/>
      <c r="AZ29" s="1080"/>
      <c r="BA29" s="1080"/>
      <c r="BB29" s="1080"/>
      <c r="BC29" s="1080"/>
      <c r="BD29" s="1080"/>
      <c r="BE29" s="1080"/>
      <c r="BF29" s="1080"/>
      <c r="BG29" s="1080"/>
      <c r="BH29" s="685" t="str">
        <f t="shared" si="4"/>
        <v/>
      </c>
      <c r="BI29" s="677" t="str">
        <f t="shared" si="5"/>
        <v/>
      </c>
      <c r="BJ29" s="677" t="str">
        <f t="shared" si="6"/>
        <v/>
      </c>
      <c r="BK29" s="1069"/>
      <c r="BL29" s="1077" t="s">
        <v>333</v>
      </c>
      <c r="BM29" s="674"/>
      <c r="BN29" s="676"/>
      <c r="BO29" s="676"/>
      <c r="BP29" s="676"/>
      <c r="BQ29" s="676"/>
      <c r="BR29" s="676"/>
      <c r="BS29" s="676"/>
      <c r="BT29" s="676"/>
      <c r="BU29" s="676"/>
      <c r="BV29" s="676"/>
      <c r="BW29" s="676"/>
      <c r="BX29" s="676"/>
      <c r="BY29" s="676"/>
      <c r="BZ29" s="676"/>
      <c r="CA29" s="676"/>
      <c r="CB29" s="676"/>
      <c r="CC29" s="676"/>
      <c r="CD29" s="676"/>
      <c r="CE29" s="676"/>
      <c r="CF29" s="676"/>
      <c r="CG29" s="676"/>
      <c r="CH29" s="676"/>
      <c r="CI29" s="676"/>
      <c r="CJ29" s="676"/>
      <c r="CK29" s="685" t="str">
        <f t="shared" si="7"/>
        <v/>
      </c>
      <c r="CL29" s="677" t="str">
        <f t="shared" si="8"/>
        <v/>
      </c>
      <c r="CM29" s="677" t="str">
        <f t="shared" si="9"/>
        <v/>
      </c>
      <c r="CN29" s="1069"/>
      <c r="CO29" s="1072" t="s">
        <v>333</v>
      </c>
      <c r="CP29" s="1080" t="str">
        <f t="shared" si="30"/>
        <v xml:space="preserve"> </v>
      </c>
      <c r="CQ29" s="1080" t="str">
        <f t="shared" si="30"/>
        <v xml:space="preserve"> </v>
      </c>
      <c r="CR29" s="1080" t="str">
        <f t="shared" si="30"/>
        <v xml:space="preserve"> </v>
      </c>
      <c r="CS29" s="1080" t="str">
        <f t="shared" si="30"/>
        <v xml:space="preserve"> </v>
      </c>
      <c r="CT29" s="1080" t="str">
        <f t="shared" si="30"/>
        <v xml:space="preserve"> </v>
      </c>
      <c r="CU29" s="1080" t="str">
        <f t="shared" si="30"/>
        <v xml:space="preserve"> </v>
      </c>
      <c r="CV29" s="1080" t="str">
        <f t="shared" si="30"/>
        <v xml:space="preserve"> </v>
      </c>
      <c r="CW29" s="1080" t="str">
        <f t="shared" si="30"/>
        <v xml:space="preserve"> </v>
      </c>
      <c r="CX29" s="1080" t="str">
        <f t="shared" si="30"/>
        <v xml:space="preserve"> </v>
      </c>
      <c r="CY29" s="1080" t="str">
        <f t="shared" si="30"/>
        <v xml:space="preserve"> </v>
      </c>
      <c r="CZ29" s="1080" t="str">
        <f t="shared" si="30"/>
        <v xml:space="preserve"> </v>
      </c>
      <c r="DA29" s="1080" t="str">
        <f t="shared" si="30"/>
        <v xml:space="preserve"> </v>
      </c>
      <c r="DB29" s="1080" t="str">
        <f t="shared" si="30"/>
        <v xml:space="preserve"> </v>
      </c>
      <c r="DC29" s="1080" t="str">
        <f t="shared" si="30"/>
        <v xml:space="preserve"> </v>
      </c>
      <c r="DD29" s="1080" t="str">
        <f t="shared" si="30"/>
        <v xml:space="preserve"> </v>
      </c>
      <c r="DE29" s="1080" t="str">
        <f t="shared" si="29"/>
        <v xml:space="preserve"> </v>
      </c>
      <c r="DF29" s="1080" t="str">
        <f t="shared" si="11"/>
        <v xml:space="preserve"> </v>
      </c>
      <c r="DG29" s="1080" t="str">
        <f t="shared" si="11"/>
        <v xml:space="preserve"> </v>
      </c>
      <c r="DH29" s="1080" t="str">
        <f t="shared" si="11"/>
        <v xml:space="preserve"> </v>
      </c>
      <c r="DI29" s="1080" t="str">
        <f t="shared" si="11"/>
        <v xml:space="preserve"> </v>
      </c>
      <c r="DJ29" s="1080" t="str">
        <f t="shared" si="11"/>
        <v xml:space="preserve"> </v>
      </c>
      <c r="DK29" s="1080" t="str">
        <f t="shared" si="11"/>
        <v xml:space="preserve"> </v>
      </c>
      <c r="DL29" s="1080" t="str">
        <f t="shared" si="11"/>
        <v xml:space="preserve"> </v>
      </c>
      <c r="DM29" s="1080" t="str">
        <f t="shared" si="11"/>
        <v xml:space="preserve"> </v>
      </c>
      <c r="DN29" s="677" t="str">
        <f t="shared" si="12"/>
        <v/>
      </c>
      <c r="DO29" s="1073">
        <f t="shared" si="16"/>
        <v>0</v>
      </c>
      <c r="DP29" s="1073">
        <f t="shared" si="17"/>
        <v>0</v>
      </c>
      <c r="DQ29" s="1065"/>
      <c r="DR29" s="1081" t="s">
        <v>333</v>
      </c>
      <c r="DS29" s="1082">
        <f t="shared" si="18"/>
        <v>87</v>
      </c>
      <c r="DT29" s="1082">
        <f t="shared" si="19"/>
        <v>87</v>
      </c>
      <c r="DU29" s="1082">
        <f t="shared" si="20"/>
        <v>113</v>
      </c>
      <c r="DV29" s="1082">
        <f t="shared" si="20"/>
        <v>36</v>
      </c>
      <c r="DW29" s="1082">
        <f t="shared" si="21"/>
        <v>87</v>
      </c>
      <c r="DX29" s="1082" t="str">
        <f t="shared" si="22"/>
        <v/>
      </c>
      <c r="DY29" s="1082">
        <f t="shared" si="26"/>
        <v>56.550000000000004</v>
      </c>
      <c r="DZ29" s="1082">
        <f t="shared" si="27"/>
        <v>30.45</v>
      </c>
      <c r="EA29" s="1083">
        <f t="shared" si="23"/>
        <v>0.65</v>
      </c>
      <c r="EB29" s="1083">
        <f t="shared" si="24"/>
        <v>0.35</v>
      </c>
      <c r="EC29" s="1837"/>
      <c r="ED29" s="103"/>
      <c r="EE29" s="103"/>
      <c r="EV29" s="103"/>
      <c r="EW29" s="103"/>
    </row>
    <row r="30" spans="1:153">
      <c r="A30" s="103"/>
      <c r="B30" s="1077" t="s">
        <v>334</v>
      </c>
      <c r="C30" s="2185">
        <v>46</v>
      </c>
      <c r="D30" s="2186">
        <v>63</v>
      </c>
      <c r="E30" s="2187">
        <v>71</v>
      </c>
      <c r="F30" s="2186">
        <v>86</v>
      </c>
      <c r="G30" s="2187">
        <v>112</v>
      </c>
      <c r="H30" s="2186">
        <v>109</v>
      </c>
      <c r="I30" s="2186">
        <v>107</v>
      </c>
      <c r="J30" s="2186">
        <v>105</v>
      </c>
      <c r="K30" s="2186">
        <v>102</v>
      </c>
      <c r="L30" s="2186">
        <v>101</v>
      </c>
      <c r="M30" s="2186">
        <v>99</v>
      </c>
      <c r="N30" s="2186">
        <v>101</v>
      </c>
      <c r="O30" s="2188">
        <v>100</v>
      </c>
      <c r="P30" s="2186">
        <v>104</v>
      </c>
      <c r="Q30" s="2186">
        <v>102</v>
      </c>
      <c r="R30" s="2186">
        <v>101</v>
      </c>
      <c r="S30" s="2186">
        <v>104</v>
      </c>
      <c r="T30" s="2186">
        <v>106</v>
      </c>
      <c r="U30" s="2186">
        <v>104</v>
      </c>
      <c r="V30" s="2186">
        <v>68</v>
      </c>
      <c r="W30" s="2186">
        <v>63</v>
      </c>
      <c r="X30" s="2186">
        <v>63</v>
      </c>
      <c r="Y30" s="2186">
        <v>63</v>
      </c>
      <c r="Z30" s="2183">
        <v>61</v>
      </c>
      <c r="AA30" s="1077">
        <f t="shared" si="0"/>
        <v>89</v>
      </c>
      <c r="AB30" s="1078">
        <f t="shared" si="25"/>
        <v>112</v>
      </c>
      <c r="AC30" s="1078">
        <f t="shared" si="1"/>
        <v>46</v>
      </c>
      <c r="AD30" s="1078">
        <f ca="1">IF(DMREZ!D32&lt;TODAY(),AA76,"")</f>
        <v>89</v>
      </c>
      <c r="AE30" s="677">
        <f t="shared" si="2"/>
        <v>91.833333333333329</v>
      </c>
      <c r="AF30" s="677">
        <f t="shared" si="3"/>
        <v>86.583333333333329</v>
      </c>
      <c r="AG30" s="677">
        <f t="shared" si="15"/>
        <v>89</v>
      </c>
      <c r="AH30" s="1069"/>
      <c r="AI30" s="1077" t="s">
        <v>334</v>
      </c>
      <c r="AJ30" s="1079"/>
      <c r="AK30" s="1080"/>
      <c r="AL30" s="1080"/>
      <c r="AM30" s="1080"/>
      <c r="AN30" s="1080"/>
      <c r="AO30" s="1080"/>
      <c r="AP30" s="1080"/>
      <c r="AQ30" s="1080"/>
      <c r="AR30" s="1080"/>
      <c r="AS30" s="1080"/>
      <c r="AT30" s="1080"/>
      <c r="AU30" s="1080"/>
      <c r="AV30" s="1080"/>
      <c r="AW30" s="1080"/>
      <c r="AX30" s="1080"/>
      <c r="AY30" s="1080"/>
      <c r="AZ30" s="1080"/>
      <c r="BA30" s="1080"/>
      <c r="BB30" s="1080"/>
      <c r="BC30" s="1080"/>
      <c r="BD30" s="1080"/>
      <c r="BE30" s="1080"/>
      <c r="BF30" s="1080"/>
      <c r="BG30" s="1080"/>
      <c r="BH30" s="685" t="str">
        <f t="shared" si="4"/>
        <v/>
      </c>
      <c r="BI30" s="677" t="str">
        <f t="shared" si="5"/>
        <v/>
      </c>
      <c r="BJ30" s="677" t="str">
        <f t="shared" si="6"/>
        <v/>
      </c>
      <c r="BK30" s="1069"/>
      <c r="BL30" s="1077" t="s">
        <v>334</v>
      </c>
      <c r="BM30" s="674"/>
      <c r="BN30" s="676"/>
      <c r="BO30" s="676"/>
      <c r="BP30" s="676"/>
      <c r="BQ30" s="676"/>
      <c r="BR30" s="676"/>
      <c r="BS30" s="676"/>
      <c r="BT30" s="676"/>
      <c r="BU30" s="676"/>
      <c r="BV30" s="676"/>
      <c r="BW30" s="676"/>
      <c r="BX30" s="676"/>
      <c r="BY30" s="676"/>
      <c r="BZ30" s="676"/>
      <c r="CA30" s="676"/>
      <c r="CB30" s="676"/>
      <c r="CC30" s="676"/>
      <c r="CD30" s="676"/>
      <c r="CE30" s="676"/>
      <c r="CF30" s="676"/>
      <c r="CG30" s="676"/>
      <c r="CH30" s="676"/>
      <c r="CI30" s="676"/>
      <c r="CJ30" s="676"/>
      <c r="CK30" s="685" t="str">
        <f t="shared" si="7"/>
        <v/>
      </c>
      <c r="CL30" s="677" t="str">
        <f t="shared" si="8"/>
        <v/>
      </c>
      <c r="CM30" s="677" t="str">
        <f t="shared" si="9"/>
        <v/>
      </c>
      <c r="CN30" s="1069"/>
      <c r="CO30" s="1072" t="s">
        <v>334</v>
      </c>
      <c r="CP30" s="1080" t="str">
        <f t="shared" si="30"/>
        <v xml:space="preserve"> </v>
      </c>
      <c r="CQ30" s="1080" t="str">
        <f t="shared" si="30"/>
        <v xml:space="preserve"> </v>
      </c>
      <c r="CR30" s="1080" t="str">
        <f t="shared" si="30"/>
        <v xml:space="preserve"> </v>
      </c>
      <c r="CS30" s="1080" t="str">
        <f t="shared" si="30"/>
        <v xml:space="preserve"> </v>
      </c>
      <c r="CT30" s="1080" t="str">
        <f t="shared" si="30"/>
        <v xml:space="preserve"> </v>
      </c>
      <c r="CU30" s="1080" t="str">
        <f t="shared" si="30"/>
        <v xml:space="preserve"> </v>
      </c>
      <c r="CV30" s="1080" t="str">
        <f t="shared" si="30"/>
        <v xml:space="preserve"> </v>
      </c>
      <c r="CW30" s="1080" t="str">
        <f t="shared" si="30"/>
        <v xml:space="preserve"> </v>
      </c>
      <c r="CX30" s="1080" t="str">
        <f t="shared" si="30"/>
        <v xml:space="preserve"> </v>
      </c>
      <c r="CY30" s="1080" t="str">
        <f t="shared" si="30"/>
        <v xml:space="preserve"> </v>
      </c>
      <c r="CZ30" s="1080" t="str">
        <f t="shared" si="30"/>
        <v xml:space="preserve"> </v>
      </c>
      <c r="DA30" s="1080" t="str">
        <f t="shared" si="30"/>
        <v xml:space="preserve"> </v>
      </c>
      <c r="DB30" s="1080" t="str">
        <f t="shared" si="30"/>
        <v xml:space="preserve"> </v>
      </c>
      <c r="DC30" s="1080" t="str">
        <f t="shared" si="30"/>
        <v xml:space="preserve"> </v>
      </c>
      <c r="DD30" s="1080" t="str">
        <f t="shared" si="30"/>
        <v xml:space="preserve"> </v>
      </c>
      <c r="DE30" s="1080" t="str">
        <f t="shared" si="29"/>
        <v xml:space="preserve"> </v>
      </c>
      <c r="DF30" s="1080" t="str">
        <f t="shared" si="11"/>
        <v xml:space="preserve"> </v>
      </c>
      <c r="DG30" s="1080" t="str">
        <f t="shared" si="11"/>
        <v xml:space="preserve"> </v>
      </c>
      <c r="DH30" s="1080" t="str">
        <f t="shared" si="11"/>
        <v xml:space="preserve"> </v>
      </c>
      <c r="DI30" s="1080" t="str">
        <f t="shared" si="11"/>
        <v xml:space="preserve"> </v>
      </c>
      <c r="DJ30" s="1080" t="str">
        <f t="shared" si="11"/>
        <v xml:space="preserve"> </v>
      </c>
      <c r="DK30" s="1080" t="str">
        <f t="shared" si="11"/>
        <v xml:space="preserve"> </v>
      </c>
      <c r="DL30" s="1080" t="str">
        <f t="shared" si="11"/>
        <v xml:space="preserve"> </v>
      </c>
      <c r="DM30" s="1080" t="str">
        <f t="shared" si="11"/>
        <v xml:space="preserve"> </v>
      </c>
      <c r="DN30" s="677" t="str">
        <f t="shared" si="12"/>
        <v/>
      </c>
      <c r="DO30" s="1073">
        <f t="shared" si="16"/>
        <v>0</v>
      </c>
      <c r="DP30" s="1073">
        <f t="shared" si="17"/>
        <v>0</v>
      </c>
      <c r="DQ30" s="1065"/>
      <c r="DR30" s="1081" t="s">
        <v>334</v>
      </c>
      <c r="DS30" s="1082">
        <f t="shared" si="18"/>
        <v>89</v>
      </c>
      <c r="DT30" s="1082">
        <f t="shared" si="19"/>
        <v>89</v>
      </c>
      <c r="DU30" s="1082">
        <f t="shared" si="20"/>
        <v>112</v>
      </c>
      <c r="DV30" s="1082">
        <f t="shared" si="20"/>
        <v>46</v>
      </c>
      <c r="DW30" s="1082">
        <f t="shared" si="21"/>
        <v>89</v>
      </c>
      <c r="DX30" s="1082" t="str">
        <f t="shared" si="22"/>
        <v/>
      </c>
      <c r="DY30" s="1082">
        <f t="shared" si="26"/>
        <v>57.85</v>
      </c>
      <c r="DZ30" s="1082">
        <f t="shared" si="27"/>
        <v>31.15</v>
      </c>
      <c r="EA30" s="1083">
        <f t="shared" ref="EA30:EA33" si="31">IF(+DY30=0,"",ROUND(+DY30/(DZ30+DY30),2))</f>
        <v>0.65</v>
      </c>
      <c r="EB30" s="1083">
        <f t="shared" ref="EB30:EB33" si="32">IF(DZ30=0,"",ROUND(+DZ30/(DY30+DZ30),2))</f>
        <v>0.35</v>
      </c>
      <c r="EC30" s="1837"/>
      <c r="ED30" s="103"/>
      <c r="EE30" s="103"/>
      <c r="EV30" s="103"/>
      <c r="EW30" s="103"/>
    </row>
    <row r="31" spans="1:153">
      <c r="A31" s="103"/>
      <c r="B31" s="1077" t="s">
        <v>335</v>
      </c>
      <c r="C31" s="2182">
        <v>58</v>
      </c>
      <c r="D31" s="2183">
        <v>53</v>
      </c>
      <c r="E31" s="2183">
        <v>55</v>
      </c>
      <c r="F31" s="2183">
        <v>99</v>
      </c>
      <c r="G31" s="2187">
        <v>162</v>
      </c>
      <c r="H31" s="2186">
        <v>194</v>
      </c>
      <c r="I31" s="2186">
        <v>220</v>
      </c>
      <c r="J31" s="2186">
        <v>201</v>
      </c>
      <c r="K31" s="2186">
        <v>188</v>
      </c>
      <c r="L31" s="2186">
        <v>177</v>
      </c>
      <c r="M31" s="2186">
        <v>168</v>
      </c>
      <c r="N31" s="2186">
        <v>157</v>
      </c>
      <c r="O31" s="2183">
        <v>135</v>
      </c>
      <c r="P31" s="2183">
        <v>115</v>
      </c>
      <c r="Q31" s="2183">
        <v>107</v>
      </c>
      <c r="R31" s="2183">
        <v>99</v>
      </c>
      <c r="S31" s="2183">
        <v>101</v>
      </c>
      <c r="T31" s="2183">
        <v>102</v>
      </c>
      <c r="U31" s="2183">
        <v>103</v>
      </c>
      <c r="V31" s="2183">
        <v>107</v>
      </c>
      <c r="W31" s="2183">
        <v>105</v>
      </c>
      <c r="X31" s="2183">
        <v>100</v>
      </c>
      <c r="Y31" s="2183">
        <v>85</v>
      </c>
      <c r="Z31" s="2183">
        <v>85</v>
      </c>
      <c r="AA31" s="1077">
        <f t="shared" si="0"/>
        <v>124</v>
      </c>
      <c r="AB31" s="1078">
        <f t="shared" si="25"/>
        <v>220</v>
      </c>
      <c r="AC31" s="1078">
        <f t="shared" si="1"/>
        <v>53</v>
      </c>
      <c r="AD31" s="1078">
        <f ca="1">IF(DMREZ!D33&lt;TODAY(),AA77,"")</f>
        <v>97</v>
      </c>
      <c r="AE31" s="677">
        <f t="shared" si="2"/>
        <v>144.33333333333334</v>
      </c>
      <c r="AF31" s="677">
        <f t="shared" si="3"/>
        <v>103.66666666666667</v>
      </c>
      <c r="AG31" s="677">
        <f t="shared" si="15"/>
        <v>124</v>
      </c>
      <c r="AH31" s="1069"/>
      <c r="AI31" s="1077" t="s">
        <v>335</v>
      </c>
      <c r="AJ31" s="1079"/>
      <c r="AK31" s="1080"/>
      <c r="AL31" s="1080"/>
      <c r="AM31" s="1080"/>
      <c r="AN31" s="1080"/>
      <c r="AO31" s="1080"/>
      <c r="AP31" s="1080"/>
      <c r="AQ31" s="1080"/>
      <c r="AR31" s="1080"/>
      <c r="AS31" s="1080"/>
      <c r="AT31" s="1080"/>
      <c r="AU31" s="1080"/>
      <c r="AV31" s="1080"/>
      <c r="AW31" s="1080"/>
      <c r="AX31" s="1080"/>
      <c r="AY31" s="1080"/>
      <c r="AZ31" s="1080"/>
      <c r="BA31" s="1080"/>
      <c r="BB31" s="1080"/>
      <c r="BC31" s="1080"/>
      <c r="BD31" s="1080"/>
      <c r="BE31" s="1080"/>
      <c r="BF31" s="1080"/>
      <c r="BG31" s="1080"/>
      <c r="BH31" s="685" t="str">
        <f t="shared" si="4"/>
        <v/>
      </c>
      <c r="BI31" s="677" t="str">
        <f t="shared" si="5"/>
        <v/>
      </c>
      <c r="BJ31" s="677" t="str">
        <f t="shared" si="6"/>
        <v/>
      </c>
      <c r="BK31" s="1069"/>
      <c r="BL31" s="1077" t="s">
        <v>335</v>
      </c>
      <c r="BM31" s="674"/>
      <c r="BN31" s="676"/>
      <c r="BO31" s="676"/>
      <c r="BP31" s="676"/>
      <c r="BQ31" s="676"/>
      <c r="BR31" s="676"/>
      <c r="BS31" s="676"/>
      <c r="BT31" s="676"/>
      <c r="BU31" s="676"/>
      <c r="BV31" s="676"/>
      <c r="BW31" s="676"/>
      <c r="BX31" s="676"/>
      <c r="BY31" s="676"/>
      <c r="BZ31" s="676"/>
      <c r="CA31" s="676"/>
      <c r="CB31" s="676"/>
      <c r="CC31" s="676"/>
      <c r="CD31" s="676"/>
      <c r="CE31" s="676"/>
      <c r="CF31" s="676"/>
      <c r="CG31" s="676"/>
      <c r="CH31" s="676"/>
      <c r="CI31" s="676"/>
      <c r="CJ31" s="676"/>
      <c r="CK31" s="685" t="str">
        <f t="shared" si="7"/>
        <v/>
      </c>
      <c r="CL31" s="677" t="str">
        <f t="shared" si="8"/>
        <v/>
      </c>
      <c r="CM31" s="677" t="str">
        <f t="shared" si="9"/>
        <v/>
      </c>
      <c r="CN31" s="1069"/>
      <c r="CO31" s="1072" t="s">
        <v>335</v>
      </c>
      <c r="CP31" s="1080" t="str">
        <f t="shared" si="30"/>
        <v xml:space="preserve"> </v>
      </c>
      <c r="CQ31" s="1080" t="str">
        <f t="shared" si="30"/>
        <v xml:space="preserve"> </v>
      </c>
      <c r="CR31" s="1080" t="str">
        <f t="shared" si="30"/>
        <v xml:space="preserve"> </v>
      </c>
      <c r="CS31" s="1080" t="str">
        <f t="shared" si="30"/>
        <v xml:space="preserve"> </v>
      </c>
      <c r="CT31" s="1080" t="str">
        <f t="shared" si="30"/>
        <v xml:space="preserve"> </v>
      </c>
      <c r="CU31" s="1080" t="str">
        <f t="shared" si="30"/>
        <v xml:space="preserve"> </v>
      </c>
      <c r="CV31" s="1080" t="str">
        <f t="shared" si="30"/>
        <v xml:space="preserve"> </v>
      </c>
      <c r="CW31" s="1080" t="str">
        <f t="shared" si="30"/>
        <v xml:space="preserve"> </v>
      </c>
      <c r="CX31" s="1080" t="str">
        <f t="shared" si="30"/>
        <v xml:space="preserve"> </v>
      </c>
      <c r="CY31" s="1080" t="str">
        <f t="shared" si="30"/>
        <v xml:space="preserve"> </v>
      </c>
      <c r="CZ31" s="1080" t="str">
        <f t="shared" si="30"/>
        <v xml:space="preserve"> </v>
      </c>
      <c r="DA31" s="1080" t="str">
        <f t="shared" si="30"/>
        <v xml:space="preserve"> </v>
      </c>
      <c r="DB31" s="1080" t="str">
        <f t="shared" si="30"/>
        <v xml:space="preserve"> </v>
      </c>
      <c r="DC31" s="1080" t="str">
        <f t="shared" si="30"/>
        <v xml:space="preserve"> </v>
      </c>
      <c r="DD31" s="1080" t="str">
        <f t="shared" si="30"/>
        <v xml:space="preserve"> </v>
      </c>
      <c r="DE31" s="1080" t="str">
        <f t="shared" si="29"/>
        <v xml:space="preserve"> </v>
      </c>
      <c r="DF31" s="1080" t="str">
        <f t="shared" si="11"/>
        <v xml:space="preserve"> </v>
      </c>
      <c r="DG31" s="1080" t="str">
        <f t="shared" si="11"/>
        <v xml:space="preserve"> </v>
      </c>
      <c r="DH31" s="1080" t="str">
        <f t="shared" si="11"/>
        <v xml:space="preserve"> </v>
      </c>
      <c r="DI31" s="1080" t="str">
        <f t="shared" si="11"/>
        <v xml:space="preserve"> </v>
      </c>
      <c r="DJ31" s="1080" t="str">
        <f t="shared" si="11"/>
        <v xml:space="preserve"> </v>
      </c>
      <c r="DK31" s="1080" t="str">
        <f t="shared" si="11"/>
        <v xml:space="preserve"> </v>
      </c>
      <c r="DL31" s="1080" t="str">
        <f t="shared" si="11"/>
        <v xml:space="preserve"> </v>
      </c>
      <c r="DM31" s="1080" t="str">
        <f t="shared" si="11"/>
        <v xml:space="preserve"> </v>
      </c>
      <c r="DN31" s="677" t="str">
        <f t="shared" si="12"/>
        <v/>
      </c>
      <c r="DO31" s="1073">
        <f t="shared" si="16"/>
        <v>0</v>
      </c>
      <c r="DP31" s="1073">
        <f t="shared" si="17"/>
        <v>0</v>
      </c>
      <c r="DQ31" s="1065"/>
      <c r="DR31" s="1081" t="s">
        <v>335</v>
      </c>
      <c r="DS31" s="1082">
        <f t="shared" si="18"/>
        <v>124</v>
      </c>
      <c r="DT31" s="1082">
        <f t="shared" si="19"/>
        <v>97</v>
      </c>
      <c r="DU31" s="1082">
        <f t="shared" si="20"/>
        <v>220</v>
      </c>
      <c r="DV31" s="1082">
        <f t="shared" si="20"/>
        <v>53</v>
      </c>
      <c r="DW31" s="1082">
        <f t="shared" si="21"/>
        <v>124</v>
      </c>
      <c r="DX31" s="1082" t="str">
        <f t="shared" si="22"/>
        <v/>
      </c>
      <c r="DY31" s="1082">
        <f t="shared" si="26"/>
        <v>80.600000000000009</v>
      </c>
      <c r="DZ31" s="1082">
        <f t="shared" si="27"/>
        <v>43.4</v>
      </c>
      <c r="EA31" s="1083">
        <f t="shared" si="31"/>
        <v>0.65</v>
      </c>
      <c r="EB31" s="1083">
        <f t="shared" si="32"/>
        <v>0.35</v>
      </c>
      <c r="EC31" s="1837"/>
      <c r="ED31" s="103"/>
      <c r="EE31" s="103"/>
      <c r="EV31" s="103"/>
      <c r="EW31" s="103"/>
    </row>
    <row r="32" spans="1:153">
      <c r="A32" s="103"/>
      <c r="B32" s="1077" t="s">
        <v>336</v>
      </c>
      <c r="C32" s="2182">
        <v>82</v>
      </c>
      <c r="D32" s="2183">
        <v>76</v>
      </c>
      <c r="E32" s="2183">
        <v>84</v>
      </c>
      <c r="F32" s="2183">
        <v>102</v>
      </c>
      <c r="G32" s="2187">
        <v>114</v>
      </c>
      <c r="H32" s="2186">
        <v>135</v>
      </c>
      <c r="I32" s="2186">
        <v>147</v>
      </c>
      <c r="J32" s="2186">
        <v>156</v>
      </c>
      <c r="K32" s="2186">
        <v>161</v>
      </c>
      <c r="L32" s="2186">
        <v>178</v>
      </c>
      <c r="M32" s="2186">
        <v>168</v>
      </c>
      <c r="N32" s="2186">
        <v>156</v>
      </c>
      <c r="O32" s="2188">
        <v>154</v>
      </c>
      <c r="P32" s="2186">
        <v>153</v>
      </c>
      <c r="Q32" s="2186">
        <v>153</v>
      </c>
      <c r="R32" s="2186">
        <v>149</v>
      </c>
      <c r="S32" s="2186">
        <v>120</v>
      </c>
      <c r="T32" s="2186">
        <v>101</v>
      </c>
      <c r="U32" s="2186">
        <v>92</v>
      </c>
      <c r="V32" s="2186">
        <v>84</v>
      </c>
      <c r="W32" s="2186">
        <v>83</v>
      </c>
      <c r="X32" s="2186">
        <v>82</v>
      </c>
      <c r="Y32" s="2186">
        <v>75</v>
      </c>
      <c r="Z32" s="2186">
        <v>72</v>
      </c>
      <c r="AA32" s="1077">
        <f t="shared" si="0"/>
        <v>120</v>
      </c>
      <c r="AB32" s="1078">
        <f t="shared" si="25"/>
        <v>178</v>
      </c>
      <c r="AC32" s="1078">
        <f t="shared" si="1"/>
        <v>72</v>
      </c>
      <c r="AD32" s="1078">
        <f ca="1">IF(DMREZ!D34&lt;TODAY(),AA78,"")</f>
        <v>98</v>
      </c>
      <c r="AE32" s="677">
        <f t="shared" si="2"/>
        <v>129.91666666666666</v>
      </c>
      <c r="AF32" s="677">
        <f t="shared" si="3"/>
        <v>109.83333333333333</v>
      </c>
      <c r="AG32" s="677">
        <f t="shared" si="15"/>
        <v>120</v>
      </c>
      <c r="AH32" s="1069"/>
      <c r="AI32" s="1077" t="s">
        <v>336</v>
      </c>
      <c r="AJ32" s="1079"/>
      <c r="AK32" s="1080"/>
      <c r="AL32" s="1080"/>
      <c r="AM32" s="1080"/>
      <c r="AN32" s="1080"/>
      <c r="AO32" s="1080"/>
      <c r="AP32" s="1080"/>
      <c r="AQ32" s="1080"/>
      <c r="AR32" s="1080"/>
      <c r="AS32" s="1080"/>
      <c r="AT32" s="1080"/>
      <c r="AU32" s="1080"/>
      <c r="AV32" s="1080"/>
      <c r="AW32" s="1080"/>
      <c r="AX32" s="1080"/>
      <c r="AY32" s="1080"/>
      <c r="AZ32" s="1080"/>
      <c r="BA32" s="1080"/>
      <c r="BB32" s="1080"/>
      <c r="BC32" s="1080"/>
      <c r="BD32" s="1080"/>
      <c r="BE32" s="1080"/>
      <c r="BF32" s="1080"/>
      <c r="BG32" s="1080"/>
      <c r="BH32" s="685" t="str">
        <f t="shared" si="4"/>
        <v/>
      </c>
      <c r="BI32" s="677" t="str">
        <f t="shared" si="5"/>
        <v/>
      </c>
      <c r="BJ32" s="677" t="str">
        <f t="shared" si="6"/>
        <v/>
      </c>
      <c r="BK32" s="1069"/>
      <c r="BL32" s="1077" t="s">
        <v>336</v>
      </c>
      <c r="BM32" s="674"/>
      <c r="BN32" s="676"/>
      <c r="BO32" s="676"/>
      <c r="BP32" s="676"/>
      <c r="BQ32" s="676"/>
      <c r="BR32" s="676"/>
      <c r="BS32" s="676"/>
      <c r="BT32" s="676"/>
      <c r="BU32" s="676"/>
      <c r="BV32" s="676"/>
      <c r="BW32" s="676"/>
      <c r="BX32" s="676"/>
      <c r="BY32" s="676"/>
      <c r="BZ32" s="676"/>
      <c r="CA32" s="676"/>
      <c r="CB32" s="676"/>
      <c r="CC32" s="676"/>
      <c r="CD32" s="676"/>
      <c r="CE32" s="676"/>
      <c r="CF32" s="676"/>
      <c r="CG32" s="676"/>
      <c r="CH32" s="676"/>
      <c r="CI32" s="676"/>
      <c r="CJ32" s="676"/>
      <c r="CK32" s="685" t="str">
        <f t="shared" si="7"/>
        <v/>
      </c>
      <c r="CL32" s="677" t="str">
        <f t="shared" si="8"/>
        <v/>
      </c>
      <c r="CM32" s="677" t="str">
        <f t="shared" si="9"/>
        <v/>
      </c>
      <c r="CN32" s="1069"/>
      <c r="CO32" s="1072" t="s">
        <v>336</v>
      </c>
      <c r="CP32" s="1080" t="str">
        <f t="shared" si="30"/>
        <v xml:space="preserve"> </v>
      </c>
      <c r="CQ32" s="1080" t="str">
        <f t="shared" si="30"/>
        <v xml:space="preserve"> </v>
      </c>
      <c r="CR32" s="1080" t="str">
        <f t="shared" si="30"/>
        <v xml:space="preserve"> </v>
      </c>
      <c r="CS32" s="1080" t="str">
        <f t="shared" si="30"/>
        <v xml:space="preserve"> </v>
      </c>
      <c r="CT32" s="1080" t="str">
        <f t="shared" si="30"/>
        <v xml:space="preserve"> </v>
      </c>
      <c r="CU32" s="1080" t="str">
        <f t="shared" si="30"/>
        <v xml:space="preserve"> </v>
      </c>
      <c r="CV32" s="1080" t="str">
        <f t="shared" si="30"/>
        <v xml:space="preserve"> </v>
      </c>
      <c r="CW32" s="1080" t="str">
        <f t="shared" si="30"/>
        <v xml:space="preserve"> </v>
      </c>
      <c r="CX32" s="1080" t="str">
        <f t="shared" si="30"/>
        <v xml:space="preserve"> </v>
      </c>
      <c r="CY32" s="1080" t="str">
        <f t="shared" si="30"/>
        <v xml:space="preserve"> </v>
      </c>
      <c r="CZ32" s="1080" t="str">
        <f t="shared" si="30"/>
        <v xml:space="preserve"> </v>
      </c>
      <c r="DA32" s="1080" t="str">
        <f t="shared" si="30"/>
        <v xml:space="preserve"> </v>
      </c>
      <c r="DB32" s="1080" t="str">
        <f t="shared" si="30"/>
        <v xml:space="preserve"> </v>
      </c>
      <c r="DC32" s="1080" t="str">
        <f t="shared" si="30"/>
        <v xml:space="preserve"> </v>
      </c>
      <c r="DD32" s="1080" t="str">
        <f t="shared" si="30"/>
        <v xml:space="preserve"> </v>
      </c>
      <c r="DE32" s="1080" t="str">
        <f t="shared" si="29"/>
        <v xml:space="preserve"> </v>
      </c>
      <c r="DF32" s="1080" t="str">
        <f t="shared" si="11"/>
        <v xml:space="preserve"> </v>
      </c>
      <c r="DG32" s="1080" t="str">
        <f t="shared" si="11"/>
        <v xml:space="preserve"> </v>
      </c>
      <c r="DH32" s="1080" t="str">
        <f t="shared" si="11"/>
        <v xml:space="preserve"> </v>
      </c>
      <c r="DI32" s="1080" t="str">
        <f t="shared" si="11"/>
        <v xml:space="preserve"> </v>
      </c>
      <c r="DJ32" s="1080" t="str">
        <f t="shared" si="11"/>
        <v xml:space="preserve"> </v>
      </c>
      <c r="DK32" s="1080" t="str">
        <f t="shared" si="11"/>
        <v xml:space="preserve"> </v>
      </c>
      <c r="DL32" s="1080" t="str">
        <f t="shared" si="11"/>
        <v xml:space="preserve"> </v>
      </c>
      <c r="DM32" s="1080" t="str">
        <f t="shared" si="11"/>
        <v xml:space="preserve"> </v>
      </c>
      <c r="DN32" s="677" t="str">
        <f t="shared" si="12"/>
        <v/>
      </c>
      <c r="DO32" s="1073">
        <f t="shared" si="16"/>
        <v>0</v>
      </c>
      <c r="DP32" s="1073">
        <f t="shared" si="17"/>
        <v>0</v>
      </c>
      <c r="DQ32" s="1065"/>
      <c r="DR32" s="1081" t="s">
        <v>336</v>
      </c>
      <c r="DS32" s="1082">
        <f t="shared" si="18"/>
        <v>120</v>
      </c>
      <c r="DT32" s="1082">
        <f t="shared" si="19"/>
        <v>98</v>
      </c>
      <c r="DU32" s="1082">
        <f t="shared" si="20"/>
        <v>178</v>
      </c>
      <c r="DV32" s="1082">
        <f t="shared" si="20"/>
        <v>72</v>
      </c>
      <c r="DW32" s="1082">
        <f t="shared" si="21"/>
        <v>120</v>
      </c>
      <c r="DX32" s="1082" t="str">
        <f t="shared" si="22"/>
        <v/>
      </c>
      <c r="DY32" s="1082">
        <f t="shared" si="26"/>
        <v>78</v>
      </c>
      <c r="DZ32" s="1082">
        <f t="shared" si="27"/>
        <v>42</v>
      </c>
      <c r="EA32" s="1083">
        <f t="shared" si="31"/>
        <v>0.65</v>
      </c>
      <c r="EB32" s="1083">
        <f t="shared" si="32"/>
        <v>0.35</v>
      </c>
      <c r="EC32" s="1837"/>
      <c r="ED32" s="103"/>
      <c r="EE32" s="103"/>
      <c r="EV32" s="103"/>
      <c r="EW32" s="103"/>
    </row>
    <row r="33" spans="1:153">
      <c r="A33" s="103"/>
      <c r="B33" s="1077" t="s">
        <v>337</v>
      </c>
      <c r="C33" s="2182">
        <v>74</v>
      </c>
      <c r="D33" s="2183">
        <v>73</v>
      </c>
      <c r="E33" s="2186">
        <v>73</v>
      </c>
      <c r="F33" s="2183">
        <v>90</v>
      </c>
      <c r="G33" s="2187">
        <v>108</v>
      </c>
      <c r="H33" s="2186">
        <v>111</v>
      </c>
      <c r="I33" s="2186">
        <v>115</v>
      </c>
      <c r="J33" s="2186">
        <v>121</v>
      </c>
      <c r="K33" s="2186">
        <v>120</v>
      </c>
      <c r="L33" s="2186">
        <v>121</v>
      </c>
      <c r="M33" s="2186">
        <v>122</v>
      </c>
      <c r="N33" s="2186">
        <v>122</v>
      </c>
      <c r="O33" s="2188">
        <v>122</v>
      </c>
      <c r="P33" s="2186">
        <v>125</v>
      </c>
      <c r="Q33" s="2186">
        <v>127</v>
      </c>
      <c r="R33" s="2186">
        <v>125</v>
      </c>
      <c r="S33" s="2186">
        <v>125</v>
      </c>
      <c r="T33" s="2186">
        <v>124</v>
      </c>
      <c r="U33" s="2186">
        <v>119</v>
      </c>
      <c r="V33" s="2186">
        <v>113</v>
      </c>
      <c r="W33" s="2186">
        <v>83</v>
      </c>
      <c r="X33" s="2186">
        <v>75</v>
      </c>
      <c r="Y33" s="2186">
        <v>74</v>
      </c>
      <c r="Z33" s="2186">
        <v>73</v>
      </c>
      <c r="AA33" s="1077">
        <f t="shared" si="0"/>
        <v>106</v>
      </c>
      <c r="AB33" s="1078">
        <f>IF(SUM(C33:Z33)=0,"",ROUND(MAX(C33:Z33),0))</f>
        <v>127</v>
      </c>
      <c r="AC33" s="1078">
        <f>IF(SUM(C33:Z33)=0,"",ROUND(MIN(C33:Z33),0))</f>
        <v>73</v>
      </c>
      <c r="AD33" s="1078">
        <f ca="1">IF(DMREZ!D35&lt;TODAY(),AA79,"")</f>
        <v>106</v>
      </c>
      <c r="AE33" s="677">
        <f>(IF(SUM(D33:AA33)=0,"",AVERAGE(IF(D33&gt;225,225,D33),IF(E33&gt;225,225,E33),IF(F33&gt;225,225,F33),IF(G33&gt;225,225,G33),IF(H33&gt;225,225,H33),IF(I33&gt;225,225,I33),IF(J33&gt;225,225,J33),IF(K33&gt;225,225,K33),IF(L33&gt;225,225,L33),IF(M33&gt;225,225,M33),IF(N33&gt;225,225,N33),IF(C33&gt;225,225,C33))))</f>
        <v>104.16666666666667</v>
      </c>
      <c r="AF33" s="677">
        <f>(IF(SUM(D33:AA33)=0,"",AVERAGE(IF(P33&gt;225,225,P33),IF(Q33&gt;225,225,Q33),IF(R33&gt;225,225,R33),IF(S33&gt;225,225,S33),IF(T33&gt;225,225,T33),IF(U33&gt;225,225,U33),IF(V33&gt;225,225,V33),IF(W33&gt;225,225,W33),IF(X33&gt;225,225,X33),IF(Y33&gt;225,225,Y33),IF(Z33&gt;225,225,Z33),IF(O33&gt;225,225,O33))))</f>
        <v>107.08333333333333</v>
      </c>
      <c r="AG33" s="677">
        <f t="shared" si="15"/>
        <v>106</v>
      </c>
      <c r="AH33" s="1069"/>
      <c r="AI33" s="1077" t="s">
        <v>337</v>
      </c>
      <c r="AJ33" s="1079"/>
      <c r="AK33" s="1080"/>
      <c r="AL33" s="1080"/>
      <c r="AM33" s="1080"/>
      <c r="AN33" s="1080"/>
      <c r="AO33" s="1080"/>
      <c r="AP33" s="1080"/>
      <c r="AQ33" s="1080"/>
      <c r="AR33" s="1080"/>
      <c r="AS33" s="1080"/>
      <c r="AT33" s="1080"/>
      <c r="AU33" s="1080"/>
      <c r="AV33" s="1080"/>
      <c r="AW33" s="1080"/>
      <c r="AX33" s="1080"/>
      <c r="AY33" s="1080"/>
      <c r="AZ33" s="1080"/>
      <c r="BA33" s="1080"/>
      <c r="BB33" s="1080"/>
      <c r="BC33" s="1080"/>
      <c r="BD33" s="1080"/>
      <c r="BE33" s="1080"/>
      <c r="BF33" s="1080"/>
      <c r="BG33" s="1080"/>
      <c r="BH33" s="685" t="str">
        <f t="shared" si="4"/>
        <v/>
      </c>
      <c r="BI33" s="677" t="str">
        <f t="shared" si="5"/>
        <v/>
      </c>
      <c r="BJ33" s="677" t="str">
        <f t="shared" si="6"/>
        <v/>
      </c>
      <c r="BK33" s="1069"/>
      <c r="BL33" s="1077" t="s">
        <v>337</v>
      </c>
      <c r="BM33" s="674"/>
      <c r="BN33" s="676"/>
      <c r="BO33" s="676"/>
      <c r="BP33" s="676"/>
      <c r="BQ33" s="676"/>
      <c r="BR33" s="676"/>
      <c r="BS33" s="676"/>
      <c r="BT33" s="676"/>
      <c r="BU33" s="676"/>
      <c r="BV33" s="676"/>
      <c r="BW33" s="676"/>
      <c r="BX33" s="676"/>
      <c r="BY33" s="676"/>
      <c r="BZ33" s="676"/>
      <c r="CA33" s="676"/>
      <c r="CB33" s="676"/>
      <c r="CC33" s="676"/>
      <c r="CD33" s="676"/>
      <c r="CE33" s="676"/>
      <c r="CF33" s="676"/>
      <c r="CG33" s="676"/>
      <c r="CH33" s="676"/>
      <c r="CI33" s="676"/>
      <c r="CJ33" s="676"/>
      <c r="CK33" s="685" t="str">
        <f t="shared" si="7"/>
        <v/>
      </c>
      <c r="CL33" s="677" t="str">
        <f t="shared" si="8"/>
        <v/>
      </c>
      <c r="CM33" s="677" t="str">
        <f t="shared" si="9"/>
        <v/>
      </c>
      <c r="CN33" s="1069"/>
      <c r="CO33" s="1072" t="s">
        <v>337</v>
      </c>
      <c r="CP33" s="1080" t="str">
        <f t="shared" si="30"/>
        <v xml:space="preserve"> </v>
      </c>
      <c r="CQ33" s="1080" t="str">
        <f t="shared" si="30"/>
        <v xml:space="preserve"> </v>
      </c>
      <c r="CR33" s="1080" t="str">
        <f t="shared" si="30"/>
        <v xml:space="preserve"> </v>
      </c>
      <c r="CS33" s="1080" t="str">
        <f t="shared" si="30"/>
        <v xml:space="preserve"> </v>
      </c>
      <c r="CT33" s="1080" t="str">
        <f t="shared" si="30"/>
        <v xml:space="preserve"> </v>
      </c>
      <c r="CU33" s="1080" t="str">
        <f t="shared" si="30"/>
        <v xml:space="preserve"> </v>
      </c>
      <c r="CV33" s="1080" t="str">
        <f t="shared" si="30"/>
        <v xml:space="preserve"> </v>
      </c>
      <c r="CW33" s="1080" t="str">
        <f t="shared" si="30"/>
        <v xml:space="preserve"> </v>
      </c>
      <c r="CX33" s="1080" t="str">
        <f t="shared" si="30"/>
        <v xml:space="preserve"> </v>
      </c>
      <c r="CY33" s="1080" t="str">
        <f t="shared" si="30"/>
        <v xml:space="preserve"> </v>
      </c>
      <c r="CZ33" s="1080" t="str">
        <f t="shared" si="30"/>
        <v xml:space="preserve"> </v>
      </c>
      <c r="DA33" s="1080" t="str">
        <f t="shared" si="30"/>
        <v xml:space="preserve"> </v>
      </c>
      <c r="DB33" s="1080" t="str">
        <f t="shared" si="30"/>
        <v xml:space="preserve"> </v>
      </c>
      <c r="DC33" s="1080" t="str">
        <f t="shared" si="30"/>
        <v xml:space="preserve"> </v>
      </c>
      <c r="DD33" s="1080" t="str">
        <f t="shared" si="30"/>
        <v xml:space="preserve"> </v>
      </c>
      <c r="DE33" s="1080" t="str">
        <f t="shared" si="30"/>
        <v xml:space="preserve"> </v>
      </c>
      <c r="DF33" s="1080" t="str">
        <f t="shared" si="11"/>
        <v xml:space="preserve"> </v>
      </c>
      <c r="DG33" s="1080" t="str">
        <f t="shared" si="11"/>
        <v xml:space="preserve"> </v>
      </c>
      <c r="DH33" s="1080" t="str">
        <f t="shared" si="11"/>
        <v xml:space="preserve"> </v>
      </c>
      <c r="DI33" s="1080" t="str">
        <f t="shared" si="11"/>
        <v xml:space="preserve"> </v>
      </c>
      <c r="DJ33" s="1080" t="str">
        <f t="shared" si="11"/>
        <v xml:space="preserve"> </v>
      </c>
      <c r="DK33" s="1080" t="str">
        <f t="shared" si="11"/>
        <v xml:space="preserve"> </v>
      </c>
      <c r="DL33" s="1080" t="str">
        <f t="shared" si="11"/>
        <v xml:space="preserve"> </v>
      </c>
      <c r="DM33" s="1080" t="str">
        <f t="shared" si="11"/>
        <v xml:space="preserve"> </v>
      </c>
      <c r="DN33" s="677" t="str">
        <f t="shared" si="12"/>
        <v/>
      </c>
      <c r="DO33" s="1073">
        <f t="shared" si="16"/>
        <v>0</v>
      </c>
      <c r="DP33" s="1073">
        <f t="shared" si="17"/>
        <v>0</v>
      </c>
      <c r="DQ33" s="1065"/>
      <c r="DR33" s="1081" t="s">
        <v>337</v>
      </c>
      <c r="DS33" s="1082">
        <f t="shared" si="18"/>
        <v>106</v>
      </c>
      <c r="DT33" s="1082">
        <f t="shared" si="19"/>
        <v>106</v>
      </c>
      <c r="DU33" s="1082">
        <f t="shared" si="20"/>
        <v>127</v>
      </c>
      <c r="DV33" s="1082">
        <f t="shared" si="20"/>
        <v>73</v>
      </c>
      <c r="DW33" s="1082">
        <f t="shared" si="21"/>
        <v>106</v>
      </c>
      <c r="DX33" s="1082" t="str">
        <f t="shared" si="22"/>
        <v/>
      </c>
      <c r="DY33" s="1082">
        <f t="shared" si="26"/>
        <v>68.900000000000006</v>
      </c>
      <c r="DZ33" s="1082">
        <f t="shared" si="27"/>
        <v>37.099999999999994</v>
      </c>
      <c r="EA33" s="1083">
        <f t="shared" si="31"/>
        <v>0.65</v>
      </c>
      <c r="EB33" s="1083">
        <f t="shared" si="32"/>
        <v>0.35</v>
      </c>
      <c r="EC33" s="1837"/>
      <c r="ED33" s="103"/>
      <c r="EE33" s="103"/>
      <c r="EV33" s="103"/>
      <c r="EW33" s="103"/>
    </row>
    <row r="34" spans="1:153">
      <c r="A34" s="103"/>
      <c r="B34" s="1077" t="s">
        <v>338</v>
      </c>
      <c r="C34" s="2182">
        <v>76</v>
      </c>
      <c r="D34" s="2186">
        <v>84</v>
      </c>
      <c r="E34" s="2186">
        <v>90</v>
      </c>
      <c r="F34" s="2183">
        <v>128</v>
      </c>
      <c r="G34" s="2187">
        <v>129</v>
      </c>
      <c r="H34" s="2186">
        <v>134</v>
      </c>
      <c r="I34" s="2186">
        <v>155</v>
      </c>
      <c r="J34" s="2186">
        <v>165</v>
      </c>
      <c r="K34" s="2186">
        <v>175</v>
      </c>
      <c r="L34" s="2186">
        <v>183</v>
      </c>
      <c r="M34" s="2186">
        <v>189</v>
      </c>
      <c r="N34" s="2186">
        <v>212</v>
      </c>
      <c r="O34" s="2188">
        <v>213</v>
      </c>
      <c r="P34" s="2186">
        <v>211</v>
      </c>
      <c r="Q34" s="2186">
        <v>208</v>
      </c>
      <c r="R34" s="2186">
        <v>208</v>
      </c>
      <c r="S34" s="2186">
        <v>205</v>
      </c>
      <c r="T34" s="2186">
        <v>201</v>
      </c>
      <c r="U34" s="2186">
        <v>180</v>
      </c>
      <c r="V34" s="2186">
        <v>159</v>
      </c>
      <c r="W34" s="2186">
        <v>123</v>
      </c>
      <c r="X34" s="2186">
        <v>144</v>
      </c>
      <c r="Y34" s="2186">
        <v>144</v>
      </c>
      <c r="Z34" s="2186">
        <v>143</v>
      </c>
      <c r="AA34" s="1077">
        <f t="shared" si="0"/>
        <v>161</v>
      </c>
      <c r="AB34" s="1078">
        <f t="shared" si="25"/>
        <v>213</v>
      </c>
      <c r="AC34" s="1078">
        <f t="shared" si="1"/>
        <v>76</v>
      </c>
      <c r="AD34" s="1078">
        <f ca="1">IF(DMREZ!D36&lt;TODAY(),AA80,"")</f>
        <v>98</v>
      </c>
      <c r="AE34" s="677">
        <f t="shared" si="2"/>
        <v>143.33333333333334</v>
      </c>
      <c r="AF34" s="677">
        <f t="shared" si="3"/>
        <v>178.25</v>
      </c>
      <c r="AG34" s="677">
        <f t="shared" si="15"/>
        <v>161</v>
      </c>
      <c r="AH34" s="1069"/>
      <c r="AI34" s="1077" t="s">
        <v>338</v>
      </c>
      <c r="AJ34" s="1079"/>
      <c r="AK34" s="1080"/>
      <c r="AL34" s="1080"/>
      <c r="AM34" s="1080"/>
      <c r="AN34" s="1080"/>
      <c r="AO34" s="1080"/>
      <c r="AP34" s="1080"/>
      <c r="AQ34" s="1080"/>
      <c r="AR34" s="1080"/>
      <c r="AS34" s="1080"/>
      <c r="AT34" s="1080"/>
      <c r="AU34" s="1080"/>
      <c r="AV34" s="1080"/>
      <c r="AW34" s="1080"/>
      <c r="AX34" s="1080"/>
      <c r="AY34" s="1080"/>
      <c r="AZ34" s="1080"/>
      <c r="BA34" s="1080"/>
      <c r="BB34" s="1080"/>
      <c r="BC34" s="1080"/>
      <c r="BD34" s="1080"/>
      <c r="BE34" s="1080"/>
      <c r="BF34" s="1080"/>
      <c r="BG34" s="1080"/>
      <c r="BH34" s="685" t="str">
        <f t="shared" si="4"/>
        <v/>
      </c>
      <c r="BI34" s="677" t="str">
        <f t="shared" si="5"/>
        <v/>
      </c>
      <c r="BJ34" s="677" t="str">
        <f t="shared" si="6"/>
        <v/>
      </c>
      <c r="BK34" s="1069"/>
      <c r="BL34" s="1077" t="s">
        <v>338</v>
      </c>
      <c r="BM34" s="674"/>
      <c r="BN34" s="676"/>
      <c r="BO34" s="676"/>
      <c r="BP34" s="676"/>
      <c r="BQ34" s="676"/>
      <c r="BR34" s="676"/>
      <c r="BS34" s="676"/>
      <c r="BT34" s="676"/>
      <c r="BU34" s="676"/>
      <c r="BV34" s="676"/>
      <c r="BW34" s="676"/>
      <c r="BX34" s="676"/>
      <c r="BY34" s="676"/>
      <c r="BZ34" s="676"/>
      <c r="CA34" s="676"/>
      <c r="CB34" s="676"/>
      <c r="CC34" s="676"/>
      <c r="CD34" s="676"/>
      <c r="CE34" s="676"/>
      <c r="CF34" s="676"/>
      <c r="CG34" s="676"/>
      <c r="CH34" s="676"/>
      <c r="CI34" s="676"/>
      <c r="CJ34" s="676"/>
      <c r="CK34" s="685" t="str">
        <f t="shared" si="7"/>
        <v/>
      </c>
      <c r="CL34" s="677" t="str">
        <f t="shared" si="8"/>
        <v/>
      </c>
      <c r="CM34" s="677" t="str">
        <f t="shared" si="9"/>
        <v/>
      </c>
      <c r="CN34" s="1069"/>
      <c r="CO34" s="1072" t="s">
        <v>338</v>
      </c>
      <c r="CP34" s="1080" t="str">
        <f t="shared" si="30"/>
        <v xml:space="preserve"> </v>
      </c>
      <c r="CQ34" s="1080" t="str">
        <f t="shared" si="30"/>
        <v xml:space="preserve"> </v>
      </c>
      <c r="CR34" s="1080" t="str">
        <f t="shared" si="30"/>
        <v xml:space="preserve"> </v>
      </c>
      <c r="CS34" s="1080" t="str">
        <f t="shared" si="30"/>
        <v xml:space="preserve"> </v>
      </c>
      <c r="CT34" s="1080" t="str">
        <f t="shared" si="30"/>
        <v xml:space="preserve"> </v>
      </c>
      <c r="CU34" s="1080" t="str">
        <f t="shared" si="30"/>
        <v xml:space="preserve"> </v>
      </c>
      <c r="CV34" s="1080" t="str">
        <f t="shared" si="30"/>
        <v xml:space="preserve"> </v>
      </c>
      <c r="CW34" s="1080" t="str">
        <f t="shared" si="30"/>
        <v xml:space="preserve"> </v>
      </c>
      <c r="CX34" s="1080" t="str">
        <f t="shared" si="30"/>
        <v xml:space="preserve"> </v>
      </c>
      <c r="CY34" s="1080" t="str">
        <f t="shared" si="30"/>
        <v xml:space="preserve"> </v>
      </c>
      <c r="CZ34" s="1080" t="str">
        <f t="shared" si="30"/>
        <v xml:space="preserve"> </v>
      </c>
      <c r="DA34" s="1080" t="str">
        <f t="shared" si="30"/>
        <v xml:space="preserve"> </v>
      </c>
      <c r="DB34" s="1080" t="str">
        <f t="shared" si="30"/>
        <v xml:space="preserve"> </v>
      </c>
      <c r="DC34" s="1080" t="str">
        <f t="shared" si="30"/>
        <v xml:space="preserve"> </v>
      </c>
      <c r="DD34" s="1080" t="str">
        <f t="shared" si="30"/>
        <v xml:space="preserve"> </v>
      </c>
      <c r="DE34" s="1080" t="str">
        <f t="shared" si="29"/>
        <v xml:space="preserve"> </v>
      </c>
      <c r="DF34" s="1080" t="str">
        <f t="shared" si="11"/>
        <v xml:space="preserve"> </v>
      </c>
      <c r="DG34" s="1080" t="str">
        <f t="shared" si="11"/>
        <v xml:space="preserve"> </v>
      </c>
      <c r="DH34" s="1080" t="str">
        <f t="shared" si="11"/>
        <v xml:space="preserve"> </v>
      </c>
      <c r="DI34" s="1080" t="str">
        <f t="shared" si="11"/>
        <v xml:space="preserve"> </v>
      </c>
      <c r="DJ34" s="1080" t="str">
        <f t="shared" si="11"/>
        <v xml:space="preserve"> </v>
      </c>
      <c r="DK34" s="1080" t="str">
        <f t="shared" si="11"/>
        <v xml:space="preserve"> </v>
      </c>
      <c r="DL34" s="1080" t="str">
        <f t="shared" si="11"/>
        <v xml:space="preserve"> </v>
      </c>
      <c r="DM34" s="1080" t="str">
        <f t="shared" si="11"/>
        <v xml:space="preserve"> </v>
      </c>
      <c r="DN34" s="677" t="str">
        <f t="shared" si="12"/>
        <v/>
      </c>
      <c r="DO34" s="1073">
        <f t="shared" si="16"/>
        <v>0</v>
      </c>
      <c r="DP34" s="1073">
        <f t="shared" si="17"/>
        <v>0</v>
      </c>
      <c r="DQ34" s="1065"/>
      <c r="DR34" s="1081" t="s">
        <v>338</v>
      </c>
      <c r="DS34" s="1082">
        <f t="shared" si="18"/>
        <v>161</v>
      </c>
      <c r="DT34" s="1082">
        <f t="shared" si="19"/>
        <v>98</v>
      </c>
      <c r="DU34" s="1082">
        <f t="shared" si="20"/>
        <v>213</v>
      </c>
      <c r="DV34" s="1082">
        <f t="shared" si="20"/>
        <v>76</v>
      </c>
      <c r="DW34" s="1082">
        <f t="shared" si="21"/>
        <v>161</v>
      </c>
      <c r="DX34" s="1082" t="str">
        <f t="shared" si="22"/>
        <v/>
      </c>
      <c r="DY34" s="1082">
        <f t="shared" si="26"/>
        <v>104.65</v>
      </c>
      <c r="DZ34" s="1082">
        <f t="shared" si="27"/>
        <v>56.349999999999994</v>
      </c>
      <c r="EA34" s="1083">
        <f t="shared" ref="EA34:EA36" si="33">IF(+DY34=0,"",ROUND(+DY34/(DZ34+DY34),2))</f>
        <v>0.65</v>
      </c>
      <c r="EB34" s="1083">
        <f t="shared" ref="EB34:EB36" si="34">IF(DZ34=0,"",ROUND(+DZ34/(DY34+DZ34),2))</f>
        <v>0.35</v>
      </c>
      <c r="EC34" s="1837"/>
      <c r="ED34" s="103"/>
      <c r="EE34" s="103"/>
      <c r="EV34" s="103"/>
      <c r="EW34" s="103"/>
    </row>
    <row r="35" spans="1:153">
      <c r="A35" s="103"/>
      <c r="B35" s="1077" t="s">
        <v>339</v>
      </c>
      <c r="C35" s="2182">
        <v>143</v>
      </c>
      <c r="D35" s="2186">
        <v>160</v>
      </c>
      <c r="E35" s="2186">
        <v>164</v>
      </c>
      <c r="F35" s="2183">
        <v>165</v>
      </c>
      <c r="G35" s="2187">
        <v>163</v>
      </c>
      <c r="H35" s="2186">
        <v>162</v>
      </c>
      <c r="I35" s="2186">
        <v>168</v>
      </c>
      <c r="J35" s="2186">
        <v>182</v>
      </c>
      <c r="K35" s="2186">
        <v>187</v>
      </c>
      <c r="L35" s="2186">
        <v>182</v>
      </c>
      <c r="M35" s="2186">
        <v>195</v>
      </c>
      <c r="N35" s="2186">
        <v>179</v>
      </c>
      <c r="O35" s="2188">
        <v>169</v>
      </c>
      <c r="P35" s="2186">
        <v>159</v>
      </c>
      <c r="Q35" s="2186">
        <v>143</v>
      </c>
      <c r="R35" s="2186">
        <v>136</v>
      </c>
      <c r="S35" s="2186">
        <v>132</v>
      </c>
      <c r="T35" s="2186">
        <v>128</v>
      </c>
      <c r="U35" s="2186">
        <v>117</v>
      </c>
      <c r="V35" s="2186">
        <v>79</v>
      </c>
      <c r="W35" s="2186">
        <v>66</v>
      </c>
      <c r="X35" s="2186">
        <v>66</v>
      </c>
      <c r="Y35" s="2186">
        <v>62</v>
      </c>
      <c r="Z35" s="2186">
        <v>58</v>
      </c>
      <c r="AA35" s="1077">
        <f t="shared" si="0"/>
        <v>140</v>
      </c>
      <c r="AB35" s="1078">
        <f t="shared" si="25"/>
        <v>195</v>
      </c>
      <c r="AC35" s="1078">
        <f t="shared" si="1"/>
        <v>58</v>
      </c>
      <c r="AD35" s="1078">
        <f ca="1">IF(DMREZ!D37&lt;TODAY(),AA81,"")</f>
        <v>95</v>
      </c>
      <c r="AE35" s="677">
        <f t="shared" si="2"/>
        <v>170.83333333333334</v>
      </c>
      <c r="AF35" s="677">
        <f t="shared" si="3"/>
        <v>109.58333333333333</v>
      </c>
      <c r="AG35" s="677">
        <f t="shared" si="15"/>
        <v>140</v>
      </c>
      <c r="AH35" s="1069"/>
      <c r="AI35" s="1077" t="s">
        <v>339</v>
      </c>
      <c r="AJ35" s="1079"/>
      <c r="AK35" s="1080"/>
      <c r="AL35" s="1080"/>
      <c r="AM35" s="1080"/>
      <c r="AN35" s="1080"/>
      <c r="AO35" s="1080"/>
      <c r="AP35" s="1080"/>
      <c r="AQ35" s="1080"/>
      <c r="AR35" s="1080"/>
      <c r="AS35" s="1080"/>
      <c r="AT35" s="1080"/>
      <c r="AU35" s="1080"/>
      <c r="AV35" s="1080"/>
      <c r="AW35" s="1080"/>
      <c r="AX35" s="1080"/>
      <c r="AY35" s="1080"/>
      <c r="AZ35" s="1080"/>
      <c r="BA35" s="1080"/>
      <c r="BB35" s="1080"/>
      <c r="BC35" s="1080"/>
      <c r="BD35" s="1080"/>
      <c r="BE35" s="1080"/>
      <c r="BF35" s="1080"/>
      <c r="BG35" s="1080"/>
      <c r="BH35" s="685" t="str">
        <f t="shared" si="4"/>
        <v/>
      </c>
      <c r="BI35" s="677" t="str">
        <f t="shared" si="5"/>
        <v/>
      </c>
      <c r="BJ35" s="677" t="str">
        <f t="shared" si="6"/>
        <v/>
      </c>
      <c r="BK35" s="1069"/>
      <c r="BL35" s="1077" t="s">
        <v>339</v>
      </c>
      <c r="BM35" s="674"/>
      <c r="BN35" s="676"/>
      <c r="BO35" s="676"/>
      <c r="BP35" s="676"/>
      <c r="BQ35" s="676"/>
      <c r="BR35" s="676"/>
      <c r="BS35" s="676"/>
      <c r="BT35" s="676"/>
      <c r="BU35" s="676"/>
      <c r="BV35" s="676"/>
      <c r="BW35" s="676"/>
      <c r="BX35" s="676"/>
      <c r="BY35" s="676"/>
      <c r="BZ35" s="676"/>
      <c r="CA35" s="676"/>
      <c r="CB35" s="676"/>
      <c r="CC35" s="676"/>
      <c r="CD35" s="676"/>
      <c r="CE35" s="676"/>
      <c r="CF35" s="676"/>
      <c r="CG35" s="676"/>
      <c r="CH35" s="676"/>
      <c r="CI35" s="676"/>
      <c r="CJ35" s="676"/>
      <c r="CK35" s="685" t="str">
        <f t="shared" si="7"/>
        <v/>
      </c>
      <c r="CL35" s="677" t="str">
        <f t="shared" si="8"/>
        <v/>
      </c>
      <c r="CM35" s="677" t="str">
        <f t="shared" si="9"/>
        <v/>
      </c>
      <c r="CN35" s="1069"/>
      <c r="CO35" s="1072" t="s">
        <v>339</v>
      </c>
      <c r="CP35" s="1080" t="str">
        <f t="shared" si="30"/>
        <v xml:space="preserve"> </v>
      </c>
      <c r="CQ35" s="1080" t="str">
        <f t="shared" si="30"/>
        <v xml:space="preserve"> </v>
      </c>
      <c r="CR35" s="1080" t="str">
        <f t="shared" si="30"/>
        <v xml:space="preserve"> </v>
      </c>
      <c r="CS35" s="1080" t="str">
        <f t="shared" si="30"/>
        <v xml:space="preserve"> </v>
      </c>
      <c r="CT35" s="1080" t="str">
        <f t="shared" si="30"/>
        <v xml:space="preserve"> </v>
      </c>
      <c r="CU35" s="1080" t="str">
        <f t="shared" si="30"/>
        <v xml:space="preserve"> </v>
      </c>
      <c r="CV35" s="1080" t="str">
        <f t="shared" si="30"/>
        <v xml:space="preserve"> </v>
      </c>
      <c r="CW35" s="1080" t="str">
        <f t="shared" si="30"/>
        <v xml:space="preserve"> </v>
      </c>
      <c r="CX35" s="1080" t="str">
        <f t="shared" si="30"/>
        <v xml:space="preserve"> </v>
      </c>
      <c r="CY35" s="1080" t="str">
        <f t="shared" si="30"/>
        <v xml:space="preserve"> </v>
      </c>
      <c r="CZ35" s="1080" t="str">
        <f t="shared" si="30"/>
        <v xml:space="preserve"> </v>
      </c>
      <c r="DA35" s="1080" t="str">
        <f t="shared" si="30"/>
        <v xml:space="preserve"> </v>
      </c>
      <c r="DB35" s="1080" t="str">
        <f t="shared" si="30"/>
        <v xml:space="preserve"> </v>
      </c>
      <c r="DC35" s="1080" t="str">
        <f t="shared" si="30"/>
        <v xml:space="preserve"> </v>
      </c>
      <c r="DD35" s="1080" t="str">
        <f t="shared" si="30"/>
        <v xml:space="preserve"> </v>
      </c>
      <c r="DE35" s="1080" t="str">
        <f t="shared" si="29"/>
        <v xml:space="preserve"> </v>
      </c>
      <c r="DF35" s="1080" t="str">
        <f t="shared" si="11"/>
        <v xml:space="preserve"> </v>
      </c>
      <c r="DG35" s="1080" t="str">
        <f t="shared" si="11"/>
        <v xml:space="preserve"> </v>
      </c>
      <c r="DH35" s="1080" t="str">
        <f t="shared" si="11"/>
        <v xml:space="preserve"> </v>
      </c>
      <c r="DI35" s="1080" t="str">
        <f t="shared" si="11"/>
        <v xml:space="preserve"> </v>
      </c>
      <c r="DJ35" s="1080" t="str">
        <f t="shared" si="11"/>
        <v xml:space="preserve"> </v>
      </c>
      <c r="DK35" s="1080" t="str">
        <f t="shared" si="11"/>
        <v xml:space="preserve"> </v>
      </c>
      <c r="DL35" s="1080" t="str">
        <f t="shared" si="11"/>
        <v xml:space="preserve"> </v>
      </c>
      <c r="DM35" s="1080" t="str">
        <f t="shared" si="11"/>
        <v xml:space="preserve"> </v>
      </c>
      <c r="DN35" s="677" t="str">
        <f t="shared" si="12"/>
        <v/>
      </c>
      <c r="DO35" s="1073">
        <f t="shared" si="16"/>
        <v>0</v>
      </c>
      <c r="DP35" s="1073">
        <f t="shared" si="17"/>
        <v>0</v>
      </c>
      <c r="DQ35" s="1065"/>
      <c r="DR35" s="1081" t="s">
        <v>339</v>
      </c>
      <c r="DS35" s="1082">
        <f t="shared" si="18"/>
        <v>140</v>
      </c>
      <c r="DT35" s="1082">
        <f t="shared" si="19"/>
        <v>95</v>
      </c>
      <c r="DU35" s="1082">
        <f t="shared" si="20"/>
        <v>195</v>
      </c>
      <c r="DV35" s="1082">
        <f t="shared" si="20"/>
        <v>58</v>
      </c>
      <c r="DW35" s="1082">
        <f t="shared" si="21"/>
        <v>140</v>
      </c>
      <c r="DX35" s="1082" t="str">
        <f t="shared" si="22"/>
        <v/>
      </c>
      <c r="DY35" s="1082">
        <f t="shared" si="26"/>
        <v>91</v>
      </c>
      <c r="DZ35" s="1082">
        <f t="shared" si="27"/>
        <v>49</v>
      </c>
      <c r="EA35" s="1083">
        <f t="shared" si="33"/>
        <v>0.65</v>
      </c>
      <c r="EB35" s="1083">
        <f t="shared" si="34"/>
        <v>0.35</v>
      </c>
      <c r="EC35" s="1837"/>
      <c r="ED35" s="103"/>
      <c r="EE35" s="103"/>
      <c r="EV35" s="103"/>
      <c r="EW35" s="103"/>
    </row>
    <row r="36" spans="1:153">
      <c r="A36" s="103"/>
      <c r="B36" s="1077" t="s">
        <v>340</v>
      </c>
      <c r="C36" s="2182">
        <v>63</v>
      </c>
      <c r="D36" s="2183">
        <v>59</v>
      </c>
      <c r="E36" s="2186">
        <v>59</v>
      </c>
      <c r="F36" s="2183">
        <v>100</v>
      </c>
      <c r="G36" s="2187">
        <v>114</v>
      </c>
      <c r="H36" s="2186">
        <v>115</v>
      </c>
      <c r="I36" s="2186">
        <v>121</v>
      </c>
      <c r="J36" s="2186">
        <v>127</v>
      </c>
      <c r="K36" s="2186">
        <v>143</v>
      </c>
      <c r="L36" s="2186">
        <v>141</v>
      </c>
      <c r="M36" s="2186">
        <v>141</v>
      </c>
      <c r="N36" s="2186">
        <v>138</v>
      </c>
      <c r="O36" s="2188">
        <v>135</v>
      </c>
      <c r="P36" s="2186">
        <v>135</v>
      </c>
      <c r="Q36" s="2186">
        <v>133</v>
      </c>
      <c r="R36" s="2186">
        <v>132</v>
      </c>
      <c r="S36" s="2186">
        <v>128</v>
      </c>
      <c r="T36" s="2186">
        <v>98</v>
      </c>
      <c r="U36" s="2186">
        <v>97</v>
      </c>
      <c r="V36" s="2186">
        <v>91</v>
      </c>
      <c r="W36" s="2186">
        <v>88</v>
      </c>
      <c r="X36" s="2186">
        <v>79</v>
      </c>
      <c r="Y36" s="2186">
        <v>73</v>
      </c>
      <c r="Z36" s="2186">
        <v>65</v>
      </c>
      <c r="AA36" s="1077">
        <f t="shared" si="0"/>
        <v>107</v>
      </c>
      <c r="AB36" s="1078">
        <f t="shared" si="25"/>
        <v>143</v>
      </c>
      <c r="AC36" s="1078">
        <f t="shared" si="1"/>
        <v>59</v>
      </c>
      <c r="AD36" s="1078">
        <f ca="1">IF(DMREZ!D38&lt;TODAY(),AA82,"")</f>
        <v>98</v>
      </c>
      <c r="AE36" s="677">
        <f t="shared" si="2"/>
        <v>110.08333333333333</v>
      </c>
      <c r="AF36" s="677">
        <f t="shared" si="3"/>
        <v>104.5</v>
      </c>
      <c r="AG36" s="677">
        <f t="shared" si="15"/>
        <v>107</v>
      </c>
      <c r="AH36" s="1069"/>
      <c r="AI36" s="1077" t="s">
        <v>340</v>
      </c>
      <c r="AJ36" s="1079"/>
      <c r="AK36" s="1080"/>
      <c r="AL36" s="1080"/>
      <c r="AM36" s="1080"/>
      <c r="AN36" s="1080"/>
      <c r="AO36" s="1080"/>
      <c r="AP36" s="1080"/>
      <c r="AQ36" s="1080"/>
      <c r="AR36" s="1080"/>
      <c r="AS36" s="1080"/>
      <c r="AT36" s="1080"/>
      <c r="AU36" s="1080"/>
      <c r="AV36" s="1080"/>
      <c r="AW36" s="1080"/>
      <c r="AX36" s="1080"/>
      <c r="AY36" s="1080"/>
      <c r="AZ36" s="1080"/>
      <c r="BA36" s="1080"/>
      <c r="BB36" s="1080"/>
      <c r="BC36" s="1080"/>
      <c r="BD36" s="1080"/>
      <c r="BE36" s="1080"/>
      <c r="BF36" s="1080"/>
      <c r="BG36" s="1080"/>
      <c r="BH36" s="685" t="str">
        <f t="shared" si="4"/>
        <v/>
      </c>
      <c r="BI36" s="677" t="str">
        <f t="shared" si="5"/>
        <v/>
      </c>
      <c r="BJ36" s="677" t="str">
        <f t="shared" si="6"/>
        <v/>
      </c>
      <c r="BK36" s="1069"/>
      <c r="BL36" s="1077" t="s">
        <v>340</v>
      </c>
      <c r="BM36" s="674"/>
      <c r="BN36" s="676"/>
      <c r="BO36" s="676"/>
      <c r="BP36" s="676"/>
      <c r="BQ36" s="676"/>
      <c r="BR36" s="676"/>
      <c r="BS36" s="676"/>
      <c r="BT36" s="676"/>
      <c r="BU36" s="676"/>
      <c r="BV36" s="676"/>
      <c r="BW36" s="676"/>
      <c r="BX36" s="676"/>
      <c r="BY36" s="676"/>
      <c r="BZ36" s="676"/>
      <c r="CA36" s="676"/>
      <c r="CB36" s="676"/>
      <c r="CC36" s="676"/>
      <c r="CD36" s="676"/>
      <c r="CE36" s="676"/>
      <c r="CF36" s="676"/>
      <c r="CG36" s="676"/>
      <c r="CH36" s="676"/>
      <c r="CI36" s="676"/>
      <c r="CJ36" s="676"/>
      <c r="CK36" s="685" t="str">
        <f t="shared" si="7"/>
        <v/>
      </c>
      <c r="CL36" s="677" t="str">
        <f t="shared" si="8"/>
        <v/>
      </c>
      <c r="CM36" s="677" t="str">
        <f t="shared" si="9"/>
        <v/>
      </c>
      <c r="CN36" s="1069"/>
      <c r="CO36" s="1072" t="s">
        <v>340</v>
      </c>
      <c r="CP36" s="1080" t="str">
        <f t="shared" si="30"/>
        <v xml:space="preserve"> </v>
      </c>
      <c r="CQ36" s="1080" t="str">
        <f t="shared" si="30"/>
        <v xml:space="preserve"> </v>
      </c>
      <c r="CR36" s="1080" t="str">
        <f t="shared" si="30"/>
        <v xml:space="preserve"> </v>
      </c>
      <c r="CS36" s="1080" t="str">
        <f t="shared" si="30"/>
        <v xml:space="preserve"> </v>
      </c>
      <c r="CT36" s="1080" t="str">
        <f t="shared" si="30"/>
        <v xml:space="preserve"> </v>
      </c>
      <c r="CU36" s="1080" t="str">
        <f t="shared" si="30"/>
        <v xml:space="preserve"> </v>
      </c>
      <c r="CV36" s="1080" t="str">
        <f t="shared" si="30"/>
        <v xml:space="preserve"> </v>
      </c>
      <c r="CW36" s="1080" t="str">
        <f t="shared" si="30"/>
        <v xml:space="preserve"> </v>
      </c>
      <c r="CX36" s="1080" t="str">
        <f t="shared" si="30"/>
        <v xml:space="preserve"> </v>
      </c>
      <c r="CY36" s="1080" t="str">
        <f t="shared" si="30"/>
        <v xml:space="preserve"> </v>
      </c>
      <c r="CZ36" s="1080" t="str">
        <f t="shared" si="30"/>
        <v xml:space="preserve"> </v>
      </c>
      <c r="DA36" s="1080" t="str">
        <f t="shared" si="30"/>
        <v xml:space="preserve"> </v>
      </c>
      <c r="DB36" s="1080" t="str">
        <f t="shared" si="30"/>
        <v xml:space="preserve"> </v>
      </c>
      <c r="DC36" s="1080" t="str">
        <f t="shared" si="30"/>
        <v xml:space="preserve"> </v>
      </c>
      <c r="DD36" s="1080" t="str">
        <f t="shared" si="30"/>
        <v xml:space="preserve"> </v>
      </c>
      <c r="DE36" s="1080" t="str">
        <f t="shared" si="29"/>
        <v xml:space="preserve"> </v>
      </c>
      <c r="DF36" s="1080" t="str">
        <f t="shared" si="11"/>
        <v xml:space="preserve"> </v>
      </c>
      <c r="DG36" s="1080" t="str">
        <f t="shared" si="11"/>
        <v xml:space="preserve"> </v>
      </c>
      <c r="DH36" s="1080" t="str">
        <f t="shared" si="11"/>
        <v xml:space="preserve"> </v>
      </c>
      <c r="DI36" s="1080" t="str">
        <f t="shared" si="11"/>
        <v xml:space="preserve"> </v>
      </c>
      <c r="DJ36" s="1080" t="str">
        <f t="shared" si="11"/>
        <v xml:space="preserve"> </v>
      </c>
      <c r="DK36" s="1080" t="str">
        <f t="shared" si="11"/>
        <v xml:space="preserve"> </v>
      </c>
      <c r="DL36" s="1080" t="str">
        <f t="shared" si="11"/>
        <v xml:space="preserve"> </v>
      </c>
      <c r="DM36" s="1080" t="str">
        <f t="shared" si="11"/>
        <v xml:space="preserve"> </v>
      </c>
      <c r="DN36" s="677" t="str">
        <f t="shared" si="12"/>
        <v/>
      </c>
      <c r="DO36" s="1073">
        <f t="shared" si="16"/>
        <v>0</v>
      </c>
      <c r="DP36" s="1073">
        <f t="shared" si="17"/>
        <v>0</v>
      </c>
      <c r="DQ36" s="1065"/>
      <c r="DR36" s="1081" t="s">
        <v>340</v>
      </c>
      <c r="DS36" s="1082">
        <f t="shared" si="18"/>
        <v>107</v>
      </c>
      <c r="DT36" s="1082">
        <f t="shared" si="19"/>
        <v>98</v>
      </c>
      <c r="DU36" s="1082">
        <f t="shared" si="20"/>
        <v>143</v>
      </c>
      <c r="DV36" s="1082">
        <f t="shared" si="20"/>
        <v>59</v>
      </c>
      <c r="DW36" s="1082">
        <f t="shared" si="21"/>
        <v>107</v>
      </c>
      <c r="DX36" s="1082" t="str">
        <f t="shared" si="22"/>
        <v/>
      </c>
      <c r="DY36" s="1082">
        <f t="shared" si="26"/>
        <v>69.55</v>
      </c>
      <c r="DZ36" s="1082">
        <f t="shared" si="27"/>
        <v>37.449999999999996</v>
      </c>
      <c r="EA36" s="1083">
        <f t="shared" si="33"/>
        <v>0.65</v>
      </c>
      <c r="EB36" s="1083">
        <f t="shared" si="34"/>
        <v>0.35</v>
      </c>
      <c r="EC36" s="1837"/>
      <c r="ED36" s="103"/>
      <c r="EE36" s="103"/>
      <c r="EV36" s="103"/>
      <c r="EW36" s="103"/>
    </row>
    <row r="37" spans="1:153">
      <c r="A37" s="103"/>
      <c r="B37" s="1077" t="s">
        <v>341</v>
      </c>
      <c r="C37" s="2182">
        <v>81</v>
      </c>
      <c r="D37" s="2183">
        <v>89</v>
      </c>
      <c r="E37" s="2186">
        <v>95</v>
      </c>
      <c r="F37" s="2183">
        <v>102</v>
      </c>
      <c r="G37" s="2187">
        <v>100</v>
      </c>
      <c r="H37" s="2186">
        <v>117</v>
      </c>
      <c r="I37" s="2186">
        <v>115</v>
      </c>
      <c r="J37" s="2186">
        <v>117</v>
      </c>
      <c r="K37" s="2186">
        <v>117</v>
      </c>
      <c r="L37" s="2186">
        <v>118</v>
      </c>
      <c r="M37" s="2186">
        <v>119</v>
      </c>
      <c r="N37" s="2186">
        <v>120</v>
      </c>
      <c r="O37" s="2188">
        <v>120</v>
      </c>
      <c r="P37" s="2186">
        <v>120</v>
      </c>
      <c r="Q37" s="2186">
        <v>119</v>
      </c>
      <c r="R37" s="2186">
        <v>119</v>
      </c>
      <c r="S37" s="2186">
        <v>118</v>
      </c>
      <c r="T37" s="2186">
        <v>115</v>
      </c>
      <c r="U37" s="2186">
        <v>98</v>
      </c>
      <c r="V37" s="2186">
        <v>80</v>
      </c>
      <c r="W37" s="2186">
        <v>65</v>
      </c>
      <c r="X37" s="2186">
        <v>61</v>
      </c>
      <c r="Y37" s="2186">
        <v>58</v>
      </c>
      <c r="Z37" s="2186">
        <v>58</v>
      </c>
      <c r="AA37" s="1077">
        <f t="shared" si="0"/>
        <v>101</v>
      </c>
      <c r="AB37" s="1078">
        <f t="shared" si="25"/>
        <v>120</v>
      </c>
      <c r="AC37" s="1078">
        <f t="shared" si="1"/>
        <v>58</v>
      </c>
      <c r="AD37" s="1078">
        <f ca="1">IF(DMREZ!D39&lt;TODAY(),AA83,"")</f>
        <v>101</v>
      </c>
      <c r="AE37" s="677">
        <f t="shared" si="2"/>
        <v>107.5</v>
      </c>
      <c r="AF37" s="677">
        <f t="shared" si="3"/>
        <v>94.25</v>
      </c>
      <c r="AG37" s="677">
        <f t="shared" si="15"/>
        <v>101</v>
      </c>
      <c r="AH37" s="1069"/>
      <c r="AI37" s="1077" t="s">
        <v>341</v>
      </c>
      <c r="AJ37" s="1079"/>
      <c r="AK37" s="1080"/>
      <c r="AL37" s="1080"/>
      <c r="AM37" s="1080"/>
      <c r="AN37" s="1080"/>
      <c r="AO37" s="1080"/>
      <c r="AP37" s="1080"/>
      <c r="AQ37" s="1080"/>
      <c r="AR37" s="1080"/>
      <c r="AS37" s="1080"/>
      <c r="AT37" s="1080"/>
      <c r="AU37" s="1080"/>
      <c r="AV37" s="1080"/>
      <c r="AW37" s="1080"/>
      <c r="AX37" s="1080"/>
      <c r="AY37" s="1080"/>
      <c r="AZ37" s="1080"/>
      <c r="BA37" s="1080"/>
      <c r="BB37" s="1080"/>
      <c r="BC37" s="1080"/>
      <c r="BD37" s="1080"/>
      <c r="BE37" s="1080"/>
      <c r="BF37" s="1080"/>
      <c r="BG37" s="1080"/>
      <c r="BH37" s="685" t="str">
        <f t="shared" si="4"/>
        <v/>
      </c>
      <c r="BI37" s="677" t="str">
        <f t="shared" si="5"/>
        <v/>
      </c>
      <c r="BJ37" s="677" t="str">
        <f t="shared" si="6"/>
        <v/>
      </c>
      <c r="BK37" s="1069"/>
      <c r="BL37" s="1077" t="s">
        <v>341</v>
      </c>
      <c r="BM37" s="674"/>
      <c r="BN37" s="676"/>
      <c r="BO37" s="676"/>
      <c r="BP37" s="676"/>
      <c r="BQ37" s="676"/>
      <c r="BR37" s="676"/>
      <c r="BS37" s="676"/>
      <c r="BT37" s="676"/>
      <c r="BU37" s="676"/>
      <c r="BV37" s="676"/>
      <c r="BW37" s="676"/>
      <c r="BX37" s="676"/>
      <c r="BY37" s="676"/>
      <c r="BZ37" s="676"/>
      <c r="CA37" s="676"/>
      <c r="CB37" s="676"/>
      <c r="CC37" s="676"/>
      <c r="CD37" s="676"/>
      <c r="CE37" s="676"/>
      <c r="CF37" s="676"/>
      <c r="CG37" s="676"/>
      <c r="CH37" s="676"/>
      <c r="CI37" s="676"/>
      <c r="CJ37" s="676"/>
      <c r="CK37" s="685" t="str">
        <f t="shared" si="7"/>
        <v/>
      </c>
      <c r="CL37" s="677" t="str">
        <f t="shared" si="8"/>
        <v/>
      </c>
      <c r="CM37" s="677" t="str">
        <f t="shared" si="9"/>
        <v/>
      </c>
      <c r="CN37" s="1069"/>
      <c r="CO37" s="1072" t="s">
        <v>341</v>
      </c>
      <c r="CP37" s="1080" t="str">
        <f t="shared" si="30"/>
        <v xml:space="preserve"> </v>
      </c>
      <c r="CQ37" s="1080" t="str">
        <f t="shared" si="30"/>
        <v xml:space="preserve"> </v>
      </c>
      <c r="CR37" s="1080" t="str">
        <f t="shared" si="30"/>
        <v xml:space="preserve"> </v>
      </c>
      <c r="CS37" s="1080" t="str">
        <f t="shared" si="30"/>
        <v xml:space="preserve"> </v>
      </c>
      <c r="CT37" s="1080" t="str">
        <f t="shared" si="30"/>
        <v xml:space="preserve"> </v>
      </c>
      <c r="CU37" s="1080" t="str">
        <f t="shared" si="30"/>
        <v xml:space="preserve"> </v>
      </c>
      <c r="CV37" s="1080" t="str">
        <f t="shared" si="30"/>
        <v xml:space="preserve"> </v>
      </c>
      <c r="CW37" s="1080" t="str">
        <f t="shared" si="30"/>
        <v xml:space="preserve"> </v>
      </c>
      <c r="CX37" s="1080" t="str">
        <f t="shared" si="30"/>
        <v xml:space="preserve"> </v>
      </c>
      <c r="CY37" s="1080" t="str">
        <f t="shared" si="30"/>
        <v xml:space="preserve"> </v>
      </c>
      <c r="CZ37" s="1080" t="str">
        <f t="shared" si="30"/>
        <v xml:space="preserve"> </v>
      </c>
      <c r="DA37" s="1080" t="str">
        <f t="shared" si="30"/>
        <v xml:space="preserve"> </v>
      </c>
      <c r="DB37" s="1080" t="str">
        <f t="shared" si="30"/>
        <v xml:space="preserve"> </v>
      </c>
      <c r="DC37" s="1080" t="str">
        <f t="shared" si="30"/>
        <v xml:space="preserve"> </v>
      </c>
      <c r="DD37" s="1080" t="str">
        <f t="shared" si="30"/>
        <v xml:space="preserve"> </v>
      </c>
      <c r="DE37" s="1080" t="str">
        <f t="shared" si="29"/>
        <v xml:space="preserve"> </v>
      </c>
      <c r="DF37" s="1080" t="str">
        <f t="shared" si="11"/>
        <v xml:space="preserve"> </v>
      </c>
      <c r="DG37" s="1080" t="str">
        <f t="shared" si="11"/>
        <v xml:space="preserve"> </v>
      </c>
      <c r="DH37" s="1080" t="str">
        <f t="shared" si="11"/>
        <v xml:space="preserve"> </v>
      </c>
      <c r="DI37" s="1080" t="str">
        <f t="shared" si="11"/>
        <v xml:space="preserve"> </v>
      </c>
      <c r="DJ37" s="1080" t="str">
        <f t="shared" si="11"/>
        <v xml:space="preserve"> </v>
      </c>
      <c r="DK37" s="1080" t="str">
        <f t="shared" si="11"/>
        <v xml:space="preserve"> </v>
      </c>
      <c r="DL37" s="1080" t="str">
        <f t="shared" si="11"/>
        <v xml:space="preserve"> </v>
      </c>
      <c r="DM37" s="1080" t="str">
        <f t="shared" si="11"/>
        <v xml:space="preserve"> </v>
      </c>
      <c r="DN37" s="677" t="str">
        <f t="shared" si="12"/>
        <v/>
      </c>
      <c r="DO37" s="1073">
        <f t="shared" si="16"/>
        <v>0</v>
      </c>
      <c r="DP37" s="1073">
        <f t="shared" si="17"/>
        <v>0</v>
      </c>
      <c r="DQ37" s="1065"/>
      <c r="DR37" s="1081" t="s">
        <v>341</v>
      </c>
      <c r="DS37" s="1082">
        <f t="shared" ref="DS37" si="35">IF(+AA37="","",AA37)</f>
        <v>101</v>
      </c>
      <c r="DT37" s="1082">
        <f t="shared" ref="DT37" si="36">IF(+AA83="","",AA83)</f>
        <v>101</v>
      </c>
      <c r="DU37" s="1082">
        <f t="shared" ref="DU37" si="37">IF(+AB37="","",AB37)</f>
        <v>120</v>
      </c>
      <c r="DV37" s="1082">
        <f t="shared" ref="DV37" si="38">IF(+AC37="","",AC37)</f>
        <v>58</v>
      </c>
      <c r="DW37" s="1082">
        <f t="shared" ref="DW37" si="39">IF(+AG37=0,"",AG37)</f>
        <v>101</v>
      </c>
      <c r="DX37" s="1082" t="str">
        <f t="shared" ref="DX37" si="40">IF(+DN37=0,"",DN37)</f>
        <v/>
      </c>
      <c r="DY37" s="1082">
        <f t="shared" ref="DY37:DY38" si="41">DS37*0.65</f>
        <v>65.650000000000006</v>
      </c>
      <c r="DZ37" s="1082">
        <f t="shared" ref="DZ37:DZ38" si="42">DS37*0.35</f>
        <v>35.349999999999994</v>
      </c>
      <c r="EA37" s="1083">
        <f t="shared" ref="EA37:EA38" si="43">IF(+DY37=0,"",ROUND(+DY37/(DZ37+DY37),2))</f>
        <v>0.65</v>
      </c>
      <c r="EB37" s="1083">
        <f t="shared" ref="EB37:EB38" si="44">IF(DZ37=0,"",ROUND(+DZ37/(DY37+DZ37),2))</f>
        <v>0.35</v>
      </c>
      <c r="EC37" s="1837"/>
      <c r="ED37" s="103"/>
      <c r="EE37" s="103"/>
      <c r="EV37" s="103"/>
      <c r="EW37" s="103"/>
    </row>
    <row r="38" spans="1:153">
      <c r="A38" s="103"/>
      <c r="B38" s="1077" t="s">
        <v>342</v>
      </c>
      <c r="C38" s="2182">
        <v>57</v>
      </c>
      <c r="D38" s="2183">
        <v>68</v>
      </c>
      <c r="E38" s="2186">
        <v>72</v>
      </c>
      <c r="F38" s="2183">
        <v>78</v>
      </c>
      <c r="G38" s="2187">
        <v>84</v>
      </c>
      <c r="H38" s="2186">
        <v>106</v>
      </c>
      <c r="I38" s="2186">
        <v>117</v>
      </c>
      <c r="J38" s="2186">
        <v>120</v>
      </c>
      <c r="K38" s="2186">
        <v>123</v>
      </c>
      <c r="L38" s="2186">
        <v>126</v>
      </c>
      <c r="M38" s="2186">
        <v>125</v>
      </c>
      <c r="N38" s="2186">
        <v>125</v>
      </c>
      <c r="O38" s="2187">
        <v>123</v>
      </c>
      <c r="P38" s="2186">
        <v>122</v>
      </c>
      <c r="Q38" s="2186">
        <v>121</v>
      </c>
      <c r="R38" s="2186">
        <v>121</v>
      </c>
      <c r="S38" s="2186">
        <v>118</v>
      </c>
      <c r="T38" s="2186">
        <v>111</v>
      </c>
      <c r="U38" s="2186">
        <v>110</v>
      </c>
      <c r="V38" s="2186">
        <v>87</v>
      </c>
      <c r="W38" s="2186">
        <v>79</v>
      </c>
      <c r="X38" s="2186">
        <v>71</v>
      </c>
      <c r="Y38" s="2186">
        <v>64</v>
      </c>
      <c r="Z38" s="2186">
        <v>61</v>
      </c>
      <c r="AA38" s="1077">
        <f t="shared" si="0"/>
        <v>100</v>
      </c>
      <c r="AB38" s="1078">
        <f t="shared" si="25"/>
        <v>126</v>
      </c>
      <c r="AC38" s="1078">
        <f t="shared" si="1"/>
        <v>57</v>
      </c>
      <c r="AD38" s="1078">
        <f ca="1">IF(DMREZ!D40&lt;TODAY(),AA84,"")</f>
        <v>100</v>
      </c>
      <c r="AE38" s="677">
        <f t="shared" si="2"/>
        <v>100.08333333333333</v>
      </c>
      <c r="AF38" s="677">
        <f t="shared" si="3"/>
        <v>99</v>
      </c>
      <c r="AG38" s="677">
        <f t="shared" si="15"/>
        <v>100</v>
      </c>
      <c r="AH38" s="1069"/>
      <c r="AI38" s="1077" t="s">
        <v>342</v>
      </c>
      <c r="AJ38" s="1079"/>
      <c r="AK38" s="1080"/>
      <c r="AL38" s="1080"/>
      <c r="AM38" s="1080"/>
      <c r="AN38" s="1080"/>
      <c r="AO38" s="1080"/>
      <c r="AP38" s="1080"/>
      <c r="AQ38" s="1080"/>
      <c r="AR38" s="1080"/>
      <c r="AS38" s="1080"/>
      <c r="AT38" s="1080"/>
      <c r="AU38" s="1080"/>
      <c r="AV38" s="1080"/>
      <c r="AW38" s="1080"/>
      <c r="AX38" s="1080"/>
      <c r="AY38" s="1080"/>
      <c r="AZ38" s="1080"/>
      <c r="BA38" s="1080"/>
      <c r="BB38" s="1080"/>
      <c r="BC38" s="1080"/>
      <c r="BD38" s="1080"/>
      <c r="BE38" s="1080"/>
      <c r="BF38" s="1080"/>
      <c r="BG38" s="1080"/>
      <c r="BH38" s="685" t="str">
        <f t="shared" si="4"/>
        <v/>
      </c>
      <c r="BI38" s="677" t="str">
        <f t="shared" si="5"/>
        <v/>
      </c>
      <c r="BJ38" s="677" t="str">
        <f t="shared" si="6"/>
        <v/>
      </c>
      <c r="BK38" s="1069"/>
      <c r="BL38" s="1077" t="s">
        <v>342</v>
      </c>
      <c r="BM38" s="674"/>
      <c r="BN38" s="676"/>
      <c r="BO38" s="676"/>
      <c r="BP38" s="676"/>
      <c r="BQ38" s="676"/>
      <c r="BR38" s="676"/>
      <c r="BS38" s="676"/>
      <c r="BT38" s="676"/>
      <c r="BU38" s="676"/>
      <c r="BV38" s="676"/>
      <c r="BW38" s="676"/>
      <c r="BX38" s="676"/>
      <c r="BY38" s="676"/>
      <c r="BZ38" s="676"/>
      <c r="CA38" s="676"/>
      <c r="CB38" s="676"/>
      <c r="CC38" s="676"/>
      <c r="CD38" s="676"/>
      <c r="CE38" s="676"/>
      <c r="CF38" s="676"/>
      <c r="CG38" s="676"/>
      <c r="CH38" s="676"/>
      <c r="CI38" s="676"/>
      <c r="CJ38" s="676"/>
      <c r="CK38" s="685" t="str">
        <f t="shared" si="7"/>
        <v/>
      </c>
      <c r="CL38" s="677" t="str">
        <f t="shared" si="8"/>
        <v/>
      </c>
      <c r="CM38" s="677" t="str">
        <f t="shared" si="9"/>
        <v/>
      </c>
      <c r="CN38" s="1069"/>
      <c r="CO38" s="1072" t="s">
        <v>342</v>
      </c>
      <c r="CP38" s="1080" t="str">
        <f t="shared" si="30"/>
        <v xml:space="preserve"> </v>
      </c>
      <c r="CQ38" s="1080" t="str">
        <f t="shared" si="30"/>
        <v xml:space="preserve"> </v>
      </c>
      <c r="CR38" s="1080" t="str">
        <f t="shared" si="30"/>
        <v xml:space="preserve"> </v>
      </c>
      <c r="CS38" s="1080" t="str">
        <f t="shared" si="30"/>
        <v xml:space="preserve"> </v>
      </c>
      <c r="CT38" s="1080" t="str">
        <f t="shared" si="30"/>
        <v xml:space="preserve"> </v>
      </c>
      <c r="CU38" s="1080" t="str">
        <f t="shared" si="30"/>
        <v xml:space="preserve"> </v>
      </c>
      <c r="CV38" s="1080" t="str">
        <f t="shared" si="30"/>
        <v xml:space="preserve"> </v>
      </c>
      <c r="CW38" s="1080" t="str">
        <f t="shared" si="30"/>
        <v xml:space="preserve"> </v>
      </c>
      <c r="CX38" s="1080" t="str">
        <f t="shared" si="30"/>
        <v xml:space="preserve"> </v>
      </c>
      <c r="CY38" s="1080" t="str">
        <f t="shared" si="30"/>
        <v xml:space="preserve"> </v>
      </c>
      <c r="CZ38" s="1080" t="str">
        <f t="shared" si="30"/>
        <v xml:space="preserve"> </v>
      </c>
      <c r="DA38" s="1080" t="str">
        <f t="shared" si="30"/>
        <v xml:space="preserve"> </v>
      </c>
      <c r="DB38" s="1080" t="str">
        <f t="shared" si="30"/>
        <v xml:space="preserve"> </v>
      </c>
      <c r="DC38" s="1080" t="str">
        <f t="shared" si="30"/>
        <v xml:space="preserve"> </v>
      </c>
      <c r="DD38" s="1080" t="str">
        <f t="shared" si="30"/>
        <v xml:space="preserve"> </v>
      </c>
      <c r="DE38" s="1080" t="str">
        <f t="shared" si="29"/>
        <v xml:space="preserve"> </v>
      </c>
      <c r="DF38" s="1080" t="str">
        <f t="shared" si="11"/>
        <v xml:space="preserve"> </v>
      </c>
      <c r="DG38" s="1080" t="str">
        <f t="shared" si="11"/>
        <v xml:space="preserve"> </v>
      </c>
      <c r="DH38" s="1080" t="str">
        <f t="shared" si="11"/>
        <v xml:space="preserve"> </v>
      </c>
      <c r="DI38" s="1080" t="str">
        <f t="shared" si="11"/>
        <v xml:space="preserve"> </v>
      </c>
      <c r="DJ38" s="1080" t="str">
        <f t="shared" si="11"/>
        <v xml:space="preserve"> </v>
      </c>
      <c r="DK38" s="1080" t="str">
        <f t="shared" si="11"/>
        <v xml:space="preserve"> </v>
      </c>
      <c r="DL38" s="1080" t="str">
        <f t="shared" si="11"/>
        <v xml:space="preserve"> </v>
      </c>
      <c r="DM38" s="1080" t="str">
        <f t="shared" si="11"/>
        <v xml:space="preserve"> </v>
      </c>
      <c r="DN38" s="677" t="str">
        <f t="shared" si="12"/>
        <v/>
      </c>
      <c r="DO38" s="1073">
        <f t="shared" si="16"/>
        <v>0</v>
      </c>
      <c r="DP38" s="1073">
        <f t="shared" si="17"/>
        <v>0</v>
      </c>
      <c r="DQ38" s="1065"/>
      <c r="DR38" s="1081" t="s">
        <v>342</v>
      </c>
      <c r="DS38" s="1082">
        <f t="shared" si="18"/>
        <v>100</v>
      </c>
      <c r="DT38" s="1082">
        <f t="shared" si="19"/>
        <v>100</v>
      </c>
      <c r="DU38" s="1082">
        <f t="shared" si="20"/>
        <v>126</v>
      </c>
      <c r="DV38" s="1082">
        <f t="shared" si="20"/>
        <v>57</v>
      </c>
      <c r="DW38" s="1082">
        <f t="shared" si="21"/>
        <v>100</v>
      </c>
      <c r="DX38" s="1082" t="str">
        <f t="shared" si="22"/>
        <v/>
      </c>
      <c r="DY38" s="1082">
        <f t="shared" si="41"/>
        <v>65</v>
      </c>
      <c r="DZ38" s="1082">
        <f t="shared" si="42"/>
        <v>35</v>
      </c>
      <c r="EA38" s="1083">
        <f t="shared" si="43"/>
        <v>0.65</v>
      </c>
      <c r="EB38" s="1083">
        <f t="shared" si="44"/>
        <v>0.35</v>
      </c>
      <c r="EC38" s="1837"/>
      <c r="ED38" s="103"/>
      <c r="EE38" s="103"/>
      <c r="EV38" s="103"/>
      <c r="EW38" s="103"/>
    </row>
    <row r="39" spans="1:153" ht="15.6" thickBot="1">
      <c r="A39" s="103"/>
      <c r="B39" s="1077" t="s">
        <v>343</v>
      </c>
      <c r="C39" s="2182">
        <v>62</v>
      </c>
      <c r="D39" s="2182">
        <v>63</v>
      </c>
      <c r="E39" s="2182">
        <v>66</v>
      </c>
      <c r="F39" s="2182">
        <v>74</v>
      </c>
      <c r="G39" s="2182">
        <v>96</v>
      </c>
      <c r="H39" s="2182">
        <v>100</v>
      </c>
      <c r="I39" s="2182">
        <v>121</v>
      </c>
      <c r="J39" s="2182">
        <v>152</v>
      </c>
      <c r="K39" s="2182">
        <v>157</v>
      </c>
      <c r="L39" s="2182">
        <v>159</v>
      </c>
      <c r="M39" s="2182">
        <v>161</v>
      </c>
      <c r="N39" s="2182">
        <v>159</v>
      </c>
      <c r="O39" s="2182">
        <v>156</v>
      </c>
      <c r="P39" s="2182">
        <v>153</v>
      </c>
      <c r="Q39" s="2182">
        <v>153</v>
      </c>
      <c r="R39" s="2182">
        <v>142</v>
      </c>
      <c r="S39" s="2182">
        <v>127</v>
      </c>
      <c r="T39" s="2182">
        <v>122</v>
      </c>
      <c r="U39" s="2182">
        <v>111</v>
      </c>
      <c r="V39" s="2182">
        <v>97</v>
      </c>
      <c r="W39" s="2182">
        <v>84</v>
      </c>
      <c r="X39" s="2182">
        <v>70</v>
      </c>
      <c r="Y39" s="2182">
        <v>67</v>
      </c>
      <c r="Z39" s="2182">
        <v>67</v>
      </c>
      <c r="AA39" s="1077">
        <f t="shared" si="0"/>
        <v>113</v>
      </c>
      <c r="AB39" s="1078">
        <f t="shared" si="25"/>
        <v>161</v>
      </c>
      <c r="AC39" s="1078">
        <f t="shared" si="1"/>
        <v>62</v>
      </c>
      <c r="AD39" s="1078">
        <f ca="1">IF(DMREZ!D41&lt;TODAY(),AA85,"")</f>
        <v>96</v>
      </c>
      <c r="AE39" s="677">
        <f t="shared" si="2"/>
        <v>114.16666666666667</v>
      </c>
      <c r="AF39" s="677">
        <f t="shared" si="3"/>
        <v>112.41666666666667</v>
      </c>
      <c r="AG39" s="677">
        <f t="shared" si="15"/>
        <v>113</v>
      </c>
      <c r="AH39" s="1069"/>
      <c r="AI39" s="1077" t="s">
        <v>343</v>
      </c>
      <c r="AJ39" s="1079"/>
      <c r="AK39" s="1080"/>
      <c r="AL39" s="1080"/>
      <c r="AM39" s="1080"/>
      <c r="AN39" s="1080"/>
      <c r="AO39" s="1080"/>
      <c r="AP39" s="1080"/>
      <c r="AQ39" s="1080"/>
      <c r="AR39" s="1080"/>
      <c r="AS39" s="1080"/>
      <c r="AT39" s="1080"/>
      <c r="AU39" s="1080"/>
      <c r="AV39" s="1080"/>
      <c r="AW39" s="1080"/>
      <c r="AX39" s="1080"/>
      <c r="AY39" s="1080"/>
      <c r="AZ39" s="1080"/>
      <c r="BA39" s="1080"/>
      <c r="BB39" s="1080"/>
      <c r="BC39" s="1080"/>
      <c r="BD39" s="1080"/>
      <c r="BE39" s="1080"/>
      <c r="BF39" s="1080"/>
      <c r="BG39" s="1080"/>
      <c r="BH39" s="685" t="str">
        <f t="shared" si="4"/>
        <v/>
      </c>
      <c r="BI39" s="677" t="str">
        <f t="shared" si="5"/>
        <v/>
      </c>
      <c r="BJ39" s="677" t="str">
        <f t="shared" si="6"/>
        <v/>
      </c>
      <c r="BK39" s="1069"/>
      <c r="BL39" s="1077" t="s">
        <v>343</v>
      </c>
      <c r="BM39" s="674"/>
      <c r="BN39" s="676"/>
      <c r="BO39" s="676"/>
      <c r="BP39" s="676"/>
      <c r="BQ39" s="676"/>
      <c r="BR39" s="676"/>
      <c r="BS39" s="676"/>
      <c r="BT39" s="676"/>
      <c r="BU39" s="676"/>
      <c r="BV39" s="676"/>
      <c r="BW39" s="676"/>
      <c r="BX39" s="676"/>
      <c r="BY39" s="676"/>
      <c r="BZ39" s="676"/>
      <c r="CA39" s="676"/>
      <c r="CB39" s="676"/>
      <c r="CC39" s="676"/>
      <c r="CD39" s="676"/>
      <c r="CE39" s="676"/>
      <c r="CF39" s="676"/>
      <c r="CG39" s="676"/>
      <c r="CH39" s="676"/>
      <c r="CI39" s="676"/>
      <c r="CJ39" s="676"/>
      <c r="CK39" s="685" t="str">
        <f t="shared" si="7"/>
        <v/>
      </c>
      <c r="CL39" s="677" t="str">
        <f t="shared" si="8"/>
        <v/>
      </c>
      <c r="CM39" s="677" t="str">
        <f t="shared" si="9"/>
        <v/>
      </c>
      <c r="CN39" s="1069"/>
      <c r="CO39" s="1072" t="s">
        <v>343</v>
      </c>
      <c r="CP39" s="1080" t="str">
        <f t="shared" si="30"/>
        <v xml:space="preserve"> </v>
      </c>
      <c r="CQ39" s="1080" t="str">
        <f t="shared" si="30"/>
        <v xml:space="preserve"> </v>
      </c>
      <c r="CR39" s="1080" t="str">
        <f t="shared" si="30"/>
        <v xml:space="preserve"> </v>
      </c>
      <c r="CS39" s="1080" t="str">
        <f t="shared" si="30"/>
        <v xml:space="preserve"> </v>
      </c>
      <c r="CT39" s="1080" t="str">
        <f t="shared" si="30"/>
        <v xml:space="preserve"> </v>
      </c>
      <c r="CU39" s="1080" t="str">
        <f t="shared" si="30"/>
        <v xml:space="preserve"> </v>
      </c>
      <c r="CV39" s="1080" t="str">
        <f t="shared" si="30"/>
        <v xml:space="preserve"> </v>
      </c>
      <c r="CW39" s="1080" t="str">
        <f t="shared" si="30"/>
        <v xml:space="preserve"> </v>
      </c>
      <c r="CX39" s="1080" t="str">
        <f t="shared" si="30"/>
        <v xml:space="preserve"> </v>
      </c>
      <c r="CY39" s="1080" t="str">
        <f t="shared" si="30"/>
        <v xml:space="preserve"> </v>
      </c>
      <c r="CZ39" s="1080" t="str">
        <f t="shared" si="30"/>
        <v xml:space="preserve"> </v>
      </c>
      <c r="DA39" s="1080" t="str">
        <f t="shared" si="30"/>
        <v xml:space="preserve"> </v>
      </c>
      <c r="DB39" s="1080" t="str">
        <f t="shared" si="30"/>
        <v xml:space="preserve"> </v>
      </c>
      <c r="DC39" s="1080" t="str">
        <f t="shared" si="30"/>
        <v xml:space="preserve"> </v>
      </c>
      <c r="DD39" s="1080" t="str">
        <f t="shared" si="30"/>
        <v xml:space="preserve"> </v>
      </c>
      <c r="DE39" s="1080" t="str">
        <f t="shared" si="29"/>
        <v xml:space="preserve"> </v>
      </c>
      <c r="DF39" s="1080" t="str">
        <f t="shared" si="11"/>
        <v xml:space="preserve"> </v>
      </c>
      <c r="DG39" s="1080" t="str">
        <f t="shared" si="11"/>
        <v xml:space="preserve"> </v>
      </c>
      <c r="DH39" s="1080" t="str">
        <f t="shared" si="11"/>
        <v xml:space="preserve"> </v>
      </c>
      <c r="DI39" s="1080" t="str">
        <f t="shared" si="11"/>
        <v xml:space="preserve"> </v>
      </c>
      <c r="DJ39" s="1080" t="str">
        <f t="shared" si="11"/>
        <v xml:space="preserve"> </v>
      </c>
      <c r="DK39" s="1080" t="str">
        <f t="shared" si="11"/>
        <v xml:space="preserve"> </v>
      </c>
      <c r="DL39" s="1080" t="str">
        <f t="shared" si="11"/>
        <v xml:space="preserve"> </v>
      </c>
      <c r="DM39" s="1080" t="str">
        <f t="shared" si="11"/>
        <v xml:space="preserve"> </v>
      </c>
      <c r="DN39" s="677" t="str">
        <f t="shared" si="12"/>
        <v/>
      </c>
      <c r="DO39" s="1073">
        <f t="shared" si="16"/>
        <v>0</v>
      </c>
      <c r="DP39" s="1073">
        <f t="shared" si="17"/>
        <v>0</v>
      </c>
      <c r="DQ39" s="1065"/>
      <c r="DR39" s="1081" t="s">
        <v>343</v>
      </c>
      <c r="DS39" s="1082">
        <f t="shared" si="18"/>
        <v>113</v>
      </c>
      <c r="DT39" s="1082">
        <f t="shared" si="19"/>
        <v>96</v>
      </c>
      <c r="DU39" s="1082">
        <f t="shared" si="20"/>
        <v>161</v>
      </c>
      <c r="DV39" s="1082">
        <f t="shared" si="20"/>
        <v>62</v>
      </c>
      <c r="DW39" s="1082">
        <f t="shared" si="21"/>
        <v>113</v>
      </c>
      <c r="DX39" s="1082" t="str">
        <f t="shared" si="22"/>
        <v/>
      </c>
      <c r="DY39" s="1082">
        <f t="shared" ref="DY39" si="45">DS39*0.65</f>
        <v>73.45</v>
      </c>
      <c r="DZ39" s="1082">
        <f t="shared" ref="DZ39" si="46">DS39*0.35</f>
        <v>39.549999999999997</v>
      </c>
      <c r="EA39" s="1083">
        <f t="shared" ref="EA39" si="47">IF(+DY39=0,"",ROUND(+DY39/(DZ39+DY39),2))</f>
        <v>0.65</v>
      </c>
      <c r="EB39" s="1083">
        <f t="shared" ref="EB39" si="48">IF(DZ39=0,"",ROUND(+DZ39/(DY39+DZ39),2))</f>
        <v>0.35</v>
      </c>
      <c r="EC39" s="1837"/>
      <c r="ED39" s="103"/>
      <c r="EE39" s="103"/>
      <c r="EV39" s="103"/>
      <c r="EW39" s="103"/>
    </row>
    <row r="40" spans="1:153">
      <c r="A40" s="103"/>
      <c r="B40" s="1067" t="s">
        <v>369</v>
      </c>
      <c r="C40" s="1067">
        <f t="shared" ref="C40:AA40" si="49">ROUND(AVERAGE(C9:C39),0)</f>
        <v>75</v>
      </c>
      <c r="D40" s="1068">
        <f t="shared" si="49"/>
        <v>78</v>
      </c>
      <c r="E40" s="1068">
        <f t="shared" si="49"/>
        <v>83</v>
      </c>
      <c r="F40" s="1068">
        <f t="shared" si="49"/>
        <v>94</v>
      </c>
      <c r="G40" s="1068">
        <f t="shared" si="49"/>
        <v>105</v>
      </c>
      <c r="H40" s="1068">
        <f t="shared" si="49"/>
        <v>110</v>
      </c>
      <c r="I40" s="1068">
        <f t="shared" si="49"/>
        <v>117</v>
      </c>
      <c r="J40" s="1068">
        <f t="shared" si="49"/>
        <v>122</v>
      </c>
      <c r="K40" s="1068">
        <f t="shared" si="49"/>
        <v>125</v>
      </c>
      <c r="L40" s="1068">
        <f t="shared" si="49"/>
        <v>125</v>
      </c>
      <c r="M40" s="1068">
        <f t="shared" si="49"/>
        <v>124</v>
      </c>
      <c r="N40" s="1068">
        <f t="shared" si="49"/>
        <v>122</v>
      </c>
      <c r="O40" s="1068">
        <f t="shared" si="49"/>
        <v>121</v>
      </c>
      <c r="P40" s="1068">
        <f t="shared" si="49"/>
        <v>120</v>
      </c>
      <c r="Q40" s="1068">
        <f t="shared" si="49"/>
        <v>120</v>
      </c>
      <c r="R40" s="1068">
        <f t="shared" si="49"/>
        <v>119</v>
      </c>
      <c r="S40" s="1068">
        <f t="shared" si="49"/>
        <v>117</v>
      </c>
      <c r="T40" s="1068">
        <f t="shared" si="49"/>
        <v>112</v>
      </c>
      <c r="U40" s="1068">
        <f t="shared" si="49"/>
        <v>103</v>
      </c>
      <c r="V40" s="1068">
        <f t="shared" si="49"/>
        <v>87</v>
      </c>
      <c r="W40" s="1068">
        <f t="shared" si="49"/>
        <v>78</v>
      </c>
      <c r="X40" s="1068">
        <f t="shared" si="49"/>
        <v>75</v>
      </c>
      <c r="Y40" s="1068">
        <f t="shared" si="49"/>
        <v>74</v>
      </c>
      <c r="Z40" s="1068">
        <f t="shared" si="49"/>
        <v>73</v>
      </c>
      <c r="AA40" s="1067">
        <f t="shared" si="49"/>
        <v>103</v>
      </c>
      <c r="AB40" s="1068">
        <f>IF(SUM(AB9:AB39)&gt;0,ROUND(MAX(AB9:AB39),0),"")</f>
        <v>224</v>
      </c>
      <c r="AC40" s="1068">
        <f>IF(SUM(AC9:AC39)&gt;0,ROUND(MIN(AC9:AC39),0),"")</f>
        <v>36</v>
      </c>
      <c r="AD40" s="1068">
        <f ca="1">ROUND(AVERAGE(AD9:AD39),0)</f>
        <v>93</v>
      </c>
      <c r="AE40" s="2189">
        <f>SUM(AE9:AE39)</f>
        <v>3305.916666666667</v>
      </c>
      <c r="AF40" s="2189">
        <f>SUM(AF9:AF39)</f>
        <v>3099.75</v>
      </c>
      <c r="AG40" s="2189">
        <f>SUM(AG9:AG39)</f>
        <v>3203</v>
      </c>
      <c r="AH40" s="1069"/>
      <c r="AI40" s="1084" t="s">
        <v>942</v>
      </c>
      <c r="AJ40" s="666" t="e">
        <f t="shared" ref="AJ40:BG40" si="50">ROUND(AVERAGE(AJ9:AJ39),0)</f>
        <v>#DIV/0!</v>
      </c>
      <c r="AK40" s="658" t="e">
        <f t="shared" si="50"/>
        <v>#DIV/0!</v>
      </c>
      <c r="AL40" s="658" t="e">
        <f t="shared" si="50"/>
        <v>#DIV/0!</v>
      </c>
      <c r="AM40" s="658" t="e">
        <f t="shared" si="50"/>
        <v>#DIV/0!</v>
      </c>
      <c r="AN40" s="658" t="e">
        <f t="shared" si="50"/>
        <v>#DIV/0!</v>
      </c>
      <c r="AO40" s="658" t="e">
        <f t="shared" si="50"/>
        <v>#DIV/0!</v>
      </c>
      <c r="AP40" s="658" t="e">
        <f t="shared" si="50"/>
        <v>#DIV/0!</v>
      </c>
      <c r="AQ40" s="658" t="e">
        <f t="shared" si="50"/>
        <v>#DIV/0!</v>
      </c>
      <c r="AR40" s="658" t="e">
        <f t="shared" si="50"/>
        <v>#DIV/0!</v>
      </c>
      <c r="AS40" s="658" t="e">
        <f t="shared" si="50"/>
        <v>#DIV/0!</v>
      </c>
      <c r="AT40" s="658" t="e">
        <f t="shared" si="50"/>
        <v>#DIV/0!</v>
      </c>
      <c r="AU40" s="658" t="e">
        <f t="shared" si="50"/>
        <v>#DIV/0!</v>
      </c>
      <c r="AV40" s="658" t="e">
        <f t="shared" si="50"/>
        <v>#DIV/0!</v>
      </c>
      <c r="AW40" s="658" t="e">
        <f t="shared" si="50"/>
        <v>#DIV/0!</v>
      </c>
      <c r="AX40" s="658" t="e">
        <f t="shared" si="50"/>
        <v>#DIV/0!</v>
      </c>
      <c r="AY40" s="658" t="e">
        <f t="shared" si="50"/>
        <v>#DIV/0!</v>
      </c>
      <c r="AZ40" s="658" t="e">
        <f t="shared" si="50"/>
        <v>#DIV/0!</v>
      </c>
      <c r="BA40" s="658" t="e">
        <f t="shared" si="50"/>
        <v>#DIV/0!</v>
      </c>
      <c r="BB40" s="658" t="e">
        <f t="shared" si="50"/>
        <v>#DIV/0!</v>
      </c>
      <c r="BC40" s="658" t="e">
        <f t="shared" si="50"/>
        <v>#DIV/0!</v>
      </c>
      <c r="BD40" s="658" t="e">
        <f t="shared" si="50"/>
        <v>#DIV/0!</v>
      </c>
      <c r="BE40" s="658" t="e">
        <f t="shared" si="50"/>
        <v>#DIV/0!</v>
      </c>
      <c r="BF40" s="658" t="e">
        <f t="shared" si="50"/>
        <v>#DIV/0!</v>
      </c>
      <c r="BG40" s="658" t="e">
        <f t="shared" si="50"/>
        <v>#DIV/0!</v>
      </c>
      <c r="BH40" s="666">
        <f>SUM(BH9:BH39)</f>
        <v>0</v>
      </c>
      <c r="BI40" s="658">
        <f>SUM(BI9:BI39)</f>
        <v>0</v>
      </c>
      <c r="BJ40" s="658">
        <f>SUM(BJ9:BJ39)</f>
        <v>0</v>
      </c>
      <c r="BK40" s="1069"/>
      <c r="BL40" s="1084" t="s">
        <v>942</v>
      </c>
      <c r="BM40" s="666" t="e">
        <f t="shared" ref="BM40:CJ40" si="51">ROUND(AVERAGE(BM9:BM39),0)</f>
        <v>#DIV/0!</v>
      </c>
      <c r="BN40" s="658" t="e">
        <f t="shared" si="51"/>
        <v>#DIV/0!</v>
      </c>
      <c r="BO40" s="658" t="e">
        <f t="shared" si="51"/>
        <v>#DIV/0!</v>
      </c>
      <c r="BP40" s="658" t="e">
        <f t="shared" si="51"/>
        <v>#DIV/0!</v>
      </c>
      <c r="BQ40" s="658" t="e">
        <f t="shared" si="51"/>
        <v>#DIV/0!</v>
      </c>
      <c r="BR40" s="658" t="e">
        <f t="shared" si="51"/>
        <v>#DIV/0!</v>
      </c>
      <c r="BS40" s="658" t="e">
        <f t="shared" si="51"/>
        <v>#DIV/0!</v>
      </c>
      <c r="BT40" s="658" t="e">
        <f t="shared" si="51"/>
        <v>#DIV/0!</v>
      </c>
      <c r="BU40" s="658" t="e">
        <f t="shared" si="51"/>
        <v>#DIV/0!</v>
      </c>
      <c r="BV40" s="658" t="e">
        <f t="shared" si="51"/>
        <v>#DIV/0!</v>
      </c>
      <c r="BW40" s="658" t="e">
        <f t="shared" si="51"/>
        <v>#DIV/0!</v>
      </c>
      <c r="BX40" s="658" t="e">
        <f t="shared" si="51"/>
        <v>#DIV/0!</v>
      </c>
      <c r="BY40" s="658" t="e">
        <f t="shared" si="51"/>
        <v>#DIV/0!</v>
      </c>
      <c r="BZ40" s="658" t="e">
        <f t="shared" si="51"/>
        <v>#DIV/0!</v>
      </c>
      <c r="CA40" s="658" t="e">
        <f t="shared" si="51"/>
        <v>#DIV/0!</v>
      </c>
      <c r="CB40" s="658" t="e">
        <f t="shared" si="51"/>
        <v>#DIV/0!</v>
      </c>
      <c r="CC40" s="658" t="e">
        <f t="shared" si="51"/>
        <v>#DIV/0!</v>
      </c>
      <c r="CD40" s="658" t="e">
        <f t="shared" si="51"/>
        <v>#DIV/0!</v>
      </c>
      <c r="CE40" s="658" t="e">
        <f t="shared" si="51"/>
        <v>#DIV/0!</v>
      </c>
      <c r="CF40" s="658" t="e">
        <f t="shared" si="51"/>
        <v>#DIV/0!</v>
      </c>
      <c r="CG40" s="658" t="e">
        <f t="shared" si="51"/>
        <v>#DIV/0!</v>
      </c>
      <c r="CH40" s="658" t="e">
        <f t="shared" si="51"/>
        <v>#DIV/0!</v>
      </c>
      <c r="CI40" s="658" t="e">
        <f t="shared" si="51"/>
        <v>#DIV/0!</v>
      </c>
      <c r="CJ40" s="658" t="e">
        <f t="shared" si="51"/>
        <v>#DIV/0!</v>
      </c>
      <c r="CK40" s="666">
        <f>SUM(CK9:CK38)</f>
        <v>0</v>
      </c>
      <c r="CL40" s="658">
        <f>SUM(CL9:CL38)</f>
        <v>0</v>
      </c>
      <c r="CM40" s="658">
        <f>SUM(CM9:CM38)</f>
        <v>0</v>
      </c>
      <c r="CN40" s="1069"/>
      <c r="CO40" s="1084" t="s">
        <v>369</v>
      </c>
      <c r="CP40" s="666" t="e">
        <f t="shared" ref="CP40:DM40" si="52">ROUND(AVERAGE(CP9:CP39),1)</f>
        <v>#DIV/0!</v>
      </c>
      <c r="CQ40" s="709" t="e">
        <f t="shared" si="52"/>
        <v>#DIV/0!</v>
      </c>
      <c r="CR40" s="709" t="e">
        <f t="shared" si="52"/>
        <v>#DIV/0!</v>
      </c>
      <c r="CS40" s="709" t="e">
        <f t="shared" si="52"/>
        <v>#DIV/0!</v>
      </c>
      <c r="CT40" s="709" t="e">
        <f t="shared" si="52"/>
        <v>#DIV/0!</v>
      </c>
      <c r="CU40" s="709" t="e">
        <f t="shared" si="52"/>
        <v>#DIV/0!</v>
      </c>
      <c r="CV40" s="709" t="e">
        <f t="shared" si="52"/>
        <v>#DIV/0!</v>
      </c>
      <c r="CW40" s="709" t="e">
        <f t="shared" si="52"/>
        <v>#DIV/0!</v>
      </c>
      <c r="CX40" s="709" t="e">
        <f t="shared" si="52"/>
        <v>#DIV/0!</v>
      </c>
      <c r="CY40" s="709" t="e">
        <f t="shared" si="52"/>
        <v>#DIV/0!</v>
      </c>
      <c r="CZ40" s="709" t="e">
        <f t="shared" si="52"/>
        <v>#DIV/0!</v>
      </c>
      <c r="DA40" s="709" t="e">
        <f t="shared" si="52"/>
        <v>#DIV/0!</v>
      </c>
      <c r="DB40" s="709" t="e">
        <f t="shared" si="52"/>
        <v>#DIV/0!</v>
      </c>
      <c r="DC40" s="709" t="e">
        <f t="shared" si="52"/>
        <v>#DIV/0!</v>
      </c>
      <c r="DD40" s="709" t="e">
        <f t="shared" si="52"/>
        <v>#DIV/0!</v>
      </c>
      <c r="DE40" s="709" t="e">
        <f t="shared" si="52"/>
        <v>#DIV/0!</v>
      </c>
      <c r="DF40" s="709" t="e">
        <f t="shared" si="52"/>
        <v>#DIV/0!</v>
      </c>
      <c r="DG40" s="709" t="e">
        <f t="shared" si="52"/>
        <v>#DIV/0!</v>
      </c>
      <c r="DH40" s="709" t="e">
        <f t="shared" si="52"/>
        <v>#DIV/0!</v>
      </c>
      <c r="DI40" s="709" t="e">
        <f t="shared" si="52"/>
        <v>#DIV/0!</v>
      </c>
      <c r="DJ40" s="709" t="e">
        <f t="shared" si="52"/>
        <v>#DIV/0!</v>
      </c>
      <c r="DK40" s="709" t="e">
        <f t="shared" si="52"/>
        <v>#DIV/0!</v>
      </c>
      <c r="DL40" s="709" t="e">
        <f t="shared" si="52"/>
        <v>#DIV/0!</v>
      </c>
      <c r="DM40" s="709" t="e">
        <f t="shared" si="52"/>
        <v>#DIV/0!</v>
      </c>
      <c r="DN40" s="658">
        <f>SUM(DN9:DN38)</f>
        <v>0</v>
      </c>
      <c r="DO40" s="658">
        <f>SUM(DO9:DO38)</f>
        <v>0</v>
      </c>
      <c r="DP40" s="658">
        <f>SUM(DP9:DP38)</f>
        <v>0</v>
      </c>
      <c r="DQ40" s="1069"/>
      <c r="DR40" s="986" t="s">
        <v>1051</v>
      </c>
      <c r="DS40" s="1062">
        <f>ROUND(SUM(DS9:DS39),0)</f>
        <v>3203</v>
      </c>
      <c r="DT40" s="1062">
        <f>ROUND(SUM(DT9:DT39),0)</f>
        <v>2895</v>
      </c>
      <c r="DU40" s="1062">
        <f>MAX(DU9:DU39)</f>
        <v>224</v>
      </c>
      <c r="DV40" s="1062">
        <f>MIN(DV9:DV39)</f>
        <v>36</v>
      </c>
      <c r="DW40" s="1062">
        <f>ROUND(SUM(DW9:DW39),0)</f>
        <v>3203</v>
      </c>
      <c r="DX40" s="1062">
        <f>ROUND(SUM(DX9:DX39),0)</f>
        <v>0</v>
      </c>
      <c r="DY40" s="1062">
        <f>ROUND(SUM(DY9:DY39),0)</f>
        <v>2082</v>
      </c>
      <c r="DZ40" s="1062">
        <f>ROUND(SUM(DZ9:DZ39),0)</f>
        <v>1121</v>
      </c>
      <c r="EA40" s="1062"/>
      <c r="EB40" s="1062"/>
      <c r="EC40" s="1837"/>
      <c r="ED40" s="103"/>
      <c r="EE40" s="103"/>
      <c r="EV40" s="103"/>
      <c r="EW40" s="103"/>
    </row>
    <row r="41" spans="1:153" ht="15.6" thickBot="1">
      <c r="A41" s="103"/>
      <c r="B41" s="1077" t="s">
        <v>738</v>
      </c>
      <c r="C41" s="1077">
        <f t="shared" ref="C41:Z41" si="53">ROUND(2*STDEVP(C9:C39),0)</f>
        <v>75</v>
      </c>
      <c r="D41" s="1078">
        <f t="shared" si="53"/>
        <v>70</v>
      </c>
      <c r="E41" s="1078">
        <f t="shared" si="53"/>
        <v>65</v>
      </c>
      <c r="F41" s="1078">
        <f t="shared" si="53"/>
        <v>58</v>
      </c>
      <c r="G41" s="1078">
        <f t="shared" si="53"/>
        <v>58</v>
      </c>
      <c r="H41" s="1078">
        <f t="shared" si="53"/>
        <v>62</v>
      </c>
      <c r="I41" s="1078">
        <f t="shared" si="53"/>
        <v>66</v>
      </c>
      <c r="J41" s="1078">
        <f t="shared" si="53"/>
        <v>65</v>
      </c>
      <c r="K41" s="1078">
        <f t="shared" si="53"/>
        <v>64</v>
      </c>
      <c r="L41" s="1078">
        <f t="shared" si="53"/>
        <v>65</v>
      </c>
      <c r="M41" s="1078">
        <f t="shared" si="53"/>
        <v>66</v>
      </c>
      <c r="N41" s="1078">
        <f t="shared" si="53"/>
        <v>64</v>
      </c>
      <c r="O41" s="1078">
        <f t="shared" si="53"/>
        <v>61</v>
      </c>
      <c r="P41" s="1078">
        <f t="shared" si="53"/>
        <v>58</v>
      </c>
      <c r="Q41" s="1078">
        <f t="shared" si="53"/>
        <v>53</v>
      </c>
      <c r="R41" s="1078">
        <f t="shared" si="53"/>
        <v>47</v>
      </c>
      <c r="S41" s="1078">
        <f t="shared" si="53"/>
        <v>38</v>
      </c>
      <c r="T41" s="1078">
        <f t="shared" si="53"/>
        <v>42</v>
      </c>
      <c r="U41" s="1078">
        <f t="shared" si="53"/>
        <v>38</v>
      </c>
      <c r="V41" s="1078">
        <f t="shared" si="53"/>
        <v>37</v>
      </c>
      <c r="W41" s="1078">
        <f t="shared" si="53"/>
        <v>45</v>
      </c>
      <c r="X41" s="1078">
        <f t="shared" si="53"/>
        <v>61</v>
      </c>
      <c r="Y41" s="1078">
        <f t="shared" si="53"/>
        <v>73</v>
      </c>
      <c r="Z41" s="1078">
        <f t="shared" si="53"/>
        <v>79</v>
      </c>
      <c r="AA41" s="1077" t="s">
        <v>131</v>
      </c>
      <c r="AB41" s="1078" t="s">
        <v>432</v>
      </c>
      <c r="AC41" s="1078" t="s">
        <v>256</v>
      </c>
      <c r="AD41" s="1078" t="s">
        <v>450</v>
      </c>
      <c r="AE41" s="1078">
        <f>ROUND(AVERAGE(AE9:AE38),0)</f>
        <v>106</v>
      </c>
      <c r="AF41" s="1078">
        <f>ROUND(AVERAGE(AF9:AF38),0)</f>
        <v>100</v>
      </c>
      <c r="AG41" s="1078">
        <f>ROUND(AVERAGE(AG9:AG38),0)</f>
        <v>103</v>
      </c>
      <c r="AH41" s="1069"/>
      <c r="AI41" s="777" t="s">
        <v>738</v>
      </c>
      <c r="AJ41" s="685" t="e">
        <f t="shared" ref="AJ41:BG41" si="54">ROUND(2*STDEVP(AJ9:AJ39),0)</f>
        <v>#DIV/0!</v>
      </c>
      <c r="AK41" s="677" t="e">
        <f t="shared" si="54"/>
        <v>#DIV/0!</v>
      </c>
      <c r="AL41" s="677" t="e">
        <f t="shared" si="54"/>
        <v>#DIV/0!</v>
      </c>
      <c r="AM41" s="677" t="e">
        <f t="shared" si="54"/>
        <v>#DIV/0!</v>
      </c>
      <c r="AN41" s="677" t="e">
        <f t="shared" si="54"/>
        <v>#DIV/0!</v>
      </c>
      <c r="AO41" s="677" t="e">
        <f t="shared" si="54"/>
        <v>#DIV/0!</v>
      </c>
      <c r="AP41" s="677" t="e">
        <f t="shared" si="54"/>
        <v>#DIV/0!</v>
      </c>
      <c r="AQ41" s="677" t="e">
        <f t="shared" si="54"/>
        <v>#DIV/0!</v>
      </c>
      <c r="AR41" s="677" t="e">
        <f t="shared" si="54"/>
        <v>#DIV/0!</v>
      </c>
      <c r="AS41" s="677" t="e">
        <f t="shared" si="54"/>
        <v>#DIV/0!</v>
      </c>
      <c r="AT41" s="677" t="e">
        <f t="shared" si="54"/>
        <v>#DIV/0!</v>
      </c>
      <c r="AU41" s="677" t="e">
        <f t="shared" si="54"/>
        <v>#DIV/0!</v>
      </c>
      <c r="AV41" s="677" t="e">
        <f t="shared" si="54"/>
        <v>#DIV/0!</v>
      </c>
      <c r="AW41" s="677" t="e">
        <f t="shared" si="54"/>
        <v>#DIV/0!</v>
      </c>
      <c r="AX41" s="677" t="e">
        <f t="shared" si="54"/>
        <v>#DIV/0!</v>
      </c>
      <c r="AY41" s="677" t="e">
        <f t="shared" si="54"/>
        <v>#DIV/0!</v>
      </c>
      <c r="AZ41" s="677" t="e">
        <f t="shared" si="54"/>
        <v>#DIV/0!</v>
      </c>
      <c r="BA41" s="677" t="e">
        <f t="shared" si="54"/>
        <v>#DIV/0!</v>
      </c>
      <c r="BB41" s="677" t="e">
        <f t="shared" si="54"/>
        <v>#DIV/0!</v>
      </c>
      <c r="BC41" s="677" t="e">
        <f t="shared" si="54"/>
        <v>#DIV/0!</v>
      </c>
      <c r="BD41" s="677" t="e">
        <f t="shared" si="54"/>
        <v>#DIV/0!</v>
      </c>
      <c r="BE41" s="677" t="e">
        <f t="shared" si="54"/>
        <v>#DIV/0!</v>
      </c>
      <c r="BF41" s="677" t="e">
        <f t="shared" si="54"/>
        <v>#DIV/0!</v>
      </c>
      <c r="BG41" s="677" t="e">
        <f t="shared" si="54"/>
        <v>#DIV/0!</v>
      </c>
      <c r="BH41" s="1085"/>
      <c r="BI41" s="1086"/>
      <c r="BJ41" s="1086"/>
      <c r="BK41" s="1069"/>
      <c r="BL41" s="777" t="s">
        <v>738</v>
      </c>
      <c r="BM41" s="685" t="e">
        <f t="shared" ref="BM41:CJ41" si="55">ROUND(2*STDEVP(BM9:BM39),0)</f>
        <v>#DIV/0!</v>
      </c>
      <c r="BN41" s="677" t="e">
        <f t="shared" si="55"/>
        <v>#DIV/0!</v>
      </c>
      <c r="BO41" s="677" t="e">
        <f t="shared" si="55"/>
        <v>#DIV/0!</v>
      </c>
      <c r="BP41" s="677" t="e">
        <f t="shared" si="55"/>
        <v>#DIV/0!</v>
      </c>
      <c r="BQ41" s="677" t="e">
        <f t="shared" si="55"/>
        <v>#DIV/0!</v>
      </c>
      <c r="BR41" s="677" t="e">
        <f t="shared" si="55"/>
        <v>#DIV/0!</v>
      </c>
      <c r="BS41" s="677" t="e">
        <f t="shared" si="55"/>
        <v>#DIV/0!</v>
      </c>
      <c r="BT41" s="677" t="e">
        <f t="shared" si="55"/>
        <v>#DIV/0!</v>
      </c>
      <c r="BU41" s="677" t="e">
        <f t="shared" si="55"/>
        <v>#DIV/0!</v>
      </c>
      <c r="BV41" s="677" t="e">
        <f t="shared" si="55"/>
        <v>#DIV/0!</v>
      </c>
      <c r="BW41" s="677" t="e">
        <f t="shared" si="55"/>
        <v>#DIV/0!</v>
      </c>
      <c r="BX41" s="677" t="e">
        <f t="shared" si="55"/>
        <v>#DIV/0!</v>
      </c>
      <c r="BY41" s="677" t="e">
        <f t="shared" si="55"/>
        <v>#DIV/0!</v>
      </c>
      <c r="BZ41" s="677" t="e">
        <f t="shared" si="55"/>
        <v>#DIV/0!</v>
      </c>
      <c r="CA41" s="677" t="e">
        <f t="shared" si="55"/>
        <v>#DIV/0!</v>
      </c>
      <c r="CB41" s="677" t="e">
        <f t="shared" si="55"/>
        <v>#DIV/0!</v>
      </c>
      <c r="CC41" s="677" t="e">
        <f t="shared" si="55"/>
        <v>#DIV/0!</v>
      </c>
      <c r="CD41" s="677" t="e">
        <f t="shared" si="55"/>
        <v>#DIV/0!</v>
      </c>
      <c r="CE41" s="677" t="e">
        <f t="shared" si="55"/>
        <v>#DIV/0!</v>
      </c>
      <c r="CF41" s="677" t="e">
        <f t="shared" si="55"/>
        <v>#DIV/0!</v>
      </c>
      <c r="CG41" s="677" t="e">
        <f t="shared" si="55"/>
        <v>#DIV/0!</v>
      </c>
      <c r="CH41" s="677" t="e">
        <f t="shared" si="55"/>
        <v>#DIV/0!</v>
      </c>
      <c r="CI41" s="677" t="e">
        <f t="shared" si="55"/>
        <v>#DIV/0!</v>
      </c>
      <c r="CJ41" s="677" t="e">
        <f t="shared" si="55"/>
        <v>#DIV/0!</v>
      </c>
      <c r="CK41" s="1085"/>
      <c r="CL41" s="1086"/>
      <c r="CM41" s="1086"/>
      <c r="CN41" s="1069"/>
      <c r="CO41" s="996" t="s">
        <v>738</v>
      </c>
      <c r="CP41" s="1085" t="e">
        <f t="shared" ref="CP41:DM41" si="56">ROUND(2*STDEVP(CP9:CP39),1)</f>
        <v>#DIV/0!</v>
      </c>
      <c r="CQ41" s="719" t="e">
        <f t="shared" si="56"/>
        <v>#DIV/0!</v>
      </c>
      <c r="CR41" s="719" t="e">
        <f t="shared" si="56"/>
        <v>#DIV/0!</v>
      </c>
      <c r="CS41" s="719" t="e">
        <f t="shared" si="56"/>
        <v>#DIV/0!</v>
      </c>
      <c r="CT41" s="719" t="e">
        <f t="shared" si="56"/>
        <v>#DIV/0!</v>
      </c>
      <c r="CU41" s="719" t="e">
        <f t="shared" si="56"/>
        <v>#DIV/0!</v>
      </c>
      <c r="CV41" s="719" t="e">
        <f t="shared" si="56"/>
        <v>#DIV/0!</v>
      </c>
      <c r="CW41" s="719" t="e">
        <f t="shared" si="56"/>
        <v>#DIV/0!</v>
      </c>
      <c r="CX41" s="719" t="e">
        <f t="shared" si="56"/>
        <v>#DIV/0!</v>
      </c>
      <c r="CY41" s="719" t="e">
        <f t="shared" si="56"/>
        <v>#DIV/0!</v>
      </c>
      <c r="CZ41" s="719" t="e">
        <f t="shared" si="56"/>
        <v>#DIV/0!</v>
      </c>
      <c r="DA41" s="719" t="e">
        <f t="shared" si="56"/>
        <v>#DIV/0!</v>
      </c>
      <c r="DB41" s="719" t="e">
        <f t="shared" si="56"/>
        <v>#DIV/0!</v>
      </c>
      <c r="DC41" s="719" t="e">
        <f t="shared" si="56"/>
        <v>#DIV/0!</v>
      </c>
      <c r="DD41" s="719" t="e">
        <f t="shared" si="56"/>
        <v>#DIV/0!</v>
      </c>
      <c r="DE41" s="719" t="e">
        <f t="shared" si="56"/>
        <v>#DIV/0!</v>
      </c>
      <c r="DF41" s="719" t="e">
        <f t="shared" si="56"/>
        <v>#DIV/0!</v>
      </c>
      <c r="DG41" s="719" t="e">
        <f t="shared" si="56"/>
        <v>#DIV/0!</v>
      </c>
      <c r="DH41" s="719" t="e">
        <f t="shared" si="56"/>
        <v>#DIV/0!</v>
      </c>
      <c r="DI41" s="719" t="e">
        <f t="shared" si="56"/>
        <v>#DIV/0!</v>
      </c>
      <c r="DJ41" s="719" t="e">
        <f t="shared" si="56"/>
        <v>#DIV/0!</v>
      </c>
      <c r="DK41" s="719" t="e">
        <f t="shared" si="56"/>
        <v>#DIV/0!</v>
      </c>
      <c r="DL41" s="719" t="e">
        <f t="shared" si="56"/>
        <v>#DIV/0!</v>
      </c>
      <c r="DM41" s="719" t="e">
        <f t="shared" si="56"/>
        <v>#DIV/0!</v>
      </c>
      <c r="DN41" s="1086"/>
      <c r="DO41" s="1086"/>
      <c r="DP41" s="1086"/>
      <c r="DQ41" s="1069"/>
      <c r="DR41" s="1081" t="s">
        <v>942</v>
      </c>
      <c r="DS41" s="1087">
        <f>ROUND(AVERAGE(DS9:DS39),0)</f>
        <v>103</v>
      </c>
      <c r="DT41" s="1087">
        <f>ROUND(AVERAGE(DT9:DT39),0)</f>
        <v>93</v>
      </c>
      <c r="DU41" s="1087" t="s">
        <v>622</v>
      </c>
      <c r="DV41" s="1087" t="s">
        <v>623</v>
      </c>
      <c r="DW41" s="1087">
        <f>ROUND(AVERAGE(DW9:DW39),0)</f>
        <v>103</v>
      </c>
      <c r="DX41" s="1087" t="e">
        <f>ROUND(AVERAGE(DX9:DX39),0)</f>
        <v>#DIV/0!</v>
      </c>
      <c r="DY41" s="1087">
        <f>ROUND(AVERAGE(DY9:DY39),0)</f>
        <v>67</v>
      </c>
      <c r="DZ41" s="1087">
        <f>ROUND(AVERAGE(DZ9:DZ39),0)</f>
        <v>36</v>
      </c>
      <c r="EA41" s="1088">
        <f>ROUND(AVERAGE(EA9:EA39),2)</f>
        <v>0.65</v>
      </c>
      <c r="EB41" s="1088">
        <f>ROUND(AVERAGE(EB9:EB39),2)</f>
        <v>0.35</v>
      </c>
      <c r="EC41" s="1837"/>
      <c r="ED41" s="103"/>
      <c r="EE41" s="103"/>
      <c r="EV41" s="103"/>
      <c r="EW41" s="103"/>
    </row>
    <row r="42" spans="1:153" ht="15.6" thickBot="1">
      <c r="A42" s="103"/>
      <c r="B42" s="1077" t="s">
        <v>739</v>
      </c>
      <c r="C42" s="1077">
        <f t="shared" ref="C42:Z42" si="57">ROUND(2*STDEVP(C9:C39)+AVERAGE(C9:C39),0)</f>
        <v>150</v>
      </c>
      <c r="D42" s="1078">
        <f t="shared" si="57"/>
        <v>149</v>
      </c>
      <c r="E42" s="1078">
        <f t="shared" si="57"/>
        <v>148</v>
      </c>
      <c r="F42" s="1078">
        <f t="shared" si="57"/>
        <v>152</v>
      </c>
      <c r="G42" s="1078">
        <f t="shared" si="57"/>
        <v>163</v>
      </c>
      <c r="H42" s="1078">
        <f t="shared" si="57"/>
        <v>172</v>
      </c>
      <c r="I42" s="1078">
        <f t="shared" si="57"/>
        <v>183</v>
      </c>
      <c r="J42" s="1078">
        <f t="shared" si="57"/>
        <v>188</v>
      </c>
      <c r="K42" s="1078">
        <f t="shared" si="57"/>
        <v>188</v>
      </c>
      <c r="L42" s="1078">
        <f t="shared" si="57"/>
        <v>190</v>
      </c>
      <c r="M42" s="1078">
        <f t="shared" si="57"/>
        <v>189</v>
      </c>
      <c r="N42" s="1078">
        <f t="shared" si="57"/>
        <v>186</v>
      </c>
      <c r="O42" s="1078">
        <f t="shared" si="57"/>
        <v>182</v>
      </c>
      <c r="P42" s="1078">
        <f t="shared" si="57"/>
        <v>178</v>
      </c>
      <c r="Q42" s="1078">
        <f t="shared" si="57"/>
        <v>173</v>
      </c>
      <c r="R42" s="1078">
        <f t="shared" si="57"/>
        <v>166</v>
      </c>
      <c r="S42" s="1078">
        <f t="shared" si="57"/>
        <v>155</v>
      </c>
      <c r="T42" s="1078">
        <f t="shared" si="57"/>
        <v>154</v>
      </c>
      <c r="U42" s="1078">
        <f t="shared" si="57"/>
        <v>141</v>
      </c>
      <c r="V42" s="1078">
        <f t="shared" si="57"/>
        <v>124</v>
      </c>
      <c r="W42" s="1078">
        <f t="shared" si="57"/>
        <v>123</v>
      </c>
      <c r="X42" s="1078">
        <f t="shared" si="57"/>
        <v>136</v>
      </c>
      <c r="Y42" s="1078">
        <f t="shared" si="57"/>
        <v>147</v>
      </c>
      <c r="Z42" s="1078">
        <f t="shared" si="57"/>
        <v>152</v>
      </c>
      <c r="AA42" s="1077"/>
      <c r="AB42" s="1078"/>
      <c r="AC42" s="1078"/>
      <c r="AD42" s="1078"/>
      <c r="AE42" s="1078"/>
      <c r="AF42" s="1078"/>
      <c r="AG42" s="1078"/>
      <c r="AH42" s="1069"/>
      <c r="AI42" s="777" t="s">
        <v>759</v>
      </c>
      <c r="AJ42" s="685" t="e">
        <f t="shared" ref="AJ42:BG42" si="58">ROUND(2*STDEVP(AJ9:AJ39)+AVERAGE(AJ9:AJ39),0)</f>
        <v>#DIV/0!</v>
      </c>
      <c r="AK42" s="677" t="e">
        <f t="shared" si="58"/>
        <v>#DIV/0!</v>
      </c>
      <c r="AL42" s="677" t="e">
        <f t="shared" si="58"/>
        <v>#DIV/0!</v>
      </c>
      <c r="AM42" s="677" t="e">
        <f t="shared" si="58"/>
        <v>#DIV/0!</v>
      </c>
      <c r="AN42" s="677" t="e">
        <f t="shared" si="58"/>
        <v>#DIV/0!</v>
      </c>
      <c r="AO42" s="677" t="e">
        <f t="shared" si="58"/>
        <v>#DIV/0!</v>
      </c>
      <c r="AP42" s="677" t="e">
        <f t="shared" si="58"/>
        <v>#DIV/0!</v>
      </c>
      <c r="AQ42" s="677" t="e">
        <f t="shared" si="58"/>
        <v>#DIV/0!</v>
      </c>
      <c r="AR42" s="677" t="e">
        <f t="shared" si="58"/>
        <v>#DIV/0!</v>
      </c>
      <c r="AS42" s="677" t="e">
        <f t="shared" si="58"/>
        <v>#DIV/0!</v>
      </c>
      <c r="AT42" s="677" t="e">
        <f t="shared" si="58"/>
        <v>#DIV/0!</v>
      </c>
      <c r="AU42" s="677" t="e">
        <f t="shared" si="58"/>
        <v>#DIV/0!</v>
      </c>
      <c r="AV42" s="677" t="e">
        <f t="shared" si="58"/>
        <v>#DIV/0!</v>
      </c>
      <c r="AW42" s="677" t="e">
        <f t="shared" si="58"/>
        <v>#DIV/0!</v>
      </c>
      <c r="AX42" s="677" t="e">
        <f t="shared" si="58"/>
        <v>#DIV/0!</v>
      </c>
      <c r="AY42" s="677" t="e">
        <f t="shared" si="58"/>
        <v>#DIV/0!</v>
      </c>
      <c r="AZ42" s="677" t="e">
        <f t="shared" si="58"/>
        <v>#DIV/0!</v>
      </c>
      <c r="BA42" s="677" t="e">
        <f t="shared" si="58"/>
        <v>#DIV/0!</v>
      </c>
      <c r="BB42" s="677" t="e">
        <f t="shared" si="58"/>
        <v>#DIV/0!</v>
      </c>
      <c r="BC42" s="677" t="e">
        <f t="shared" si="58"/>
        <v>#DIV/0!</v>
      </c>
      <c r="BD42" s="677" t="e">
        <f t="shared" si="58"/>
        <v>#DIV/0!</v>
      </c>
      <c r="BE42" s="677" t="e">
        <f t="shared" si="58"/>
        <v>#DIV/0!</v>
      </c>
      <c r="BF42" s="677" t="e">
        <f t="shared" si="58"/>
        <v>#DIV/0!</v>
      </c>
      <c r="BG42" s="677" t="e">
        <f t="shared" si="58"/>
        <v>#DIV/0!</v>
      </c>
      <c r="BH42" s="644" t="e">
        <f>ROUND(AVERAGE(BH9:BH39),0)</f>
        <v>#DIV/0!</v>
      </c>
      <c r="BI42" s="614">
        <f>MAX(BI9:BI39)</f>
        <v>0</v>
      </c>
      <c r="BJ42" s="614">
        <f>MIN(BJ9:BJ39)</f>
        <v>0</v>
      </c>
      <c r="BK42" s="1069"/>
      <c r="BL42" s="777" t="s">
        <v>759</v>
      </c>
      <c r="BM42" s="685" t="e">
        <f t="shared" ref="BM42:CJ42" si="59">ROUND(2*STDEVP(BM9:BM39)+AVERAGE(BM9:BM39),0)</f>
        <v>#DIV/0!</v>
      </c>
      <c r="BN42" s="677" t="e">
        <f t="shared" si="59"/>
        <v>#DIV/0!</v>
      </c>
      <c r="BO42" s="677" t="e">
        <f t="shared" si="59"/>
        <v>#DIV/0!</v>
      </c>
      <c r="BP42" s="677" t="e">
        <f t="shared" si="59"/>
        <v>#DIV/0!</v>
      </c>
      <c r="BQ42" s="677" t="e">
        <f t="shared" si="59"/>
        <v>#DIV/0!</v>
      </c>
      <c r="BR42" s="677" t="e">
        <f t="shared" si="59"/>
        <v>#DIV/0!</v>
      </c>
      <c r="BS42" s="677" t="e">
        <f t="shared" si="59"/>
        <v>#DIV/0!</v>
      </c>
      <c r="BT42" s="677" t="e">
        <f t="shared" si="59"/>
        <v>#DIV/0!</v>
      </c>
      <c r="BU42" s="677" t="e">
        <f t="shared" si="59"/>
        <v>#DIV/0!</v>
      </c>
      <c r="BV42" s="677" t="e">
        <f t="shared" si="59"/>
        <v>#DIV/0!</v>
      </c>
      <c r="BW42" s="677" t="e">
        <f t="shared" si="59"/>
        <v>#DIV/0!</v>
      </c>
      <c r="BX42" s="677" t="e">
        <f t="shared" si="59"/>
        <v>#DIV/0!</v>
      </c>
      <c r="BY42" s="677" t="e">
        <f t="shared" si="59"/>
        <v>#DIV/0!</v>
      </c>
      <c r="BZ42" s="677" t="e">
        <f t="shared" si="59"/>
        <v>#DIV/0!</v>
      </c>
      <c r="CA42" s="677" t="e">
        <f t="shared" si="59"/>
        <v>#DIV/0!</v>
      </c>
      <c r="CB42" s="677" t="e">
        <f t="shared" si="59"/>
        <v>#DIV/0!</v>
      </c>
      <c r="CC42" s="677" t="e">
        <f t="shared" si="59"/>
        <v>#DIV/0!</v>
      </c>
      <c r="CD42" s="677" t="e">
        <f t="shared" si="59"/>
        <v>#DIV/0!</v>
      </c>
      <c r="CE42" s="677" t="e">
        <f t="shared" si="59"/>
        <v>#DIV/0!</v>
      </c>
      <c r="CF42" s="677" t="e">
        <f t="shared" si="59"/>
        <v>#DIV/0!</v>
      </c>
      <c r="CG42" s="677" t="e">
        <f t="shared" si="59"/>
        <v>#DIV/0!</v>
      </c>
      <c r="CH42" s="677" t="e">
        <f t="shared" si="59"/>
        <v>#DIV/0!</v>
      </c>
      <c r="CI42" s="677" t="e">
        <f t="shared" si="59"/>
        <v>#DIV/0!</v>
      </c>
      <c r="CJ42" s="677" t="e">
        <f t="shared" si="59"/>
        <v>#DIV/0!</v>
      </c>
      <c r="CK42" s="685" t="e">
        <f>ROUND(AVERAGE(CK9:CK38),0)</f>
        <v>#DIV/0!</v>
      </c>
      <c r="CL42" s="614">
        <f>MAX(CL9:CL38)</f>
        <v>0</v>
      </c>
      <c r="CM42" s="614">
        <f>MIN(CM9:CM38)</f>
        <v>0</v>
      </c>
      <c r="CN42" s="1069"/>
      <c r="CO42" s="996" t="s">
        <v>739</v>
      </c>
      <c r="CP42" s="1085" t="e">
        <f t="shared" ref="CP42:DM42" si="60">ROUND(2*STDEVP(CP9:CP39)+AVERAGE(CP9:CP39),1)</f>
        <v>#DIV/0!</v>
      </c>
      <c r="CQ42" s="719" t="e">
        <f t="shared" si="60"/>
        <v>#DIV/0!</v>
      </c>
      <c r="CR42" s="719" t="e">
        <f t="shared" si="60"/>
        <v>#DIV/0!</v>
      </c>
      <c r="CS42" s="719" t="e">
        <f t="shared" si="60"/>
        <v>#DIV/0!</v>
      </c>
      <c r="CT42" s="719" t="e">
        <f t="shared" si="60"/>
        <v>#DIV/0!</v>
      </c>
      <c r="CU42" s="719" t="e">
        <f t="shared" si="60"/>
        <v>#DIV/0!</v>
      </c>
      <c r="CV42" s="719" t="e">
        <f t="shared" si="60"/>
        <v>#DIV/0!</v>
      </c>
      <c r="CW42" s="719" t="e">
        <f t="shared" si="60"/>
        <v>#DIV/0!</v>
      </c>
      <c r="CX42" s="719" t="e">
        <f t="shared" si="60"/>
        <v>#DIV/0!</v>
      </c>
      <c r="CY42" s="719" t="e">
        <f t="shared" si="60"/>
        <v>#DIV/0!</v>
      </c>
      <c r="CZ42" s="719" t="e">
        <f t="shared" si="60"/>
        <v>#DIV/0!</v>
      </c>
      <c r="DA42" s="719" t="e">
        <f t="shared" si="60"/>
        <v>#DIV/0!</v>
      </c>
      <c r="DB42" s="719" t="e">
        <f t="shared" si="60"/>
        <v>#DIV/0!</v>
      </c>
      <c r="DC42" s="719" t="e">
        <f t="shared" si="60"/>
        <v>#DIV/0!</v>
      </c>
      <c r="DD42" s="719" t="e">
        <f t="shared" si="60"/>
        <v>#DIV/0!</v>
      </c>
      <c r="DE42" s="719" t="e">
        <f t="shared" si="60"/>
        <v>#DIV/0!</v>
      </c>
      <c r="DF42" s="719" t="e">
        <f t="shared" si="60"/>
        <v>#DIV/0!</v>
      </c>
      <c r="DG42" s="719" t="e">
        <f t="shared" si="60"/>
        <v>#DIV/0!</v>
      </c>
      <c r="DH42" s="719" t="e">
        <f t="shared" si="60"/>
        <v>#DIV/0!</v>
      </c>
      <c r="DI42" s="719" t="e">
        <f t="shared" si="60"/>
        <v>#DIV/0!</v>
      </c>
      <c r="DJ42" s="719" t="e">
        <f t="shared" si="60"/>
        <v>#DIV/0!</v>
      </c>
      <c r="DK42" s="719" t="e">
        <f t="shared" si="60"/>
        <v>#DIV/0!</v>
      </c>
      <c r="DL42" s="719" t="e">
        <f t="shared" si="60"/>
        <v>#DIV/0!</v>
      </c>
      <c r="DM42" s="719" t="e">
        <f t="shared" si="60"/>
        <v>#DIV/0!</v>
      </c>
      <c r="DN42" s="677" t="e">
        <f>ROUND(AVERAGE(DN9:DN38),0)</f>
        <v>#DIV/0!</v>
      </c>
      <c r="DO42" s="614"/>
      <c r="DP42" s="614"/>
      <c r="DQ42" s="1069"/>
      <c r="DR42" s="987" t="s">
        <v>770</v>
      </c>
      <c r="DS42" s="987"/>
      <c r="DT42" s="987"/>
      <c r="DU42" s="987">
        <f>MAX(DS9:DS39)</f>
        <v>172</v>
      </c>
      <c r="DV42" s="987"/>
      <c r="DW42" s="987"/>
      <c r="DX42" s="987"/>
      <c r="DY42" s="987"/>
      <c r="DZ42" s="987"/>
      <c r="EA42" s="987"/>
      <c r="EB42" s="987"/>
      <c r="EC42" s="103"/>
      <c r="ED42" s="103"/>
      <c r="EE42" s="103"/>
      <c r="EV42" s="103"/>
      <c r="EW42" s="103"/>
    </row>
    <row r="43" spans="1:153">
      <c r="A43" s="103"/>
      <c r="B43" s="1091"/>
      <c r="C43" s="1091"/>
      <c r="D43" s="1091"/>
      <c r="E43" s="1091"/>
      <c r="F43" s="1091"/>
      <c r="G43" s="1091"/>
      <c r="H43" s="1091"/>
      <c r="I43" s="1091"/>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995"/>
      <c r="AI43" s="777" t="s">
        <v>760</v>
      </c>
      <c r="AJ43" s="685" t="e">
        <f t="shared" ref="AJ43:BG43" si="61">AJ40</f>
        <v>#DIV/0!</v>
      </c>
      <c r="AK43" s="677" t="e">
        <f t="shared" si="61"/>
        <v>#DIV/0!</v>
      </c>
      <c r="AL43" s="677" t="e">
        <f t="shared" si="61"/>
        <v>#DIV/0!</v>
      </c>
      <c r="AM43" s="677" t="e">
        <f t="shared" si="61"/>
        <v>#DIV/0!</v>
      </c>
      <c r="AN43" s="677" t="e">
        <f t="shared" si="61"/>
        <v>#DIV/0!</v>
      </c>
      <c r="AO43" s="677" t="e">
        <f t="shared" si="61"/>
        <v>#DIV/0!</v>
      </c>
      <c r="AP43" s="677" t="e">
        <f t="shared" si="61"/>
        <v>#DIV/0!</v>
      </c>
      <c r="AQ43" s="677" t="e">
        <f t="shared" si="61"/>
        <v>#DIV/0!</v>
      </c>
      <c r="AR43" s="677" t="e">
        <f t="shared" si="61"/>
        <v>#DIV/0!</v>
      </c>
      <c r="AS43" s="677" t="e">
        <f t="shared" si="61"/>
        <v>#DIV/0!</v>
      </c>
      <c r="AT43" s="677" t="e">
        <f t="shared" si="61"/>
        <v>#DIV/0!</v>
      </c>
      <c r="AU43" s="677" t="e">
        <f t="shared" si="61"/>
        <v>#DIV/0!</v>
      </c>
      <c r="AV43" s="677" t="e">
        <f t="shared" si="61"/>
        <v>#DIV/0!</v>
      </c>
      <c r="AW43" s="677" t="e">
        <f t="shared" si="61"/>
        <v>#DIV/0!</v>
      </c>
      <c r="AX43" s="677" t="e">
        <f t="shared" si="61"/>
        <v>#DIV/0!</v>
      </c>
      <c r="AY43" s="677" t="e">
        <f t="shared" si="61"/>
        <v>#DIV/0!</v>
      </c>
      <c r="AZ43" s="677" t="e">
        <f t="shared" si="61"/>
        <v>#DIV/0!</v>
      </c>
      <c r="BA43" s="677" t="e">
        <f t="shared" si="61"/>
        <v>#DIV/0!</v>
      </c>
      <c r="BB43" s="677" t="e">
        <f t="shared" si="61"/>
        <v>#DIV/0!</v>
      </c>
      <c r="BC43" s="677" t="e">
        <f t="shared" si="61"/>
        <v>#DIV/0!</v>
      </c>
      <c r="BD43" s="677" t="e">
        <f t="shared" si="61"/>
        <v>#DIV/0!</v>
      </c>
      <c r="BE43" s="677" t="e">
        <f t="shared" si="61"/>
        <v>#DIV/0!</v>
      </c>
      <c r="BF43" s="677" t="e">
        <f t="shared" si="61"/>
        <v>#DIV/0!</v>
      </c>
      <c r="BG43" s="677" t="e">
        <f t="shared" si="61"/>
        <v>#DIV/0!</v>
      </c>
      <c r="BH43" s="1089" t="s">
        <v>131</v>
      </c>
      <c r="BI43" s="640" t="s">
        <v>432</v>
      </c>
      <c r="BJ43" s="640" t="s">
        <v>256</v>
      </c>
      <c r="BK43" s="1069"/>
      <c r="BL43" s="777" t="s">
        <v>760</v>
      </c>
      <c r="BM43" s="685" t="e">
        <f t="shared" ref="BM43:CJ43" si="62">BM40</f>
        <v>#DIV/0!</v>
      </c>
      <c r="BN43" s="677" t="e">
        <f t="shared" si="62"/>
        <v>#DIV/0!</v>
      </c>
      <c r="BO43" s="677" t="e">
        <f t="shared" si="62"/>
        <v>#DIV/0!</v>
      </c>
      <c r="BP43" s="677" t="e">
        <f t="shared" si="62"/>
        <v>#DIV/0!</v>
      </c>
      <c r="BQ43" s="677" t="e">
        <f t="shared" si="62"/>
        <v>#DIV/0!</v>
      </c>
      <c r="BR43" s="677" t="e">
        <f t="shared" si="62"/>
        <v>#DIV/0!</v>
      </c>
      <c r="BS43" s="677" t="e">
        <f t="shared" si="62"/>
        <v>#DIV/0!</v>
      </c>
      <c r="BT43" s="677" t="e">
        <f t="shared" si="62"/>
        <v>#DIV/0!</v>
      </c>
      <c r="BU43" s="677" t="e">
        <f t="shared" si="62"/>
        <v>#DIV/0!</v>
      </c>
      <c r="BV43" s="677" t="e">
        <f t="shared" si="62"/>
        <v>#DIV/0!</v>
      </c>
      <c r="BW43" s="677" t="e">
        <f t="shared" si="62"/>
        <v>#DIV/0!</v>
      </c>
      <c r="BX43" s="677" t="e">
        <f t="shared" si="62"/>
        <v>#DIV/0!</v>
      </c>
      <c r="BY43" s="677" t="e">
        <f t="shared" si="62"/>
        <v>#DIV/0!</v>
      </c>
      <c r="BZ43" s="677" t="e">
        <f t="shared" si="62"/>
        <v>#DIV/0!</v>
      </c>
      <c r="CA43" s="677" t="e">
        <f t="shared" si="62"/>
        <v>#DIV/0!</v>
      </c>
      <c r="CB43" s="677" t="e">
        <f t="shared" si="62"/>
        <v>#DIV/0!</v>
      </c>
      <c r="CC43" s="677" t="e">
        <f t="shared" si="62"/>
        <v>#DIV/0!</v>
      </c>
      <c r="CD43" s="677" t="e">
        <f t="shared" si="62"/>
        <v>#DIV/0!</v>
      </c>
      <c r="CE43" s="677" t="e">
        <f t="shared" si="62"/>
        <v>#DIV/0!</v>
      </c>
      <c r="CF43" s="677" t="e">
        <f t="shared" si="62"/>
        <v>#DIV/0!</v>
      </c>
      <c r="CG43" s="677" t="e">
        <f t="shared" si="62"/>
        <v>#DIV/0!</v>
      </c>
      <c r="CH43" s="677" t="e">
        <f t="shared" si="62"/>
        <v>#DIV/0!</v>
      </c>
      <c r="CI43" s="677" t="e">
        <f t="shared" si="62"/>
        <v>#DIV/0!</v>
      </c>
      <c r="CJ43" s="677" t="e">
        <f t="shared" si="62"/>
        <v>#DIV/0!</v>
      </c>
      <c r="CK43" s="806"/>
      <c r="CL43" s="640" t="s">
        <v>622</v>
      </c>
      <c r="CM43" s="640" t="s">
        <v>623</v>
      </c>
      <c r="CN43" s="1069"/>
      <c r="CO43" s="996" t="s">
        <v>767</v>
      </c>
      <c r="CP43" s="1085" t="e">
        <f t="shared" ref="CP43:DM43" si="63">CP40</f>
        <v>#DIV/0!</v>
      </c>
      <c r="CQ43" s="719" t="e">
        <f t="shared" si="63"/>
        <v>#DIV/0!</v>
      </c>
      <c r="CR43" s="719" t="e">
        <f t="shared" si="63"/>
        <v>#DIV/0!</v>
      </c>
      <c r="CS43" s="719" t="e">
        <f t="shared" si="63"/>
        <v>#DIV/0!</v>
      </c>
      <c r="CT43" s="719" t="e">
        <f t="shared" si="63"/>
        <v>#DIV/0!</v>
      </c>
      <c r="CU43" s="719" t="e">
        <f t="shared" si="63"/>
        <v>#DIV/0!</v>
      </c>
      <c r="CV43" s="719" t="e">
        <f t="shared" si="63"/>
        <v>#DIV/0!</v>
      </c>
      <c r="CW43" s="719" t="e">
        <f t="shared" si="63"/>
        <v>#DIV/0!</v>
      </c>
      <c r="CX43" s="719" t="e">
        <f t="shared" si="63"/>
        <v>#DIV/0!</v>
      </c>
      <c r="CY43" s="719" t="e">
        <f t="shared" si="63"/>
        <v>#DIV/0!</v>
      </c>
      <c r="CZ43" s="719" t="e">
        <f t="shared" si="63"/>
        <v>#DIV/0!</v>
      </c>
      <c r="DA43" s="719" t="e">
        <f t="shared" si="63"/>
        <v>#DIV/0!</v>
      </c>
      <c r="DB43" s="719" t="e">
        <f t="shared" si="63"/>
        <v>#DIV/0!</v>
      </c>
      <c r="DC43" s="719" t="e">
        <f t="shared" si="63"/>
        <v>#DIV/0!</v>
      </c>
      <c r="DD43" s="719" t="e">
        <f t="shared" si="63"/>
        <v>#DIV/0!</v>
      </c>
      <c r="DE43" s="719" t="e">
        <f t="shared" si="63"/>
        <v>#DIV/0!</v>
      </c>
      <c r="DF43" s="719" t="e">
        <f t="shared" si="63"/>
        <v>#DIV/0!</v>
      </c>
      <c r="DG43" s="719" t="e">
        <f t="shared" si="63"/>
        <v>#DIV/0!</v>
      </c>
      <c r="DH43" s="719" t="e">
        <f t="shared" si="63"/>
        <v>#DIV/0!</v>
      </c>
      <c r="DI43" s="719" t="e">
        <f t="shared" si="63"/>
        <v>#DIV/0!</v>
      </c>
      <c r="DJ43" s="719" t="e">
        <f t="shared" si="63"/>
        <v>#DIV/0!</v>
      </c>
      <c r="DK43" s="719" t="e">
        <f t="shared" si="63"/>
        <v>#DIV/0!</v>
      </c>
      <c r="DL43" s="719" t="e">
        <f t="shared" si="63"/>
        <v>#DIV/0!</v>
      </c>
      <c r="DM43" s="719" t="e">
        <f t="shared" si="63"/>
        <v>#DIV/0!</v>
      </c>
      <c r="DN43" s="1090"/>
      <c r="DO43" s="640" t="s">
        <v>622</v>
      </c>
      <c r="DP43" s="640" t="s">
        <v>623</v>
      </c>
      <c r="DQ43" s="1069"/>
      <c r="DR43" s="995" t="s">
        <v>771</v>
      </c>
      <c r="DS43" s="995"/>
      <c r="DT43" s="995"/>
      <c r="DU43" s="995">
        <f>DU40</f>
        <v>224</v>
      </c>
      <c r="DV43" s="995"/>
      <c r="DW43" s="995"/>
      <c r="DX43" s="995"/>
      <c r="DY43" s="995"/>
      <c r="DZ43" s="995"/>
      <c r="EA43" s="995"/>
      <c r="EB43" s="995"/>
      <c r="EC43" s="103"/>
      <c r="ED43" s="103"/>
      <c r="EE43" s="103"/>
      <c r="EV43" s="103"/>
      <c r="EW43" s="103"/>
    </row>
    <row r="44" spans="1:153" ht="16.2" thickBot="1">
      <c r="A44" s="103"/>
      <c r="B44" s="1420" t="s">
        <v>1339</v>
      </c>
      <c r="C44" s="1420"/>
      <c r="D44" s="1420"/>
      <c r="E44" s="1420"/>
      <c r="F44" s="1420"/>
      <c r="AH44" s="995"/>
      <c r="AI44" s="777" t="s">
        <v>759</v>
      </c>
      <c r="AJ44" s="685" t="e">
        <f t="shared" ref="AJ44:BG44" si="64">AJ42</f>
        <v>#DIV/0!</v>
      </c>
      <c r="AK44" s="677" t="e">
        <f t="shared" si="64"/>
        <v>#DIV/0!</v>
      </c>
      <c r="AL44" s="677" t="e">
        <f t="shared" si="64"/>
        <v>#DIV/0!</v>
      </c>
      <c r="AM44" s="677" t="e">
        <f t="shared" si="64"/>
        <v>#DIV/0!</v>
      </c>
      <c r="AN44" s="677" t="e">
        <f t="shared" si="64"/>
        <v>#DIV/0!</v>
      </c>
      <c r="AO44" s="677" t="e">
        <f t="shared" si="64"/>
        <v>#DIV/0!</v>
      </c>
      <c r="AP44" s="677" t="e">
        <f t="shared" si="64"/>
        <v>#DIV/0!</v>
      </c>
      <c r="AQ44" s="677" t="e">
        <f t="shared" si="64"/>
        <v>#DIV/0!</v>
      </c>
      <c r="AR44" s="677" t="e">
        <f t="shared" si="64"/>
        <v>#DIV/0!</v>
      </c>
      <c r="AS44" s="677" t="e">
        <f t="shared" si="64"/>
        <v>#DIV/0!</v>
      </c>
      <c r="AT44" s="677" t="e">
        <f t="shared" si="64"/>
        <v>#DIV/0!</v>
      </c>
      <c r="AU44" s="677" t="e">
        <f t="shared" si="64"/>
        <v>#DIV/0!</v>
      </c>
      <c r="AV44" s="677" t="e">
        <f t="shared" si="64"/>
        <v>#DIV/0!</v>
      </c>
      <c r="AW44" s="677" t="e">
        <f t="shared" si="64"/>
        <v>#DIV/0!</v>
      </c>
      <c r="AX44" s="677" t="e">
        <f t="shared" si="64"/>
        <v>#DIV/0!</v>
      </c>
      <c r="AY44" s="677" t="e">
        <f t="shared" si="64"/>
        <v>#DIV/0!</v>
      </c>
      <c r="AZ44" s="677" t="e">
        <f t="shared" si="64"/>
        <v>#DIV/0!</v>
      </c>
      <c r="BA44" s="677" t="e">
        <f t="shared" si="64"/>
        <v>#DIV/0!</v>
      </c>
      <c r="BB44" s="677" t="e">
        <f t="shared" si="64"/>
        <v>#DIV/0!</v>
      </c>
      <c r="BC44" s="677" t="e">
        <f t="shared" si="64"/>
        <v>#DIV/0!</v>
      </c>
      <c r="BD44" s="677" t="e">
        <f t="shared" si="64"/>
        <v>#DIV/0!</v>
      </c>
      <c r="BE44" s="677" t="e">
        <f t="shared" si="64"/>
        <v>#DIV/0!</v>
      </c>
      <c r="BF44" s="677" t="e">
        <f t="shared" si="64"/>
        <v>#DIV/0!</v>
      </c>
      <c r="BG44" s="677" t="e">
        <f t="shared" si="64"/>
        <v>#DIV/0!</v>
      </c>
      <c r="BH44" s="806"/>
      <c r="BI44" s="1090"/>
      <c r="BJ44" s="1090"/>
      <c r="BK44" s="1069"/>
      <c r="BL44" s="777" t="s">
        <v>759</v>
      </c>
      <c r="BM44" s="685" t="e">
        <f t="shared" ref="BM44:CJ44" si="65">BM42</f>
        <v>#DIV/0!</v>
      </c>
      <c r="BN44" s="677" t="e">
        <f t="shared" si="65"/>
        <v>#DIV/0!</v>
      </c>
      <c r="BO44" s="677" t="e">
        <f t="shared" si="65"/>
        <v>#DIV/0!</v>
      </c>
      <c r="BP44" s="677" t="e">
        <f t="shared" si="65"/>
        <v>#DIV/0!</v>
      </c>
      <c r="BQ44" s="677" t="e">
        <f t="shared" si="65"/>
        <v>#DIV/0!</v>
      </c>
      <c r="BR44" s="677" t="e">
        <f t="shared" si="65"/>
        <v>#DIV/0!</v>
      </c>
      <c r="BS44" s="677" t="e">
        <f t="shared" si="65"/>
        <v>#DIV/0!</v>
      </c>
      <c r="BT44" s="677" t="e">
        <f t="shared" si="65"/>
        <v>#DIV/0!</v>
      </c>
      <c r="BU44" s="677" t="e">
        <f t="shared" si="65"/>
        <v>#DIV/0!</v>
      </c>
      <c r="BV44" s="677" t="e">
        <f t="shared" si="65"/>
        <v>#DIV/0!</v>
      </c>
      <c r="BW44" s="677" t="e">
        <f t="shared" si="65"/>
        <v>#DIV/0!</v>
      </c>
      <c r="BX44" s="677" t="e">
        <f t="shared" si="65"/>
        <v>#DIV/0!</v>
      </c>
      <c r="BY44" s="677" t="e">
        <f t="shared" si="65"/>
        <v>#DIV/0!</v>
      </c>
      <c r="BZ44" s="677" t="e">
        <f t="shared" si="65"/>
        <v>#DIV/0!</v>
      </c>
      <c r="CA44" s="677" t="e">
        <f t="shared" si="65"/>
        <v>#DIV/0!</v>
      </c>
      <c r="CB44" s="677" t="e">
        <f t="shared" si="65"/>
        <v>#DIV/0!</v>
      </c>
      <c r="CC44" s="677" t="e">
        <f t="shared" si="65"/>
        <v>#DIV/0!</v>
      </c>
      <c r="CD44" s="677" t="e">
        <f t="shared" si="65"/>
        <v>#DIV/0!</v>
      </c>
      <c r="CE44" s="677" t="e">
        <f t="shared" si="65"/>
        <v>#DIV/0!</v>
      </c>
      <c r="CF44" s="677" t="e">
        <f t="shared" si="65"/>
        <v>#DIV/0!</v>
      </c>
      <c r="CG44" s="677" t="e">
        <f t="shared" si="65"/>
        <v>#DIV/0!</v>
      </c>
      <c r="CH44" s="677" t="e">
        <f t="shared" si="65"/>
        <v>#DIV/0!</v>
      </c>
      <c r="CI44" s="677" t="e">
        <f t="shared" si="65"/>
        <v>#DIV/0!</v>
      </c>
      <c r="CJ44" s="677" t="e">
        <f t="shared" si="65"/>
        <v>#DIV/0!</v>
      </c>
      <c r="CK44" s="806"/>
      <c r="CL44" s="1090"/>
      <c r="CM44" s="1090"/>
      <c r="CN44" s="1069"/>
      <c r="CO44" s="996" t="s">
        <v>739</v>
      </c>
      <c r="CP44" s="1085" t="e">
        <f t="shared" ref="CP44:DM44" si="66">CP42</f>
        <v>#DIV/0!</v>
      </c>
      <c r="CQ44" s="719" t="e">
        <f t="shared" si="66"/>
        <v>#DIV/0!</v>
      </c>
      <c r="CR44" s="719" t="e">
        <f t="shared" si="66"/>
        <v>#DIV/0!</v>
      </c>
      <c r="CS44" s="719" t="e">
        <f t="shared" si="66"/>
        <v>#DIV/0!</v>
      </c>
      <c r="CT44" s="719" t="e">
        <f t="shared" si="66"/>
        <v>#DIV/0!</v>
      </c>
      <c r="CU44" s="719" t="e">
        <f t="shared" si="66"/>
        <v>#DIV/0!</v>
      </c>
      <c r="CV44" s="719" t="e">
        <f t="shared" si="66"/>
        <v>#DIV/0!</v>
      </c>
      <c r="CW44" s="719" t="e">
        <f t="shared" si="66"/>
        <v>#DIV/0!</v>
      </c>
      <c r="CX44" s="719" t="e">
        <f t="shared" si="66"/>
        <v>#DIV/0!</v>
      </c>
      <c r="CY44" s="719" t="e">
        <f t="shared" si="66"/>
        <v>#DIV/0!</v>
      </c>
      <c r="CZ44" s="719" t="e">
        <f t="shared" si="66"/>
        <v>#DIV/0!</v>
      </c>
      <c r="DA44" s="719" t="e">
        <f t="shared" si="66"/>
        <v>#DIV/0!</v>
      </c>
      <c r="DB44" s="719" t="e">
        <f t="shared" si="66"/>
        <v>#DIV/0!</v>
      </c>
      <c r="DC44" s="719" t="e">
        <f t="shared" si="66"/>
        <v>#DIV/0!</v>
      </c>
      <c r="DD44" s="719" t="e">
        <f t="shared" si="66"/>
        <v>#DIV/0!</v>
      </c>
      <c r="DE44" s="719" t="e">
        <f t="shared" si="66"/>
        <v>#DIV/0!</v>
      </c>
      <c r="DF44" s="719" t="e">
        <f t="shared" si="66"/>
        <v>#DIV/0!</v>
      </c>
      <c r="DG44" s="719" t="e">
        <f t="shared" si="66"/>
        <v>#DIV/0!</v>
      </c>
      <c r="DH44" s="719" t="e">
        <f t="shared" si="66"/>
        <v>#DIV/0!</v>
      </c>
      <c r="DI44" s="719" t="e">
        <f t="shared" si="66"/>
        <v>#DIV/0!</v>
      </c>
      <c r="DJ44" s="719" t="e">
        <f t="shared" si="66"/>
        <v>#DIV/0!</v>
      </c>
      <c r="DK44" s="719" t="e">
        <f t="shared" si="66"/>
        <v>#DIV/0!</v>
      </c>
      <c r="DL44" s="719" t="e">
        <f t="shared" si="66"/>
        <v>#DIV/0!</v>
      </c>
      <c r="DM44" s="719" t="e">
        <f t="shared" si="66"/>
        <v>#DIV/0!</v>
      </c>
      <c r="DN44" s="1090"/>
      <c r="DO44" s="1090"/>
      <c r="DP44" s="1090"/>
      <c r="DQ44" s="1069"/>
      <c r="DR44" s="995"/>
      <c r="DS44" s="995"/>
      <c r="DT44" s="995"/>
      <c r="DU44" s="995"/>
      <c r="DV44" s="995"/>
      <c r="DW44" s="995"/>
      <c r="DX44" s="995"/>
      <c r="DY44" s="995"/>
      <c r="DZ44" s="995"/>
      <c r="EA44" s="995"/>
      <c r="EB44" s="995"/>
      <c r="EC44" s="103"/>
      <c r="ED44" s="103"/>
      <c r="EE44" s="103"/>
      <c r="EV44" s="103"/>
      <c r="EW44" s="103"/>
    </row>
    <row r="45" spans="1:153" ht="15.6">
      <c r="A45" s="103"/>
      <c r="B45" s="1420"/>
      <c r="C45" s="995"/>
      <c r="D45" s="995"/>
      <c r="E45" s="995"/>
      <c r="F45" s="995"/>
      <c r="G45" s="995"/>
      <c r="H45" s="995"/>
      <c r="I45" s="995"/>
      <c r="J45" s="995"/>
      <c r="K45" s="995"/>
      <c r="L45" s="995"/>
      <c r="M45" s="995"/>
      <c r="N45" s="995"/>
      <c r="O45" s="995"/>
      <c r="P45" s="995"/>
      <c r="Q45" s="995"/>
      <c r="R45" s="995"/>
      <c r="S45" s="995"/>
      <c r="T45" s="995"/>
      <c r="U45" s="995"/>
      <c r="V45" s="995"/>
      <c r="W45" s="995"/>
      <c r="X45" s="995"/>
      <c r="Y45" s="995"/>
      <c r="Z45" s="995"/>
      <c r="AA45" s="995"/>
      <c r="AB45" s="995"/>
      <c r="AC45" s="995"/>
      <c r="AD45" s="995"/>
      <c r="AE45" s="1058"/>
      <c r="AF45" s="995"/>
      <c r="AG45" s="995"/>
      <c r="AH45" s="995"/>
      <c r="AI45" s="1091"/>
      <c r="AJ45" s="1091"/>
      <c r="AK45" s="1091"/>
      <c r="AL45" s="1091"/>
      <c r="AM45" s="1091"/>
      <c r="AN45" s="1091"/>
      <c r="AO45" s="1091"/>
      <c r="AP45" s="1091"/>
      <c r="AQ45" s="1091"/>
      <c r="AR45" s="1091"/>
      <c r="AS45" s="1091"/>
      <c r="AT45" s="1091"/>
      <c r="AU45" s="1091"/>
      <c r="AV45" s="1091"/>
      <c r="AW45" s="1091"/>
      <c r="AX45" s="1091"/>
      <c r="AY45" s="1091"/>
      <c r="AZ45" s="1091"/>
      <c r="BA45" s="1091"/>
      <c r="BB45" s="1091"/>
      <c r="BC45" s="1091"/>
      <c r="BD45" s="1091"/>
      <c r="BE45" s="1091"/>
      <c r="BF45" s="1091"/>
      <c r="BG45" s="1091"/>
      <c r="BH45" s="1091"/>
      <c r="BI45" s="1091"/>
      <c r="BJ45" s="1091"/>
      <c r="BL45" s="1091"/>
      <c r="BM45" s="1091"/>
      <c r="BN45" s="1091"/>
      <c r="BO45" s="1091"/>
      <c r="BP45" s="1091"/>
      <c r="BQ45" s="1091"/>
      <c r="BR45" s="1091"/>
      <c r="BS45" s="1091"/>
      <c r="BT45" s="1091"/>
      <c r="BU45" s="1091"/>
      <c r="BV45" s="1091"/>
      <c r="BW45" s="1091"/>
      <c r="BX45" s="1091"/>
      <c r="BY45" s="1091"/>
      <c r="BZ45" s="1091"/>
      <c r="CA45" s="1091"/>
      <c r="CB45" s="1091"/>
      <c r="CC45" s="1091"/>
      <c r="CD45" s="1091"/>
      <c r="CE45" s="1091"/>
      <c r="CF45" s="1091"/>
      <c r="CG45" s="1091"/>
      <c r="CH45" s="1091"/>
      <c r="CI45" s="1091"/>
      <c r="CJ45" s="1091"/>
      <c r="CK45" s="1091"/>
      <c r="CL45" s="1091"/>
      <c r="CM45" s="1091"/>
      <c r="CO45" s="1091"/>
      <c r="CP45" s="1091"/>
      <c r="CQ45" s="1091"/>
      <c r="CR45" s="1091"/>
      <c r="CS45" s="1091"/>
      <c r="CT45" s="1091"/>
      <c r="CU45" s="1091"/>
      <c r="CV45" s="1091"/>
      <c r="CW45" s="1091"/>
      <c r="CX45" s="1091"/>
      <c r="CY45" s="1091"/>
      <c r="CZ45" s="1091"/>
      <c r="DA45" s="1091"/>
      <c r="DB45" s="1091"/>
      <c r="DC45" s="1091"/>
      <c r="DD45" s="1091"/>
      <c r="DE45" s="1091"/>
      <c r="DF45" s="1091"/>
      <c r="DG45" s="1091"/>
      <c r="DH45" s="1091"/>
      <c r="DI45" s="1091"/>
      <c r="DJ45" s="1091"/>
      <c r="DK45" s="1091"/>
      <c r="DL45" s="1091"/>
      <c r="DM45" s="1091"/>
      <c r="DN45" s="1091"/>
      <c r="DO45" s="1091"/>
      <c r="DP45" s="1091"/>
      <c r="EE45" s="103"/>
      <c r="EV45" s="103"/>
      <c r="EW45" s="103"/>
    </row>
    <row r="46" spans="1:153" ht="15.6">
      <c r="A46" s="103"/>
      <c r="B46" s="2465"/>
      <c r="C46" s="2465"/>
      <c r="D46" s="2465"/>
      <c r="E46" s="2465"/>
      <c r="F46" s="2465"/>
      <c r="G46" s="2465"/>
      <c r="H46" s="995"/>
      <c r="I46" s="995"/>
      <c r="J46" s="995"/>
      <c r="K46" s="995"/>
      <c r="L46" s="995"/>
      <c r="M46" s="995"/>
      <c r="N46" s="995"/>
      <c r="O46" s="995"/>
      <c r="P46" s="995"/>
      <c r="Q46" s="995"/>
      <c r="R46" s="995"/>
      <c r="S46" s="995"/>
      <c r="T46" s="995"/>
      <c r="U46" s="995"/>
      <c r="V46" s="995"/>
      <c r="W46" s="995"/>
      <c r="X46" s="995"/>
      <c r="Y46" s="995"/>
      <c r="Z46" s="995"/>
      <c r="AA46" s="995"/>
      <c r="AB46" s="995"/>
      <c r="AC46" s="995"/>
      <c r="AD46" s="1058"/>
      <c r="AE46" s="1058"/>
      <c r="AF46" s="995"/>
      <c r="AG46" s="995"/>
      <c r="AH46" s="995"/>
      <c r="AI46" s="1282"/>
      <c r="EE46" s="103"/>
      <c r="EV46" s="103"/>
      <c r="EW46" s="103"/>
    </row>
    <row r="47" spans="1:153">
      <c r="A47" s="103"/>
      <c r="B47" s="995"/>
      <c r="C47" s="995"/>
      <c r="D47" s="995"/>
      <c r="E47" s="995"/>
      <c r="F47" s="995"/>
      <c r="G47" s="995"/>
      <c r="H47" s="995"/>
      <c r="I47" s="995"/>
      <c r="J47" s="995"/>
      <c r="K47" s="995"/>
      <c r="L47" s="995"/>
      <c r="M47" s="995"/>
      <c r="N47" s="995"/>
      <c r="O47" s="995"/>
      <c r="P47" s="995"/>
      <c r="Q47" s="995"/>
      <c r="R47" s="995"/>
      <c r="S47" s="995"/>
      <c r="T47" s="995"/>
      <c r="U47" s="995"/>
      <c r="V47" s="995"/>
      <c r="W47" s="995"/>
      <c r="X47" s="995"/>
      <c r="Y47" s="995"/>
      <c r="Z47" s="995"/>
      <c r="AA47" s="995"/>
      <c r="AB47" s="995"/>
      <c r="AC47" s="995"/>
      <c r="AD47" s="1058"/>
      <c r="AE47" s="1058"/>
      <c r="AF47" s="995"/>
      <c r="AG47" s="995"/>
      <c r="AH47" s="995"/>
      <c r="EE47" s="103"/>
      <c r="EV47" s="103"/>
      <c r="EW47" s="103"/>
    </row>
    <row r="48" spans="1:153">
      <c r="A48" s="103"/>
      <c r="B48" s="995"/>
      <c r="C48" s="995"/>
      <c r="D48" s="995"/>
      <c r="E48" s="995"/>
      <c r="F48" s="995"/>
      <c r="G48" s="995"/>
      <c r="H48" s="995"/>
      <c r="I48" s="995"/>
      <c r="J48" s="995"/>
      <c r="K48" s="995"/>
      <c r="L48" s="995"/>
      <c r="M48" s="995"/>
      <c r="N48" s="995"/>
      <c r="O48" s="995"/>
      <c r="P48" s="995"/>
      <c r="Q48" s="995"/>
      <c r="R48" s="995"/>
      <c r="S48" s="995"/>
      <c r="T48" s="995"/>
      <c r="U48" s="995"/>
      <c r="V48" s="995"/>
      <c r="W48" s="995"/>
      <c r="X48" s="995"/>
      <c r="Y48" s="995"/>
      <c r="Z48" s="995"/>
      <c r="AA48" s="995"/>
      <c r="AB48" s="995"/>
      <c r="AC48" s="995"/>
      <c r="AD48" s="1058"/>
      <c r="AE48" s="1058"/>
      <c r="AF48" s="995"/>
      <c r="AG48" s="995"/>
      <c r="AH48" s="995"/>
      <c r="EE48" s="103"/>
      <c r="EV48" s="103"/>
      <c r="EW48" s="103"/>
    </row>
    <row r="49" spans="1:153" ht="30">
      <c r="A49" s="103"/>
      <c r="B49" s="1057" t="s">
        <v>740</v>
      </c>
      <c r="R49" s="2907">
        <f>DMREZ!$I$5</f>
        <v>42370</v>
      </c>
      <c r="S49" s="2907"/>
      <c r="T49" s="2907"/>
      <c r="U49" s="1059" t="str">
        <f>FIXED(DMREZ!$J$5,0,TRUE)</f>
        <v>2016</v>
      </c>
      <c r="AB49" s="995"/>
      <c r="AC49" s="995"/>
      <c r="AD49" s="1058"/>
      <c r="AE49" s="1058"/>
      <c r="AF49" s="995"/>
      <c r="AG49" s="995"/>
      <c r="AH49" s="995"/>
      <c r="AI49" s="1093" t="s">
        <v>761</v>
      </c>
      <c r="AJ49" s="1058"/>
      <c r="AK49" s="1058"/>
      <c r="AL49" s="1058"/>
      <c r="AM49" s="1058"/>
      <c r="AN49" s="1058"/>
      <c r="AO49" s="1058"/>
      <c r="AP49" s="1058"/>
      <c r="AQ49" s="1058"/>
      <c r="AR49" s="1058"/>
      <c r="AS49" s="1058"/>
      <c r="AT49" s="1058"/>
      <c r="AU49" s="1058"/>
      <c r="AV49" s="1058"/>
      <c r="AW49" s="1058"/>
      <c r="AX49" s="1058"/>
      <c r="AY49" s="2907">
        <f>DMREZ!$I$5</f>
        <v>42370</v>
      </c>
      <c r="AZ49" s="2907"/>
      <c r="BA49" s="2907"/>
      <c r="BB49" s="1059" t="str">
        <f>FIXED(DMREZ!$J$5,0,TRUE)</f>
        <v>2016</v>
      </c>
      <c r="BC49" s="1058"/>
      <c r="BD49" s="1058"/>
      <c r="BE49" s="1058"/>
      <c r="BF49" s="1058"/>
      <c r="BG49" s="1058"/>
      <c r="BH49" s="1058"/>
      <c r="BI49" s="1058"/>
      <c r="BJ49" s="1058"/>
      <c r="EE49" s="103"/>
      <c r="EV49" s="103"/>
      <c r="EW49" s="103"/>
    </row>
    <row r="50" spans="1:153">
      <c r="A50" s="103"/>
      <c r="B50" s="1092" t="s">
        <v>737</v>
      </c>
      <c r="AB50" s="995"/>
      <c r="AC50" s="995"/>
      <c r="AD50" s="1058"/>
      <c r="AE50" s="1058"/>
      <c r="AF50" s="995"/>
      <c r="AG50" s="995"/>
      <c r="AH50" s="995"/>
      <c r="AI50" s="1094" t="s">
        <v>762</v>
      </c>
      <c r="AJ50" s="995"/>
      <c r="AK50" s="995"/>
      <c r="AL50" s="995"/>
      <c r="AM50" s="995"/>
      <c r="AN50" s="995"/>
      <c r="AO50" s="995"/>
      <c r="AP50" s="995"/>
      <c r="AQ50" s="995"/>
      <c r="AR50" s="995"/>
      <c r="AS50" s="995"/>
      <c r="AT50" s="995"/>
      <c r="AU50" s="995"/>
      <c r="AV50" s="995"/>
      <c r="AW50" s="995"/>
      <c r="AX50" s="995"/>
      <c r="AY50" s="995"/>
      <c r="AZ50" s="995"/>
      <c r="BA50" s="995"/>
      <c r="BB50" s="995"/>
      <c r="BC50" s="995"/>
      <c r="BD50" s="995"/>
      <c r="BE50" s="995"/>
      <c r="BF50" s="995"/>
      <c r="BG50" s="995"/>
      <c r="BH50" s="995"/>
      <c r="BI50" s="995"/>
      <c r="BJ50" s="995"/>
      <c r="EE50" s="103"/>
      <c r="EV50" s="103"/>
      <c r="EW50" s="103"/>
    </row>
    <row r="51" spans="1:153">
      <c r="A51" s="103"/>
      <c r="AB51" s="995"/>
      <c r="AC51" s="995"/>
      <c r="AD51" s="1058"/>
      <c r="AE51" s="1058"/>
      <c r="AF51" s="995"/>
      <c r="AG51" s="995"/>
      <c r="AH51" s="995"/>
      <c r="AI51" s="1095"/>
      <c r="AJ51" s="1095"/>
      <c r="AK51" s="1095"/>
      <c r="AL51" s="1096"/>
      <c r="AM51" s="995"/>
      <c r="AN51" s="995"/>
      <c r="AO51" s="995"/>
      <c r="AP51" s="995"/>
      <c r="AQ51" s="995"/>
      <c r="AR51" s="1097"/>
      <c r="AS51" s="995"/>
      <c r="AT51" s="995"/>
      <c r="AU51" s="995"/>
      <c r="AV51" s="995"/>
      <c r="EE51" s="103"/>
      <c r="EV51" s="103"/>
      <c r="EW51" s="103"/>
    </row>
    <row r="52" spans="1:153" ht="15.6" thickBot="1">
      <c r="A52" s="103"/>
      <c r="AD52" s="1058"/>
      <c r="AE52" s="1058"/>
      <c r="AF52" s="995"/>
      <c r="AG52" s="995"/>
      <c r="AH52" s="995"/>
      <c r="EE52" s="103"/>
      <c r="EV52" s="103"/>
      <c r="EW52" s="103"/>
    </row>
    <row r="53" spans="1:153" ht="15.6" thickBot="1">
      <c r="A53" s="103"/>
      <c r="B53" s="1098"/>
      <c r="C53" s="1067" t="s">
        <v>632</v>
      </c>
      <c r="D53" s="1099"/>
      <c r="E53" s="1098"/>
      <c r="F53" s="56"/>
      <c r="G53" s="1067" t="s">
        <v>632</v>
      </c>
      <c r="H53" s="1067" t="s">
        <v>746</v>
      </c>
      <c r="I53" s="1067" t="s">
        <v>633</v>
      </c>
      <c r="J53" s="1099"/>
      <c r="K53" s="1098"/>
      <c r="L53" s="1098"/>
      <c r="M53" s="1098"/>
      <c r="N53" s="1098"/>
      <c r="O53" s="1098"/>
      <c r="P53" s="1098"/>
      <c r="Q53" s="1098"/>
      <c r="R53" s="56"/>
      <c r="S53" s="1067" t="s">
        <v>633</v>
      </c>
      <c r="T53" s="1067" t="s">
        <v>754</v>
      </c>
      <c r="U53" s="1067" t="s">
        <v>632</v>
      </c>
      <c r="V53" s="1099"/>
      <c r="W53" s="1098"/>
      <c r="X53" s="1098"/>
      <c r="Y53" s="1098"/>
      <c r="Z53" s="1098"/>
      <c r="AA53" s="1098"/>
      <c r="AD53" s="995"/>
      <c r="AE53" s="995"/>
      <c r="AF53" s="995"/>
      <c r="AG53" s="995"/>
      <c r="AH53" s="995"/>
      <c r="AI53" s="1098"/>
      <c r="AJ53" s="1067" t="s">
        <v>632</v>
      </c>
      <c r="AK53" s="1099"/>
      <c r="AL53" s="1098"/>
      <c r="AM53" s="56"/>
      <c r="AN53" s="1067" t="s">
        <v>632</v>
      </c>
      <c r="AO53" s="1067" t="s">
        <v>746</v>
      </c>
      <c r="AP53" s="1067" t="s">
        <v>633</v>
      </c>
      <c r="AQ53" s="1099"/>
      <c r="AR53" s="1098"/>
      <c r="AS53" s="1098"/>
      <c r="AT53" s="1098"/>
      <c r="AU53" s="1098"/>
      <c r="AV53" s="1098"/>
      <c r="AW53" s="1098"/>
      <c r="AX53" s="1098"/>
      <c r="AY53" s="56"/>
      <c r="AZ53" s="1067" t="s">
        <v>633</v>
      </c>
      <c r="BA53" s="1067" t="s">
        <v>754</v>
      </c>
      <c r="BB53" s="1067" t="s">
        <v>632</v>
      </c>
      <c r="BC53" s="1099"/>
      <c r="BD53" s="1098"/>
      <c r="BE53" s="1098"/>
      <c r="BF53" s="1098"/>
      <c r="BG53" s="1098"/>
      <c r="BH53" s="986"/>
      <c r="BI53" s="1062"/>
      <c r="BJ53" s="1062"/>
      <c r="BK53" s="1069"/>
      <c r="BL53" s="995"/>
      <c r="BM53" s="995"/>
      <c r="BN53" s="995"/>
      <c r="BO53" s="995"/>
      <c r="BP53" s="995"/>
      <c r="BQ53" s="995"/>
      <c r="BR53" s="995"/>
      <c r="BS53" s="995"/>
      <c r="BT53" s="995"/>
      <c r="BU53" s="995"/>
      <c r="BV53" s="995"/>
      <c r="BW53" s="995"/>
      <c r="BX53" s="995"/>
      <c r="BY53" s="995"/>
      <c r="BZ53" s="995"/>
      <c r="CA53" s="995"/>
      <c r="CB53" s="995"/>
      <c r="CC53" s="995"/>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c r="EC53" s="103"/>
      <c r="ED53" s="103"/>
      <c r="EE53" s="103"/>
      <c r="EV53" s="103"/>
      <c r="EW53" s="103"/>
    </row>
    <row r="54" spans="1:153" ht="15.6" thickBot="1">
      <c r="A54" s="103"/>
      <c r="B54" s="1067" t="s">
        <v>975</v>
      </c>
      <c r="C54" s="1100" t="s">
        <v>741</v>
      </c>
      <c r="D54" s="1067" t="s">
        <v>742</v>
      </c>
      <c r="E54" s="1068" t="s">
        <v>743</v>
      </c>
      <c r="F54" s="1068" t="s">
        <v>744</v>
      </c>
      <c r="G54" s="1068" t="s">
        <v>745</v>
      </c>
      <c r="H54" s="1068" t="s">
        <v>747</v>
      </c>
      <c r="I54" s="1068" t="s">
        <v>748</v>
      </c>
      <c r="J54" s="1068" t="s">
        <v>749</v>
      </c>
      <c r="K54" s="1068" t="s">
        <v>750</v>
      </c>
      <c r="L54" s="1068" t="s">
        <v>751</v>
      </c>
      <c r="M54" s="1068" t="s">
        <v>752</v>
      </c>
      <c r="N54" s="1068" t="s">
        <v>753</v>
      </c>
      <c r="O54" s="1068" t="s">
        <v>741</v>
      </c>
      <c r="P54" s="1068" t="s">
        <v>742</v>
      </c>
      <c r="Q54" s="1068" t="s">
        <v>743</v>
      </c>
      <c r="R54" s="1068" t="s">
        <v>744</v>
      </c>
      <c r="S54" s="1068" t="s">
        <v>745</v>
      </c>
      <c r="T54" s="1068" t="s">
        <v>747</v>
      </c>
      <c r="U54" s="1068" t="s">
        <v>748</v>
      </c>
      <c r="V54" s="1068" t="s">
        <v>749</v>
      </c>
      <c r="W54" s="1068" t="s">
        <v>750</v>
      </c>
      <c r="X54" s="1068" t="s">
        <v>751</v>
      </c>
      <c r="Y54" s="1068" t="s">
        <v>752</v>
      </c>
      <c r="Z54" s="1068" t="s">
        <v>753</v>
      </c>
      <c r="AA54" s="1067" t="s">
        <v>369</v>
      </c>
      <c r="AB54" s="1103"/>
      <c r="AD54" s="995"/>
      <c r="AE54" s="995"/>
      <c r="AF54" s="995"/>
      <c r="AG54" s="995"/>
      <c r="AH54" s="995"/>
      <c r="AI54" s="1067" t="s">
        <v>975</v>
      </c>
      <c r="AJ54" s="2453" t="s">
        <v>741</v>
      </c>
      <c r="AK54" s="2454" t="s">
        <v>742</v>
      </c>
      <c r="AL54" s="2455" t="s">
        <v>743</v>
      </c>
      <c r="AM54" s="2455" t="s">
        <v>744</v>
      </c>
      <c r="AN54" s="2455" t="s">
        <v>745</v>
      </c>
      <c r="AO54" s="2455" t="s">
        <v>747</v>
      </c>
      <c r="AP54" s="2455" t="s">
        <v>748</v>
      </c>
      <c r="AQ54" s="2455" t="s">
        <v>749</v>
      </c>
      <c r="AR54" s="2455" t="s">
        <v>750</v>
      </c>
      <c r="AS54" s="2455" t="s">
        <v>751</v>
      </c>
      <c r="AT54" s="2455" t="s">
        <v>752</v>
      </c>
      <c r="AU54" s="2455" t="s">
        <v>753</v>
      </c>
      <c r="AV54" s="2455" t="s">
        <v>741</v>
      </c>
      <c r="AW54" s="2455" t="s">
        <v>742</v>
      </c>
      <c r="AX54" s="2455" t="s">
        <v>743</v>
      </c>
      <c r="AY54" s="2455" t="s">
        <v>744</v>
      </c>
      <c r="AZ54" s="2455" t="s">
        <v>745</v>
      </c>
      <c r="BA54" s="2455" t="s">
        <v>747</v>
      </c>
      <c r="BB54" s="2455" t="s">
        <v>748</v>
      </c>
      <c r="BC54" s="2455" t="s">
        <v>749</v>
      </c>
      <c r="BD54" s="2455" t="s">
        <v>750</v>
      </c>
      <c r="BE54" s="2455" t="s">
        <v>751</v>
      </c>
      <c r="BF54" s="2455" t="s">
        <v>752</v>
      </c>
      <c r="BG54" s="2456" t="s">
        <v>753</v>
      </c>
      <c r="BH54" s="1631" t="s">
        <v>369</v>
      </c>
      <c r="BI54" s="625" t="s">
        <v>622</v>
      </c>
      <c r="BJ54" s="625" t="s">
        <v>623</v>
      </c>
      <c r="BK54" s="1069"/>
      <c r="BL54" s="995"/>
      <c r="BM54" s="995"/>
      <c r="BN54" s="995"/>
      <c r="BO54" s="995"/>
      <c r="BP54" s="995"/>
      <c r="BQ54" s="995"/>
      <c r="BR54" s="995"/>
      <c r="BS54" s="995"/>
      <c r="BT54" s="995"/>
      <c r="BU54" s="995"/>
      <c r="BV54" s="995"/>
      <c r="BW54" s="995"/>
      <c r="BX54" s="995"/>
      <c r="BY54" s="995"/>
      <c r="BZ54" s="995"/>
      <c r="CA54" s="995"/>
      <c r="CB54" s="995"/>
      <c r="CC54" s="995"/>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c r="EC54" s="103"/>
      <c r="ED54" s="103"/>
      <c r="EE54" s="103"/>
      <c r="EV54" s="103"/>
      <c r="EW54" s="103"/>
    </row>
    <row r="55" spans="1:153">
      <c r="A55" s="103"/>
      <c r="B55" s="1067" t="s">
        <v>313</v>
      </c>
      <c r="C55" s="1101">
        <f t="shared" ref="C55:Z65" si="67">IF(ISNUMBER(C9),IF(AJ55="",+IF(C9&gt;AJ$88,AJ$86,C9),C9),"")</f>
        <v>67</v>
      </c>
      <c r="D55" s="1102">
        <f t="shared" si="67"/>
        <v>64</v>
      </c>
      <c r="E55" s="1102">
        <f t="shared" si="67"/>
        <v>64</v>
      </c>
      <c r="F55" s="1102">
        <f t="shared" si="67"/>
        <v>71</v>
      </c>
      <c r="G55" s="1102">
        <f t="shared" si="67"/>
        <v>73</v>
      </c>
      <c r="H55" s="1102">
        <f>IF(ISNUMBER(H9),IF(AO55="",+IF(H9&gt;AO$88,AO$86,H9),H9),"")</f>
        <v>77</v>
      </c>
      <c r="I55" s="1102">
        <f t="shared" si="67"/>
        <v>81</v>
      </c>
      <c r="J55" s="1102">
        <f t="shared" si="67"/>
        <v>84</v>
      </c>
      <c r="K55" s="1102">
        <f t="shared" si="67"/>
        <v>96</v>
      </c>
      <c r="L55" s="1102">
        <f t="shared" si="67"/>
        <v>126</v>
      </c>
      <c r="M55" s="1102">
        <f>IF(ISNUMBER(M9),IF(AT55="",+IF(M9&gt;AT$88,AT$86,M9),M9),"")</f>
        <v>123</v>
      </c>
      <c r="N55" s="1102">
        <f t="shared" si="67"/>
        <v>121</v>
      </c>
      <c r="O55" s="1102">
        <f t="shared" si="67"/>
        <v>119</v>
      </c>
      <c r="P55" s="1102">
        <f t="shared" si="67"/>
        <v>117</v>
      </c>
      <c r="Q55" s="1102">
        <f t="shared" si="67"/>
        <v>114</v>
      </c>
      <c r="R55" s="1102">
        <f t="shared" si="67"/>
        <v>106</v>
      </c>
      <c r="S55" s="1102">
        <f t="shared" si="67"/>
        <v>96</v>
      </c>
      <c r="T55" s="1102">
        <f t="shared" si="67"/>
        <v>95</v>
      </c>
      <c r="U55" s="1102">
        <f t="shared" si="67"/>
        <v>77</v>
      </c>
      <c r="V55" s="1102">
        <f t="shared" si="67"/>
        <v>66</v>
      </c>
      <c r="W55" s="1102">
        <f t="shared" si="67"/>
        <v>66</v>
      </c>
      <c r="X55" s="1102">
        <f t="shared" si="67"/>
        <v>65</v>
      </c>
      <c r="Y55" s="1102">
        <f t="shared" si="67"/>
        <v>63</v>
      </c>
      <c r="Z55" s="1102">
        <f t="shared" si="67"/>
        <v>63</v>
      </c>
      <c r="AA55" s="1067">
        <f t="shared" ref="AA55:AA85" si="68">IF(SUM(C55:Z55)=0,"",ROUND(AVERAGE(C55:Z55),0))</f>
        <v>87</v>
      </c>
      <c r="AB55" s="1103"/>
      <c r="AD55" s="995"/>
      <c r="AE55" s="995"/>
      <c r="AF55" s="995"/>
      <c r="AG55" s="995"/>
      <c r="AH55" s="995"/>
      <c r="AI55" s="2490" t="s">
        <v>313</v>
      </c>
      <c r="AJ55" s="2494">
        <f t="shared" ref="AJ55" si="69">IF(C9&gt;0,C9,"")</f>
        <v>67</v>
      </c>
      <c r="AK55" s="2494">
        <f t="shared" ref="AK55:AK56" si="70">IF(D9&gt;0,D9,"")</f>
        <v>64</v>
      </c>
      <c r="AL55" s="2494">
        <f t="shared" ref="AL55:AL56" si="71">IF(E9&gt;0,E9,"")</f>
        <v>64</v>
      </c>
      <c r="AM55" s="2494">
        <f t="shared" ref="AM55:AM56" si="72">IF(F9&gt;0,F9,"")</f>
        <v>71</v>
      </c>
      <c r="AN55" s="2494">
        <f t="shared" ref="AN55:AN57" si="73">IF(G9&gt;0,G9,"")</f>
        <v>73</v>
      </c>
      <c r="AO55" s="2494">
        <f t="shared" ref="AO55:AO57" si="74">IF(H9&gt;0,H9,"")</f>
        <v>77</v>
      </c>
      <c r="AP55" s="2494">
        <f t="shared" ref="AP55:AP57" si="75">IF(I9&gt;0,I9,"")</f>
        <v>81</v>
      </c>
      <c r="AQ55" s="2494">
        <f t="shared" ref="AQ55:AQ57" si="76">IF(J9&gt;0,J9,"")</f>
        <v>84</v>
      </c>
      <c r="AR55" s="2494">
        <f t="shared" ref="AR55:AR57" si="77">IF(K9&gt;0,K9,"")</f>
        <v>96</v>
      </c>
      <c r="AS55" s="2494">
        <f t="shared" ref="AS55:AS57" si="78">IF(L9&gt;0,L9,"")</f>
        <v>126</v>
      </c>
      <c r="AT55" s="2494">
        <f t="shared" ref="AT55" si="79">IF(M9&gt;0,M9,"")</f>
        <v>123</v>
      </c>
      <c r="AU55" s="2494">
        <f t="shared" ref="AU55" si="80">IF(N9&gt;0,N9,"")</f>
        <v>121</v>
      </c>
      <c r="AV55" s="2494">
        <f t="shared" ref="AV55" si="81">IF(O9&gt;0,O9,"")</f>
        <v>119</v>
      </c>
      <c r="AW55" s="2494">
        <f t="shared" ref="AW55" si="82">IF(P9&gt;0,P9,"")</f>
        <v>117</v>
      </c>
      <c r="AX55" s="2494">
        <f t="shared" ref="AX55" si="83">IF(Q9&gt;0,Q9,"")</f>
        <v>114</v>
      </c>
      <c r="AY55" s="2494">
        <f t="shared" ref="AY55" si="84">IF(R9&gt;0,R9,"")</f>
        <v>106</v>
      </c>
      <c r="AZ55" s="2494">
        <f t="shared" ref="AZ55" si="85">IF(S9&gt;0,S9,"")</f>
        <v>96</v>
      </c>
      <c r="BA55" s="2494">
        <f t="shared" ref="BA55" si="86">IF(T9&gt;0,T9,"")</f>
        <v>95</v>
      </c>
      <c r="BB55" s="2494">
        <f t="shared" ref="BB55" si="87">IF(U9&gt;0,U9,"")</f>
        <v>77</v>
      </c>
      <c r="BC55" s="2494">
        <f t="shared" ref="BC55:BC56" si="88">IF(V9&gt;0,V9,"")</f>
        <v>66</v>
      </c>
      <c r="BD55" s="2494">
        <f t="shared" ref="BD55:BD56" si="89">IF(W9&gt;0,W9,"")</f>
        <v>66</v>
      </c>
      <c r="BE55" s="2494">
        <f t="shared" ref="BE55:BE56" si="90">IF(X9&gt;0,X9,"")</f>
        <v>65</v>
      </c>
      <c r="BF55" s="2494">
        <f t="shared" ref="BF55:BF56" si="91">IF(Y9&gt;0,Y9,"")</f>
        <v>63</v>
      </c>
      <c r="BG55" s="2495">
        <f t="shared" ref="BG55:BG56" si="92">IF(Z9&gt;0,Z9,"")</f>
        <v>63</v>
      </c>
      <c r="BH55" s="2493">
        <f t="shared" ref="BH55:BH85" si="93">IF(SUM(AJ55:BG55)=0,"",ROUND(AVERAGE(AJ55:BG55),0))</f>
        <v>87</v>
      </c>
      <c r="BI55" s="2378">
        <f t="shared" ref="BI55:BI85" si="94">IF(SUM(AJ55:BG55)=0,"",ROUND(MAX(AJ55:BG55),0))</f>
        <v>126</v>
      </c>
      <c r="BJ55" s="2379">
        <f t="shared" ref="BJ55:BJ85" si="95">IF(SUM(AJ55:BG55)=0,"",ROUND(MIN(AJ55:BG55),0))</f>
        <v>63</v>
      </c>
      <c r="BK55" s="2377" t="str">
        <f>+DMREZ!AI11</f>
        <v>Clear</v>
      </c>
      <c r="BL55" s="995"/>
      <c r="BM55" s="995"/>
      <c r="BN55" s="995"/>
      <c r="BO55" s="995"/>
      <c r="BP55" s="995"/>
      <c r="BQ55" s="995"/>
      <c r="BR55" s="995"/>
      <c r="BS55" s="995"/>
      <c r="BT55" s="995"/>
      <c r="BU55" s="995"/>
      <c r="BV55" s="995"/>
      <c r="BW55" s="995"/>
      <c r="BX55" s="995"/>
      <c r="BY55" s="995"/>
      <c r="BZ55" s="995"/>
      <c r="CA55" s="995"/>
      <c r="CB55" s="995"/>
      <c r="CC55" s="995"/>
      <c r="CD55" s="995"/>
      <c r="CE55" s="995"/>
      <c r="CF55" s="995"/>
      <c r="CG55" s="995"/>
      <c r="CH55" s="995"/>
      <c r="CI55" s="995"/>
      <c r="CJ55" s="995"/>
      <c r="CK55" s="995"/>
      <c r="CL55" s="995"/>
      <c r="CM55" s="995"/>
      <c r="CN55" s="995"/>
      <c r="CO55" s="995"/>
      <c r="CP55" s="995"/>
      <c r="CQ55" s="995"/>
      <c r="CR55" s="995"/>
      <c r="CS55" s="995"/>
      <c r="CT55" s="995"/>
      <c r="CU55" s="995"/>
      <c r="CV55" s="995"/>
      <c r="CW55" s="995"/>
      <c r="CX55" s="995"/>
      <c r="CY55" s="995"/>
      <c r="CZ55" s="995"/>
      <c r="DA55" s="995"/>
      <c r="DB55" s="995"/>
      <c r="DC55" s="995"/>
      <c r="DD55" s="995"/>
      <c r="DE55" s="995"/>
      <c r="DF55" s="995"/>
      <c r="DG55" s="995"/>
      <c r="DH55" s="995"/>
      <c r="DI55" s="995"/>
      <c r="DJ55" s="995"/>
      <c r="DK55" s="995"/>
      <c r="DL55" s="995"/>
      <c r="DM55" s="995"/>
      <c r="DN55" s="995"/>
      <c r="DO55" s="995"/>
      <c r="DP55" s="995"/>
      <c r="DQ55" s="995"/>
      <c r="DR55" s="995"/>
      <c r="DS55" s="995"/>
      <c r="DT55" s="995"/>
      <c r="DU55" s="995"/>
      <c r="DV55" s="995"/>
      <c r="DW55" s="995"/>
      <c r="DX55" s="995"/>
      <c r="DY55" s="995"/>
      <c r="DZ55" s="995"/>
      <c r="EA55" s="995"/>
      <c r="EB55" s="995"/>
      <c r="EC55" s="103"/>
      <c r="ED55" s="103"/>
      <c r="EE55" s="103"/>
      <c r="EV55" s="103"/>
      <c r="EW55" s="103"/>
    </row>
    <row r="56" spans="1:153">
      <c r="A56" s="103"/>
      <c r="B56" s="1077" t="s">
        <v>314</v>
      </c>
      <c r="C56" s="1073">
        <f t="shared" ref="C56:L56" si="96">IF(ISNUMBER(C10),IF(AJ56="",+IF(C10&gt;AJ$88,AJ$86,C10),C10),"")</f>
        <v>61</v>
      </c>
      <c r="D56" s="1073">
        <f t="shared" si="96"/>
        <v>59</v>
      </c>
      <c r="E56" s="1073">
        <f t="shared" si="96"/>
        <v>65</v>
      </c>
      <c r="F56" s="1073">
        <f t="shared" si="96"/>
        <v>73</v>
      </c>
      <c r="G56" s="1073">
        <f t="shared" si="96"/>
        <v>82</v>
      </c>
      <c r="H56" s="1073">
        <f t="shared" si="96"/>
        <v>87</v>
      </c>
      <c r="I56" s="1073">
        <f t="shared" si="96"/>
        <v>96</v>
      </c>
      <c r="J56" s="1073">
        <f t="shared" si="96"/>
        <v>115</v>
      </c>
      <c r="K56" s="1073">
        <f t="shared" si="96"/>
        <v>115</v>
      </c>
      <c r="L56" s="1073">
        <f t="shared" si="96"/>
        <v>118</v>
      </c>
      <c r="M56" s="1073">
        <f t="shared" si="67"/>
        <v>114</v>
      </c>
      <c r="N56" s="1073">
        <f t="shared" si="67"/>
        <v>113</v>
      </c>
      <c r="O56" s="1073">
        <f t="shared" si="67"/>
        <v>112</v>
      </c>
      <c r="P56" s="1073">
        <f t="shared" si="67"/>
        <v>110</v>
      </c>
      <c r="Q56" s="1073">
        <f t="shared" si="67"/>
        <v>111</v>
      </c>
      <c r="R56" s="1073">
        <f t="shared" si="67"/>
        <v>108</v>
      </c>
      <c r="S56" s="1073">
        <f t="shared" si="67"/>
        <v>116</v>
      </c>
      <c r="T56" s="1073">
        <f t="shared" si="67"/>
        <v>103</v>
      </c>
      <c r="U56" s="1073">
        <f t="shared" si="67"/>
        <v>72</v>
      </c>
      <c r="V56" s="1073">
        <f t="shared" si="67"/>
        <v>72</v>
      </c>
      <c r="W56" s="1073">
        <f t="shared" si="67"/>
        <v>72</v>
      </c>
      <c r="X56" s="1073">
        <f t="shared" si="67"/>
        <v>71</v>
      </c>
      <c r="Y56" s="1073">
        <f t="shared" si="67"/>
        <v>68</v>
      </c>
      <c r="Z56" s="1073">
        <f t="shared" si="67"/>
        <v>67</v>
      </c>
      <c r="AA56" s="1077">
        <f t="shared" si="68"/>
        <v>91</v>
      </c>
      <c r="AB56" s="1103"/>
      <c r="AD56" s="995"/>
      <c r="AE56" s="995"/>
      <c r="AF56" s="995"/>
      <c r="AG56" s="995"/>
      <c r="AH56" s="995"/>
      <c r="AI56" s="2463" t="s">
        <v>314</v>
      </c>
      <c r="AJ56" s="2466">
        <f t="shared" ref="AJ56:AK60" si="97">IF(C10&gt;0,C10,"")</f>
        <v>61</v>
      </c>
      <c r="AK56" s="2466">
        <f t="shared" si="70"/>
        <v>59</v>
      </c>
      <c r="AL56" s="2466">
        <f t="shared" si="71"/>
        <v>65</v>
      </c>
      <c r="AM56" s="2466">
        <f t="shared" si="72"/>
        <v>73</v>
      </c>
      <c r="AN56" s="2466">
        <f t="shared" si="73"/>
        <v>82</v>
      </c>
      <c r="AO56" s="2466">
        <f t="shared" si="74"/>
        <v>87</v>
      </c>
      <c r="AP56" s="2466">
        <f t="shared" si="75"/>
        <v>96</v>
      </c>
      <c r="AQ56" s="1914">
        <f t="shared" si="76"/>
        <v>115</v>
      </c>
      <c r="AR56" s="1914">
        <f t="shared" si="77"/>
        <v>115</v>
      </c>
      <c r="AS56" s="1914">
        <f t="shared" si="78"/>
        <v>118</v>
      </c>
      <c r="AT56" s="1914">
        <f t="shared" ref="AT56:AT57" si="98">IF(M10&gt;0,M10,"")</f>
        <v>114</v>
      </c>
      <c r="AU56" s="1914">
        <f t="shared" ref="AU56" si="99">IF(N10&gt;0,N10,"")</f>
        <v>113</v>
      </c>
      <c r="AV56" s="1914">
        <f t="shared" ref="AV56" si="100">IF(O10&gt;0,O10,"")</f>
        <v>112</v>
      </c>
      <c r="AW56" s="1914">
        <f t="shared" ref="AW56" si="101">IF(P10&gt;0,P10,"")</f>
        <v>110</v>
      </c>
      <c r="AX56" s="1914">
        <f t="shared" ref="AX56:AX57" si="102">IF(Q10&gt;0,Q10,"")</f>
        <v>111</v>
      </c>
      <c r="AY56" s="1914">
        <f t="shared" ref="AY56:AY57" si="103">IF(R10&gt;0,R10,"")</f>
        <v>108</v>
      </c>
      <c r="AZ56" s="1914">
        <f t="shared" ref="AZ56:AZ57" si="104">IF(S10&gt;0,S10,"")</f>
        <v>116</v>
      </c>
      <c r="BA56" s="1914">
        <f t="shared" ref="BA56:BA57" si="105">IF(T10&gt;0,T10,"")</f>
        <v>103</v>
      </c>
      <c r="BB56" s="1914">
        <f t="shared" ref="BB56" si="106">IF(U10&gt;0,U10,"")</f>
        <v>72</v>
      </c>
      <c r="BC56" s="1914">
        <f t="shared" si="88"/>
        <v>72</v>
      </c>
      <c r="BD56" s="1914">
        <f t="shared" si="89"/>
        <v>72</v>
      </c>
      <c r="BE56" s="1914">
        <f t="shared" si="90"/>
        <v>71</v>
      </c>
      <c r="BF56" s="1914">
        <f t="shared" si="91"/>
        <v>68</v>
      </c>
      <c r="BG56" s="1915">
        <f t="shared" si="92"/>
        <v>67</v>
      </c>
      <c r="BH56" s="1913">
        <f t="shared" si="93"/>
        <v>91</v>
      </c>
      <c r="BI56" s="677">
        <f t="shared" si="94"/>
        <v>118</v>
      </c>
      <c r="BJ56" s="1891">
        <f t="shared" si="95"/>
        <v>59</v>
      </c>
      <c r="BK56" s="2377" t="str">
        <f>+DMREZ!AI12</f>
        <v>Clear</v>
      </c>
      <c r="BL56" s="995"/>
      <c r="BM56" s="995"/>
      <c r="BN56" s="995"/>
      <c r="BO56" s="995"/>
      <c r="BP56" s="995"/>
      <c r="BQ56" s="995"/>
      <c r="BR56" s="995"/>
      <c r="BS56" s="995"/>
      <c r="BT56" s="995"/>
      <c r="BU56" s="995"/>
      <c r="BV56" s="995"/>
      <c r="BW56" s="995"/>
      <c r="BX56" s="995"/>
      <c r="BY56" s="995"/>
      <c r="BZ56" s="995"/>
      <c r="CA56" s="995"/>
      <c r="CB56" s="995"/>
      <c r="CC56" s="995"/>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c r="EC56" s="103"/>
      <c r="ED56" s="103"/>
      <c r="EE56" s="103"/>
      <c r="EV56" s="103"/>
      <c r="EW56" s="103"/>
    </row>
    <row r="57" spans="1:153">
      <c r="A57" s="103"/>
      <c r="B57" s="1077" t="s">
        <v>315</v>
      </c>
      <c r="C57" s="1104">
        <f t="shared" si="67"/>
        <v>65</v>
      </c>
      <c r="D57" s="1073">
        <f t="shared" si="67"/>
        <v>63</v>
      </c>
      <c r="E57" s="1073">
        <f t="shared" si="67"/>
        <v>65</v>
      </c>
      <c r="F57" s="1073">
        <f t="shared" si="67"/>
        <v>68</v>
      </c>
      <c r="G57" s="1073">
        <f t="shared" si="67"/>
        <v>80</v>
      </c>
      <c r="H57" s="1073">
        <f t="shared" si="67"/>
        <v>87</v>
      </c>
      <c r="I57" s="1073">
        <f>IF(ISNUMBER(I11),IF(AP57="",+IF(I11&gt;AP$88,AP$86,I11),I11),"")</f>
        <v>102</v>
      </c>
      <c r="J57" s="1073">
        <f>IF(ISNUMBER(J11),IF(AQ57="",+IF(J11&gt;AQ$88,AQ$86,J11),J11),"")</f>
        <v>119</v>
      </c>
      <c r="K57" s="1073">
        <f t="shared" si="67"/>
        <v>120</v>
      </c>
      <c r="L57" s="1073">
        <f t="shared" si="67"/>
        <v>120</v>
      </c>
      <c r="M57" s="1073">
        <f t="shared" si="67"/>
        <v>119</v>
      </c>
      <c r="N57" s="1073">
        <f t="shared" si="67"/>
        <v>111</v>
      </c>
      <c r="O57" s="1073">
        <f t="shared" si="67"/>
        <v>112</v>
      </c>
      <c r="P57" s="1073">
        <f t="shared" si="67"/>
        <v>112</v>
      </c>
      <c r="Q57" s="1073">
        <f t="shared" si="67"/>
        <v>112</v>
      </c>
      <c r="R57" s="1073">
        <f t="shared" si="67"/>
        <v>113</v>
      </c>
      <c r="S57" s="1073">
        <f t="shared" si="67"/>
        <v>111</v>
      </c>
      <c r="T57" s="1073">
        <f t="shared" si="67"/>
        <v>111</v>
      </c>
      <c r="U57" s="1073">
        <f t="shared" si="67"/>
        <v>105</v>
      </c>
      <c r="V57" s="1073">
        <f t="shared" si="67"/>
        <v>96</v>
      </c>
      <c r="W57" s="1073">
        <f t="shared" si="67"/>
        <v>72</v>
      </c>
      <c r="X57" s="1073">
        <f t="shared" si="67"/>
        <v>63</v>
      </c>
      <c r="Y57" s="1073">
        <f t="shared" si="67"/>
        <v>58</v>
      </c>
      <c r="Z57" s="1073">
        <f t="shared" si="67"/>
        <v>57</v>
      </c>
      <c r="AA57" s="1077">
        <f t="shared" si="68"/>
        <v>93</v>
      </c>
      <c r="AB57" s="1103"/>
      <c r="AD57" s="995"/>
      <c r="AE57" s="995"/>
      <c r="AF57" s="995"/>
      <c r="AG57" s="995"/>
      <c r="AH57" s="995"/>
      <c r="AI57" s="2463" t="s">
        <v>315</v>
      </c>
      <c r="AJ57" s="2466">
        <f t="shared" si="97"/>
        <v>65</v>
      </c>
      <c r="AK57" s="1914">
        <f t="shared" ref="AK57" si="107">IF(D11&gt;0,D11,"")</f>
        <v>63</v>
      </c>
      <c r="AL57" s="1914">
        <f t="shared" ref="AL57" si="108">IF(E11&gt;0,E11,"")</f>
        <v>65</v>
      </c>
      <c r="AM57" s="1914">
        <f t="shared" ref="AM57" si="109">IF(F11&gt;0,F11,"")</f>
        <v>68</v>
      </c>
      <c r="AN57" s="1914">
        <f t="shared" si="73"/>
        <v>80</v>
      </c>
      <c r="AO57" s="1914">
        <f t="shared" si="74"/>
        <v>87</v>
      </c>
      <c r="AP57" s="1914">
        <f t="shared" si="75"/>
        <v>102</v>
      </c>
      <c r="AQ57" s="1914">
        <f t="shared" si="76"/>
        <v>119</v>
      </c>
      <c r="AR57" s="1914">
        <f t="shared" si="77"/>
        <v>120</v>
      </c>
      <c r="AS57" s="1914">
        <f t="shared" si="78"/>
        <v>120</v>
      </c>
      <c r="AT57" s="1914">
        <f t="shared" si="98"/>
        <v>119</v>
      </c>
      <c r="AU57" s="2476">
        <f t="shared" ref="AU57:AU79" si="110">IF(N11&gt;0,N11,"")</f>
        <v>111</v>
      </c>
      <c r="AV57" s="1914">
        <f t="shared" ref="AV57:AV79" si="111">IF(O11&gt;0,O11,"")</f>
        <v>112</v>
      </c>
      <c r="AW57" s="2471">
        <f t="shared" ref="AW57:AW77" si="112">IF(P11&gt;0,P11,"")</f>
        <v>112</v>
      </c>
      <c r="AX57" s="2471">
        <f t="shared" si="102"/>
        <v>112</v>
      </c>
      <c r="AY57" s="2471">
        <f t="shared" si="103"/>
        <v>113</v>
      </c>
      <c r="AZ57" s="2471">
        <f t="shared" si="104"/>
        <v>111</v>
      </c>
      <c r="BA57" s="2471">
        <f t="shared" si="105"/>
        <v>111</v>
      </c>
      <c r="BB57" s="1914">
        <f t="shared" ref="AN57:BD71" si="113">IF(U11&gt;0,U11,"")</f>
        <v>105</v>
      </c>
      <c r="BC57" s="1914">
        <f t="shared" si="113"/>
        <v>96</v>
      </c>
      <c r="BD57" s="1914">
        <f t="shared" si="113"/>
        <v>72</v>
      </c>
      <c r="BE57" s="1914">
        <f t="shared" ref="BE57" si="114">IF(X11&gt;0,X11,"")</f>
        <v>63</v>
      </c>
      <c r="BF57" s="1914">
        <f t="shared" ref="BF57:BF59" si="115">IF(Y11&gt;0,Y11,"")</f>
        <v>58</v>
      </c>
      <c r="BG57" s="1915">
        <f t="shared" ref="BG57:BG85" si="116">IF(Z11&gt;0,Z11,"")</f>
        <v>57</v>
      </c>
      <c r="BH57" s="1913">
        <f t="shared" si="93"/>
        <v>93</v>
      </c>
      <c r="BI57" s="677">
        <f t="shared" si="94"/>
        <v>120</v>
      </c>
      <c r="BJ57" s="1891">
        <f t="shared" si="95"/>
        <v>57</v>
      </c>
      <c r="BK57" s="2377" t="str">
        <f>+DMREZ!AI13</f>
        <v>Clear</v>
      </c>
      <c r="BL57" s="995"/>
      <c r="BM57" s="995"/>
      <c r="BN57" s="995"/>
      <c r="BO57" s="995"/>
      <c r="BP57" s="995"/>
      <c r="BQ57" s="995"/>
      <c r="BR57" s="995"/>
      <c r="BS57" s="995"/>
      <c r="BT57" s="995"/>
      <c r="BU57" s="995"/>
      <c r="BV57" s="995"/>
      <c r="BW57" s="995"/>
      <c r="BX57" s="995"/>
      <c r="BY57" s="995"/>
      <c r="BZ57" s="995"/>
      <c r="CA57" s="995"/>
      <c r="CB57" s="995"/>
      <c r="CC57" s="995"/>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c r="EC57" s="103"/>
      <c r="ED57" s="103"/>
      <c r="EE57" s="103"/>
      <c r="EV57" s="103"/>
      <c r="EW57" s="103"/>
    </row>
    <row r="58" spans="1:153">
      <c r="A58" s="103"/>
      <c r="B58" s="1077" t="s">
        <v>316</v>
      </c>
      <c r="C58" s="1104">
        <f t="shared" si="67"/>
        <v>59</v>
      </c>
      <c r="D58" s="1073">
        <f t="shared" si="67"/>
        <v>74</v>
      </c>
      <c r="E58" s="1073">
        <f t="shared" si="67"/>
        <v>86</v>
      </c>
      <c r="F58" s="1073">
        <f t="shared" si="67"/>
        <v>83</v>
      </c>
      <c r="G58" s="1073">
        <f t="shared" si="67"/>
        <v>84</v>
      </c>
      <c r="H58" s="1073">
        <f t="shared" si="67"/>
        <v>86</v>
      </c>
      <c r="I58" s="1073">
        <f t="shared" si="67"/>
        <v>80</v>
      </c>
      <c r="J58" s="1073">
        <f t="shared" si="67"/>
        <v>73</v>
      </c>
      <c r="K58" s="1073">
        <f t="shared" si="67"/>
        <v>86</v>
      </c>
      <c r="L58" s="1073">
        <f t="shared" si="67"/>
        <v>87</v>
      </c>
      <c r="M58" s="1073">
        <f t="shared" si="67"/>
        <v>90</v>
      </c>
      <c r="N58" s="1073">
        <f t="shared" si="67"/>
        <v>100</v>
      </c>
      <c r="O58" s="1073">
        <f t="shared" si="67"/>
        <v>113</v>
      </c>
      <c r="P58" s="1073">
        <f t="shared" si="67"/>
        <v>114</v>
      </c>
      <c r="Q58" s="1073">
        <f t="shared" si="67"/>
        <v>113</v>
      </c>
      <c r="R58" s="1073">
        <f t="shared" si="67"/>
        <v>110</v>
      </c>
      <c r="S58" s="1073">
        <f t="shared" si="67"/>
        <v>107</v>
      </c>
      <c r="T58" s="1073">
        <f t="shared" si="67"/>
        <v>95</v>
      </c>
      <c r="U58" s="1073">
        <f t="shared" si="67"/>
        <v>78</v>
      </c>
      <c r="V58" s="1073">
        <f t="shared" si="67"/>
        <v>76</v>
      </c>
      <c r="W58" s="1073">
        <f t="shared" si="67"/>
        <v>72</v>
      </c>
      <c r="X58" s="1073">
        <f t="shared" si="67"/>
        <v>72</v>
      </c>
      <c r="Y58" s="1073">
        <f t="shared" si="67"/>
        <v>68</v>
      </c>
      <c r="Z58" s="1073">
        <f t="shared" si="67"/>
        <v>63</v>
      </c>
      <c r="AA58" s="1077">
        <f t="shared" si="68"/>
        <v>86</v>
      </c>
      <c r="AB58" s="1103"/>
      <c r="AD58" s="995"/>
      <c r="AE58" s="995"/>
      <c r="AF58" s="995"/>
      <c r="AG58" s="995"/>
      <c r="AH58" s="995"/>
      <c r="AI58" s="2463" t="s">
        <v>316</v>
      </c>
      <c r="AJ58" s="2466">
        <f t="shared" si="97"/>
        <v>59</v>
      </c>
      <c r="AK58" s="2471">
        <f t="shared" si="97"/>
        <v>74</v>
      </c>
      <c r="AL58" s="2471">
        <f t="shared" ref="AL58:AL85" si="117">IF(E12&gt;0,E12,"")</f>
        <v>86</v>
      </c>
      <c r="AM58" s="1914">
        <f t="shared" ref="AM58:AM85" si="118">IF(F12&gt;0,F12,"")</f>
        <v>83</v>
      </c>
      <c r="AN58" s="1914">
        <f t="shared" si="113"/>
        <v>84</v>
      </c>
      <c r="AO58" s="1914">
        <f t="shared" ref="AO58:AO60" si="119">IF(H12&gt;0,H12,"")</f>
        <v>86</v>
      </c>
      <c r="AP58" s="1914">
        <f t="shared" ref="AP58:AT73" si="120">IF(I12&gt;0,I12,"")</f>
        <v>80</v>
      </c>
      <c r="AQ58" s="1914">
        <f t="shared" si="120"/>
        <v>73</v>
      </c>
      <c r="AR58" s="1914">
        <f t="shared" si="120"/>
        <v>86</v>
      </c>
      <c r="AS58" s="1914">
        <f t="shared" si="120"/>
        <v>87</v>
      </c>
      <c r="AT58" s="1914">
        <f t="shared" si="120"/>
        <v>90</v>
      </c>
      <c r="AU58" s="1914">
        <f t="shared" si="110"/>
        <v>100</v>
      </c>
      <c r="AV58" s="1914">
        <f t="shared" si="111"/>
        <v>113</v>
      </c>
      <c r="AW58" s="1914">
        <f t="shared" si="112"/>
        <v>114</v>
      </c>
      <c r="AX58" s="1914">
        <f t="shared" ref="AX58:AY79" si="121">IF(Q12&gt;0,Q12,"")</f>
        <v>113</v>
      </c>
      <c r="AY58" s="1914">
        <f t="shared" si="113"/>
        <v>110</v>
      </c>
      <c r="AZ58" s="1914">
        <f t="shared" si="113"/>
        <v>107</v>
      </c>
      <c r="BA58" s="1914">
        <f t="shared" si="113"/>
        <v>95</v>
      </c>
      <c r="BB58" s="1914">
        <f t="shared" si="113"/>
        <v>78</v>
      </c>
      <c r="BC58" s="1914">
        <f t="shared" si="113"/>
        <v>76</v>
      </c>
      <c r="BD58" s="1914">
        <f t="shared" ref="BD58:BE58" si="122">IF(W12&gt;0,W12,"")</f>
        <v>72</v>
      </c>
      <c r="BE58" s="1914">
        <f t="shared" si="122"/>
        <v>72</v>
      </c>
      <c r="BF58" s="1914">
        <f t="shared" si="115"/>
        <v>68</v>
      </c>
      <c r="BG58" s="1915">
        <f t="shared" si="116"/>
        <v>63</v>
      </c>
      <c r="BH58" s="1913">
        <f t="shared" si="93"/>
        <v>86</v>
      </c>
      <c r="BI58" s="677">
        <f t="shared" si="94"/>
        <v>114</v>
      </c>
      <c r="BJ58" s="1891">
        <f t="shared" si="95"/>
        <v>59</v>
      </c>
      <c r="BK58" s="2377" t="str">
        <f>+DMREZ!AI14</f>
        <v>Clear</v>
      </c>
      <c r="BL58" s="995"/>
      <c r="BM58" s="995"/>
      <c r="BN58" s="995"/>
      <c r="BO58" s="995"/>
      <c r="BP58" s="995"/>
      <c r="BQ58" s="995"/>
      <c r="BR58" s="995"/>
      <c r="BS58" s="995"/>
      <c r="BT58" s="995"/>
      <c r="BU58" s="995"/>
      <c r="BV58" s="995"/>
      <c r="BW58" s="995"/>
      <c r="BX58" s="995"/>
      <c r="BY58" s="995"/>
      <c r="BZ58" s="995"/>
      <c r="CA58" s="995"/>
      <c r="CB58" s="995"/>
      <c r="CC58" s="995"/>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c r="EC58" s="103"/>
      <c r="ED58" s="103"/>
      <c r="EE58" s="103"/>
      <c r="EV58" s="103"/>
      <c r="EW58" s="103"/>
    </row>
    <row r="59" spans="1:153">
      <c r="A59" s="103"/>
      <c r="B59" s="1077" t="s">
        <v>317</v>
      </c>
      <c r="C59" s="1104">
        <f t="shared" si="67"/>
        <v>60</v>
      </c>
      <c r="D59" s="1073">
        <f t="shared" si="67"/>
        <v>59</v>
      </c>
      <c r="E59" s="1073">
        <f t="shared" si="67"/>
        <v>61</v>
      </c>
      <c r="F59" s="1073">
        <f t="shared" si="67"/>
        <v>84</v>
      </c>
      <c r="G59" s="1073">
        <f t="shared" si="67"/>
        <v>113</v>
      </c>
      <c r="H59" s="1073">
        <f t="shared" si="67"/>
        <v>103</v>
      </c>
      <c r="I59" s="1073">
        <f t="shared" si="67"/>
        <v>78</v>
      </c>
      <c r="J59" s="1073">
        <f t="shared" si="67"/>
        <v>94</v>
      </c>
      <c r="K59" s="1073">
        <f t="shared" si="67"/>
        <v>95</v>
      </c>
      <c r="L59" s="1073">
        <f t="shared" si="67"/>
        <v>96</v>
      </c>
      <c r="M59" s="1073">
        <f t="shared" si="67"/>
        <v>98</v>
      </c>
      <c r="N59" s="1073">
        <f t="shared" si="67"/>
        <v>99</v>
      </c>
      <c r="O59" s="1073">
        <f t="shared" si="67"/>
        <v>99</v>
      </c>
      <c r="P59" s="1073">
        <f t="shared" si="67"/>
        <v>99</v>
      </c>
      <c r="Q59" s="1073">
        <f t="shared" si="67"/>
        <v>108</v>
      </c>
      <c r="R59" s="1073">
        <f t="shared" si="67"/>
        <v>108</v>
      </c>
      <c r="S59" s="1073">
        <f t="shared" si="67"/>
        <v>103</v>
      </c>
      <c r="T59" s="1073">
        <f t="shared" si="67"/>
        <v>92</v>
      </c>
      <c r="U59" s="1073">
        <f t="shared" si="67"/>
        <v>87</v>
      </c>
      <c r="V59" s="1073">
        <f t="shared" si="67"/>
        <v>78</v>
      </c>
      <c r="W59" s="1073">
        <f t="shared" si="67"/>
        <v>75</v>
      </c>
      <c r="X59" s="1073">
        <f t="shared" si="67"/>
        <v>66</v>
      </c>
      <c r="Y59" s="1073">
        <f t="shared" si="67"/>
        <v>64</v>
      </c>
      <c r="Z59" s="1073">
        <f t="shared" si="67"/>
        <v>60</v>
      </c>
      <c r="AA59" s="1077">
        <f t="shared" si="68"/>
        <v>87</v>
      </c>
      <c r="AB59" s="1103"/>
      <c r="AD59" s="995"/>
      <c r="AE59" s="995"/>
      <c r="AF59" s="995"/>
      <c r="AG59" s="995"/>
      <c r="AH59" s="995"/>
      <c r="AI59" s="2463" t="s">
        <v>317</v>
      </c>
      <c r="AJ59" s="2466">
        <f t="shared" si="97"/>
        <v>60</v>
      </c>
      <c r="AK59" s="2471">
        <f t="shared" si="97"/>
        <v>59</v>
      </c>
      <c r="AL59" s="2471">
        <f t="shared" si="117"/>
        <v>61</v>
      </c>
      <c r="AM59" s="1914">
        <f t="shared" si="118"/>
        <v>84</v>
      </c>
      <c r="AN59" s="1914">
        <f t="shared" si="113"/>
        <v>113</v>
      </c>
      <c r="AO59" s="1914">
        <f t="shared" si="119"/>
        <v>103</v>
      </c>
      <c r="AP59" s="1914">
        <f t="shared" si="120"/>
        <v>78</v>
      </c>
      <c r="AQ59" s="1914">
        <f t="shared" si="120"/>
        <v>94</v>
      </c>
      <c r="AR59" s="1914">
        <f t="shared" si="120"/>
        <v>95</v>
      </c>
      <c r="AS59" s="1914">
        <f t="shared" si="120"/>
        <v>96</v>
      </c>
      <c r="AT59" s="1914">
        <f t="shared" si="120"/>
        <v>98</v>
      </c>
      <c r="AU59" s="1914">
        <f t="shared" si="110"/>
        <v>99</v>
      </c>
      <c r="AV59" s="1914">
        <f t="shared" si="111"/>
        <v>99</v>
      </c>
      <c r="AW59" s="1914">
        <f t="shared" si="112"/>
        <v>99</v>
      </c>
      <c r="AX59" s="1914">
        <f t="shared" si="121"/>
        <v>108</v>
      </c>
      <c r="AY59" s="1914">
        <f t="shared" si="113"/>
        <v>108</v>
      </c>
      <c r="AZ59" s="1914">
        <f t="shared" si="113"/>
        <v>103</v>
      </c>
      <c r="BA59" s="1914">
        <f t="shared" si="113"/>
        <v>92</v>
      </c>
      <c r="BB59" s="1914">
        <f t="shared" si="113"/>
        <v>87</v>
      </c>
      <c r="BC59" s="1914">
        <f t="shared" si="113"/>
        <v>78</v>
      </c>
      <c r="BD59" s="1914">
        <f t="shared" si="113"/>
        <v>75</v>
      </c>
      <c r="BE59" s="1914">
        <f t="shared" ref="BE59:BE85" si="123">IF(X13&gt;0,X13,"")</f>
        <v>66</v>
      </c>
      <c r="BF59" s="1914">
        <f t="shared" si="115"/>
        <v>64</v>
      </c>
      <c r="BG59" s="1915">
        <f t="shared" si="116"/>
        <v>60</v>
      </c>
      <c r="BH59" s="1913">
        <f t="shared" si="93"/>
        <v>87</v>
      </c>
      <c r="BI59" s="677">
        <f t="shared" si="94"/>
        <v>113</v>
      </c>
      <c r="BJ59" s="1891">
        <f t="shared" si="95"/>
        <v>59</v>
      </c>
      <c r="BK59" s="2377" t="str">
        <f>+DMREZ!AI15</f>
        <v>Clear</v>
      </c>
      <c r="BL59" s="995"/>
      <c r="BM59" s="995"/>
      <c r="BN59" s="995"/>
      <c r="BO59" s="995"/>
      <c r="BP59" s="995"/>
      <c r="BQ59" s="995"/>
      <c r="BR59" s="995"/>
      <c r="BS59" s="995"/>
      <c r="BT59" s="995"/>
      <c r="BU59" s="995"/>
      <c r="BV59" s="995"/>
      <c r="BW59" s="995"/>
      <c r="BX59" s="995"/>
      <c r="BY59" s="995"/>
      <c r="BZ59" s="995"/>
      <c r="CA59" s="995"/>
      <c r="CB59" s="995"/>
      <c r="CC59" s="995"/>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c r="EC59" s="103"/>
      <c r="ED59" s="103"/>
      <c r="EE59" s="103"/>
      <c r="EV59" s="103"/>
      <c r="EW59" s="103"/>
    </row>
    <row r="60" spans="1:153">
      <c r="A60" s="103"/>
      <c r="B60" s="1077" t="s">
        <v>318</v>
      </c>
      <c r="C60" s="1104">
        <f t="shared" si="67"/>
        <v>59</v>
      </c>
      <c r="D60" s="1073">
        <f t="shared" si="67"/>
        <v>66</v>
      </c>
      <c r="E60" s="1073">
        <f t="shared" si="67"/>
        <v>83</v>
      </c>
      <c r="F60" s="1073">
        <f t="shared" si="67"/>
        <v>96</v>
      </c>
      <c r="G60" s="1073">
        <f t="shared" si="67"/>
        <v>98</v>
      </c>
      <c r="H60" s="1073">
        <f t="shared" si="67"/>
        <v>93</v>
      </c>
      <c r="I60" s="1073">
        <f t="shared" si="67"/>
        <v>92</v>
      </c>
      <c r="J60" s="1073">
        <f t="shared" si="67"/>
        <v>92</v>
      </c>
      <c r="K60" s="1073">
        <f t="shared" si="67"/>
        <v>95</v>
      </c>
      <c r="L60" s="1073">
        <f t="shared" si="67"/>
        <v>97</v>
      </c>
      <c r="M60" s="1073">
        <f t="shared" si="67"/>
        <v>97</v>
      </c>
      <c r="N60" s="1073">
        <f t="shared" si="67"/>
        <v>100</v>
      </c>
      <c r="O60" s="1073">
        <f t="shared" si="67"/>
        <v>100</v>
      </c>
      <c r="P60" s="1073">
        <f t="shared" si="67"/>
        <v>102</v>
      </c>
      <c r="Q60" s="1073">
        <f t="shared" si="67"/>
        <v>103</v>
      </c>
      <c r="R60" s="1073">
        <f t="shared" si="67"/>
        <v>103</v>
      </c>
      <c r="S60" s="1073">
        <f t="shared" si="67"/>
        <v>140</v>
      </c>
      <c r="T60" s="1073">
        <f t="shared" si="67"/>
        <v>158</v>
      </c>
      <c r="U60" s="1073">
        <f t="shared" si="67"/>
        <v>102</v>
      </c>
      <c r="V60" s="1073">
        <f t="shared" si="67"/>
        <v>55</v>
      </c>
      <c r="W60" s="1073">
        <f t="shared" si="67"/>
        <v>48</v>
      </c>
      <c r="X60" s="1073">
        <f t="shared" si="67"/>
        <v>47</v>
      </c>
      <c r="Y60" s="1073">
        <f t="shared" si="67"/>
        <v>42</v>
      </c>
      <c r="Z60" s="1073">
        <f t="shared" si="67"/>
        <v>40</v>
      </c>
      <c r="AA60" s="1077">
        <f t="shared" si="68"/>
        <v>88</v>
      </c>
      <c r="AB60" s="1103"/>
      <c r="AD60" s="995"/>
      <c r="AE60" s="995"/>
      <c r="AF60" s="995"/>
      <c r="AG60" s="995"/>
      <c r="AH60" s="995"/>
      <c r="AI60" s="2463" t="s">
        <v>318</v>
      </c>
      <c r="AJ60" s="2488">
        <f t="shared" si="97"/>
        <v>59</v>
      </c>
      <c r="AK60" s="2417">
        <f t="shared" si="97"/>
        <v>66</v>
      </c>
      <c r="AL60" s="1914">
        <f t="shared" si="117"/>
        <v>83</v>
      </c>
      <c r="AM60" s="1914">
        <f t="shared" si="118"/>
        <v>96</v>
      </c>
      <c r="AN60" s="1914">
        <f t="shared" si="113"/>
        <v>98</v>
      </c>
      <c r="AO60" s="1914">
        <f t="shared" si="119"/>
        <v>93</v>
      </c>
      <c r="AP60" s="1914">
        <f t="shared" si="120"/>
        <v>92</v>
      </c>
      <c r="AQ60" s="1914">
        <f t="shared" si="120"/>
        <v>92</v>
      </c>
      <c r="AR60" s="1914">
        <f t="shared" si="120"/>
        <v>95</v>
      </c>
      <c r="AS60" s="1914">
        <f t="shared" si="120"/>
        <v>97</v>
      </c>
      <c r="AT60" s="1914">
        <f t="shared" si="120"/>
        <v>97</v>
      </c>
      <c r="AU60" s="1914">
        <f t="shared" si="110"/>
        <v>100</v>
      </c>
      <c r="AV60" s="1914">
        <f t="shared" si="111"/>
        <v>100</v>
      </c>
      <c r="AW60" s="1914">
        <f t="shared" si="112"/>
        <v>102</v>
      </c>
      <c r="AX60" s="1914">
        <f t="shared" si="121"/>
        <v>103</v>
      </c>
      <c r="AY60" s="1914">
        <f t="shared" si="113"/>
        <v>103</v>
      </c>
      <c r="AZ60" s="1914">
        <f t="shared" si="113"/>
        <v>140</v>
      </c>
      <c r="BA60" s="1914">
        <f t="shared" si="113"/>
        <v>158</v>
      </c>
      <c r="BB60" s="1914">
        <f t="shared" si="113"/>
        <v>102</v>
      </c>
      <c r="BC60" s="1914">
        <f t="shared" si="113"/>
        <v>55</v>
      </c>
      <c r="BD60" s="1914">
        <f t="shared" ref="BD60:BD85" si="124">IF(W14&gt;0,W14,"")</f>
        <v>48</v>
      </c>
      <c r="BE60" s="1914">
        <f t="shared" si="123"/>
        <v>47</v>
      </c>
      <c r="BF60" s="1914">
        <f t="shared" ref="BF60:BG85" si="125">IF(Y14&gt;0,Y14,"")</f>
        <v>42</v>
      </c>
      <c r="BG60" s="1915">
        <f t="shared" si="116"/>
        <v>40</v>
      </c>
      <c r="BH60" s="1913">
        <f t="shared" si="93"/>
        <v>88</v>
      </c>
      <c r="BI60" s="677">
        <f t="shared" si="94"/>
        <v>158</v>
      </c>
      <c r="BJ60" s="1891">
        <f t="shared" si="95"/>
        <v>40</v>
      </c>
      <c r="BK60" s="2377" t="str">
        <f>+DMREZ!AI16</f>
        <v>Clear</v>
      </c>
      <c r="BL60" s="995"/>
      <c r="BM60" s="995"/>
      <c r="BN60" s="995"/>
      <c r="BO60" s="995"/>
      <c r="BP60" s="995"/>
      <c r="BQ60" s="995"/>
      <c r="BR60" s="995"/>
      <c r="BS60" s="995"/>
      <c r="BT60" s="995"/>
      <c r="BU60" s="995"/>
      <c r="BV60" s="995"/>
      <c r="BW60" s="995"/>
      <c r="BX60" s="995"/>
      <c r="BY60" s="995"/>
      <c r="BZ60" s="995"/>
      <c r="CA60" s="995"/>
      <c r="CB60" s="995"/>
      <c r="CC60" s="995"/>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c r="EC60" s="103"/>
      <c r="ED60" s="103"/>
      <c r="EE60" s="103"/>
      <c r="EV60" s="103"/>
      <c r="EW60" s="103"/>
    </row>
    <row r="61" spans="1:153">
      <c r="A61" s="103"/>
      <c r="B61" s="1077" t="s">
        <v>319</v>
      </c>
      <c r="C61" s="1104">
        <f t="shared" si="67"/>
        <v>54</v>
      </c>
      <c r="D61" s="1073">
        <f t="shared" si="67"/>
        <v>76</v>
      </c>
      <c r="E61" s="1073">
        <f t="shared" si="67"/>
        <v>79</v>
      </c>
      <c r="F61" s="1073">
        <f t="shared" si="67"/>
        <v>97</v>
      </c>
      <c r="G61" s="1073">
        <f t="shared" si="67"/>
        <v>97</v>
      </c>
      <c r="H61" s="1073">
        <f t="shared" si="67"/>
        <v>99</v>
      </c>
      <c r="I61" s="1073">
        <f t="shared" si="67"/>
        <v>99</v>
      </c>
      <c r="J61" s="1073">
        <f t="shared" si="67"/>
        <v>100</v>
      </c>
      <c r="K61" s="1073">
        <f t="shared" si="67"/>
        <v>99</v>
      </c>
      <c r="L61" s="1073">
        <f t="shared" si="67"/>
        <v>99</v>
      </c>
      <c r="M61" s="1073">
        <f t="shared" si="67"/>
        <v>101</v>
      </c>
      <c r="N61" s="1073">
        <f t="shared" si="67"/>
        <v>99</v>
      </c>
      <c r="O61" s="1073">
        <f t="shared" si="67"/>
        <v>100</v>
      </c>
      <c r="P61" s="1073">
        <f t="shared" si="67"/>
        <v>100</v>
      </c>
      <c r="Q61" s="1073">
        <f t="shared" si="67"/>
        <v>103</v>
      </c>
      <c r="R61" s="1073">
        <f t="shared" si="67"/>
        <v>104</v>
      </c>
      <c r="S61" s="1073">
        <f t="shared" si="67"/>
        <v>107</v>
      </c>
      <c r="T61" s="1073">
        <f t="shared" si="67"/>
        <v>108</v>
      </c>
      <c r="U61" s="1073">
        <f t="shared" si="67"/>
        <v>109</v>
      </c>
      <c r="V61" s="1855">
        <f t="shared" si="67"/>
        <v>104</v>
      </c>
      <c r="W61" s="1073">
        <f t="shared" si="67"/>
        <v>76</v>
      </c>
      <c r="X61" s="1073">
        <f t="shared" si="67"/>
        <v>56</v>
      </c>
      <c r="Y61" s="1073">
        <f t="shared" si="67"/>
        <v>55</v>
      </c>
      <c r="Z61" s="1073">
        <f t="shared" si="67"/>
        <v>64</v>
      </c>
      <c r="AA61" s="1077">
        <f t="shared" si="68"/>
        <v>91</v>
      </c>
      <c r="AB61" s="1103"/>
      <c r="AD61" s="995"/>
      <c r="AE61" s="995"/>
      <c r="AF61" s="995"/>
      <c r="AG61" s="995"/>
      <c r="AH61" s="995"/>
      <c r="AI61" s="2463" t="s">
        <v>319</v>
      </c>
      <c r="AJ61" s="2466">
        <f t="shared" ref="AJ61:AJ85" si="126">IF(C15&gt;0,C15,"")</f>
        <v>54</v>
      </c>
      <c r="AK61" s="1914">
        <f t="shared" ref="AK61:AK78" si="127">IF(D15&gt;0,D15,"")</f>
        <v>76</v>
      </c>
      <c r="AL61" s="1914">
        <f t="shared" si="117"/>
        <v>79</v>
      </c>
      <c r="AM61" s="1914">
        <f t="shared" si="118"/>
        <v>97</v>
      </c>
      <c r="AN61" s="1914">
        <f t="shared" ref="AN61:AT84" si="128">IF(G15&gt;0,G15,"")</f>
        <v>97</v>
      </c>
      <c r="AO61" s="1914">
        <f t="shared" si="128"/>
        <v>99</v>
      </c>
      <c r="AP61" s="1914">
        <f t="shared" si="120"/>
        <v>99</v>
      </c>
      <c r="AQ61" s="1914">
        <f t="shared" si="120"/>
        <v>100</v>
      </c>
      <c r="AR61" s="1914">
        <f t="shared" si="120"/>
        <v>99</v>
      </c>
      <c r="AS61" s="1914">
        <f t="shared" si="120"/>
        <v>99</v>
      </c>
      <c r="AT61" s="1914">
        <f t="shared" si="120"/>
        <v>101</v>
      </c>
      <c r="AU61" s="1914">
        <f t="shared" si="110"/>
        <v>99</v>
      </c>
      <c r="AV61" s="1914">
        <f t="shared" si="111"/>
        <v>100</v>
      </c>
      <c r="AW61" s="1914">
        <f t="shared" si="112"/>
        <v>100</v>
      </c>
      <c r="AX61" s="1914">
        <f t="shared" si="121"/>
        <v>103</v>
      </c>
      <c r="AY61" s="1914">
        <f t="shared" si="113"/>
        <v>104</v>
      </c>
      <c r="AZ61" s="1914">
        <f t="shared" si="113"/>
        <v>107</v>
      </c>
      <c r="BA61" s="1914">
        <f t="shared" si="113"/>
        <v>108</v>
      </c>
      <c r="BB61" s="1914">
        <f t="shared" si="113"/>
        <v>109</v>
      </c>
      <c r="BC61" s="1914">
        <f t="shared" si="113"/>
        <v>104</v>
      </c>
      <c r="BD61" s="1914">
        <f t="shared" si="124"/>
        <v>76</v>
      </c>
      <c r="BE61" s="1914">
        <f t="shared" si="123"/>
        <v>56</v>
      </c>
      <c r="BF61" s="1914">
        <f t="shared" si="125"/>
        <v>55</v>
      </c>
      <c r="BG61" s="1915">
        <f t="shared" si="116"/>
        <v>64</v>
      </c>
      <c r="BH61" s="1913">
        <f t="shared" si="93"/>
        <v>91</v>
      </c>
      <c r="BI61" s="677">
        <f t="shared" si="94"/>
        <v>109</v>
      </c>
      <c r="BJ61" s="1891">
        <f t="shared" si="95"/>
        <v>54</v>
      </c>
      <c r="BK61" s="2377" t="str">
        <f>+DMREZ!AI17</f>
        <v>Clear</v>
      </c>
      <c r="BL61" s="995"/>
      <c r="BM61" s="995"/>
      <c r="BN61" s="995"/>
      <c r="BO61" s="995"/>
      <c r="BP61" s="995"/>
      <c r="BQ61" s="995"/>
      <c r="BR61" s="995"/>
      <c r="BS61" s="995"/>
      <c r="BT61" s="995"/>
      <c r="BU61" s="995"/>
      <c r="BV61" s="995"/>
      <c r="BW61" s="995"/>
      <c r="BX61" s="995"/>
      <c r="BY61" s="995"/>
      <c r="BZ61" s="995"/>
      <c r="CA61" s="995"/>
      <c r="CB61" s="995"/>
      <c r="CC61" s="995"/>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c r="EC61" s="103"/>
      <c r="ED61" s="103"/>
      <c r="EE61" s="103"/>
      <c r="EV61" s="103"/>
      <c r="EW61" s="103"/>
    </row>
    <row r="62" spans="1:153">
      <c r="A62" s="103"/>
      <c r="B62" s="1077" t="s">
        <v>320</v>
      </c>
      <c r="C62" s="1104">
        <f t="shared" si="67"/>
        <v>77</v>
      </c>
      <c r="D62" s="1073">
        <f t="shared" si="67"/>
        <v>78</v>
      </c>
      <c r="E62" s="1073">
        <f t="shared" si="67"/>
        <v>84</v>
      </c>
      <c r="F62" s="1073">
        <f t="shared" si="67"/>
        <v>75</v>
      </c>
      <c r="G62" s="1073">
        <f t="shared" si="67"/>
        <v>93</v>
      </c>
      <c r="H62" s="1073">
        <f t="shared" si="67"/>
        <v>99</v>
      </c>
      <c r="I62" s="1073">
        <f t="shared" si="67"/>
        <v>110</v>
      </c>
      <c r="J62" s="1073">
        <f t="shared" si="67"/>
        <v>112</v>
      </c>
      <c r="K62" s="1073">
        <f t="shared" si="67"/>
        <v>109</v>
      </c>
      <c r="L62" s="1073">
        <f t="shared" si="67"/>
        <v>100</v>
      </c>
      <c r="M62" s="1073">
        <f t="shared" si="67"/>
        <v>79</v>
      </c>
      <c r="N62" s="1073">
        <f t="shared" si="67"/>
        <v>78</v>
      </c>
      <c r="O62" s="1073">
        <f t="shared" si="67"/>
        <v>84</v>
      </c>
      <c r="P62" s="1073">
        <f t="shared" si="67"/>
        <v>91</v>
      </c>
      <c r="Q62" s="1073">
        <f t="shared" si="67"/>
        <v>90</v>
      </c>
      <c r="R62" s="1073">
        <f t="shared" si="67"/>
        <v>94</v>
      </c>
      <c r="S62" s="1073">
        <f t="shared" si="67"/>
        <v>95</v>
      </c>
      <c r="T62" s="1073">
        <f t="shared" si="67"/>
        <v>95</v>
      </c>
      <c r="U62" s="1073">
        <f t="shared" si="67"/>
        <v>91</v>
      </c>
      <c r="V62" s="1073">
        <f t="shared" si="67"/>
        <v>85</v>
      </c>
      <c r="W62" s="1073">
        <f t="shared" si="67"/>
        <v>75</v>
      </c>
      <c r="X62" s="1073">
        <f t="shared" si="67"/>
        <v>72</v>
      </c>
      <c r="Y62" s="1073">
        <f t="shared" si="67"/>
        <v>61</v>
      </c>
      <c r="Z62" s="1073">
        <f t="shared" si="67"/>
        <v>61</v>
      </c>
      <c r="AA62" s="1077">
        <f t="shared" si="68"/>
        <v>87</v>
      </c>
      <c r="AB62" s="1103"/>
      <c r="AD62" s="995"/>
      <c r="AE62" s="995"/>
      <c r="AF62" s="995"/>
      <c r="AG62" s="995"/>
      <c r="AH62" s="995"/>
      <c r="AI62" s="2463" t="s">
        <v>320</v>
      </c>
      <c r="AJ62" s="2466">
        <f t="shared" si="126"/>
        <v>77</v>
      </c>
      <c r="AK62" s="1914">
        <f t="shared" si="127"/>
        <v>78</v>
      </c>
      <c r="AL62" s="1914">
        <f t="shared" si="117"/>
        <v>84</v>
      </c>
      <c r="AM62" s="1914">
        <f t="shared" si="118"/>
        <v>75</v>
      </c>
      <c r="AN62" s="1914">
        <f t="shared" si="128"/>
        <v>93</v>
      </c>
      <c r="AO62" s="1914">
        <f t="shared" si="128"/>
        <v>99</v>
      </c>
      <c r="AP62" s="1914">
        <f t="shared" si="120"/>
        <v>110</v>
      </c>
      <c r="AQ62" s="1914">
        <f t="shared" si="120"/>
        <v>112</v>
      </c>
      <c r="AR62" s="1914">
        <f t="shared" si="120"/>
        <v>109</v>
      </c>
      <c r="AS62" s="1914">
        <f t="shared" si="120"/>
        <v>100</v>
      </c>
      <c r="AT62" s="1914">
        <f t="shared" ref="AT62" si="129">IF(M16&gt;0,M16,"")</f>
        <v>79</v>
      </c>
      <c r="AU62" s="1914">
        <f t="shared" si="110"/>
        <v>78</v>
      </c>
      <c r="AV62" s="1914">
        <f t="shared" si="111"/>
        <v>84</v>
      </c>
      <c r="AW62" s="1914">
        <f t="shared" si="112"/>
        <v>91</v>
      </c>
      <c r="AX62" s="1914">
        <f t="shared" si="121"/>
        <v>90</v>
      </c>
      <c r="AY62" s="1914">
        <f t="shared" si="113"/>
        <v>94</v>
      </c>
      <c r="AZ62" s="1914">
        <f t="shared" si="113"/>
        <v>95</v>
      </c>
      <c r="BA62" s="1914">
        <f t="shared" si="113"/>
        <v>95</v>
      </c>
      <c r="BB62" s="1914">
        <f t="shared" si="113"/>
        <v>91</v>
      </c>
      <c r="BC62" s="1914">
        <f t="shared" si="113"/>
        <v>85</v>
      </c>
      <c r="BD62" s="1914">
        <f t="shared" si="124"/>
        <v>75</v>
      </c>
      <c r="BE62" s="1914">
        <f t="shared" si="123"/>
        <v>72</v>
      </c>
      <c r="BF62" s="1914">
        <f t="shared" si="125"/>
        <v>61</v>
      </c>
      <c r="BG62" s="1915">
        <f t="shared" si="116"/>
        <v>61</v>
      </c>
      <c r="BH62" s="1913">
        <f t="shared" si="93"/>
        <v>87</v>
      </c>
      <c r="BI62" s="677">
        <f t="shared" si="94"/>
        <v>112</v>
      </c>
      <c r="BJ62" s="1891">
        <f t="shared" si="95"/>
        <v>61</v>
      </c>
      <c r="BK62" s="2377" t="str">
        <f>+DMREZ!AI18</f>
        <v>Clear</v>
      </c>
      <c r="BL62" s="995"/>
      <c r="BM62" s="995"/>
      <c r="BN62" s="995"/>
      <c r="BO62" s="995"/>
      <c r="BP62" s="995"/>
      <c r="BQ62" s="995"/>
      <c r="BR62" s="995"/>
      <c r="BS62" s="995"/>
      <c r="BT62" s="995"/>
      <c r="BU62" s="995"/>
      <c r="BV62" s="995"/>
      <c r="BW62" s="995"/>
      <c r="BX62" s="995"/>
      <c r="BY62" s="995"/>
      <c r="BZ62" s="995"/>
      <c r="CA62" s="995"/>
      <c r="CB62" s="995"/>
      <c r="CC62" s="995"/>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c r="EC62" s="103"/>
      <c r="ED62" s="103"/>
      <c r="EE62" s="103"/>
      <c r="EV62" s="103"/>
      <c r="EW62" s="103"/>
    </row>
    <row r="63" spans="1:153">
      <c r="A63" s="103"/>
      <c r="B63" s="1077" t="s">
        <v>321</v>
      </c>
      <c r="C63" s="1104">
        <f t="shared" si="67"/>
        <v>59</v>
      </c>
      <c r="D63" s="1073">
        <f t="shared" si="67"/>
        <v>59</v>
      </c>
      <c r="E63" s="1073">
        <f t="shared" si="67"/>
        <v>71</v>
      </c>
      <c r="F63" s="1073">
        <f t="shared" si="67"/>
        <v>91</v>
      </c>
      <c r="G63" s="1073">
        <f t="shared" si="67"/>
        <v>109</v>
      </c>
      <c r="H63" s="1073">
        <f>IF(ISNUMBER(H17),IF(AO63="",+IF(H17&gt;AO$88,AO$86,H17),H17),"")</f>
        <v>123</v>
      </c>
      <c r="I63" s="1073">
        <f t="shared" si="67"/>
        <v>135</v>
      </c>
      <c r="J63" s="1073">
        <f t="shared" si="67"/>
        <v>137</v>
      </c>
      <c r="K63" s="1073">
        <f t="shared" si="67"/>
        <v>137</v>
      </c>
      <c r="L63" s="1073">
        <f t="shared" si="67"/>
        <v>136</v>
      </c>
      <c r="M63" s="1073">
        <f t="shared" si="67"/>
        <v>135</v>
      </c>
      <c r="N63" s="1073">
        <f t="shared" si="67"/>
        <v>127</v>
      </c>
      <c r="O63" s="1073">
        <f t="shared" si="67"/>
        <v>122</v>
      </c>
      <c r="P63" s="1073">
        <f t="shared" si="67"/>
        <v>123</v>
      </c>
      <c r="Q63" s="1073">
        <f t="shared" si="67"/>
        <v>120</v>
      </c>
      <c r="R63" s="1073">
        <f t="shared" si="67"/>
        <v>121</v>
      </c>
      <c r="S63" s="1073">
        <f t="shared" si="67"/>
        <v>117</v>
      </c>
      <c r="T63" s="1073">
        <f t="shared" si="67"/>
        <v>114</v>
      </c>
      <c r="U63" s="1073">
        <f t="shared" si="67"/>
        <v>108</v>
      </c>
      <c r="V63" s="1073">
        <f t="shared" si="67"/>
        <v>77</v>
      </c>
      <c r="W63" s="1073">
        <f t="shared" si="67"/>
        <v>70</v>
      </c>
      <c r="X63" s="1073">
        <f t="shared" si="67"/>
        <v>71</v>
      </c>
      <c r="Y63" s="1073">
        <f t="shared" si="67"/>
        <v>63</v>
      </c>
      <c r="Z63" s="1073">
        <f t="shared" si="67"/>
        <v>61</v>
      </c>
      <c r="AA63" s="1077">
        <f t="shared" si="68"/>
        <v>104</v>
      </c>
      <c r="AB63" s="1103"/>
      <c r="AD63" s="995"/>
      <c r="AE63" s="995"/>
      <c r="AF63" s="995"/>
      <c r="AG63" s="995"/>
      <c r="AH63" s="995"/>
      <c r="AI63" s="2463" t="s">
        <v>321</v>
      </c>
      <c r="AJ63" s="2466">
        <f t="shared" si="126"/>
        <v>59</v>
      </c>
      <c r="AK63" s="1914">
        <f t="shared" si="127"/>
        <v>59</v>
      </c>
      <c r="AL63" s="1914">
        <f t="shared" si="117"/>
        <v>71</v>
      </c>
      <c r="AM63" s="1914">
        <f t="shared" si="118"/>
        <v>91</v>
      </c>
      <c r="AN63" s="1914">
        <f t="shared" si="128"/>
        <v>109</v>
      </c>
      <c r="AO63" s="1914">
        <f>IF(H17&gt;0,H17,"")</f>
        <v>123</v>
      </c>
      <c r="AP63" s="1914">
        <f t="shared" si="120"/>
        <v>135</v>
      </c>
      <c r="AQ63" s="1914">
        <f t="shared" si="120"/>
        <v>137</v>
      </c>
      <c r="AR63" s="1914">
        <f t="shared" si="120"/>
        <v>137</v>
      </c>
      <c r="AS63" s="1914">
        <f t="shared" si="120"/>
        <v>136</v>
      </c>
      <c r="AT63" s="1914">
        <f t="shared" si="120"/>
        <v>135</v>
      </c>
      <c r="AU63" s="1914">
        <f t="shared" si="110"/>
        <v>127</v>
      </c>
      <c r="AV63" s="1914">
        <f t="shared" si="111"/>
        <v>122</v>
      </c>
      <c r="AW63" s="1914">
        <f t="shared" si="112"/>
        <v>123</v>
      </c>
      <c r="AX63" s="1914">
        <f t="shared" si="121"/>
        <v>120</v>
      </c>
      <c r="AY63" s="1914">
        <f t="shared" si="113"/>
        <v>121</v>
      </c>
      <c r="AZ63" s="1914">
        <f t="shared" si="113"/>
        <v>117</v>
      </c>
      <c r="BA63" s="1914">
        <f t="shared" si="113"/>
        <v>114</v>
      </c>
      <c r="BB63" s="1914">
        <f t="shared" si="113"/>
        <v>108</v>
      </c>
      <c r="BC63" s="1914">
        <f t="shared" si="113"/>
        <v>77</v>
      </c>
      <c r="BD63" s="1914">
        <f t="shared" si="124"/>
        <v>70</v>
      </c>
      <c r="BE63" s="1914">
        <f t="shared" si="123"/>
        <v>71</v>
      </c>
      <c r="BF63" s="1914"/>
      <c r="BG63" s="1914"/>
      <c r="BH63" s="1913">
        <f t="shared" si="93"/>
        <v>107</v>
      </c>
      <c r="BI63" s="677">
        <f t="shared" si="94"/>
        <v>137</v>
      </c>
      <c r="BJ63" s="1891">
        <f t="shared" si="95"/>
        <v>59</v>
      </c>
      <c r="BK63" s="2377" t="str">
        <f>+DMREZ!AI19</f>
        <v>Rain</v>
      </c>
      <c r="BL63" s="995"/>
      <c r="BM63" s="995"/>
      <c r="BN63" s="995"/>
      <c r="BO63" s="995"/>
      <c r="BP63" s="995"/>
      <c r="BQ63" s="995"/>
      <c r="BR63" s="995"/>
      <c r="BS63" s="995"/>
      <c r="BT63" s="995"/>
      <c r="BU63" s="995"/>
      <c r="BV63" s="995"/>
      <c r="BW63" s="995"/>
      <c r="BX63" s="995"/>
      <c r="BY63" s="995"/>
      <c r="BZ63" s="995"/>
      <c r="CA63" s="995"/>
      <c r="CB63" s="995"/>
      <c r="CC63" s="995"/>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c r="EC63" s="103"/>
      <c r="ED63" s="103"/>
      <c r="EE63" s="103"/>
      <c r="EV63" s="103"/>
      <c r="EW63" s="103"/>
    </row>
    <row r="64" spans="1:153">
      <c r="A64" s="103"/>
      <c r="B64" s="1077" t="s">
        <v>322</v>
      </c>
      <c r="C64" s="1104">
        <f t="shared" si="67"/>
        <v>64</v>
      </c>
      <c r="D64" s="1073">
        <f>IF(ISNUMBER(D18),IF(AK64="",+IF(D18&gt;AK$88,AK$86,D18),D18),"")</f>
        <v>68</v>
      </c>
      <c r="E64" s="1073">
        <f t="shared" si="67"/>
        <v>74</v>
      </c>
      <c r="F64" s="1073">
        <f t="shared" si="67"/>
        <v>86</v>
      </c>
      <c r="G64" s="1073">
        <f t="shared" si="67"/>
        <v>97</v>
      </c>
      <c r="H64" s="1073">
        <f>IF(ISNUMBER(H18),IF(AO64="",+IF(H18&gt;AO$88,AO$86,H18),H18),"")</f>
        <v>98</v>
      </c>
      <c r="I64" s="1073">
        <f t="shared" si="67"/>
        <v>105</v>
      </c>
      <c r="J64" s="1073">
        <f t="shared" si="67"/>
        <v>108</v>
      </c>
      <c r="K64" s="1073">
        <f t="shared" si="67"/>
        <v>109</v>
      </c>
      <c r="L64" s="1073">
        <f t="shared" si="67"/>
        <v>108</v>
      </c>
      <c r="M64" s="1073">
        <f t="shared" si="67"/>
        <v>108</v>
      </c>
      <c r="N64" s="1073">
        <f t="shared" si="67"/>
        <v>108</v>
      </c>
      <c r="O64" s="1073">
        <f t="shared" si="67"/>
        <v>107</v>
      </c>
      <c r="P64" s="1073">
        <f t="shared" si="67"/>
        <v>108</v>
      </c>
      <c r="Q64" s="1073">
        <f t="shared" si="67"/>
        <v>109</v>
      </c>
      <c r="R64" s="1073">
        <f>IF(ISNUMBER(R18),IF(AY64="",+IF(R18&gt;AY$88,AY$86,R18),R18),"")</f>
        <v>110</v>
      </c>
      <c r="S64" s="1073">
        <f t="shared" si="67"/>
        <v>132</v>
      </c>
      <c r="T64" s="1073">
        <f t="shared" si="67"/>
        <v>113</v>
      </c>
      <c r="U64" s="1073">
        <f t="shared" si="67"/>
        <v>103</v>
      </c>
      <c r="V64" s="1073">
        <f t="shared" si="67"/>
        <v>93</v>
      </c>
      <c r="W64" s="1073">
        <f>IF(ISNUMBER(W18),IF(BD64="",+IF(W18&gt;BD$88,BD$86,W18),W18),"")</f>
        <v>83</v>
      </c>
      <c r="X64" s="1073">
        <f t="shared" si="67"/>
        <v>79</v>
      </c>
      <c r="Y64" s="1073">
        <f t="shared" si="67"/>
        <v>74</v>
      </c>
      <c r="Z64" s="1073">
        <f t="shared" si="67"/>
        <v>69</v>
      </c>
      <c r="AA64" s="1077">
        <f t="shared" si="68"/>
        <v>96</v>
      </c>
      <c r="AB64" s="1103"/>
      <c r="AD64" s="995"/>
      <c r="AE64" s="995"/>
      <c r="AF64" s="995"/>
      <c r="AG64" s="995"/>
      <c r="AH64" s="995"/>
      <c r="AI64" s="2463" t="s">
        <v>322</v>
      </c>
      <c r="AJ64" s="2489"/>
      <c r="AK64" s="1914"/>
      <c r="AL64" s="1914"/>
      <c r="AM64" s="1914"/>
      <c r="AN64" s="1914"/>
      <c r="AO64" s="1914"/>
      <c r="AP64" s="1914"/>
      <c r="AQ64" s="1914"/>
      <c r="AR64" s="1914"/>
      <c r="AS64" s="1914"/>
      <c r="AT64" s="1914"/>
      <c r="AU64" s="1914"/>
      <c r="AV64" s="1914"/>
      <c r="AW64" s="1914"/>
      <c r="AX64" s="1914"/>
      <c r="AY64" s="1914"/>
      <c r="AZ64" s="1914"/>
      <c r="BA64" s="1914">
        <f t="shared" si="113"/>
        <v>113</v>
      </c>
      <c r="BB64" s="1914">
        <f t="shared" si="113"/>
        <v>103</v>
      </c>
      <c r="BC64" s="1914">
        <f t="shared" si="113"/>
        <v>93</v>
      </c>
      <c r="BD64" s="1914">
        <f t="shared" si="124"/>
        <v>83</v>
      </c>
      <c r="BE64" s="1914">
        <f t="shared" si="123"/>
        <v>79</v>
      </c>
      <c r="BF64" s="1914">
        <f t="shared" si="125"/>
        <v>74</v>
      </c>
      <c r="BG64" s="1915">
        <f t="shared" si="116"/>
        <v>69</v>
      </c>
      <c r="BH64" s="1913">
        <f t="shared" si="93"/>
        <v>88</v>
      </c>
      <c r="BI64" s="677">
        <f t="shared" si="94"/>
        <v>113</v>
      </c>
      <c r="BJ64" s="1891">
        <f t="shared" si="95"/>
        <v>69</v>
      </c>
      <c r="BK64" s="2377" t="str">
        <f>+DMREZ!AI20</f>
        <v>Rain</v>
      </c>
      <c r="BL64" s="995"/>
      <c r="BM64" s="995"/>
      <c r="BN64" s="995"/>
      <c r="BO64" s="995"/>
      <c r="BP64" s="995"/>
      <c r="BQ64" s="995"/>
      <c r="BR64" s="995"/>
      <c r="BS64" s="995"/>
      <c r="BT64" s="995"/>
      <c r="BU64" s="995"/>
      <c r="BV64" s="995"/>
      <c r="BW64" s="995"/>
      <c r="BX64" s="995"/>
      <c r="BY64" s="995"/>
      <c r="BZ64" s="995"/>
      <c r="CA64" s="995"/>
      <c r="CB64" s="995"/>
      <c r="CC64" s="995"/>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c r="EC64" s="103"/>
      <c r="ED64" s="103"/>
      <c r="EE64" s="103"/>
      <c r="EV64" s="103"/>
      <c r="EW64" s="103"/>
    </row>
    <row r="65" spans="1:153">
      <c r="A65" s="103"/>
      <c r="B65" s="1077" t="s">
        <v>323</v>
      </c>
      <c r="C65" s="1104">
        <f>IF(ISNUMBER(C19),IF(AJ65="",+IF(C19&gt;AJ$88,AJ$86,C19),C19),"")</f>
        <v>70</v>
      </c>
      <c r="D65" s="1073">
        <f t="shared" si="67"/>
        <v>71</v>
      </c>
      <c r="E65" s="1073">
        <f t="shared" si="67"/>
        <v>99</v>
      </c>
      <c r="F65" s="1073">
        <f t="shared" si="67"/>
        <v>102</v>
      </c>
      <c r="G65" s="1073">
        <f t="shared" si="67"/>
        <v>106</v>
      </c>
      <c r="H65" s="1073">
        <f t="shared" si="67"/>
        <v>106</v>
      </c>
      <c r="I65" s="1073">
        <f t="shared" si="67"/>
        <v>106</v>
      </c>
      <c r="J65" s="1073">
        <f t="shared" si="67"/>
        <v>107</v>
      </c>
      <c r="K65" s="1073">
        <f t="shared" si="67"/>
        <v>99</v>
      </c>
      <c r="L65" s="1073">
        <f t="shared" si="67"/>
        <v>75</v>
      </c>
      <c r="M65" s="1073">
        <f t="shared" si="67"/>
        <v>88</v>
      </c>
      <c r="N65" s="1073">
        <f t="shared" si="67"/>
        <v>103</v>
      </c>
      <c r="O65" s="1073">
        <f t="shared" si="67"/>
        <v>104</v>
      </c>
      <c r="P65" s="1073">
        <f t="shared" si="67"/>
        <v>116</v>
      </c>
      <c r="Q65" s="1073">
        <f t="shared" si="67"/>
        <v>124</v>
      </c>
      <c r="R65" s="1073">
        <f t="shared" ref="R65:Z76" si="130">IF(ISNUMBER(R19),IF(AY65="",+IF(R19&gt;AY$88,AY$86,R19),R19),"")</f>
        <v>124</v>
      </c>
      <c r="S65" s="1073">
        <f t="shared" si="130"/>
        <v>123</v>
      </c>
      <c r="T65" s="1073">
        <f t="shared" si="130"/>
        <v>128</v>
      </c>
      <c r="U65" s="1073">
        <f t="shared" si="130"/>
        <v>123</v>
      </c>
      <c r="V65" s="1073">
        <f t="shared" si="130"/>
        <v>82</v>
      </c>
      <c r="W65" s="1073">
        <f t="shared" si="130"/>
        <v>69</v>
      </c>
      <c r="X65" s="1073">
        <f t="shared" si="130"/>
        <v>63</v>
      </c>
      <c r="Y65" s="1073">
        <f t="shared" si="130"/>
        <v>59</v>
      </c>
      <c r="Z65" s="1073">
        <f t="shared" si="130"/>
        <v>59</v>
      </c>
      <c r="AA65" s="1077">
        <f t="shared" si="68"/>
        <v>96</v>
      </c>
      <c r="AB65" s="1103"/>
      <c r="AD65" s="995"/>
      <c r="AE65" s="995"/>
      <c r="AF65" s="995"/>
      <c r="AG65" s="995"/>
      <c r="AH65" s="995"/>
      <c r="AI65" s="2463" t="s">
        <v>323</v>
      </c>
      <c r="AJ65" s="2489">
        <f t="shared" si="126"/>
        <v>70</v>
      </c>
      <c r="AK65" s="1914">
        <f t="shared" si="127"/>
        <v>71</v>
      </c>
      <c r="AL65" s="1914">
        <f t="shared" si="117"/>
        <v>99</v>
      </c>
      <c r="AM65" s="1914">
        <f t="shared" si="118"/>
        <v>102</v>
      </c>
      <c r="AN65" s="1914">
        <f t="shared" si="128"/>
        <v>106</v>
      </c>
      <c r="AO65" s="1914">
        <f t="shared" ref="AO65:AO66" si="131">IF(H19&gt;0,H19,"")</f>
        <v>106</v>
      </c>
      <c r="AP65" s="1914">
        <f t="shared" si="120"/>
        <v>106</v>
      </c>
      <c r="AQ65" s="1914">
        <f t="shared" si="120"/>
        <v>107</v>
      </c>
      <c r="AR65" s="1914">
        <f t="shared" si="120"/>
        <v>99</v>
      </c>
      <c r="AS65" s="1914">
        <f t="shared" si="120"/>
        <v>75</v>
      </c>
      <c r="AT65" s="1914">
        <f t="shared" si="120"/>
        <v>88</v>
      </c>
      <c r="AU65" s="1914">
        <f t="shared" si="110"/>
        <v>103</v>
      </c>
      <c r="AV65" s="1914">
        <f t="shared" si="111"/>
        <v>104</v>
      </c>
      <c r="AW65" s="1914">
        <f t="shared" si="112"/>
        <v>116</v>
      </c>
      <c r="AX65" s="1914">
        <f t="shared" si="121"/>
        <v>124</v>
      </c>
      <c r="AY65" s="1914">
        <f t="shared" si="113"/>
        <v>124</v>
      </c>
      <c r="AZ65" s="1914">
        <f t="shared" si="113"/>
        <v>123</v>
      </c>
      <c r="BA65" s="1914">
        <f t="shared" si="113"/>
        <v>128</v>
      </c>
      <c r="BB65" s="1914">
        <f t="shared" si="113"/>
        <v>123</v>
      </c>
      <c r="BC65" s="1914">
        <f t="shared" si="113"/>
        <v>82</v>
      </c>
      <c r="BD65" s="1914">
        <f t="shared" si="124"/>
        <v>69</v>
      </c>
      <c r="BE65" s="1914">
        <f t="shared" si="123"/>
        <v>63</v>
      </c>
      <c r="BF65" s="1914">
        <f t="shared" si="125"/>
        <v>59</v>
      </c>
      <c r="BG65" s="1915">
        <f t="shared" si="116"/>
        <v>59</v>
      </c>
      <c r="BH65" s="1913">
        <f t="shared" si="93"/>
        <v>96</v>
      </c>
      <c r="BI65" s="677">
        <f t="shared" si="94"/>
        <v>128</v>
      </c>
      <c r="BJ65" s="1891">
        <f t="shared" si="95"/>
        <v>59</v>
      </c>
      <c r="BK65" s="2377" t="str">
        <f>+DMREZ!AI21</f>
        <v>Clear</v>
      </c>
      <c r="BL65" s="995"/>
      <c r="BM65" s="995"/>
      <c r="BN65" s="995"/>
      <c r="BO65" s="995"/>
      <c r="BP65" s="995"/>
      <c r="BQ65" s="995"/>
      <c r="BR65" s="995"/>
      <c r="BS65" s="995"/>
      <c r="BT65" s="995"/>
      <c r="BU65" s="995"/>
      <c r="BV65" s="995"/>
      <c r="BW65" s="995"/>
      <c r="BX65" s="995"/>
      <c r="BY65" s="995"/>
      <c r="BZ65" s="995"/>
      <c r="CA65" s="995"/>
      <c r="CB65" s="995"/>
      <c r="CC65" s="995"/>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c r="EC65" s="103"/>
      <c r="ED65" s="103"/>
      <c r="EE65" s="103"/>
      <c r="EV65" s="103"/>
      <c r="EW65" s="103"/>
    </row>
    <row r="66" spans="1:153">
      <c r="A66" s="103"/>
      <c r="B66" s="1077" t="s">
        <v>324</v>
      </c>
      <c r="C66" s="1104">
        <f t="shared" ref="C66:Q76" si="132">IF(ISNUMBER(C20),IF(AJ66="",+IF(C20&gt;AJ$88,AJ$86,C20),C20),"")</f>
        <v>64</v>
      </c>
      <c r="D66" s="1073">
        <f t="shared" si="132"/>
        <v>69</v>
      </c>
      <c r="E66" s="1073">
        <f t="shared" si="132"/>
        <v>72</v>
      </c>
      <c r="F66" s="1073">
        <f t="shared" si="132"/>
        <v>80</v>
      </c>
      <c r="G66" s="1073">
        <f t="shared" si="132"/>
        <v>112</v>
      </c>
      <c r="H66" s="1073">
        <f t="shared" si="132"/>
        <v>114</v>
      </c>
      <c r="I66" s="1073">
        <f t="shared" si="132"/>
        <v>113</v>
      </c>
      <c r="J66" s="1073">
        <f t="shared" si="132"/>
        <v>112</v>
      </c>
      <c r="K66" s="1073">
        <f t="shared" si="132"/>
        <v>110</v>
      </c>
      <c r="L66" s="1073">
        <f t="shared" si="132"/>
        <v>108</v>
      </c>
      <c r="M66" s="1073">
        <f t="shared" si="132"/>
        <v>106</v>
      </c>
      <c r="N66" s="1073">
        <f t="shared" si="132"/>
        <v>106</v>
      </c>
      <c r="O66" s="1073">
        <f t="shared" si="132"/>
        <v>102</v>
      </c>
      <c r="P66" s="1073">
        <f t="shared" si="132"/>
        <v>104</v>
      </c>
      <c r="Q66" s="1073">
        <f t="shared" si="132"/>
        <v>105</v>
      </c>
      <c r="R66" s="1073">
        <f t="shared" si="130"/>
        <v>107</v>
      </c>
      <c r="S66" s="1073">
        <f t="shared" si="130"/>
        <v>112</v>
      </c>
      <c r="T66" s="1073">
        <f t="shared" si="130"/>
        <v>111</v>
      </c>
      <c r="U66" s="1073">
        <f t="shared" si="130"/>
        <v>115</v>
      </c>
      <c r="V66" s="1073">
        <f t="shared" si="130"/>
        <v>73</v>
      </c>
      <c r="W66" s="1073">
        <f t="shared" si="130"/>
        <v>71</v>
      </c>
      <c r="X66" s="1073">
        <f t="shared" si="130"/>
        <v>70</v>
      </c>
      <c r="Y66" s="1073">
        <f t="shared" si="130"/>
        <v>65</v>
      </c>
      <c r="Z66" s="1073">
        <f t="shared" si="130"/>
        <v>65</v>
      </c>
      <c r="AA66" s="1077">
        <f>IF(SUM(C66:Z66)=0,"",ROUND(AVERAGE(C66:Z66),0))</f>
        <v>94</v>
      </c>
      <c r="AB66" s="1103"/>
      <c r="AD66" s="995"/>
      <c r="AE66" s="995"/>
      <c r="AF66" s="995"/>
      <c r="AG66" s="995"/>
      <c r="AH66" s="995"/>
      <c r="AI66" s="2463" t="s">
        <v>324</v>
      </c>
      <c r="AJ66" s="2466">
        <f t="shared" si="126"/>
        <v>64</v>
      </c>
      <c r="AK66" s="1914">
        <f t="shared" si="127"/>
        <v>69</v>
      </c>
      <c r="AL66" s="1914">
        <f t="shared" si="117"/>
        <v>72</v>
      </c>
      <c r="AM66" s="1914">
        <f t="shared" si="118"/>
        <v>80</v>
      </c>
      <c r="AN66" s="1914">
        <f t="shared" si="128"/>
        <v>112</v>
      </c>
      <c r="AO66" s="1914">
        <f t="shared" si="131"/>
        <v>114</v>
      </c>
      <c r="AP66" s="1914">
        <f t="shared" si="120"/>
        <v>113</v>
      </c>
      <c r="AQ66" s="1914">
        <f t="shared" si="120"/>
        <v>112</v>
      </c>
      <c r="AR66" s="1914">
        <f t="shared" si="120"/>
        <v>110</v>
      </c>
      <c r="AS66" s="1914">
        <f t="shared" si="120"/>
        <v>108</v>
      </c>
      <c r="AT66" s="1914">
        <f t="shared" si="120"/>
        <v>106</v>
      </c>
      <c r="AU66" s="1914">
        <f t="shared" si="110"/>
        <v>106</v>
      </c>
      <c r="AV66" s="1914">
        <f t="shared" si="111"/>
        <v>102</v>
      </c>
      <c r="AW66" s="1914">
        <f t="shared" si="112"/>
        <v>104</v>
      </c>
      <c r="AX66" s="1914">
        <f t="shared" si="121"/>
        <v>105</v>
      </c>
      <c r="AY66" s="1914">
        <f t="shared" si="113"/>
        <v>107</v>
      </c>
      <c r="AZ66" s="1914">
        <f t="shared" si="113"/>
        <v>112</v>
      </c>
      <c r="BA66" s="1914">
        <f t="shared" si="113"/>
        <v>111</v>
      </c>
      <c r="BB66" s="1914">
        <f t="shared" si="113"/>
        <v>115</v>
      </c>
      <c r="BC66" s="1914">
        <f t="shared" si="113"/>
        <v>73</v>
      </c>
      <c r="BD66" s="1914">
        <f t="shared" si="124"/>
        <v>71</v>
      </c>
      <c r="BE66" s="1914">
        <f t="shared" si="123"/>
        <v>70</v>
      </c>
      <c r="BF66" s="1914">
        <f t="shared" si="125"/>
        <v>65</v>
      </c>
      <c r="BG66" s="1915">
        <f t="shared" si="116"/>
        <v>65</v>
      </c>
      <c r="BH66" s="1913">
        <f t="shared" si="93"/>
        <v>94</v>
      </c>
      <c r="BI66" s="677">
        <f t="shared" si="94"/>
        <v>115</v>
      </c>
      <c r="BJ66" s="1891">
        <f t="shared" si="95"/>
        <v>64</v>
      </c>
      <c r="BK66" s="2377" t="str">
        <f>+DMREZ!AI22</f>
        <v>Clear</v>
      </c>
      <c r="BL66" s="995"/>
      <c r="BM66" s="995"/>
      <c r="BN66" s="995"/>
      <c r="BO66" s="995"/>
      <c r="BP66" s="995"/>
      <c r="BQ66" s="995"/>
      <c r="BR66" s="995"/>
      <c r="BS66" s="995"/>
      <c r="BT66" s="995"/>
      <c r="BU66" s="995"/>
      <c r="BV66" s="995"/>
      <c r="BW66" s="995"/>
      <c r="BX66" s="995"/>
      <c r="BY66" s="995"/>
      <c r="BZ66" s="995"/>
      <c r="CA66" s="995"/>
      <c r="CB66" s="995"/>
      <c r="CC66" s="995"/>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c r="EC66" s="103"/>
      <c r="ED66" s="103"/>
      <c r="EE66" s="103"/>
      <c r="EV66" s="103"/>
      <c r="EW66" s="103"/>
    </row>
    <row r="67" spans="1:153">
      <c r="A67" s="103"/>
      <c r="B67" s="1077" t="s">
        <v>325</v>
      </c>
      <c r="C67" s="1104">
        <f t="shared" si="132"/>
        <v>65</v>
      </c>
      <c r="D67" s="1073">
        <f t="shared" si="132"/>
        <v>64</v>
      </c>
      <c r="E67" s="1073">
        <f t="shared" si="132"/>
        <v>73</v>
      </c>
      <c r="F67" s="1073">
        <f t="shared" si="132"/>
        <v>86</v>
      </c>
      <c r="G67" s="1073">
        <f t="shared" si="132"/>
        <v>106</v>
      </c>
      <c r="H67" s="1073">
        <f t="shared" si="132"/>
        <v>104</v>
      </c>
      <c r="I67" s="1073">
        <f t="shared" si="132"/>
        <v>105</v>
      </c>
      <c r="J67" s="1073">
        <f t="shared" si="132"/>
        <v>105</v>
      </c>
      <c r="K67" s="1073">
        <f t="shared" si="132"/>
        <v>104</v>
      </c>
      <c r="L67" s="1073">
        <f t="shared" si="132"/>
        <v>101</v>
      </c>
      <c r="M67" s="1073">
        <f t="shared" si="132"/>
        <v>101</v>
      </c>
      <c r="N67" s="1073">
        <f t="shared" si="132"/>
        <v>97</v>
      </c>
      <c r="O67" s="1073">
        <f t="shared" si="132"/>
        <v>94</v>
      </c>
      <c r="P67" s="1073">
        <f t="shared" si="132"/>
        <v>95</v>
      </c>
      <c r="Q67" s="1073">
        <f t="shared" si="132"/>
        <v>103</v>
      </c>
      <c r="R67" s="1073">
        <f t="shared" si="130"/>
        <v>104</v>
      </c>
      <c r="S67" s="1073">
        <f t="shared" si="130"/>
        <v>112</v>
      </c>
      <c r="T67" s="1073">
        <f t="shared" si="130"/>
        <v>117</v>
      </c>
      <c r="U67" s="1073">
        <f t="shared" si="130"/>
        <v>103</v>
      </c>
      <c r="V67" s="1073">
        <f t="shared" si="130"/>
        <v>75</v>
      </c>
      <c r="W67" s="1073">
        <f t="shared" si="130"/>
        <v>73</v>
      </c>
      <c r="X67" s="1073">
        <f t="shared" si="130"/>
        <v>70</v>
      </c>
      <c r="Y67" s="1073">
        <f t="shared" si="130"/>
        <v>61</v>
      </c>
      <c r="Z67" s="1073">
        <f t="shared" si="130"/>
        <v>41</v>
      </c>
      <c r="AA67" s="1077">
        <f>IF(SUM(C67:Z67)=0,"",ROUND(AVERAGE(C67:Z67),0))</f>
        <v>90</v>
      </c>
      <c r="AB67" s="1103"/>
      <c r="AD67" s="995"/>
      <c r="AE67" s="995"/>
      <c r="AF67" s="995"/>
      <c r="AG67" s="995"/>
      <c r="AH67" s="995"/>
      <c r="AI67" s="2463" t="s">
        <v>325</v>
      </c>
      <c r="AJ67" s="2466">
        <f t="shared" si="126"/>
        <v>65</v>
      </c>
      <c r="AK67" s="1914">
        <f t="shared" si="127"/>
        <v>64</v>
      </c>
      <c r="AL67" s="1914">
        <f t="shared" si="117"/>
        <v>73</v>
      </c>
      <c r="AM67" s="1914">
        <f t="shared" si="118"/>
        <v>86</v>
      </c>
      <c r="AN67" s="1914">
        <f t="shared" si="128"/>
        <v>106</v>
      </c>
      <c r="AO67" s="1914">
        <f t="shared" si="128"/>
        <v>104</v>
      </c>
      <c r="AP67" s="1914">
        <f t="shared" si="120"/>
        <v>105</v>
      </c>
      <c r="AQ67" s="1914">
        <f t="shared" si="120"/>
        <v>105</v>
      </c>
      <c r="AR67" s="1914">
        <f t="shared" si="120"/>
        <v>104</v>
      </c>
      <c r="AS67" s="1914">
        <f t="shared" si="120"/>
        <v>101</v>
      </c>
      <c r="AT67" s="1914">
        <f t="shared" si="120"/>
        <v>101</v>
      </c>
      <c r="AU67" s="1914">
        <f t="shared" si="110"/>
        <v>97</v>
      </c>
      <c r="AV67" s="1914">
        <f t="shared" si="111"/>
        <v>94</v>
      </c>
      <c r="AW67" s="1914">
        <f t="shared" si="112"/>
        <v>95</v>
      </c>
      <c r="AX67" s="1914">
        <f t="shared" si="121"/>
        <v>103</v>
      </c>
      <c r="AY67" s="1914">
        <f t="shared" si="113"/>
        <v>104</v>
      </c>
      <c r="AZ67" s="1914">
        <f t="shared" si="113"/>
        <v>112</v>
      </c>
      <c r="BA67" s="1914">
        <f t="shared" si="113"/>
        <v>117</v>
      </c>
      <c r="BB67" s="1914">
        <f t="shared" si="113"/>
        <v>103</v>
      </c>
      <c r="BC67" s="1914">
        <f t="shared" si="113"/>
        <v>75</v>
      </c>
      <c r="BD67" s="1914">
        <f t="shared" si="124"/>
        <v>73</v>
      </c>
      <c r="BE67" s="1914">
        <f t="shared" si="123"/>
        <v>70</v>
      </c>
      <c r="BF67" s="1914">
        <f t="shared" si="125"/>
        <v>61</v>
      </c>
      <c r="BG67" s="1915">
        <f t="shared" si="116"/>
        <v>41</v>
      </c>
      <c r="BH67" s="1913">
        <f t="shared" si="93"/>
        <v>90</v>
      </c>
      <c r="BI67" s="677">
        <f t="shared" si="94"/>
        <v>117</v>
      </c>
      <c r="BJ67" s="1891">
        <f t="shared" si="95"/>
        <v>41</v>
      </c>
      <c r="BK67" s="2377" t="str">
        <f>+DMREZ!AI23</f>
        <v>Clear</v>
      </c>
      <c r="BL67" s="995"/>
      <c r="BM67" s="995"/>
      <c r="BN67" s="995"/>
      <c r="BO67" s="995"/>
      <c r="BP67" s="995"/>
      <c r="BQ67" s="995"/>
      <c r="BR67" s="995"/>
      <c r="BS67" s="995"/>
      <c r="BT67" s="995"/>
      <c r="BU67" s="995"/>
      <c r="BV67" s="995"/>
      <c r="BW67" s="995"/>
      <c r="BX67" s="995"/>
      <c r="BY67" s="995"/>
      <c r="BZ67" s="995"/>
      <c r="CA67" s="995"/>
      <c r="CB67" s="995"/>
      <c r="CC67" s="995"/>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c r="EC67" s="103"/>
      <c r="ED67" s="103"/>
      <c r="EE67" s="103"/>
      <c r="EV67" s="103"/>
      <c r="EW67" s="103"/>
    </row>
    <row r="68" spans="1:153">
      <c r="A68" s="103"/>
      <c r="B68" s="1077" t="s">
        <v>326</v>
      </c>
      <c r="C68" s="1104">
        <f t="shared" si="132"/>
        <v>62</v>
      </c>
      <c r="D68" s="1073">
        <f t="shared" si="132"/>
        <v>71</v>
      </c>
      <c r="E68" s="1073">
        <f t="shared" si="132"/>
        <v>81</v>
      </c>
      <c r="F68" s="1073">
        <f t="shared" si="132"/>
        <v>82</v>
      </c>
      <c r="G68" s="1073">
        <f t="shared" si="132"/>
        <v>85</v>
      </c>
      <c r="H68" s="1073">
        <f t="shared" si="132"/>
        <v>87</v>
      </c>
      <c r="I68" s="1073">
        <f t="shared" si="132"/>
        <v>90</v>
      </c>
      <c r="J68" s="1073">
        <f t="shared" si="132"/>
        <v>82</v>
      </c>
      <c r="K68" s="1073">
        <f t="shared" si="132"/>
        <v>84</v>
      </c>
      <c r="L68" s="1073">
        <f t="shared" si="132"/>
        <v>85</v>
      </c>
      <c r="M68" s="1073">
        <f t="shared" si="132"/>
        <v>86</v>
      </c>
      <c r="N68" s="1073">
        <f t="shared" si="132"/>
        <v>86</v>
      </c>
      <c r="O68" s="1073">
        <f t="shared" si="132"/>
        <v>86</v>
      </c>
      <c r="P68" s="1073">
        <f t="shared" si="132"/>
        <v>88</v>
      </c>
      <c r="Q68" s="1073">
        <f t="shared" si="132"/>
        <v>111</v>
      </c>
      <c r="R68" s="1073">
        <f t="shared" si="130"/>
        <v>114</v>
      </c>
      <c r="S68" s="1073">
        <f t="shared" si="130"/>
        <v>112</v>
      </c>
      <c r="T68" s="1073">
        <f t="shared" si="130"/>
        <v>110</v>
      </c>
      <c r="U68" s="1073">
        <f t="shared" si="130"/>
        <v>110</v>
      </c>
      <c r="V68" s="1073">
        <f t="shared" si="130"/>
        <v>97</v>
      </c>
      <c r="W68" s="1073">
        <f t="shared" si="130"/>
        <v>80</v>
      </c>
      <c r="X68" s="1073">
        <f t="shared" si="130"/>
        <v>69</v>
      </c>
      <c r="Y68" s="1073">
        <f t="shared" si="130"/>
        <v>64</v>
      </c>
      <c r="Z68" s="1073">
        <f t="shared" si="130"/>
        <v>56</v>
      </c>
      <c r="AA68" s="1077">
        <f>IF(SUM(C68:Z68)=0,"",ROUND(AVERAGE(C68:Z68),0))</f>
        <v>87</v>
      </c>
      <c r="AB68" s="1103"/>
      <c r="AD68" s="995"/>
      <c r="AE68" s="995"/>
      <c r="AF68" s="995"/>
      <c r="AG68" s="995"/>
      <c r="AH68" s="995"/>
      <c r="AI68" s="2463" t="s">
        <v>326</v>
      </c>
      <c r="AJ68" s="2466">
        <f t="shared" si="126"/>
        <v>62</v>
      </c>
      <c r="AK68" s="1914">
        <f t="shared" si="127"/>
        <v>71</v>
      </c>
      <c r="AL68" s="1914">
        <f t="shared" si="117"/>
        <v>81</v>
      </c>
      <c r="AM68" s="1914">
        <f t="shared" si="118"/>
        <v>82</v>
      </c>
      <c r="AN68" s="1914">
        <f t="shared" si="128"/>
        <v>85</v>
      </c>
      <c r="AO68" s="1914">
        <f t="shared" si="128"/>
        <v>87</v>
      </c>
      <c r="AP68" s="1914">
        <f t="shared" si="120"/>
        <v>90</v>
      </c>
      <c r="AQ68" s="1914">
        <f t="shared" si="120"/>
        <v>82</v>
      </c>
      <c r="AR68" s="1914">
        <f t="shared" si="120"/>
        <v>84</v>
      </c>
      <c r="AS68" s="1914">
        <f t="shared" si="120"/>
        <v>85</v>
      </c>
      <c r="AT68" s="1914">
        <f t="shared" si="120"/>
        <v>86</v>
      </c>
      <c r="AU68" s="1914">
        <f t="shared" si="110"/>
        <v>86</v>
      </c>
      <c r="AV68" s="1914">
        <f t="shared" si="111"/>
        <v>86</v>
      </c>
      <c r="AW68" s="1914">
        <f t="shared" si="112"/>
        <v>88</v>
      </c>
      <c r="AX68" s="1914">
        <f t="shared" si="121"/>
        <v>111</v>
      </c>
      <c r="AY68" s="1914">
        <f t="shared" si="113"/>
        <v>114</v>
      </c>
      <c r="AZ68" s="1914">
        <f t="shared" si="113"/>
        <v>112</v>
      </c>
      <c r="BA68" s="1914">
        <f t="shared" si="113"/>
        <v>110</v>
      </c>
      <c r="BB68" s="1914">
        <f t="shared" si="113"/>
        <v>110</v>
      </c>
      <c r="BC68" s="1914">
        <f t="shared" si="113"/>
        <v>97</v>
      </c>
      <c r="BD68" s="1914">
        <f t="shared" si="124"/>
        <v>80</v>
      </c>
      <c r="BE68" s="1914">
        <f t="shared" si="123"/>
        <v>69</v>
      </c>
      <c r="BF68" s="1914">
        <f t="shared" si="125"/>
        <v>64</v>
      </c>
      <c r="BG68" s="1914">
        <f t="shared" si="116"/>
        <v>56</v>
      </c>
      <c r="BH68" s="1913">
        <f t="shared" si="93"/>
        <v>87</v>
      </c>
      <c r="BI68" s="677">
        <f t="shared" si="94"/>
        <v>114</v>
      </c>
      <c r="BJ68" s="1891">
        <f t="shared" si="95"/>
        <v>56</v>
      </c>
      <c r="BK68" s="2377" t="str">
        <f>+DMREZ!AI24</f>
        <v>Clear</v>
      </c>
      <c r="BL68" s="995"/>
      <c r="BM68" s="995"/>
      <c r="BN68" s="995"/>
      <c r="BO68" s="995"/>
      <c r="BP68" s="995"/>
      <c r="BQ68" s="995"/>
      <c r="BR68" s="995"/>
      <c r="BS68" s="995"/>
      <c r="BT68" s="995"/>
      <c r="BU68" s="995"/>
      <c r="BV68" s="995"/>
      <c r="BW68" s="995"/>
      <c r="BX68" s="995"/>
      <c r="BY68" s="995"/>
      <c r="BZ68" s="995"/>
      <c r="CA68" s="995"/>
      <c r="CB68" s="995"/>
      <c r="CC68" s="995"/>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c r="EC68" s="103"/>
      <c r="ED68" s="103"/>
      <c r="EE68" s="103"/>
      <c r="EV68" s="103"/>
      <c r="EW68" s="103"/>
    </row>
    <row r="69" spans="1:153">
      <c r="A69" s="103"/>
      <c r="B69" s="1077" t="s">
        <v>327</v>
      </c>
      <c r="C69" s="1104">
        <f t="shared" si="132"/>
        <v>59</v>
      </c>
      <c r="D69" s="1073">
        <f t="shared" si="132"/>
        <v>72</v>
      </c>
      <c r="E69" s="1073">
        <f t="shared" si="132"/>
        <v>86</v>
      </c>
      <c r="F69" s="1073">
        <f t="shared" si="132"/>
        <v>87</v>
      </c>
      <c r="G69" s="1073">
        <f t="shared" si="132"/>
        <v>85</v>
      </c>
      <c r="H69" s="1073">
        <f t="shared" si="132"/>
        <v>88</v>
      </c>
      <c r="I69" s="1073">
        <f t="shared" si="132"/>
        <v>116</v>
      </c>
      <c r="J69" s="1073">
        <f t="shared" si="132"/>
        <v>111</v>
      </c>
      <c r="K69" s="1073">
        <f t="shared" si="132"/>
        <v>113</v>
      </c>
      <c r="L69" s="1073">
        <f t="shared" si="132"/>
        <v>112</v>
      </c>
      <c r="M69" s="1073">
        <f t="shared" si="132"/>
        <v>108</v>
      </c>
      <c r="N69" s="1073">
        <f t="shared" si="132"/>
        <v>105</v>
      </c>
      <c r="O69" s="1073">
        <f t="shared" si="132"/>
        <v>104</v>
      </c>
      <c r="P69" s="1073">
        <f t="shared" si="132"/>
        <v>104</v>
      </c>
      <c r="Q69" s="1073">
        <f t="shared" si="132"/>
        <v>104</v>
      </c>
      <c r="R69" s="1073">
        <f t="shared" si="130"/>
        <v>103</v>
      </c>
      <c r="S69" s="1073">
        <f t="shared" si="130"/>
        <v>104</v>
      </c>
      <c r="T69" s="1073">
        <f t="shared" si="130"/>
        <v>103</v>
      </c>
      <c r="U69" s="1073">
        <f t="shared" si="130"/>
        <v>101</v>
      </c>
      <c r="V69" s="1073">
        <f t="shared" si="130"/>
        <v>105</v>
      </c>
      <c r="W69" s="1073">
        <f t="shared" si="130"/>
        <v>73</v>
      </c>
      <c r="X69" s="1073">
        <f t="shared" si="130"/>
        <v>68</v>
      </c>
      <c r="Y69" s="1073">
        <f t="shared" si="130"/>
        <v>63</v>
      </c>
      <c r="Z69" s="1073">
        <f t="shared" si="130"/>
        <v>61</v>
      </c>
      <c r="AA69" s="1077">
        <f>IF(SUM(C69:Z69)=0,"",ROUND(AVERAGE(C69:Z69),0))</f>
        <v>93</v>
      </c>
      <c r="AB69" s="1103"/>
      <c r="AD69" s="995"/>
      <c r="AE69" s="995"/>
      <c r="AF69" s="995"/>
      <c r="AG69" s="995"/>
      <c r="AH69" s="995"/>
      <c r="AI69" s="2463" t="s">
        <v>327</v>
      </c>
      <c r="AJ69" s="2466">
        <f t="shared" si="126"/>
        <v>59</v>
      </c>
      <c r="AK69" s="1914">
        <f t="shared" si="127"/>
        <v>72</v>
      </c>
      <c r="AL69" s="1914">
        <f t="shared" si="117"/>
        <v>86</v>
      </c>
      <c r="AM69" s="1914">
        <f t="shared" si="118"/>
        <v>87</v>
      </c>
      <c r="AN69" s="1914">
        <f t="shared" si="128"/>
        <v>85</v>
      </c>
      <c r="AO69" s="1914">
        <f t="shared" si="128"/>
        <v>88</v>
      </c>
      <c r="AP69" s="1914">
        <f t="shared" si="120"/>
        <v>116</v>
      </c>
      <c r="AQ69" s="1914">
        <f t="shared" si="120"/>
        <v>111</v>
      </c>
      <c r="AR69" s="1914">
        <f t="shared" si="120"/>
        <v>113</v>
      </c>
      <c r="AS69" s="1914">
        <f t="shared" si="120"/>
        <v>112</v>
      </c>
      <c r="AT69" s="1914">
        <f t="shared" si="120"/>
        <v>108</v>
      </c>
      <c r="AU69" s="1914">
        <f t="shared" si="110"/>
        <v>105</v>
      </c>
      <c r="AV69" s="1914">
        <f t="shared" ref="AV69:AV71" si="133">IF(O23&gt;0,O23,"")</f>
        <v>104</v>
      </c>
      <c r="AW69" s="1914">
        <f t="shared" si="112"/>
        <v>104</v>
      </c>
      <c r="AX69" s="1914">
        <f t="shared" si="121"/>
        <v>104</v>
      </c>
      <c r="AY69" s="1914">
        <f t="shared" si="121"/>
        <v>103</v>
      </c>
      <c r="AZ69" s="1914">
        <f t="shared" si="113"/>
        <v>104</v>
      </c>
      <c r="BA69" s="1914">
        <f t="shared" si="113"/>
        <v>103</v>
      </c>
      <c r="BB69" s="1914">
        <f t="shared" si="113"/>
        <v>101</v>
      </c>
      <c r="BC69" s="1914">
        <f t="shared" si="113"/>
        <v>105</v>
      </c>
      <c r="BD69" s="1914"/>
      <c r="BE69" s="1914"/>
      <c r="BF69" s="1914"/>
      <c r="BG69" s="1915"/>
      <c r="BH69" s="1913">
        <f t="shared" si="93"/>
        <v>99</v>
      </c>
      <c r="BI69" s="677">
        <f t="shared" si="94"/>
        <v>116</v>
      </c>
      <c r="BJ69" s="1891">
        <f t="shared" si="95"/>
        <v>59</v>
      </c>
      <c r="BK69" s="2377" t="str">
        <f>+DMREZ!AI25</f>
        <v>Rain</v>
      </c>
      <c r="BL69" s="995"/>
      <c r="BM69" s="995"/>
      <c r="BN69" s="995"/>
      <c r="BO69" s="995"/>
      <c r="BP69" s="995"/>
      <c r="BQ69" s="995"/>
      <c r="BR69" s="995"/>
      <c r="BS69" s="995"/>
      <c r="BT69" s="995"/>
      <c r="BU69" s="995"/>
      <c r="BV69" s="995"/>
      <c r="BW69" s="995"/>
      <c r="BX69" s="995"/>
      <c r="BY69" s="995"/>
      <c r="BZ69" s="995"/>
      <c r="CA69" s="995"/>
      <c r="CB69" s="995"/>
      <c r="CC69" s="995"/>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c r="EC69" s="103"/>
      <c r="ED69" s="103"/>
      <c r="EE69" s="103"/>
      <c r="EV69" s="103"/>
      <c r="EW69" s="103"/>
    </row>
    <row r="70" spans="1:153">
      <c r="A70" s="103"/>
      <c r="B70" s="1077" t="s">
        <v>328</v>
      </c>
      <c r="C70" s="1104">
        <f t="shared" si="132"/>
        <v>64</v>
      </c>
      <c r="D70" s="1073">
        <f t="shared" si="132"/>
        <v>68</v>
      </c>
      <c r="E70" s="1073">
        <f t="shared" si="132"/>
        <v>74</v>
      </c>
      <c r="F70" s="1073">
        <f t="shared" si="132"/>
        <v>112</v>
      </c>
      <c r="G70" s="1073">
        <f t="shared" si="132"/>
        <v>103</v>
      </c>
      <c r="H70" s="1073">
        <f t="shared" si="132"/>
        <v>110</v>
      </c>
      <c r="I70" s="1073">
        <f t="shared" si="132"/>
        <v>120</v>
      </c>
      <c r="J70" s="1073">
        <f t="shared" si="132"/>
        <v>108</v>
      </c>
      <c r="K70" s="1073">
        <f t="shared" si="132"/>
        <v>109</v>
      </c>
      <c r="L70" s="1073">
        <f t="shared" si="132"/>
        <v>108</v>
      </c>
      <c r="M70" s="1073">
        <f t="shared" si="132"/>
        <v>132</v>
      </c>
      <c r="N70" s="1073">
        <f t="shared" si="132"/>
        <v>123</v>
      </c>
      <c r="O70" s="1073">
        <f t="shared" si="132"/>
        <v>119</v>
      </c>
      <c r="P70" s="1073">
        <f t="shared" si="132"/>
        <v>110</v>
      </c>
      <c r="Q70" s="1073">
        <f t="shared" si="132"/>
        <v>109</v>
      </c>
      <c r="R70" s="1073">
        <f t="shared" si="130"/>
        <v>108</v>
      </c>
      <c r="S70" s="1073">
        <f t="shared" si="130"/>
        <v>104</v>
      </c>
      <c r="T70" s="1073">
        <f t="shared" si="130"/>
        <v>89</v>
      </c>
      <c r="U70" s="1073">
        <f t="shared" si="130"/>
        <v>80</v>
      </c>
      <c r="V70" s="1073">
        <f>IF(ISNUMBER(V24),IF(BC70="",+IF(V24&gt;BC$88,BC$86,V24),V24),"")</f>
        <v>74</v>
      </c>
      <c r="W70" s="1073">
        <f t="shared" si="130"/>
        <v>73</v>
      </c>
      <c r="X70" s="1073">
        <f t="shared" si="130"/>
        <v>66</v>
      </c>
      <c r="Y70" s="1073">
        <f t="shared" si="130"/>
        <v>62</v>
      </c>
      <c r="Z70" s="1073">
        <f>IF(ISNUMBER(Z24),IF(BG70="",+IF(Z24&gt;BG$88,BG$86,Z24),Z24),"")</f>
        <v>60</v>
      </c>
      <c r="AA70" s="1077">
        <f>IF(SUM(C70:Z70)=0,"",ROUND(AVERAGE(C70:Z70),0))</f>
        <v>95</v>
      </c>
      <c r="AB70" s="1103"/>
      <c r="AD70" s="995"/>
      <c r="AE70" s="995"/>
      <c r="AF70" s="995"/>
      <c r="AG70" s="995"/>
      <c r="AH70" s="995"/>
      <c r="AI70" s="2463" t="s">
        <v>328</v>
      </c>
      <c r="AJ70" s="2466"/>
      <c r="AK70" s="1914"/>
      <c r="AL70" s="1914"/>
      <c r="AM70" s="1914"/>
      <c r="AN70" s="1914">
        <f t="shared" si="128"/>
        <v>103</v>
      </c>
      <c r="AO70" s="1914">
        <f t="shared" si="128"/>
        <v>110</v>
      </c>
      <c r="AP70" s="1914">
        <f t="shared" si="120"/>
        <v>120</v>
      </c>
      <c r="AQ70" s="1914"/>
      <c r="AR70" s="1914"/>
      <c r="AS70" s="1914"/>
      <c r="AT70" s="1914">
        <f t="shared" ref="AT70:AT71" si="134">IF(M24&gt;0,M24,"")</f>
        <v>132</v>
      </c>
      <c r="AU70" s="1914">
        <f t="shared" si="110"/>
        <v>123</v>
      </c>
      <c r="AV70" s="1914">
        <f t="shared" si="133"/>
        <v>119</v>
      </c>
      <c r="AW70" s="1914">
        <f t="shared" si="112"/>
        <v>110</v>
      </c>
      <c r="AX70" s="1914">
        <f t="shared" si="121"/>
        <v>109</v>
      </c>
      <c r="AY70" s="1914">
        <f t="shared" si="121"/>
        <v>108</v>
      </c>
      <c r="AZ70" s="1914">
        <f t="shared" si="113"/>
        <v>104</v>
      </c>
      <c r="BA70" s="1914">
        <f t="shared" si="113"/>
        <v>89</v>
      </c>
      <c r="BB70" s="1914">
        <f t="shared" si="113"/>
        <v>80</v>
      </c>
      <c r="BC70" s="1914">
        <f t="shared" si="113"/>
        <v>74</v>
      </c>
      <c r="BD70" s="1914">
        <f t="shared" si="124"/>
        <v>73</v>
      </c>
      <c r="BE70" s="1914">
        <f t="shared" si="123"/>
        <v>66</v>
      </c>
      <c r="BF70" s="1914">
        <f t="shared" si="125"/>
        <v>62</v>
      </c>
      <c r="BG70" s="1915">
        <f t="shared" si="116"/>
        <v>60</v>
      </c>
      <c r="BH70" s="1913">
        <f>IF(SUM(AJ70:BG70)=0,"",ROUND(AVERAGE(AJ70:BG70),0))</f>
        <v>97</v>
      </c>
      <c r="BI70" s="677">
        <f>IF(SUM(AJ70:BG70)=0,"",ROUND(MAX(AJ70:BG70),0))</f>
        <v>132</v>
      </c>
      <c r="BJ70" s="1891">
        <f>IF(SUM(AJ70:BG70)=0,"",ROUND(MIN(AJ70:BG70),0))</f>
        <v>60</v>
      </c>
      <c r="BK70" s="2377" t="str">
        <f>+DMREZ!AI26</f>
        <v>Rain</v>
      </c>
      <c r="BL70" s="995"/>
      <c r="BM70" s="995"/>
      <c r="BN70" s="995"/>
      <c r="BO70" s="995"/>
      <c r="BP70" s="995"/>
      <c r="BQ70" s="995"/>
      <c r="BR70" s="995"/>
      <c r="BS70" s="995"/>
      <c r="BT70" s="995"/>
      <c r="BU70" s="995"/>
      <c r="BV70" s="995"/>
      <c r="BW70" s="995"/>
      <c r="BX70" s="995"/>
      <c r="BY70" s="995"/>
      <c r="BZ70" s="995"/>
      <c r="CA70" s="995"/>
      <c r="CB70" s="995"/>
      <c r="CC70" s="995"/>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c r="EC70" s="103"/>
      <c r="ED70" s="103"/>
      <c r="EE70" s="103"/>
      <c r="EV70" s="103"/>
      <c r="EW70" s="103"/>
    </row>
    <row r="71" spans="1:153">
      <c r="A71" s="103"/>
      <c r="B71" s="1077" t="s">
        <v>329</v>
      </c>
      <c r="C71" s="1104">
        <f t="shared" si="132"/>
        <v>65</v>
      </c>
      <c r="D71" s="1073">
        <f t="shared" si="132"/>
        <v>72</v>
      </c>
      <c r="E71" s="1073">
        <f t="shared" si="132"/>
        <v>73</v>
      </c>
      <c r="F71" s="1073">
        <f t="shared" si="132"/>
        <v>86</v>
      </c>
      <c r="G71" s="1073">
        <f t="shared" si="132"/>
        <v>88</v>
      </c>
      <c r="H71" s="1073">
        <f t="shared" si="132"/>
        <v>92</v>
      </c>
      <c r="I71" s="1073">
        <f t="shared" si="132"/>
        <v>102</v>
      </c>
      <c r="J71" s="1073">
        <f t="shared" si="132"/>
        <v>112</v>
      </c>
      <c r="K71" s="1073">
        <f t="shared" si="132"/>
        <v>134</v>
      </c>
      <c r="L71" s="1073">
        <f t="shared" si="132"/>
        <v>131</v>
      </c>
      <c r="M71" s="1073">
        <f t="shared" si="132"/>
        <v>130</v>
      </c>
      <c r="N71" s="1073">
        <f t="shared" si="132"/>
        <v>127</v>
      </c>
      <c r="O71" s="1073">
        <f t="shared" si="132"/>
        <v>125</v>
      </c>
      <c r="P71" s="1073">
        <f t="shared" si="132"/>
        <v>116</v>
      </c>
      <c r="Q71" s="1073">
        <f t="shared" si="132"/>
        <v>108</v>
      </c>
      <c r="R71" s="1073">
        <f t="shared" si="130"/>
        <v>109</v>
      </c>
      <c r="S71" s="1073">
        <f t="shared" si="130"/>
        <v>109</v>
      </c>
      <c r="T71" s="1073">
        <f t="shared" si="130"/>
        <v>89</v>
      </c>
      <c r="U71" s="1073">
        <f t="shared" si="130"/>
        <v>80</v>
      </c>
      <c r="V71" s="1073">
        <f t="shared" si="130"/>
        <v>79</v>
      </c>
      <c r="W71" s="1073">
        <f t="shared" si="130"/>
        <v>77</v>
      </c>
      <c r="X71" s="1073">
        <f t="shared" si="130"/>
        <v>74</v>
      </c>
      <c r="Y71" s="1073">
        <f t="shared" si="130"/>
        <v>68</v>
      </c>
      <c r="Z71" s="1073">
        <f t="shared" si="130"/>
        <v>58</v>
      </c>
      <c r="AA71" s="1077">
        <f t="shared" si="68"/>
        <v>96</v>
      </c>
      <c r="AB71" s="1103"/>
      <c r="AD71" s="995"/>
      <c r="AE71" s="995"/>
      <c r="AF71" s="995"/>
      <c r="AG71" s="995"/>
      <c r="AH71" s="995"/>
      <c r="AI71" s="2463" t="s">
        <v>329</v>
      </c>
      <c r="AJ71" s="2466">
        <f t="shared" si="126"/>
        <v>65</v>
      </c>
      <c r="AK71" s="1914">
        <f t="shared" si="127"/>
        <v>72</v>
      </c>
      <c r="AL71" s="1914">
        <f t="shared" si="117"/>
        <v>73</v>
      </c>
      <c r="AM71" s="1914">
        <f t="shared" si="118"/>
        <v>86</v>
      </c>
      <c r="AN71" s="1914">
        <f t="shared" si="128"/>
        <v>88</v>
      </c>
      <c r="AO71" s="1914">
        <f t="shared" ref="AO71" si="135">IF(H25&gt;0,H25,"")</f>
        <v>92</v>
      </c>
      <c r="AP71" s="1914">
        <f t="shared" si="120"/>
        <v>102</v>
      </c>
      <c r="AQ71" s="1914">
        <f t="shared" si="120"/>
        <v>112</v>
      </c>
      <c r="AR71" s="1914">
        <f t="shared" si="120"/>
        <v>134</v>
      </c>
      <c r="AS71" s="1914">
        <f t="shared" si="120"/>
        <v>131</v>
      </c>
      <c r="AT71" s="1914">
        <f t="shared" si="134"/>
        <v>130</v>
      </c>
      <c r="AU71" s="1914">
        <f t="shared" si="110"/>
        <v>127</v>
      </c>
      <c r="AV71" s="1914">
        <f t="shared" si="133"/>
        <v>125</v>
      </c>
      <c r="AW71" s="1914">
        <f t="shared" si="112"/>
        <v>116</v>
      </c>
      <c r="AX71" s="1914">
        <f t="shared" si="121"/>
        <v>108</v>
      </c>
      <c r="AY71" s="1914">
        <f t="shared" si="121"/>
        <v>109</v>
      </c>
      <c r="AZ71" s="1914">
        <f t="shared" si="113"/>
        <v>109</v>
      </c>
      <c r="BA71" s="1914">
        <f t="shared" si="113"/>
        <v>89</v>
      </c>
      <c r="BB71" s="1914">
        <f t="shared" si="113"/>
        <v>80</v>
      </c>
      <c r="BC71" s="1914">
        <f t="shared" ref="AX71:BC84" si="136">IF(V25&gt;0,V25,"")</f>
        <v>79</v>
      </c>
      <c r="BD71" s="1914">
        <f t="shared" si="124"/>
        <v>77</v>
      </c>
      <c r="BE71" s="1914">
        <f t="shared" si="123"/>
        <v>74</v>
      </c>
      <c r="BF71" s="1914">
        <f t="shared" si="125"/>
        <v>68</v>
      </c>
      <c r="BG71" s="1915">
        <f t="shared" si="125"/>
        <v>58</v>
      </c>
      <c r="BH71" s="1913">
        <f t="shared" si="93"/>
        <v>96</v>
      </c>
      <c r="BI71" s="677">
        <f t="shared" si="94"/>
        <v>134</v>
      </c>
      <c r="BJ71" s="1891">
        <f t="shared" si="95"/>
        <v>58</v>
      </c>
      <c r="BK71" s="2377" t="str">
        <f>+DMREZ!AI27</f>
        <v>Snow</v>
      </c>
      <c r="BL71" s="995"/>
      <c r="BM71" s="995"/>
      <c r="BN71" s="995"/>
      <c r="BO71" s="995"/>
      <c r="BP71" s="995"/>
      <c r="BQ71" s="995"/>
      <c r="BR71" s="995"/>
      <c r="BS71" s="995"/>
      <c r="BT71" s="995"/>
      <c r="BU71" s="995"/>
      <c r="BV71" s="995"/>
      <c r="BW71" s="995"/>
      <c r="BX71" s="995"/>
      <c r="BY71" s="995"/>
      <c r="BZ71" s="995"/>
      <c r="CA71" s="995"/>
      <c r="CB71" s="995"/>
      <c r="CC71" s="995"/>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c r="EC71" s="103"/>
      <c r="ED71" s="103"/>
      <c r="EE71" s="103"/>
      <c r="EV71" s="103"/>
      <c r="EW71" s="103"/>
    </row>
    <row r="72" spans="1:153">
      <c r="A72" s="103"/>
      <c r="B72" s="1077" t="s">
        <v>330</v>
      </c>
      <c r="C72" s="1104">
        <f t="shared" si="132"/>
        <v>59</v>
      </c>
      <c r="D72" s="1073">
        <f t="shared" si="132"/>
        <v>57</v>
      </c>
      <c r="E72" s="1073">
        <f t="shared" si="132"/>
        <v>65</v>
      </c>
      <c r="F72" s="1073">
        <f t="shared" si="132"/>
        <v>70</v>
      </c>
      <c r="G72" s="1073">
        <f t="shared" si="132"/>
        <v>74</v>
      </c>
      <c r="H72" s="1073">
        <f t="shared" si="132"/>
        <v>86</v>
      </c>
      <c r="I72" s="1073">
        <f t="shared" si="132"/>
        <v>112</v>
      </c>
      <c r="J72" s="1073">
        <f t="shared" si="132"/>
        <v>124</v>
      </c>
      <c r="K72" s="1073">
        <f t="shared" si="132"/>
        <v>124</v>
      </c>
      <c r="L72" s="1073">
        <f t="shared" si="132"/>
        <v>123</v>
      </c>
      <c r="M72" s="1073">
        <f t="shared" si="132"/>
        <v>118</v>
      </c>
      <c r="N72" s="1073">
        <f t="shared" si="132"/>
        <v>112</v>
      </c>
      <c r="O72" s="1073">
        <f t="shared" si="132"/>
        <v>113</v>
      </c>
      <c r="P72" s="1073">
        <f t="shared" si="132"/>
        <v>113</v>
      </c>
      <c r="Q72" s="1073">
        <f t="shared" si="132"/>
        <v>114</v>
      </c>
      <c r="R72" s="1073">
        <f t="shared" si="130"/>
        <v>113</v>
      </c>
      <c r="S72" s="1073">
        <f t="shared" si="130"/>
        <v>113</v>
      </c>
      <c r="T72" s="1073">
        <f t="shared" si="130"/>
        <v>111</v>
      </c>
      <c r="U72" s="1073">
        <f t="shared" si="130"/>
        <v>107</v>
      </c>
      <c r="V72" s="1073">
        <f t="shared" si="130"/>
        <v>80</v>
      </c>
      <c r="W72" s="1073">
        <f t="shared" si="130"/>
        <v>69</v>
      </c>
      <c r="X72" s="1073">
        <f t="shared" si="130"/>
        <v>62</v>
      </c>
      <c r="Y72" s="1073">
        <f t="shared" si="130"/>
        <v>60</v>
      </c>
      <c r="Z72" s="1073">
        <f t="shared" si="130"/>
        <v>59</v>
      </c>
      <c r="AA72" s="1077">
        <f t="shared" si="68"/>
        <v>93</v>
      </c>
      <c r="AB72" s="1103"/>
      <c r="AD72" s="995"/>
      <c r="AE72" s="995"/>
      <c r="AF72" s="995"/>
      <c r="AG72" s="995"/>
      <c r="AH72" s="995"/>
      <c r="AI72" s="2463" t="s">
        <v>330</v>
      </c>
      <c r="AJ72" s="2466">
        <f t="shared" si="126"/>
        <v>59</v>
      </c>
      <c r="AK72" s="1914">
        <f t="shared" si="127"/>
        <v>57</v>
      </c>
      <c r="AL72" s="1914">
        <f t="shared" si="117"/>
        <v>65</v>
      </c>
      <c r="AM72" s="1914">
        <f t="shared" si="118"/>
        <v>70</v>
      </c>
      <c r="AN72" s="1914">
        <f t="shared" si="128"/>
        <v>74</v>
      </c>
      <c r="AO72" s="1914">
        <f t="shared" si="128"/>
        <v>86</v>
      </c>
      <c r="AP72" s="1914">
        <f t="shared" si="120"/>
        <v>112</v>
      </c>
      <c r="AQ72" s="1914">
        <f t="shared" si="128"/>
        <v>124</v>
      </c>
      <c r="AR72" s="1914">
        <f t="shared" si="128"/>
        <v>124</v>
      </c>
      <c r="AS72" s="1914">
        <f t="shared" si="120"/>
        <v>123</v>
      </c>
      <c r="AT72" s="1914">
        <f t="shared" si="120"/>
        <v>118</v>
      </c>
      <c r="AU72" s="1914">
        <f t="shared" si="110"/>
        <v>112</v>
      </c>
      <c r="AV72" s="1914">
        <f t="shared" si="111"/>
        <v>113</v>
      </c>
      <c r="AW72" s="1914">
        <f t="shared" si="112"/>
        <v>113</v>
      </c>
      <c r="AX72" s="1914">
        <f t="shared" si="121"/>
        <v>114</v>
      </c>
      <c r="AY72" s="1914">
        <f t="shared" si="136"/>
        <v>113</v>
      </c>
      <c r="AZ72" s="1914">
        <f t="shared" si="136"/>
        <v>113</v>
      </c>
      <c r="BA72" s="1914">
        <f t="shared" si="136"/>
        <v>111</v>
      </c>
      <c r="BB72" s="1914">
        <f t="shared" si="136"/>
        <v>107</v>
      </c>
      <c r="BC72" s="1914">
        <f t="shared" si="136"/>
        <v>80</v>
      </c>
      <c r="BD72" s="1914">
        <f t="shared" si="124"/>
        <v>69</v>
      </c>
      <c r="BE72" s="1914">
        <f t="shared" si="123"/>
        <v>62</v>
      </c>
      <c r="BF72" s="1914">
        <f t="shared" si="125"/>
        <v>60</v>
      </c>
      <c r="BG72" s="1915">
        <f t="shared" si="116"/>
        <v>59</v>
      </c>
      <c r="BH72" s="1913">
        <f t="shared" si="93"/>
        <v>93</v>
      </c>
      <c r="BI72" s="677">
        <f t="shared" si="94"/>
        <v>124</v>
      </c>
      <c r="BJ72" s="1891">
        <f t="shared" si="95"/>
        <v>57</v>
      </c>
      <c r="BK72" s="2377" t="str">
        <f>+DMREZ!AI28</f>
        <v>Clear</v>
      </c>
      <c r="BL72" s="995"/>
      <c r="BM72" s="995"/>
      <c r="BN72" s="995"/>
      <c r="BO72" s="995"/>
      <c r="BP72" s="995"/>
      <c r="BQ72" s="995"/>
      <c r="BR72" s="995"/>
      <c r="BS72" s="995"/>
      <c r="BT72" s="995"/>
      <c r="BU72" s="995"/>
      <c r="BV72" s="995"/>
      <c r="BW72" s="995"/>
      <c r="BX72" s="995"/>
      <c r="BY72" s="995"/>
      <c r="BZ72" s="995"/>
      <c r="CA72" s="995"/>
      <c r="CB72" s="995"/>
      <c r="CC72" s="995"/>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c r="EC72" s="103"/>
      <c r="ED72" s="103"/>
      <c r="EE72" s="103"/>
      <c r="EV72" s="103"/>
      <c r="EW72" s="103"/>
    </row>
    <row r="73" spans="1:153">
      <c r="A73" s="103"/>
      <c r="B73" s="1077" t="s">
        <v>331</v>
      </c>
      <c r="C73" s="1104">
        <f t="shared" si="132"/>
        <v>61</v>
      </c>
      <c r="D73" s="1073">
        <f t="shared" si="132"/>
        <v>64</v>
      </c>
      <c r="E73" s="1073">
        <f t="shared" si="132"/>
        <v>64</v>
      </c>
      <c r="F73" s="1073">
        <f t="shared" si="132"/>
        <v>77</v>
      </c>
      <c r="G73" s="1073">
        <f t="shared" si="132"/>
        <v>78</v>
      </c>
      <c r="H73" s="1073">
        <f t="shared" si="132"/>
        <v>71</v>
      </c>
      <c r="I73" s="1073">
        <f t="shared" si="132"/>
        <v>102</v>
      </c>
      <c r="J73" s="1073">
        <f t="shared" si="132"/>
        <v>107</v>
      </c>
      <c r="K73" s="1073">
        <f t="shared" si="132"/>
        <v>110</v>
      </c>
      <c r="L73" s="1073">
        <f t="shared" si="132"/>
        <v>106</v>
      </c>
      <c r="M73" s="1073">
        <f t="shared" si="132"/>
        <v>105</v>
      </c>
      <c r="N73" s="1073">
        <f t="shared" si="132"/>
        <v>106</v>
      </c>
      <c r="O73" s="1073">
        <f t="shared" si="132"/>
        <v>103</v>
      </c>
      <c r="P73" s="1073">
        <f t="shared" si="132"/>
        <v>98</v>
      </c>
      <c r="Q73" s="1073">
        <f t="shared" si="132"/>
        <v>100</v>
      </c>
      <c r="R73" s="1073">
        <f t="shared" si="130"/>
        <v>108</v>
      </c>
      <c r="S73" s="1073">
        <f t="shared" si="130"/>
        <v>109</v>
      </c>
      <c r="T73" s="1073">
        <f t="shared" si="130"/>
        <v>108</v>
      </c>
      <c r="U73" s="1073">
        <f t="shared" si="130"/>
        <v>106</v>
      </c>
      <c r="V73" s="1073">
        <f t="shared" si="130"/>
        <v>94</v>
      </c>
      <c r="W73" s="1073">
        <f t="shared" si="130"/>
        <v>71</v>
      </c>
      <c r="X73" s="1073">
        <f t="shared" si="130"/>
        <v>68</v>
      </c>
      <c r="Y73" s="1073">
        <f t="shared" si="130"/>
        <v>58</v>
      </c>
      <c r="Z73" s="1073">
        <f t="shared" si="130"/>
        <v>57</v>
      </c>
      <c r="AA73" s="1077">
        <f t="shared" si="68"/>
        <v>89</v>
      </c>
      <c r="AB73" s="1103"/>
      <c r="AD73" s="995"/>
      <c r="AE73" s="995"/>
      <c r="AF73" s="995"/>
      <c r="AG73" s="995"/>
      <c r="AH73" s="995"/>
      <c r="AI73" s="2463" t="s">
        <v>331</v>
      </c>
      <c r="AJ73" s="2489">
        <f t="shared" si="126"/>
        <v>61</v>
      </c>
      <c r="AK73" s="1914">
        <f t="shared" si="127"/>
        <v>64</v>
      </c>
      <c r="AL73" s="1914">
        <f t="shared" si="117"/>
        <v>64</v>
      </c>
      <c r="AM73" s="1914">
        <f t="shared" si="118"/>
        <v>77</v>
      </c>
      <c r="AN73" s="1914">
        <f t="shared" si="128"/>
        <v>78</v>
      </c>
      <c r="AO73" s="1914">
        <f t="shared" si="128"/>
        <v>71</v>
      </c>
      <c r="AP73" s="1914">
        <f t="shared" ref="AP73:AP76" si="137">IF(I27&gt;0,I27,"")</f>
        <v>102</v>
      </c>
      <c r="AQ73" s="1914">
        <f t="shared" ref="AQ73:AQ76" si="138">IF(J27&gt;0,J27,"")</f>
        <v>107</v>
      </c>
      <c r="AR73" s="1914">
        <f t="shared" ref="AR73:AR76" si="139">IF(K27&gt;0,K27,"")</f>
        <v>110</v>
      </c>
      <c r="AS73" s="1914">
        <f t="shared" ref="AS73:AS76" si="140">IF(L27&gt;0,L27,"")</f>
        <v>106</v>
      </c>
      <c r="AT73" s="1914">
        <f t="shared" si="120"/>
        <v>105</v>
      </c>
      <c r="AU73" s="1914">
        <f t="shared" si="110"/>
        <v>106</v>
      </c>
      <c r="AV73" s="1914">
        <f t="shared" si="111"/>
        <v>103</v>
      </c>
      <c r="AW73" s="1914">
        <f t="shared" si="112"/>
        <v>98</v>
      </c>
      <c r="AX73" s="1914">
        <f t="shared" si="121"/>
        <v>100</v>
      </c>
      <c r="AY73" s="1914">
        <f t="shared" si="136"/>
        <v>108</v>
      </c>
      <c r="AZ73" s="1914">
        <f t="shared" si="136"/>
        <v>109</v>
      </c>
      <c r="BA73" s="1914">
        <f t="shared" si="136"/>
        <v>108</v>
      </c>
      <c r="BB73" s="1914">
        <f t="shared" si="136"/>
        <v>106</v>
      </c>
      <c r="BC73" s="1914">
        <f t="shared" si="136"/>
        <v>94</v>
      </c>
      <c r="BD73" s="1914">
        <f t="shared" si="124"/>
        <v>71</v>
      </c>
      <c r="BE73" s="1914">
        <f t="shared" si="123"/>
        <v>68</v>
      </c>
      <c r="BF73" s="1914">
        <f t="shared" si="125"/>
        <v>58</v>
      </c>
      <c r="BG73" s="1915">
        <f t="shared" si="116"/>
        <v>57</v>
      </c>
      <c r="BH73" s="1913">
        <f t="shared" si="93"/>
        <v>89</v>
      </c>
      <c r="BI73" s="677">
        <f t="shared" si="94"/>
        <v>110</v>
      </c>
      <c r="BJ73" s="1891">
        <f t="shared" si="95"/>
        <v>57</v>
      </c>
      <c r="BK73" s="2377" t="str">
        <f>+DMREZ!AI29</f>
        <v>Clear</v>
      </c>
      <c r="BL73" s="995"/>
      <c r="BM73" s="995"/>
      <c r="BN73" s="995"/>
      <c r="BO73" s="995"/>
      <c r="BP73" s="995"/>
      <c r="BQ73" s="995"/>
      <c r="BR73" s="995"/>
      <c r="BS73" s="995"/>
      <c r="BT73" s="995"/>
      <c r="BU73" s="995"/>
      <c r="BV73" s="995"/>
      <c r="BW73" s="995"/>
      <c r="BX73" s="995"/>
      <c r="BY73" s="995"/>
      <c r="BZ73" s="995"/>
      <c r="CA73" s="995"/>
      <c r="CB73" s="995"/>
      <c r="CC73" s="995"/>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c r="EC73" s="103"/>
      <c r="ED73" s="103"/>
      <c r="EE73" s="103"/>
      <c r="EV73" s="103"/>
      <c r="EW73" s="103"/>
    </row>
    <row r="74" spans="1:153">
      <c r="A74" s="103"/>
      <c r="B74" s="1077" t="s">
        <v>332</v>
      </c>
      <c r="C74" s="1104">
        <f t="shared" si="132"/>
        <v>60</v>
      </c>
      <c r="D74" s="1073">
        <f t="shared" si="132"/>
        <v>62</v>
      </c>
      <c r="E74" s="1073">
        <f t="shared" si="132"/>
        <v>63</v>
      </c>
      <c r="F74" s="1073">
        <f t="shared" si="132"/>
        <v>73</v>
      </c>
      <c r="G74" s="1073">
        <f t="shared" si="132"/>
        <v>78</v>
      </c>
      <c r="H74" s="1073">
        <f t="shared" si="132"/>
        <v>80</v>
      </c>
      <c r="I74" s="1073">
        <f t="shared" si="132"/>
        <v>97</v>
      </c>
      <c r="J74" s="1073">
        <f t="shared" si="132"/>
        <v>103</v>
      </c>
      <c r="K74" s="1073">
        <f t="shared" si="132"/>
        <v>105</v>
      </c>
      <c r="L74" s="1073">
        <f t="shared" si="132"/>
        <v>104</v>
      </c>
      <c r="M74" s="1073">
        <f t="shared" si="132"/>
        <v>103</v>
      </c>
      <c r="N74" s="1073">
        <f t="shared" si="132"/>
        <v>102</v>
      </c>
      <c r="O74" s="1073">
        <f t="shared" si="132"/>
        <v>101</v>
      </c>
      <c r="P74" s="1073">
        <f t="shared" si="132"/>
        <v>102</v>
      </c>
      <c r="Q74" s="1073">
        <f t="shared" si="132"/>
        <v>100</v>
      </c>
      <c r="R74" s="1073">
        <f t="shared" si="130"/>
        <v>106</v>
      </c>
      <c r="S74" s="1073">
        <f t="shared" si="130"/>
        <v>112</v>
      </c>
      <c r="T74" s="1073">
        <f t="shared" si="130"/>
        <v>109</v>
      </c>
      <c r="U74" s="1073">
        <f t="shared" si="130"/>
        <v>99</v>
      </c>
      <c r="V74" s="1073">
        <f t="shared" si="130"/>
        <v>78</v>
      </c>
      <c r="W74" s="1073">
        <f t="shared" si="130"/>
        <v>72</v>
      </c>
      <c r="X74" s="1073">
        <f t="shared" si="130"/>
        <v>63</v>
      </c>
      <c r="Y74" s="1073">
        <f t="shared" si="130"/>
        <v>61</v>
      </c>
      <c r="Z74" s="1073">
        <f t="shared" si="130"/>
        <v>60</v>
      </c>
      <c r="AA74" s="1077">
        <f t="shared" si="68"/>
        <v>87</v>
      </c>
      <c r="AB74" s="1103"/>
      <c r="AD74" s="995"/>
      <c r="AE74" s="995"/>
      <c r="AF74" s="995"/>
      <c r="AG74" s="995"/>
      <c r="AH74" s="995"/>
      <c r="AI74" s="2463" t="s">
        <v>332</v>
      </c>
      <c r="AJ74" s="2489">
        <f t="shared" si="126"/>
        <v>60</v>
      </c>
      <c r="AK74" s="1914">
        <f t="shared" si="127"/>
        <v>62</v>
      </c>
      <c r="AL74" s="1914">
        <f t="shared" si="117"/>
        <v>63</v>
      </c>
      <c r="AM74" s="2471">
        <f t="shared" si="118"/>
        <v>73</v>
      </c>
      <c r="AN74" s="1914">
        <f t="shared" si="128"/>
        <v>78</v>
      </c>
      <c r="AO74" s="1914">
        <f t="shared" si="128"/>
        <v>80</v>
      </c>
      <c r="AP74" s="2471">
        <f t="shared" si="137"/>
        <v>97</v>
      </c>
      <c r="AQ74" s="1914">
        <f t="shared" si="138"/>
        <v>103</v>
      </c>
      <c r="AR74" s="1914">
        <f t="shared" si="139"/>
        <v>105</v>
      </c>
      <c r="AS74" s="1914">
        <f t="shared" si="140"/>
        <v>104</v>
      </c>
      <c r="AT74" s="1914">
        <f t="shared" ref="AT74:AT76" si="141">IF(M28&gt;0,M28,"")</f>
        <v>103</v>
      </c>
      <c r="AU74" s="1914">
        <f t="shared" si="110"/>
        <v>102</v>
      </c>
      <c r="AV74" s="1914">
        <f t="shared" si="111"/>
        <v>101</v>
      </c>
      <c r="AW74" s="1914">
        <f t="shared" si="112"/>
        <v>102</v>
      </c>
      <c r="AX74" s="1914">
        <f t="shared" si="121"/>
        <v>100</v>
      </c>
      <c r="AY74" s="1914">
        <f t="shared" si="136"/>
        <v>106</v>
      </c>
      <c r="AZ74" s="1914">
        <f t="shared" si="136"/>
        <v>112</v>
      </c>
      <c r="BA74" s="1914">
        <f t="shared" si="136"/>
        <v>109</v>
      </c>
      <c r="BB74" s="1914">
        <f t="shared" si="136"/>
        <v>99</v>
      </c>
      <c r="BC74" s="1914">
        <f t="shared" si="136"/>
        <v>78</v>
      </c>
      <c r="BD74" s="1914">
        <f t="shared" si="124"/>
        <v>72</v>
      </c>
      <c r="BE74" s="1914">
        <f t="shared" si="123"/>
        <v>63</v>
      </c>
      <c r="BF74" s="1914">
        <f t="shared" si="125"/>
        <v>61</v>
      </c>
      <c r="BG74" s="1915">
        <f t="shared" si="116"/>
        <v>60</v>
      </c>
      <c r="BH74" s="1913">
        <f t="shared" si="93"/>
        <v>87</v>
      </c>
      <c r="BI74" s="677">
        <f t="shared" si="94"/>
        <v>112</v>
      </c>
      <c r="BJ74" s="1891">
        <f t="shared" si="95"/>
        <v>60</v>
      </c>
      <c r="BK74" s="2377" t="str">
        <f>+DMREZ!AI30</f>
        <v>Clear</v>
      </c>
      <c r="BL74" s="995"/>
      <c r="BM74" s="995"/>
      <c r="BN74" s="995"/>
      <c r="BO74" s="995"/>
      <c r="BP74" s="995"/>
      <c r="BQ74" s="995"/>
      <c r="BR74" s="995"/>
      <c r="BS74" s="995"/>
      <c r="BT74" s="995"/>
      <c r="BU74" s="995"/>
      <c r="BV74" s="995"/>
      <c r="BW74" s="995"/>
      <c r="BX74" s="995"/>
      <c r="BY74" s="995"/>
      <c r="BZ74" s="995"/>
      <c r="CA74" s="995"/>
      <c r="CB74" s="995"/>
      <c r="CC74" s="995"/>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c r="EC74" s="103"/>
      <c r="ED74" s="103"/>
      <c r="EE74" s="103"/>
      <c r="EV74" s="103"/>
      <c r="EW74" s="103"/>
    </row>
    <row r="75" spans="1:153">
      <c r="A75" s="103"/>
      <c r="B75" s="1077" t="s">
        <v>333</v>
      </c>
      <c r="C75" s="1104">
        <f t="shared" si="132"/>
        <v>61</v>
      </c>
      <c r="D75" s="1073">
        <f t="shared" si="132"/>
        <v>63</v>
      </c>
      <c r="E75" s="1073">
        <f t="shared" si="132"/>
        <v>73</v>
      </c>
      <c r="F75" s="1073">
        <f t="shared" si="132"/>
        <v>81</v>
      </c>
      <c r="G75" s="1073">
        <f t="shared" si="132"/>
        <v>106</v>
      </c>
      <c r="H75" s="1073">
        <f t="shared" si="132"/>
        <v>106</v>
      </c>
      <c r="I75" s="1073">
        <f t="shared" si="132"/>
        <v>104</v>
      </c>
      <c r="J75" s="1073">
        <f t="shared" si="132"/>
        <v>102</v>
      </c>
      <c r="K75" s="1073">
        <f t="shared" si="132"/>
        <v>101</v>
      </c>
      <c r="L75" s="1073">
        <f t="shared" si="132"/>
        <v>100</v>
      </c>
      <c r="M75" s="1073">
        <f t="shared" si="132"/>
        <v>99</v>
      </c>
      <c r="N75" s="1073">
        <f t="shared" si="132"/>
        <v>98</v>
      </c>
      <c r="O75" s="1073">
        <f t="shared" si="132"/>
        <v>97</v>
      </c>
      <c r="P75" s="1073">
        <f t="shared" si="132"/>
        <v>99</v>
      </c>
      <c r="Q75" s="1073">
        <f t="shared" si="132"/>
        <v>109</v>
      </c>
      <c r="R75" s="1073">
        <f t="shared" si="130"/>
        <v>111</v>
      </c>
      <c r="S75" s="1073">
        <f t="shared" si="130"/>
        <v>113</v>
      </c>
      <c r="T75" s="1073">
        <f t="shared" si="130"/>
        <v>109</v>
      </c>
      <c r="U75" s="1073">
        <f t="shared" si="130"/>
        <v>106</v>
      </c>
      <c r="V75" s="1073">
        <f t="shared" si="130"/>
        <v>95</v>
      </c>
      <c r="W75" s="1073">
        <f t="shared" si="130"/>
        <v>48</v>
      </c>
      <c r="X75" s="1073">
        <f t="shared" si="130"/>
        <v>36</v>
      </c>
      <c r="Y75" s="1073">
        <f t="shared" si="130"/>
        <v>38</v>
      </c>
      <c r="Z75" s="1073">
        <f t="shared" si="130"/>
        <v>42</v>
      </c>
      <c r="AA75" s="1077">
        <f t="shared" si="68"/>
        <v>87</v>
      </c>
      <c r="AB75" s="1103"/>
      <c r="AD75" s="995"/>
      <c r="AE75" s="995"/>
      <c r="AF75" s="995"/>
      <c r="AG75" s="995"/>
      <c r="AH75" s="995"/>
      <c r="AI75" s="2463" t="s">
        <v>333</v>
      </c>
      <c r="AJ75" s="2466">
        <f t="shared" si="126"/>
        <v>61</v>
      </c>
      <c r="AK75" s="1914">
        <f t="shared" si="127"/>
        <v>63</v>
      </c>
      <c r="AL75" s="1914">
        <f t="shared" si="117"/>
        <v>73</v>
      </c>
      <c r="AM75" s="1914">
        <f t="shared" si="118"/>
        <v>81</v>
      </c>
      <c r="AN75" s="1914">
        <f t="shared" si="128"/>
        <v>106</v>
      </c>
      <c r="AO75" s="1914">
        <f t="shared" si="128"/>
        <v>106</v>
      </c>
      <c r="AP75" s="2417">
        <f t="shared" si="137"/>
        <v>104</v>
      </c>
      <c r="AQ75" s="1914">
        <f t="shared" si="138"/>
        <v>102</v>
      </c>
      <c r="AR75" s="1914">
        <f t="shared" si="139"/>
        <v>101</v>
      </c>
      <c r="AS75" s="1914">
        <f t="shared" si="140"/>
        <v>100</v>
      </c>
      <c r="AT75" s="1914">
        <f t="shared" si="141"/>
        <v>99</v>
      </c>
      <c r="AU75" s="1914">
        <f t="shared" si="110"/>
        <v>98</v>
      </c>
      <c r="AV75" s="1914">
        <f t="shared" si="111"/>
        <v>97</v>
      </c>
      <c r="AW75" s="1914">
        <f t="shared" si="112"/>
        <v>99</v>
      </c>
      <c r="AX75" s="1914">
        <f t="shared" si="121"/>
        <v>109</v>
      </c>
      <c r="AY75" s="1914">
        <f t="shared" si="136"/>
        <v>111</v>
      </c>
      <c r="AZ75" s="1914">
        <f t="shared" si="136"/>
        <v>113</v>
      </c>
      <c r="BA75" s="1914">
        <f t="shared" si="136"/>
        <v>109</v>
      </c>
      <c r="BB75" s="1914">
        <f t="shared" si="136"/>
        <v>106</v>
      </c>
      <c r="BC75" s="1914">
        <f t="shared" si="136"/>
        <v>95</v>
      </c>
      <c r="BD75" s="1914">
        <f t="shared" si="124"/>
        <v>48</v>
      </c>
      <c r="BE75" s="1914">
        <f t="shared" si="123"/>
        <v>36</v>
      </c>
      <c r="BF75" s="1914">
        <f t="shared" si="125"/>
        <v>38</v>
      </c>
      <c r="BG75" s="1915">
        <f t="shared" si="116"/>
        <v>42</v>
      </c>
      <c r="BH75" s="1913">
        <f t="shared" si="93"/>
        <v>87</v>
      </c>
      <c r="BI75" s="677">
        <f t="shared" si="94"/>
        <v>113</v>
      </c>
      <c r="BJ75" s="1891">
        <f t="shared" si="95"/>
        <v>36</v>
      </c>
      <c r="BK75" s="2377" t="str">
        <f>+DMREZ!AI31</f>
        <v>Clear</v>
      </c>
      <c r="BL75" s="995"/>
      <c r="BM75" s="995"/>
      <c r="BN75" s="995"/>
      <c r="BO75" s="995"/>
      <c r="BP75" s="995"/>
      <c r="BQ75" s="995"/>
      <c r="BR75" s="995"/>
      <c r="BS75" s="995"/>
      <c r="BT75" s="995"/>
      <c r="BU75" s="995"/>
      <c r="BV75" s="995"/>
      <c r="BW75" s="995"/>
      <c r="BX75" s="995"/>
      <c r="BY75" s="995"/>
      <c r="BZ75" s="995"/>
      <c r="CA75" s="995"/>
      <c r="CB75" s="995"/>
      <c r="CC75" s="995"/>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c r="EC75" s="103"/>
      <c r="ED75" s="103"/>
      <c r="EE75" s="103"/>
      <c r="EV75" s="103"/>
      <c r="EW75" s="103"/>
    </row>
    <row r="76" spans="1:153">
      <c r="A76" s="103"/>
      <c r="B76" s="1077" t="s">
        <v>334</v>
      </c>
      <c r="C76" s="1104">
        <f t="shared" si="132"/>
        <v>46</v>
      </c>
      <c r="D76" s="1073">
        <f t="shared" si="132"/>
        <v>63</v>
      </c>
      <c r="E76" s="1073">
        <f t="shared" si="132"/>
        <v>71</v>
      </c>
      <c r="F76" s="1073">
        <f t="shared" si="132"/>
        <v>86</v>
      </c>
      <c r="G76" s="1073">
        <f t="shared" si="132"/>
        <v>112</v>
      </c>
      <c r="H76" s="1073">
        <f t="shared" si="132"/>
        <v>109</v>
      </c>
      <c r="I76" s="1073">
        <f t="shared" si="132"/>
        <v>107</v>
      </c>
      <c r="J76" s="1073">
        <f t="shared" si="132"/>
        <v>105</v>
      </c>
      <c r="K76" s="1073">
        <f t="shared" si="132"/>
        <v>102</v>
      </c>
      <c r="L76" s="1073">
        <f t="shared" si="132"/>
        <v>101</v>
      </c>
      <c r="M76" s="1073">
        <f t="shared" si="132"/>
        <v>99</v>
      </c>
      <c r="N76" s="1073">
        <f t="shared" si="132"/>
        <v>101</v>
      </c>
      <c r="O76" s="1073">
        <f t="shared" si="132"/>
        <v>100</v>
      </c>
      <c r="P76" s="1073">
        <f t="shared" si="132"/>
        <v>104</v>
      </c>
      <c r="Q76" s="1073">
        <f t="shared" si="132"/>
        <v>102</v>
      </c>
      <c r="R76" s="1073">
        <f t="shared" si="130"/>
        <v>101</v>
      </c>
      <c r="S76" s="1073">
        <f t="shared" si="130"/>
        <v>104</v>
      </c>
      <c r="T76" s="1073">
        <f t="shared" si="130"/>
        <v>106</v>
      </c>
      <c r="U76" s="1073">
        <f t="shared" si="130"/>
        <v>104</v>
      </c>
      <c r="V76" s="1073">
        <f t="shared" si="130"/>
        <v>68</v>
      </c>
      <c r="W76" s="1073">
        <f t="shared" si="130"/>
        <v>63</v>
      </c>
      <c r="X76" s="1073">
        <f t="shared" si="130"/>
        <v>63</v>
      </c>
      <c r="Y76" s="1073">
        <f t="shared" si="130"/>
        <v>63</v>
      </c>
      <c r="Z76" s="1073">
        <f t="shared" si="130"/>
        <v>61</v>
      </c>
      <c r="AA76" s="1077">
        <f t="shared" si="68"/>
        <v>89</v>
      </c>
      <c r="AB76" s="1103"/>
      <c r="AD76" s="995"/>
      <c r="AE76" s="995"/>
      <c r="AF76" s="995"/>
      <c r="AG76" s="995"/>
      <c r="AH76" s="995"/>
      <c r="AI76" s="2463" t="s">
        <v>334</v>
      </c>
      <c r="AJ76" s="2466">
        <f t="shared" si="126"/>
        <v>46</v>
      </c>
      <c r="AK76" s="1914">
        <f t="shared" si="127"/>
        <v>63</v>
      </c>
      <c r="AL76" s="1914">
        <f t="shared" si="117"/>
        <v>71</v>
      </c>
      <c r="AM76" s="1914">
        <f t="shared" si="118"/>
        <v>86</v>
      </c>
      <c r="AN76" s="1914">
        <f t="shared" si="128"/>
        <v>112</v>
      </c>
      <c r="AO76" s="1914">
        <f t="shared" ref="AO76" si="142">IF(H30&gt;0,H30,"")</f>
        <v>109</v>
      </c>
      <c r="AP76" s="1914">
        <f t="shared" si="137"/>
        <v>107</v>
      </c>
      <c r="AQ76" s="1914">
        <f t="shared" si="138"/>
        <v>105</v>
      </c>
      <c r="AR76" s="1914">
        <f t="shared" si="139"/>
        <v>102</v>
      </c>
      <c r="AS76" s="1914">
        <f t="shared" si="140"/>
        <v>101</v>
      </c>
      <c r="AT76" s="1914">
        <f t="shared" si="141"/>
        <v>99</v>
      </c>
      <c r="AU76" s="1914">
        <f t="shared" si="110"/>
        <v>101</v>
      </c>
      <c r="AV76" s="1914">
        <f t="shared" si="111"/>
        <v>100</v>
      </c>
      <c r="AW76" s="1914">
        <f t="shared" si="112"/>
        <v>104</v>
      </c>
      <c r="AX76" s="1914">
        <f t="shared" si="121"/>
        <v>102</v>
      </c>
      <c r="AY76" s="1914">
        <f t="shared" si="136"/>
        <v>101</v>
      </c>
      <c r="AZ76" s="1914">
        <f t="shared" si="136"/>
        <v>104</v>
      </c>
      <c r="BA76" s="1914">
        <f t="shared" si="136"/>
        <v>106</v>
      </c>
      <c r="BB76" s="1914">
        <f t="shared" si="136"/>
        <v>104</v>
      </c>
      <c r="BC76" s="1914">
        <f t="shared" si="136"/>
        <v>68</v>
      </c>
      <c r="BD76" s="1914">
        <f t="shared" si="124"/>
        <v>63</v>
      </c>
      <c r="BE76" s="1914">
        <f t="shared" si="123"/>
        <v>63</v>
      </c>
      <c r="BF76" s="1914">
        <f t="shared" si="125"/>
        <v>63</v>
      </c>
      <c r="BG76" s="1915">
        <f>IF(Z30&gt;0,Z30,"")</f>
        <v>61</v>
      </c>
      <c r="BH76" s="1913">
        <f t="shared" si="93"/>
        <v>89</v>
      </c>
      <c r="BI76" s="677">
        <f t="shared" si="94"/>
        <v>112</v>
      </c>
      <c r="BJ76" s="1891">
        <f t="shared" si="95"/>
        <v>46</v>
      </c>
      <c r="BK76" s="2377" t="str">
        <f>+DMREZ!AI32</f>
        <v>Clear</v>
      </c>
      <c r="BL76" s="995"/>
      <c r="BM76" s="995"/>
      <c r="BN76" s="995"/>
      <c r="BO76" s="995"/>
      <c r="BP76" s="995"/>
      <c r="BQ76" s="995"/>
      <c r="BR76" s="995"/>
      <c r="BS76" s="995"/>
      <c r="BT76" s="995"/>
      <c r="BU76" s="995"/>
      <c r="BV76" s="995"/>
      <c r="BW76" s="995"/>
      <c r="BX76" s="995"/>
      <c r="BY76" s="995"/>
      <c r="BZ76" s="995"/>
      <c r="CA76" s="995"/>
      <c r="CB76" s="995"/>
      <c r="CC76" s="995"/>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c r="EC76" s="103"/>
      <c r="ED76" s="103"/>
      <c r="EE76" s="103"/>
      <c r="EV76" s="103"/>
      <c r="EW76" s="103"/>
    </row>
    <row r="77" spans="1:153">
      <c r="A77" s="103"/>
      <c r="B77" s="1077" t="s">
        <v>335</v>
      </c>
      <c r="C77" s="1104">
        <f t="shared" ref="C77:C85" si="143">IF(ISNUMBER(C31),IF(AJ77="",+IF(C31&gt;AJ$88,AJ$86,C31),C31),"")</f>
        <v>58</v>
      </c>
      <c r="D77" s="1073">
        <f t="shared" ref="D77:D85" si="144">IF(ISNUMBER(D31),IF(AK77="",+IF(D31&gt;AK$88,AK$86,D31),D31),"")</f>
        <v>53</v>
      </c>
      <c r="E77" s="1073">
        <f t="shared" ref="E77:E85" si="145">IF(ISNUMBER(E31),IF(AL77="",+IF(E31&gt;AL$88,AL$86,E31),E31),"")</f>
        <v>55</v>
      </c>
      <c r="F77" s="1073">
        <f t="shared" ref="F77:F85" si="146">IF(ISNUMBER(F31),IF(AM77="",+IF(F31&gt;AM$88,AM$86,F31),F31),"")</f>
        <v>99</v>
      </c>
      <c r="G77" s="1073">
        <f t="shared" ref="G77:G85" si="147">IF(ISNUMBER(G31),IF(AN77="",+IF(G31&gt;AN$88,AN$86,G31),G31),"")</f>
        <v>97</v>
      </c>
      <c r="H77" s="1073">
        <f t="shared" ref="H77:H85" si="148">IF(ISNUMBER(H31),IF(AO77="",+IF(H31&gt;AO$88,AO$86,H31),H31),"")</f>
        <v>98</v>
      </c>
      <c r="I77" s="1073">
        <f t="shared" ref="I77:I85" si="149">IF(ISNUMBER(I31),IF(AP77="",+IF(I31&gt;AP$88,AP$86,I31),I31),"")</f>
        <v>105</v>
      </c>
      <c r="J77" s="1073">
        <f t="shared" ref="J77:J85" si="150">IF(ISNUMBER(J31),IF(AQ77="",+IF(J31&gt;AQ$88,AQ$86,J31),J31),"")</f>
        <v>108</v>
      </c>
      <c r="K77" s="1073">
        <f t="shared" ref="K77:K85" si="151">IF(ISNUMBER(K31),IF(AR77="",+IF(K31&gt;AR$88,AR$86,K31),K31),"")</f>
        <v>109</v>
      </c>
      <c r="L77" s="1073">
        <f t="shared" ref="L77:L85" si="152">IF(ISNUMBER(L31),IF(AS77="",+IF(L31&gt;AS$88,AS$86,L31),L31),"")</f>
        <v>108</v>
      </c>
      <c r="M77" s="1073">
        <f t="shared" ref="M77:M85" si="153">IF(ISNUMBER(M31),IF(AT77="",+IF(M31&gt;AT$88,AT$86,M31),M31),"")</f>
        <v>108</v>
      </c>
      <c r="N77" s="1073">
        <f t="shared" ref="N77:N85" si="154">IF(ISNUMBER(N31),IF(AU77="",+IF(N31&gt;AU$88,AU$86,N31),N31),"")</f>
        <v>108</v>
      </c>
      <c r="O77" s="1073">
        <f t="shared" ref="O77:O85" si="155">IF(ISNUMBER(O31),IF(AV77="",+IF(O31&gt;AV$88,AV$86,O31),O31),"")</f>
        <v>107</v>
      </c>
      <c r="P77" s="1073">
        <f t="shared" ref="P77:P85" si="156">IF(ISNUMBER(P31),IF(AW77="",+IF(P31&gt;AW$88,AW$86,P31),P31),"")</f>
        <v>115</v>
      </c>
      <c r="Q77" s="1073">
        <f t="shared" ref="Q77:Q85" si="157">IF(ISNUMBER(Q31),IF(AX77="",+IF(Q31&gt;AX$88,AX$86,Q31),Q31),"")</f>
        <v>107</v>
      </c>
      <c r="R77" s="1073">
        <f t="shared" ref="R77:R85" si="158">IF(ISNUMBER(R31),IF(AY77="",+IF(R31&gt;AY$88,AY$86,R31),R31),"")</f>
        <v>99</v>
      </c>
      <c r="S77" s="1073">
        <f t="shared" ref="S77:S85" si="159">IF(ISNUMBER(S31),IF(AZ77="",+IF(S31&gt;AZ$88,AZ$86,S31),S31),"")</f>
        <v>101</v>
      </c>
      <c r="T77" s="1073">
        <f t="shared" ref="T77:T85" si="160">IF(ISNUMBER(T31),IF(BA77="",+IF(T31&gt;BA$88,BA$86,T31),T31),"")</f>
        <v>102</v>
      </c>
      <c r="U77" s="1073">
        <f t="shared" ref="U77:U85" si="161">IF(ISNUMBER(U31),IF(BB77="",+IF(U31&gt;BB$88,BB$86,U31),U31),"")</f>
        <v>103</v>
      </c>
      <c r="V77" s="1073">
        <f t="shared" ref="V77:V85" si="162">IF(ISNUMBER(V31),IF(BC77="",+IF(V31&gt;BC$88,BC$86,V31),V31),"")</f>
        <v>107</v>
      </c>
      <c r="W77" s="1073">
        <f t="shared" ref="W77:W85" si="163">IF(ISNUMBER(W31),IF(BD77="",+IF(W31&gt;BD$88,BD$86,W31),W31),"")</f>
        <v>105</v>
      </c>
      <c r="X77" s="1073">
        <f t="shared" ref="X77:X85" si="164">IF(ISNUMBER(X31),IF(BE77="",+IF(X31&gt;BE$88,BE$86,X31),X31),"")</f>
        <v>100</v>
      </c>
      <c r="Y77" s="1073">
        <f t="shared" ref="Y77:Y85" si="165">IF(ISNUMBER(Y31),IF(BF77="",+IF(Y31&gt;BF$88,BF$86,Y31),Y31),"")</f>
        <v>85</v>
      </c>
      <c r="Z77" s="1073">
        <f t="shared" ref="Z77:Z85" si="166">IF(ISNUMBER(Z31),IF(BG77="",+IF(Z31&gt;BG$88,BG$86,Z31),Z31),"")</f>
        <v>85</v>
      </c>
      <c r="AA77" s="1077">
        <f t="shared" si="68"/>
        <v>97</v>
      </c>
      <c r="AB77" s="1103"/>
      <c r="AD77" s="995"/>
      <c r="AE77" s="995"/>
      <c r="AF77" s="995"/>
      <c r="AG77" s="995"/>
      <c r="AH77" s="995"/>
      <c r="AI77" s="2463" t="s">
        <v>335</v>
      </c>
      <c r="AJ77" s="2489">
        <f t="shared" si="126"/>
        <v>58</v>
      </c>
      <c r="AK77" s="1914">
        <f t="shared" si="127"/>
        <v>53</v>
      </c>
      <c r="AL77" s="1914">
        <f t="shared" si="117"/>
        <v>55</v>
      </c>
      <c r="AM77" s="1914">
        <f t="shared" si="118"/>
        <v>99</v>
      </c>
      <c r="AN77" s="1914"/>
      <c r="AO77" s="1914"/>
      <c r="AP77" s="1914"/>
      <c r="AQ77" s="1914"/>
      <c r="AR77" s="1914"/>
      <c r="AS77" s="1914"/>
      <c r="AT77" s="1914"/>
      <c r="AU77" s="1914"/>
      <c r="AV77" s="1914"/>
      <c r="AW77" s="1914">
        <f t="shared" si="112"/>
        <v>115</v>
      </c>
      <c r="AX77" s="1914">
        <f t="shared" si="121"/>
        <v>107</v>
      </c>
      <c r="AY77" s="1914">
        <f t="shared" si="136"/>
        <v>99</v>
      </c>
      <c r="AZ77" s="1914">
        <f t="shared" si="136"/>
        <v>101</v>
      </c>
      <c r="BA77" s="1914">
        <f t="shared" si="136"/>
        <v>102</v>
      </c>
      <c r="BB77" s="1914">
        <f t="shared" si="136"/>
        <v>103</v>
      </c>
      <c r="BC77" s="1914">
        <f t="shared" si="136"/>
        <v>107</v>
      </c>
      <c r="BD77" s="1914">
        <f t="shared" si="124"/>
        <v>105</v>
      </c>
      <c r="BE77" s="1914">
        <f t="shared" si="123"/>
        <v>100</v>
      </c>
      <c r="BF77" s="1914">
        <f t="shared" si="125"/>
        <v>85</v>
      </c>
      <c r="BG77" s="1915">
        <f>IF(Z31&gt;0,Z31,"")</f>
        <v>85</v>
      </c>
      <c r="BH77" s="1913">
        <f t="shared" si="93"/>
        <v>92</v>
      </c>
      <c r="BI77" s="677">
        <f t="shared" si="94"/>
        <v>115</v>
      </c>
      <c r="BJ77" s="1891">
        <f t="shared" si="95"/>
        <v>53</v>
      </c>
      <c r="BK77" s="2377" t="str">
        <f>+DMREZ!AI33</f>
        <v>Snow</v>
      </c>
      <c r="BL77" s="995"/>
      <c r="BM77" s="995"/>
      <c r="BN77" s="995"/>
      <c r="BO77" s="995"/>
      <c r="BP77" s="995"/>
      <c r="BQ77" s="995"/>
      <c r="BR77" s="995"/>
      <c r="BS77" s="995"/>
      <c r="BT77" s="995"/>
      <c r="BU77" s="995"/>
      <c r="BV77" s="995"/>
      <c r="BW77" s="995"/>
      <c r="BX77" s="995"/>
      <c r="BY77" s="995"/>
      <c r="BZ77" s="995"/>
      <c r="CA77" s="995"/>
      <c r="CB77" s="995"/>
      <c r="CC77" s="995"/>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c r="EC77" s="103"/>
      <c r="ED77" s="103"/>
      <c r="EE77" s="103"/>
      <c r="EV77" s="103"/>
      <c r="EW77" s="103"/>
    </row>
    <row r="78" spans="1:153">
      <c r="A78" s="103"/>
      <c r="B78" s="1077" t="s">
        <v>336</v>
      </c>
      <c r="C78" s="1104">
        <f t="shared" si="143"/>
        <v>82</v>
      </c>
      <c r="D78" s="1073">
        <f t="shared" si="144"/>
        <v>76</v>
      </c>
      <c r="E78" s="1073">
        <f t="shared" si="145"/>
        <v>84</v>
      </c>
      <c r="F78" s="1073">
        <f t="shared" si="146"/>
        <v>102</v>
      </c>
      <c r="G78" s="1073">
        <f t="shared" si="147"/>
        <v>114</v>
      </c>
      <c r="H78" s="1073">
        <f t="shared" si="148"/>
        <v>98</v>
      </c>
      <c r="I78" s="1073">
        <f t="shared" si="149"/>
        <v>105</v>
      </c>
      <c r="J78" s="1073">
        <f t="shared" si="150"/>
        <v>108</v>
      </c>
      <c r="K78" s="1073">
        <f t="shared" si="151"/>
        <v>109</v>
      </c>
      <c r="L78" s="1073">
        <f t="shared" si="152"/>
        <v>108</v>
      </c>
      <c r="M78" s="1073">
        <f t="shared" si="153"/>
        <v>108</v>
      </c>
      <c r="N78" s="1073">
        <f t="shared" si="154"/>
        <v>108</v>
      </c>
      <c r="O78" s="1073">
        <f t="shared" si="155"/>
        <v>107</v>
      </c>
      <c r="P78" s="1073">
        <f t="shared" si="156"/>
        <v>108</v>
      </c>
      <c r="Q78" s="1073">
        <f t="shared" si="157"/>
        <v>109</v>
      </c>
      <c r="R78" s="1073">
        <f t="shared" si="158"/>
        <v>110</v>
      </c>
      <c r="S78" s="1073">
        <f t="shared" si="159"/>
        <v>120</v>
      </c>
      <c r="T78" s="1073">
        <f t="shared" si="160"/>
        <v>101</v>
      </c>
      <c r="U78" s="1073">
        <f t="shared" si="161"/>
        <v>92</v>
      </c>
      <c r="V78" s="1073">
        <f t="shared" si="162"/>
        <v>84</v>
      </c>
      <c r="W78" s="1073">
        <f t="shared" si="163"/>
        <v>83</v>
      </c>
      <c r="X78" s="1073">
        <f t="shared" si="164"/>
        <v>82</v>
      </c>
      <c r="Y78" s="1073">
        <f t="shared" si="165"/>
        <v>75</v>
      </c>
      <c r="Z78" s="1073">
        <f t="shared" si="166"/>
        <v>72</v>
      </c>
      <c r="AA78" s="1077">
        <f t="shared" si="68"/>
        <v>98</v>
      </c>
      <c r="AB78" s="1103"/>
      <c r="AD78" s="995"/>
      <c r="AE78" s="995"/>
      <c r="AF78" s="995"/>
      <c r="AG78" s="995"/>
      <c r="AH78" s="995"/>
      <c r="AI78" s="2463" t="s">
        <v>336</v>
      </c>
      <c r="AJ78" s="2489">
        <f t="shared" si="126"/>
        <v>82</v>
      </c>
      <c r="AK78" s="1914">
        <f t="shared" si="127"/>
        <v>76</v>
      </c>
      <c r="AL78" s="1914">
        <f t="shared" si="117"/>
        <v>84</v>
      </c>
      <c r="AM78" s="1914">
        <f t="shared" si="118"/>
        <v>102</v>
      </c>
      <c r="AN78" s="1914">
        <f t="shared" si="128"/>
        <v>114</v>
      </c>
      <c r="AO78" s="1914"/>
      <c r="AP78" s="1914"/>
      <c r="AQ78" s="1914"/>
      <c r="AR78" s="1914"/>
      <c r="AS78" s="1914"/>
      <c r="AT78" s="1914"/>
      <c r="AU78" s="1914"/>
      <c r="AV78" s="1914"/>
      <c r="AW78" s="1914"/>
      <c r="AX78" s="1914"/>
      <c r="AY78" s="1914"/>
      <c r="AZ78" s="1914">
        <f t="shared" si="136"/>
        <v>120</v>
      </c>
      <c r="BA78" s="1914">
        <f t="shared" si="136"/>
        <v>101</v>
      </c>
      <c r="BB78" s="1914">
        <f t="shared" si="136"/>
        <v>92</v>
      </c>
      <c r="BC78" s="1914">
        <f t="shared" si="136"/>
        <v>84</v>
      </c>
      <c r="BD78" s="1914">
        <f t="shared" si="124"/>
        <v>83</v>
      </c>
      <c r="BE78" s="1914">
        <f t="shared" si="123"/>
        <v>82</v>
      </c>
      <c r="BF78" s="1914">
        <f t="shared" si="125"/>
        <v>75</v>
      </c>
      <c r="BG78" s="1915">
        <f t="shared" si="116"/>
        <v>72</v>
      </c>
      <c r="BH78" s="1913">
        <f t="shared" si="93"/>
        <v>90</v>
      </c>
      <c r="BI78" s="677">
        <f t="shared" si="94"/>
        <v>120</v>
      </c>
      <c r="BJ78" s="1891">
        <f t="shared" si="95"/>
        <v>72</v>
      </c>
      <c r="BK78" s="2377" t="str">
        <f>+DMREZ!AI34</f>
        <v>Snow Melt</v>
      </c>
      <c r="BL78" s="995"/>
      <c r="BM78" s="995"/>
      <c r="BN78" s="995"/>
      <c r="BO78" s="995"/>
      <c r="BP78" s="995"/>
      <c r="BQ78" s="995"/>
      <c r="BR78" s="995"/>
      <c r="BS78" s="995"/>
      <c r="BT78" s="995"/>
      <c r="BU78" s="995"/>
      <c r="BV78" s="995"/>
      <c r="BW78" s="995"/>
      <c r="BX78" s="995"/>
      <c r="BY78" s="995"/>
      <c r="BZ78" s="995"/>
      <c r="CA78" s="995"/>
      <c r="CB78" s="995"/>
      <c r="CC78" s="995"/>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c r="EC78" s="103"/>
      <c r="ED78" s="103"/>
      <c r="EE78" s="103"/>
      <c r="EF78" s="103"/>
      <c r="EG78" s="103"/>
      <c r="EH78" s="103"/>
      <c r="EI78" s="103"/>
      <c r="EJ78" s="103"/>
      <c r="EK78" s="103"/>
      <c r="EL78" s="103"/>
      <c r="EM78" s="103"/>
      <c r="EN78" s="103"/>
      <c r="EO78" s="103"/>
      <c r="EP78" s="103"/>
      <c r="EQ78" s="103"/>
      <c r="ER78" s="103"/>
      <c r="ES78" s="103"/>
      <c r="ET78" s="103"/>
      <c r="EU78" s="103"/>
      <c r="EV78" s="103"/>
      <c r="EW78" s="103"/>
    </row>
    <row r="79" spans="1:153">
      <c r="A79" s="103"/>
      <c r="B79" s="1077" t="s">
        <v>337</v>
      </c>
      <c r="C79" s="1104">
        <f t="shared" si="143"/>
        <v>74</v>
      </c>
      <c r="D79" s="1073">
        <f t="shared" si="144"/>
        <v>73</v>
      </c>
      <c r="E79" s="1073">
        <f t="shared" si="145"/>
        <v>73</v>
      </c>
      <c r="F79" s="1073">
        <f t="shared" si="146"/>
        <v>90</v>
      </c>
      <c r="G79" s="1073">
        <f t="shared" si="147"/>
        <v>108</v>
      </c>
      <c r="H79" s="1073">
        <f t="shared" si="148"/>
        <v>111</v>
      </c>
      <c r="I79" s="1073">
        <f t="shared" si="149"/>
        <v>115</v>
      </c>
      <c r="J79" s="1073">
        <f t="shared" si="150"/>
        <v>121</v>
      </c>
      <c r="K79" s="1073">
        <f t="shared" si="151"/>
        <v>120</v>
      </c>
      <c r="L79" s="1073">
        <f t="shared" si="152"/>
        <v>121</v>
      </c>
      <c r="M79" s="1073">
        <f t="shared" si="153"/>
        <v>122</v>
      </c>
      <c r="N79" s="1073">
        <f t="shared" si="154"/>
        <v>122</v>
      </c>
      <c r="O79" s="1073">
        <f t="shared" si="155"/>
        <v>122</v>
      </c>
      <c r="P79" s="1073">
        <f t="shared" si="156"/>
        <v>125</v>
      </c>
      <c r="Q79" s="1073">
        <f t="shared" si="157"/>
        <v>127</v>
      </c>
      <c r="R79" s="1073">
        <f t="shared" si="158"/>
        <v>125</v>
      </c>
      <c r="S79" s="1073">
        <f t="shared" si="159"/>
        <v>125</v>
      </c>
      <c r="T79" s="1073">
        <f t="shared" si="160"/>
        <v>124</v>
      </c>
      <c r="U79" s="1073">
        <f t="shared" si="161"/>
        <v>119</v>
      </c>
      <c r="V79" s="1073">
        <f t="shared" si="162"/>
        <v>113</v>
      </c>
      <c r="W79" s="1073">
        <f t="shared" si="163"/>
        <v>83</v>
      </c>
      <c r="X79" s="1073">
        <f t="shared" si="164"/>
        <v>75</v>
      </c>
      <c r="Y79" s="1073">
        <f t="shared" si="165"/>
        <v>74</v>
      </c>
      <c r="Z79" s="1073">
        <f t="shared" si="166"/>
        <v>73</v>
      </c>
      <c r="AA79" s="1077">
        <f t="shared" si="68"/>
        <v>106</v>
      </c>
      <c r="AB79" s="1103"/>
      <c r="AD79" s="995"/>
      <c r="AE79" s="995"/>
      <c r="AF79" s="995"/>
      <c r="AG79" s="995"/>
      <c r="AH79" s="995"/>
      <c r="AI79" s="2463" t="s">
        <v>337</v>
      </c>
      <c r="AJ79" s="2489">
        <f t="shared" si="126"/>
        <v>74</v>
      </c>
      <c r="AK79" s="1914">
        <f t="shared" ref="AK79:AK85" si="167">IF(D33&gt;0,D33,"")</f>
        <v>73</v>
      </c>
      <c r="AL79" s="1914">
        <f t="shared" si="117"/>
        <v>73</v>
      </c>
      <c r="AM79" s="1914">
        <f t="shared" si="118"/>
        <v>90</v>
      </c>
      <c r="AN79" s="1914">
        <f t="shared" si="128"/>
        <v>108</v>
      </c>
      <c r="AO79" s="1914">
        <f t="shared" si="128"/>
        <v>111</v>
      </c>
      <c r="AP79" s="1914">
        <f t="shared" si="128"/>
        <v>115</v>
      </c>
      <c r="AQ79" s="1914">
        <f t="shared" si="128"/>
        <v>121</v>
      </c>
      <c r="AR79" s="1914">
        <f t="shared" si="128"/>
        <v>120</v>
      </c>
      <c r="AS79" s="1914">
        <f t="shared" si="128"/>
        <v>121</v>
      </c>
      <c r="AT79" s="1914">
        <f t="shared" si="128"/>
        <v>122</v>
      </c>
      <c r="AU79" s="1914">
        <f t="shared" si="110"/>
        <v>122</v>
      </c>
      <c r="AV79" s="1914">
        <f t="shared" si="111"/>
        <v>122</v>
      </c>
      <c r="AW79" s="1914">
        <f t="shared" ref="AW79:AW84" si="168">IF(P33&gt;0,P33,"")</f>
        <v>125</v>
      </c>
      <c r="AX79" s="1914">
        <f t="shared" si="121"/>
        <v>127</v>
      </c>
      <c r="AY79" s="1914">
        <f t="shared" si="136"/>
        <v>125</v>
      </c>
      <c r="AZ79" s="1914">
        <f t="shared" si="136"/>
        <v>125</v>
      </c>
      <c r="BA79" s="1914">
        <f t="shared" si="136"/>
        <v>124</v>
      </c>
      <c r="BB79" s="1914">
        <f t="shared" si="136"/>
        <v>119</v>
      </c>
      <c r="BC79" s="1914">
        <f t="shared" si="136"/>
        <v>113</v>
      </c>
      <c r="BD79" s="1914">
        <f t="shared" si="124"/>
        <v>83</v>
      </c>
      <c r="BE79" s="1914">
        <f t="shared" si="123"/>
        <v>75</v>
      </c>
      <c r="BF79" s="1914">
        <f t="shared" si="125"/>
        <v>74</v>
      </c>
      <c r="BG79" s="1915">
        <f t="shared" si="116"/>
        <v>73</v>
      </c>
      <c r="BH79" s="1913">
        <f t="shared" si="93"/>
        <v>106</v>
      </c>
      <c r="BI79" s="677">
        <f t="shared" si="94"/>
        <v>127</v>
      </c>
      <c r="BJ79" s="1891">
        <f t="shared" si="95"/>
        <v>73</v>
      </c>
      <c r="BK79" s="2377" t="str">
        <f>+DMREZ!AI35</f>
        <v>Clear</v>
      </c>
      <c r="BL79" s="995"/>
      <c r="BM79" s="995"/>
      <c r="BN79" s="995"/>
      <c r="BO79" s="995"/>
      <c r="BP79" s="995"/>
      <c r="BQ79" s="995"/>
      <c r="BR79" s="995"/>
      <c r="BS79" s="995"/>
      <c r="BT79" s="995"/>
      <c r="BU79" s="995"/>
      <c r="BV79" s="995"/>
      <c r="BW79" s="995"/>
      <c r="BX79" s="995"/>
      <c r="BY79" s="995"/>
      <c r="BZ79" s="995"/>
      <c r="CA79" s="995"/>
      <c r="CB79" s="995"/>
      <c r="CC79" s="995"/>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c r="EC79" s="103"/>
      <c r="ED79" s="103"/>
      <c r="EE79" s="103"/>
      <c r="EF79" s="103"/>
      <c r="EG79" s="103"/>
      <c r="EH79" s="103"/>
      <c r="EI79" s="103"/>
      <c r="EJ79" s="103"/>
      <c r="EK79" s="103"/>
      <c r="EL79" s="103"/>
      <c r="EM79" s="103"/>
      <c r="EN79" s="103"/>
      <c r="EO79" s="103"/>
      <c r="EP79" s="103"/>
      <c r="EQ79" s="103"/>
      <c r="ER79" s="103"/>
      <c r="ES79" s="103"/>
      <c r="ET79" s="103"/>
      <c r="EU79" s="103"/>
      <c r="EV79" s="103"/>
      <c r="EW79" s="103"/>
    </row>
    <row r="80" spans="1:153">
      <c r="A80" s="103"/>
      <c r="B80" s="1077" t="s">
        <v>338</v>
      </c>
      <c r="C80" s="1104">
        <f t="shared" si="143"/>
        <v>76</v>
      </c>
      <c r="D80" s="1073">
        <f t="shared" si="144"/>
        <v>84</v>
      </c>
      <c r="E80" s="1073">
        <f t="shared" si="145"/>
        <v>90</v>
      </c>
      <c r="F80" s="1073">
        <f t="shared" si="146"/>
        <v>128</v>
      </c>
      <c r="G80" s="1073">
        <f t="shared" si="147"/>
        <v>129</v>
      </c>
      <c r="H80" s="1073">
        <f t="shared" si="148"/>
        <v>98</v>
      </c>
      <c r="I80" s="1073">
        <f t="shared" si="149"/>
        <v>105</v>
      </c>
      <c r="J80" s="1073">
        <f t="shared" si="150"/>
        <v>108</v>
      </c>
      <c r="K80" s="1073">
        <f t="shared" si="151"/>
        <v>109</v>
      </c>
      <c r="L80" s="1073">
        <f t="shared" si="152"/>
        <v>108</v>
      </c>
      <c r="M80" s="1073">
        <f t="shared" si="153"/>
        <v>108</v>
      </c>
      <c r="N80" s="1073">
        <f t="shared" si="154"/>
        <v>108</v>
      </c>
      <c r="O80" s="1073">
        <f t="shared" si="155"/>
        <v>107</v>
      </c>
      <c r="P80" s="1073">
        <f t="shared" si="156"/>
        <v>108</v>
      </c>
      <c r="Q80" s="1073">
        <f t="shared" si="157"/>
        <v>109</v>
      </c>
      <c r="R80" s="1073">
        <f t="shared" si="158"/>
        <v>110</v>
      </c>
      <c r="S80" s="1073">
        <f t="shared" si="159"/>
        <v>113</v>
      </c>
      <c r="T80" s="1073">
        <f t="shared" si="160"/>
        <v>109</v>
      </c>
      <c r="U80" s="1073">
        <f t="shared" si="161"/>
        <v>100</v>
      </c>
      <c r="V80" s="1073">
        <f t="shared" si="162"/>
        <v>85</v>
      </c>
      <c r="W80" s="1073">
        <f t="shared" si="163"/>
        <v>73</v>
      </c>
      <c r="X80" s="1073">
        <f t="shared" si="164"/>
        <v>68</v>
      </c>
      <c r="Y80" s="1073">
        <f t="shared" si="165"/>
        <v>63</v>
      </c>
      <c r="Z80" s="1073">
        <f t="shared" si="166"/>
        <v>61</v>
      </c>
      <c r="AA80" s="1077">
        <f t="shared" si="68"/>
        <v>98</v>
      </c>
      <c r="AB80" s="1103"/>
      <c r="AD80" s="995"/>
      <c r="AE80" s="995"/>
      <c r="AF80" s="995"/>
      <c r="AG80" s="995"/>
      <c r="AH80" s="995"/>
      <c r="AI80" s="2463" t="s">
        <v>338</v>
      </c>
      <c r="AJ80" s="2489">
        <f t="shared" si="126"/>
        <v>76</v>
      </c>
      <c r="AK80" s="1914">
        <f t="shared" si="167"/>
        <v>84</v>
      </c>
      <c r="AL80" s="1914">
        <f t="shared" si="117"/>
        <v>90</v>
      </c>
      <c r="AM80" s="1914">
        <f t="shared" si="118"/>
        <v>128</v>
      </c>
      <c r="AN80" s="1914">
        <f t="shared" si="128"/>
        <v>129</v>
      </c>
      <c r="AO80" s="1914"/>
      <c r="AP80" s="1914"/>
      <c r="AQ80" s="1914"/>
      <c r="AR80" s="1914"/>
      <c r="AS80" s="1914"/>
      <c r="AT80" s="1914"/>
      <c r="AU80" s="1914"/>
      <c r="AV80" s="1914"/>
      <c r="AW80" s="1914"/>
      <c r="AX80" s="1914"/>
      <c r="AY80" s="1914"/>
      <c r="AZ80" s="1914"/>
      <c r="BA80" s="1914"/>
      <c r="BB80" s="1914"/>
      <c r="BC80" s="1914"/>
      <c r="BD80" s="1914"/>
      <c r="BE80" s="1914"/>
      <c r="BF80" s="1914"/>
      <c r="BG80" s="1915"/>
      <c r="BH80" s="1913">
        <f t="shared" si="93"/>
        <v>101</v>
      </c>
      <c r="BI80" s="677">
        <f t="shared" si="94"/>
        <v>129</v>
      </c>
      <c r="BJ80" s="1891">
        <f t="shared" si="95"/>
        <v>76</v>
      </c>
      <c r="BK80" s="2377" t="str">
        <f>+DMREZ!AI36</f>
        <v>Snow Melt</v>
      </c>
      <c r="BL80" s="995"/>
      <c r="BM80" s="995"/>
      <c r="BN80" s="995"/>
      <c r="BO80" s="995"/>
      <c r="BP80" s="995"/>
      <c r="BQ80" s="995"/>
      <c r="BR80" s="995"/>
      <c r="BS80" s="995"/>
      <c r="BT80" s="995"/>
      <c r="BU80" s="995"/>
      <c r="BV80" s="995"/>
      <c r="BW80" s="995"/>
      <c r="BX80" s="995"/>
      <c r="BY80" s="995"/>
      <c r="BZ80" s="995"/>
      <c r="CA80" s="995"/>
      <c r="CB80" s="995"/>
      <c r="CC80" s="995"/>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c r="EC80" s="103"/>
      <c r="ED80" s="103"/>
      <c r="EE80" s="103"/>
      <c r="EF80" s="103"/>
      <c r="EG80" s="103"/>
      <c r="EH80" s="103"/>
      <c r="EI80" s="103"/>
      <c r="EJ80" s="103"/>
      <c r="EK80" s="103"/>
      <c r="EL80" s="103"/>
      <c r="EM80" s="103"/>
      <c r="EN80" s="103"/>
      <c r="EO80" s="103"/>
      <c r="EP80" s="103"/>
      <c r="EQ80" s="103"/>
      <c r="ER80" s="103"/>
      <c r="ES80" s="103"/>
      <c r="ET80" s="103"/>
      <c r="EU80" s="103"/>
      <c r="EV80" s="103"/>
      <c r="EW80" s="103"/>
    </row>
    <row r="81" spans="1:153">
      <c r="A81" s="103"/>
      <c r="B81" s="1077" t="s">
        <v>339</v>
      </c>
      <c r="C81" s="1104">
        <f t="shared" si="143"/>
        <v>64</v>
      </c>
      <c r="D81" s="1073">
        <f t="shared" si="144"/>
        <v>68</v>
      </c>
      <c r="E81" s="1073">
        <f t="shared" si="145"/>
        <v>74</v>
      </c>
      <c r="F81" s="1073">
        <f t="shared" si="146"/>
        <v>86</v>
      </c>
      <c r="G81" s="1073">
        <f t="shared" si="147"/>
        <v>97</v>
      </c>
      <c r="H81" s="1073">
        <f t="shared" si="148"/>
        <v>98</v>
      </c>
      <c r="I81" s="1073">
        <f t="shared" si="149"/>
        <v>105</v>
      </c>
      <c r="J81" s="1073">
        <f t="shared" si="150"/>
        <v>108</v>
      </c>
      <c r="K81" s="1073">
        <f t="shared" si="151"/>
        <v>109</v>
      </c>
      <c r="L81" s="1073">
        <f t="shared" si="152"/>
        <v>108</v>
      </c>
      <c r="M81" s="1073">
        <f t="shared" si="153"/>
        <v>108</v>
      </c>
      <c r="N81" s="1073">
        <f t="shared" si="154"/>
        <v>108</v>
      </c>
      <c r="O81" s="1073">
        <f t="shared" si="155"/>
        <v>107</v>
      </c>
      <c r="P81" s="1073">
        <f t="shared" si="156"/>
        <v>108</v>
      </c>
      <c r="Q81" s="1073">
        <f t="shared" si="157"/>
        <v>109</v>
      </c>
      <c r="R81" s="1073">
        <f t="shared" si="158"/>
        <v>110</v>
      </c>
      <c r="S81" s="1073">
        <f t="shared" si="159"/>
        <v>132</v>
      </c>
      <c r="T81" s="1073">
        <f t="shared" si="160"/>
        <v>128</v>
      </c>
      <c r="U81" s="1073">
        <f t="shared" si="161"/>
        <v>117</v>
      </c>
      <c r="V81" s="1073">
        <f t="shared" si="162"/>
        <v>79</v>
      </c>
      <c r="W81" s="1073">
        <f t="shared" si="163"/>
        <v>66</v>
      </c>
      <c r="X81" s="1073">
        <f t="shared" si="164"/>
        <v>66</v>
      </c>
      <c r="Y81" s="1073">
        <f t="shared" si="165"/>
        <v>62</v>
      </c>
      <c r="Z81" s="1073">
        <f t="shared" si="166"/>
        <v>58</v>
      </c>
      <c r="AA81" s="1077">
        <f t="shared" si="68"/>
        <v>95</v>
      </c>
      <c r="AB81" s="1103"/>
      <c r="AD81" s="995"/>
      <c r="AE81" s="995"/>
      <c r="AF81" s="1105"/>
      <c r="AG81" s="1105"/>
      <c r="AH81" s="1105"/>
      <c r="AI81" s="2463" t="s">
        <v>339</v>
      </c>
      <c r="AJ81" s="2466"/>
      <c r="AK81" s="1914"/>
      <c r="AL81" s="1914"/>
      <c r="AM81" s="1914"/>
      <c r="AN81" s="1914"/>
      <c r="AO81" s="1914"/>
      <c r="AP81" s="1914"/>
      <c r="AQ81" s="1914"/>
      <c r="AR81" s="1914"/>
      <c r="AS81" s="1914"/>
      <c r="AT81" s="1914"/>
      <c r="AU81" s="1914"/>
      <c r="AV81" s="1914"/>
      <c r="AW81" s="1914"/>
      <c r="AX81" s="1914"/>
      <c r="AY81" s="1914"/>
      <c r="AZ81" s="1914"/>
      <c r="BA81" s="1914">
        <f t="shared" si="136"/>
        <v>128</v>
      </c>
      <c r="BB81" s="1914">
        <f t="shared" si="136"/>
        <v>117</v>
      </c>
      <c r="BC81" s="1914">
        <f t="shared" si="136"/>
        <v>79</v>
      </c>
      <c r="BD81" s="1914">
        <f t="shared" si="124"/>
        <v>66</v>
      </c>
      <c r="BE81" s="1914">
        <f t="shared" si="123"/>
        <v>66</v>
      </c>
      <c r="BF81" s="1914">
        <f t="shared" si="125"/>
        <v>62</v>
      </c>
      <c r="BG81" s="1915">
        <f t="shared" si="116"/>
        <v>58</v>
      </c>
      <c r="BH81" s="1913">
        <f t="shared" si="93"/>
        <v>82</v>
      </c>
      <c r="BI81" s="677">
        <f t="shared" si="94"/>
        <v>128</v>
      </c>
      <c r="BJ81" s="1891">
        <f t="shared" si="95"/>
        <v>58</v>
      </c>
      <c r="BK81" s="2377" t="str">
        <f>+DMREZ!AI37</f>
        <v>Snow Melt</v>
      </c>
      <c r="BL81" s="1105"/>
      <c r="BM81" s="1105"/>
      <c r="BN81" s="1105"/>
      <c r="BO81" s="1105"/>
      <c r="BP81" s="1105"/>
      <c r="BQ81" s="1105"/>
      <c r="BR81" s="1105"/>
      <c r="BS81" s="1105"/>
      <c r="BT81" s="1105"/>
      <c r="BU81" s="1105"/>
      <c r="BV81" s="1105"/>
      <c r="BW81" s="1105"/>
      <c r="BX81" s="1105"/>
      <c r="BY81" s="1105"/>
      <c r="BZ81" s="1105"/>
      <c r="CA81" s="1105"/>
      <c r="CB81" s="1105"/>
      <c r="CC81" s="1105"/>
      <c r="CD81" s="1105"/>
      <c r="CE81" s="1105"/>
      <c r="CF81" s="1105"/>
      <c r="CG81" s="1105"/>
      <c r="CH81" s="1105"/>
      <c r="CI81" s="1105"/>
      <c r="CJ81" s="1105"/>
      <c r="CK81" s="1105"/>
      <c r="CL81" s="1105"/>
      <c r="CM81" s="1105"/>
      <c r="CN81" s="1105"/>
      <c r="CO81" s="1105"/>
      <c r="CP81" s="1105"/>
      <c r="CQ81" s="1105"/>
      <c r="CR81" s="1105"/>
      <c r="CS81" s="1105"/>
      <c r="CT81" s="1105"/>
      <c r="CU81" s="1105"/>
      <c r="CV81" s="1105"/>
      <c r="CW81" s="1105"/>
      <c r="CX81" s="1105"/>
      <c r="CY81" s="110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c r="EC81" s="103"/>
      <c r="ED81" s="103"/>
      <c r="EE81" s="103"/>
      <c r="EF81" s="103"/>
      <c r="EG81" s="103"/>
      <c r="EH81" s="103"/>
      <c r="EI81" s="103"/>
      <c r="EJ81" s="103"/>
      <c r="EK81" s="103"/>
      <c r="EL81" s="103"/>
      <c r="EM81" s="103"/>
      <c r="EN81" s="103"/>
      <c r="EO81" s="103"/>
      <c r="EP81" s="103"/>
      <c r="EQ81" s="103"/>
      <c r="ER81" s="103"/>
      <c r="ES81" s="103"/>
      <c r="ET81" s="103"/>
      <c r="EU81" s="103"/>
      <c r="EV81" s="103"/>
      <c r="EW81" s="103"/>
    </row>
    <row r="82" spans="1:153">
      <c r="A82" s="103"/>
      <c r="B82" s="1077" t="s">
        <v>340</v>
      </c>
      <c r="C82" s="1104">
        <f t="shared" si="143"/>
        <v>63</v>
      </c>
      <c r="D82" s="1073">
        <f t="shared" si="144"/>
        <v>59</v>
      </c>
      <c r="E82" s="1073">
        <f t="shared" si="145"/>
        <v>59</v>
      </c>
      <c r="F82" s="1073">
        <f t="shared" si="146"/>
        <v>100</v>
      </c>
      <c r="G82" s="1073">
        <f t="shared" si="147"/>
        <v>114</v>
      </c>
      <c r="H82" s="1073">
        <f t="shared" si="148"/>
        <v>115</v>
      </c>
      <c r="I82" s="1073">
        <f t="shared" si="149"/>
        <v>121</v>
      </c>
      <c r="J82" s="1073">
        <f t="shared" si="150"/>
        <v>127</v>
      </c>
      <c r="K82" s="1073">
        <f t="shared" si="151"/>
        <v>109</v>
      </c>
      <c r="L82" s="1073">
        <f t="shared" si="152"/>
        <v>108</v>
      </c>
      <c r="M82" s="1073">
        <f t="shared" si="153"/>
        <v>108</v>
      </c>
      <c r="N82" s="1073">
        <f t="shared" si="154"/>
        <v>108</v>
      </c>
      <c r="O82" s="1073">
        <f t="shared" si="155"/>
        <v>107</v>
      </c>
      <c r="P82" s="1073">
        <f t="shared" si="156"/>
        <v>108</v>
      </c>
      <c r="Q82" s="1073">
        <f t="shared" si="157"/>
        <v>109</v>
      </c>
      <c r="R82" s="1073">
        <f t="shared" si="158"/>
        <v>110</v>
      </c>
      <c r="S82" s="1073">
        <f t="shared" si="159"/>
        <v>128</v>
      </c>
      <c r="T82" s="1073">
        <f t="shared" si="160"/>
        <v>98</v>
      </c>
      <c r="U82" s="1073">
        <f t="shared" si="161"/>
        <v>97</v>
      </c>
      <c r="V82" s="1073">
        <f t="shared" si="162"/>
        <v>91</v>
      </c>
      <c r="W82" s="1073">
        <f t="shared" si="163"/>
        <v>88</v>
      </c>
      <c r="X82" s="1073">
        <f t="shared" si="164"/>
        <v>79</v>
      </c>
      <c r="Y82" s="1073">
        <f t="shared" si="165"/>
        <v>73</v>
      </c>
      <c r="Z82" s="1073">
        <f t="shared" si="166"/>
        <v>65</v>
      </c>
      <c r="AA82" s="1077">
        <f t="shared" si="68"/>
        <v>98</v>
      </c>
      <c r="AB82" s="1103"/>
      <c r="AD82" s="995"/>
      <c r="AE82" s="995"/>
      <c r="AF82" s="1105"/>
      <c r="AG82" s="1105"/>
      <c r="AH82" s="1105"/>
      <c r="AI82" s="2463" t="s">
        <v>340</v>
      </c>
      <c r="AJ82" s="2466">
        <f t="shared" si="126"/>
        <v>63</v>
      </c>
      <c r="AK82" s="1914">
        <f t="shared" si="167"/>
        <v>59</v>
      </c>
      <c r="AL82" s="1914">
        <f t="shared" si="117"/>
        <v>59</v>
      </c>
      <c r="AM82" s="1914">
        <f t="shared" si="118"/>
        <v>100</v>
      </c>
      <c r="AN82" s="1914">
        <f t="shared" si="128"/>
        <v>114</v>
      </c>
      <c r="AO82" s="1914">
        <f t="shared" ref="AO82" si="169">IF(H36&gt;0,H36,"")</f>
        <v>115</v>
      </c>
      <c r="AP82" s="1914">
        <f t="shared" ref="AP82" si="170">IF(I36&gt;0,I36,"")</f>
        <v>121</v>
      </c>
      <c r="AQ82" s="1914">
        <f t="shared" ref="AQ82" si="171">IF(J36&gt;0,J36,"")</f>
        <v>127</v>
      </c>
      <c r="AR82" s="1914"/>
      <c r="AS82" s="1914"/>
      <c r="AT82" s="1914"/>
      <c r="AU82" s="1914"/>
      <c r="AV82" s="1914"/>
      <c r="AW82" s="1914"/>
      <c r="AX82" s="1914"/>
      <c r="AY82" s="1914"/>
      <c r="AZ82" s="1914">
        <f t="shared" si="136"/>
        <v>128</v>
      </c>
      <c r="BA82" s="1914">
        <f t="shared" si="136"/>
        <v>98</v>
      </c>
      <c r="BB82" s="1914">
        <f t="shared" si="136"/>
        <v>97</v>
      </c>
      <c r="BC82" s="1914">
        <f t="shared" si="136"/>
        <v>91</v>
      </c>
      <c r="BD82" s="1914">
        <f t="shared" si="124"/>
        <v>88</v>
      </c>
      <c r="BE82" s="1914">
        <f t="shared" si="123"/>
        <v>79</v>
      </c>
      <c r="BF82" s="1914">
        <f t="shared" si="125"/>
        <v>73</v>
      </c>
      <c r="BG82" s="1915">
        <f t="shared" si="116"/>
        <v>65</v>
      </c>
      <c r="BH82" s="1913">
        <f t="shared" si="93"/>
        <v>92</v>
      </c>
      <c r="BI82" s="677">
        <f t="shared" si="94"/>
        <v>128</v>
      </c>
      <c r="BJ82" s="1891">
        <f t="shared" si="95"/>
        <v>59</v>
      </c>
      <c r="BK82" s="2377" t="str">
        <f>+DMREZ!AI38</f>
        <v>Snow Melt</v>
      </c>
      <c r="BL82" s="1105"/>
      <c r="BM82" s="1105"/>
      <c r="BN82" s="1105"/>
      <c r="BO82" s="1105"/>
      <c r="BP82" s="1105"/>
      <c r="BQ82" s="1105"/>
      <c r="BR82" s="1105"/>
      <c r="BS82" s="1105"/>
      <c r="BT82" s="1105"/>
      <c r="BU82" s="1105"/>
      <c r="BV82" s="1105"/>
      <c r="BW82" s="1105"/>
      <c r="BX82" s="1105"/>
      <c r="BY82" s="1105"/>
      <c r="BZ82" s="1105"/>
      <c r="CA82" s="1105"/>
      <c r="CB82" s="1105"/>
      <c r="CC82" s="1105"/>
      <c r="CD82" s="1105"/>
      <c r="CE82" s="1105"/>
      <c r="CF82" s="1105"/>
      <c r="CG82" s="1105"/>
      <c r="CH82" s="1105"/>
      <c r="CI82" s="1105"/>
      <c r="CJ82" s="1105"/>
      <c r="CK82" s="1105"/>
      <c r="CL82" s="1105"/>
      <c r="CM82" s="1105"/>
      <c r="CN82" s="1105"/>
      <c r="CO82" s="1105"/>
      <c r="CP82" s="1105"/>
      <c r="CQ82" s="1105"/>
      <c r="CR82" s="1105"/>
      <c r="CS82" s="1105"/>
      <c r="CT82" s="1105"/>
      <c r="CU82" s="1105"/>
      <c r="CV82" s="1105"/>
      <c r="CW82" s="1105"/>
      <c r="CX82" s="1105"/>
      <c r="CY82" s="110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c r="EC82" s="103"/>
      <c r="ED82" s="103"/>
      <c r="EE82" s="103"/>
      <c r="EF82" s="103"/>
      <c r="EG82" s="103"/>
      <c r="EH82" s="103"/>
      <c r="EI82" s="103"/>
      <c r="EJ82" s="103"/>
      <c r="EK82" s="103"/>
      <c r="EL82" s="103"/>
      <c r="EM82" s="103"/>
      <c r="EN82" s="103"/>
      <c r="EO82" s="103"/>
      <c r="EP82" s="103"/>
      <c r="EQ82" s="103"/>
      <c r="ER82" s="103"/>
      <c r="ES82" s="103"/>
      <c r="ET82" s="103"/>
      <c r="EU82" s="103"/>
      <c r="EV82" s="103"/>
      <c r="EW82" s="103"/>
    </row>
    <row r="83" spans="1:153">
      <c r="A83" s="103"/>
      <c r="B83" s="1077" t="s">
        <v>341</v>
      </c>
      <c r="C83" s="1104">
        <f t="shared" si="143"/>
        <v>81</v>
      </c>
      <c r="D83" s="1073">
        <f t="shared" si="144"/>
        <v>89</v>
      </c>
      <c r="E83" s="1073">
        <f t="shared" si="145"/>
        <v>95</v>
      </c>
      <c r="F83" s="1073">
        <f t="shared" si="146"/>
        <v>102</v>
      </c>
      <c r="G83" s="1073">
        <f t="shared" si="147"/>
        <v>100</v>
      </c>
      <c r="H83" s="1073">
        <f t="shared" si="148"/>
        <v>117</v>
      </c>
      <c r="I83" s="1073">
        <f t="shared" si="149"/>
        <v>115</v>
      </c>
      <c r="J83" s="1073">
        <f t="shared" si="150"/>
        <v>117</v>
      </c>
      <c r="K83" s="1073">
        <f t="shared" si="151"/>
        <v>117</v>
      </c>
      <c r="L83" s="1073">
        <f t="shared" si="152"/>
        <v>118</v>
      </c>
      <c r="M83" s="1073">
        <f t="shared" si="153"/>
        <v>119</v>
      </c>
      <c r="N83" s="1073">
        <f t="shared" si="154"/>
        <v>120</v>
      </c>
      <c r="O83" s="1073">
        <f t="shared" si="155"/>
        <v>120</v>
      </c>
      <c r="P83" s="1073">
        <f t="shared" si="156"/>
        <v>120</v>
      </c>
      <c r="Q83" s="1073">
        <f t="shared" si="157"/>
        <v>119</v>
      </c>
      <c r="R83" s="1073">
        <f t="shared" si="158"/>
        <v>119</v>
      </c>
      <c r="S83" s="1073">
        <f t="shared" si="159"/>
        <v>118</v>
      </c>
      <c r="T83" s="1073">
        <f t="shared" si="160"/>
        <v>115</v>
      </c>
      <c r="U83" s="1073">
        <f t="shared" si="161"/>
        <v>98</v>
      </c>
      <c r="V83" s="1073">
        <f t="shared" si="162"/>
        <v>80</v>
      </c>
      <c r="W83" s="1073">
        <f t="shared" si="163"/>
        <v>65</v>
      </c>
      <c r="X83" s="1073">
        <f t="shared" si="164"/>
        <v>61</v>
      </c>
      <c r="Y83" s="1073">
        <f t="shared" si="165"/>
        <v>58</v>
      </c>
      <c r="Z83" s="1073">
        <f t="shared" si="166"/>
        <v>58</v>
      </c>
      <c r="AA83" s="1077">
        <f t="shared" si="68"/>
        <v>101</v>
      </c>
      <c r="AB83" s="1103"/>
      <c r="AD83" s="995"/>
      <c r="AE83" s="995"/>
      <c r="AF83" s="1105"/>
      <c r="AG83" s="1105"/>
      <c r="AH83" s="1105"/>
      <c r="AI83" s="2491" t="s">
        <v>341</v>
      </c>
      <c r="AJ83" s="2466">
        <f t="shared" si="126"/>
        <v>81</v>
      </c>
      <c r="AK83" s="1914">
        <f t="shared" si="167"/>
        <v>89</v>
      </c>
      <c r="AL83" s="1914">
        <f t="shared" si="117"/>
        <v>95</v>
      </c>
      <c r="AM83" s="1914">
        <f t="shared" si="118"/>
        <v>102</v>
      </c>
      <c r="AN83" s="1914">
        <f t="shared" si="128"/>
        <v>100</v>
      </c>
      <c r="AO83" s="1914">
        <f>IF(H37&gt;0,H37,"")</f>
        <v>117</v>
      </c>
      <c r="AP83" s="1914">
        <f t="shared" si="128"/>
        <v>115</v>
      </c>
      <c r="AQ83" s="1914">
        <f t="shared" si="128"/>
        <v>117</v>
      </c>
      <c r="AR83" s="1914">
        <f t="shared" si="128"/>
        <v>117</v>
      </c>
      <c r="AS83" s="1914">
        <f t="shared" si="128"/>
        <v>118</v>
      </c>
      <c r="AT83" s="1914">
        <f t="shared" ref="AT83:AT84" si="172">IF(M37&gt;0,M37,"")</f>
        <v>119</v>
      </c>
      <c r="AU83" s="1914">
        <f t="shared" ref="AU83:AU84" si="173">IF(N37&gt;0,N37,"")</f>
        <v>120</v>
      </c>
      <c r="AV83" s="1914">
        <f t="shared" ref="AV83:AV84" si="174">IF(O37&gt;0,O37,"")</f>
        <v>120</v>
      </c>
      <c r="AW83" s="1914">
        <f t="shared" si="168"/>
        <v>120</v>
      </c>
      <c r="AX83" s="1914">
        <f t="shared" si="136"/>
        <v>119</v>
      </c>
      <c r="AY83" s="1914">
        <f t="shared" si="136"/>
        <v>119</v>
      </c>
      <c r="AZ83" s="1914">
        <f t="shared" ref="AZ83:AZ85" si="175">IF(S37&gt;0,S37,"")</f>
        <v>118</v>
      </c>
      <c r="BA83" s="1914">
        <f t="shared" ref="BA83:BA85" si="176">IF(T37&gt;0,T37,"")</f>
        <v>115</v>
      </c>
      <c r="BB83" s="1914">
        <f t="shared" ref="BB83:BB84" si="177">IF(U37&gt;0,U37,"")</f>
        <v>98</v>
      </c>
      <c r="BC83" s="1914">
        <f t="shared" ref="BC83:BC85" si="178">IF(V37&gt;0,V37,"")</f>
        <v>80</v>
      </c>
      <c r="BD83" s="1914">
        <f t="shared" si="124"/>
        <v>65</v>
      </c>
      <c r="BE83" s="1914">
        <f t="shared" si="123"/>
        <v>61</v>
      </c>
      <c r="BF83" s="1914">
        <f t="shared" si="125"/>
        <v>58</v>
      </c>
      <c r="BG83" s="1915">
        <f t="shared" si="116"/>
        <v>58</v>
      </c>
      <c r="BH83" s="1913">
        <f t="shared" si="93"/>
        <v>101</v>
      </c>
      <c r="BI83" s="677">
        <f t="shared" si="94"/>
        <v>120</v>
      </c>
      <c r="BJ83" s="1891">
        <f t="shared" si="95"/>
        <v>58</v>
      </c>
      <c r="BK83" s="2377" t="str">
        <f>+DMREZ!AI39</f>
        <v>Clear</v>
      </c>
      <c r="BL83" s="1105"/>
      <c r="BM83" s="1105"/>
      <c r="BN83" s="1105"/>
      <c r="BO83" s="1105"/>
      <c r="BP83" s="1105"/>
      <c r="BQ83" s="1105"/>
      <c r="BR83" s="1105"/>
      <c r="BS83" s="1105"/>
      <c r="BT83" s="1105"/>
      <c r="BU83" s="1105"/>
      <c r="BV83" s="1105"/>
      <c r="BW83" s="1105"/>
      <c r="BX83" s="1105"/>
      <c r="BY83" s="1105"/>
      <c r="BZ83" s="1105"/>
      <c r="CA83" s="1105"/>
      <c r="CB83" s="1105"/>
      <c r="CC83" s="1105"/>
      <c r="CD83" s="1105"/>
      <c r="CE83" s="1105"/>
      <c r="CF83" s="1105"/>
      <c r="CG83" s="1105"/>
      <c r="CH83" s="1105"/>
      <c r="CI83" s="1105"/>
      <c r="CJ83" s="1105"/>
      <c r="CK83" s="1105"/>
      <c r="CL83" s="1105"/>
      <c r="CM83" s="1105"/>
      <c r="CN83" s="1105"/>
      <c r="CO83" s="1105"/>
      <c r="CP83" s="1105"/>
      <c r="CQ83" s="1105"/>
      <c r="CR83" s="1105"/>
      <c r="CS83" s="1105"/>
      <c r="CT83" s="1105"/>
      <c r="CU83" s="1105"/>
      <c r="CV83" s="1105"/>
      <c r="CW83" s="1105"/>
      <c r="CX83" s="1105"/>
      <c r="CY83" s="110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c r="EC83" s="103"/>
      <c r="ED83" s="103"/>
      <c r="EE83" s="103"/>
      <c r="EF83" s="103"/>
      <c r="EG83" s="103"/>
      <c r="EH83" s="103"/>
      <c r="EI83" s="103"/>
      <c r="EJ83" s="103"/>
      <c r="EK83" s="103"/>
      <c r="EL83" s="103"/>
      <c r="EM83" s="103"/>
      <c r="EN83" s="103"/>
      <c r="EO83" s="103"/>
      <c r="EP83" s="103"/>
      <c r="EQ83" s="103"/>
      <c r="ER83" s="103"/>
      <c r="ES83" s="103"/>
      <c r="ET83" s="103"/>
      <c r="EU83" s="103"/>
      <c r="EV83" s="103"/>
      <c r="EW83" s="103"/>
    </row>
    <row r="84" spans="1:153">
      <c r="A84" s="103"/>
      <c r="B84" s="1077" t="s">
        <v>342</v>
      </c>
      <c r="C84" s="1104">
        <f t="shared" si="143"/>
        <v>57</v>
      </c>
      <c r="D84" s="1073">
        <f t="shared" si="144"/>
        <v>68</v>
      </c>
      <c r="E84" s="1073">
        <f t="shared" si="145"/>
        <v>72</v>
      </c>
      <c r="F84" s="1073">
        <f t="shared" si="146"/>
        <v>78</v>
      </c>
      <c r="G84" s="1073">
        <f t="shared" si="147"/>
        <v>84</v>
      </c>
      <c r="H84" s="1073">
        <f t="shared" si="148"/>
        <v>106</v>
      </c>
      <c r="I84" s="1073">
        <f t="shared" si="149"/>
        <v>117</v>
      </c>
      <c r="J84" s="1073">
        <f t="shared" si="150"/>
        <v>120</v>
      </c>
      <c r="K84" s="1073">
        <f t="shared" si="151"/>
        <v>123</v>
      </c>
      <c r="L84" s="1073">
        <f t="shared" si="152"/>
        <v>126</v>
      </c>
      <c r="M84" s="1073">
        <f t="shared" si="153"/>
        <v>125</v>
      </c>
      <c r="N84" s="1073">
        <f t="shared" si="154"/>
        <v>125</v>
      </c>
      <c r="O84" s="1073">
        <f t="shared" si="155"/>
        <v>123</v>
      </c>
      <c r="P84" s="1073">
        <f t="shared" si="156"/>
        <v>122</v>
      </c>
      <c r="Q84" s="1073">
        <f t="shared" si="157"/>
        <v>121</v>
      </c>
      <c r="R84" s="1073">
        <f t="shared" si="158"/>
        <v>121</v>
      </c>
      <c r="S84" s="1073">
        <f t="shared" si="159"/>
        <v>118</v>
      </c>
      <c r="T84" s="1073">
        <f t="shared" si="160"/>
        <v>111</v>
      </c>
      <c r="U84" s="1073">
        <f t="shared" si="161"/>
        <v>110</v>
      </c>
      <c r="V84" s="1073">
        <f t="shared" si="162"/>
        <v>87</v>
      </c>
      <c r="W84" s="1073">
        <f t="shared" si="163"/>
        <v>79</v>
      </c>
      <c r="X84" s="1073">
        <f t="shared" si="164"/>
        <v>71</v>
      </c>
      <c r="Y84" s="1073">
        <f t="shared" si="165"/>
        <v>64</v>
      </c>
      <c r="Z84" s="1073">
        <f t="shared" si="166"/>
        <v>61</v>
      </c>
      <c r="AA84" s="1077">
        <f t="shared" si="68"/>
        <v>100</v>
      </c>
      <c r="AB84" s="1103"/>
      <c r="AD84" s="995"/>
      <c r="AE84" s="995"/>
      <c r="AF84" s="1105"/>
      <c r="AG84" s="1105"/>
      <c r="AH84" s="1105"/>
      <c r="AI84" s="2463" t="s">
        <v>342</v>
      </c>
      <c r="AJ84" s="2466">
        <f t="shared" si="126"/>
        <v>57</v>
      </c>
      <c r="AK84" s="1914">
        <f t="shared" si="167"/>
        <v>68</v>
      </c>
      <c r="AL84" s="1914">
        <f t="shared" si="117"/>
        <v>72</v>
      </c>
      <c r="AM84" s="1914">
        <f t="shared" si="118"/>
        <v>78</v>
      </c>
      <c r="AN84" s="1914">
        <f t="shared" si="128"/>
        <v>84</v>
      </c>
      <c r="AO84" s="1914">
        <f>IF(H38&gt;0,H38,"")</f>
        <v>106</v>
      </c>
      <c r="AP84" s="1914">
        <f>IF(I38&gt;0,I38,"")</f>
        <v>117</v>
      </c>
      <c r="AQ84" s="1914">
        <f t="shared" si="128"/>
        <v>120</v>
      </c>
      <c r="AR84" s="1914">
        <f t="shared" si="128"/>
        <v>123</v>
      </c>
      <c r="AS84" s="1914">
        <f t="shared" si="128"/>
        <v>126</v>
      </c>
      <c r="AT84" s="1914">
        <f t="shared" si="172"/>
        <v>125</v>
      </c>
      <c r="AU84" s="1914">
        <f t="shared" si="173"/>
        <v>125</v>
      </c>
      <c r="AV84" s="1914">
        <f t="shared" si="174"/>
        <v>123</v>
      </c>
      <c r="AW84" s="1914">
        <f t="shared" si="168"/>
        <v>122</v>
      </c>
      <c r="AX84" s="1914">
        <f t="shared" si="136"/>
        <v>121</v>
      </c>
      <c r="AY84" s="1914">
        <f t="shared" ref="AY84" si="179">IF(R38&gt;0,R38,"")</f>
        <v>121</v>
      </c>
      <c r="AZ84" s="1914">
        <f t="shared" si="175"/>
        <v>118</v>
      </c>
      <c r="BA84" s="1914">
        <f t="shared" si="176"/>
        <v>111</v>
      </c>
      <c r="BB84" s="1914">
        <f t="shared" si="177"/>
        <v>110</v>
      </c>
      <c r="BC84" s="1914">
        <f t="shared" si="178"/>
        <v>87</v>
      </c>
      <c r="BD84" s="1914">
        <f t="shared" si="124"/>
        <v>79</v>
      </c>
      <c r="BE84" s="1914">
        <f t="shared" si="123"/>
        <v>71</v>
      </c>
      <c r="BF84" s="1914">
        <f t="shared" si="125"/>
        <v>64</v>
      </c>
      <c r="BG84" s="1915">
        <f t="shared" si="116"/>
        <v>61</v>
      </c>
      <c r="BH84" s="1913">
        <f t="shared" si="93"/>
        <v>100</v>
      </c>
      <c r="BI84" s="677">
        <f t="shared" si="94"/>
        <v>126</v>
      </c>
      <c r="BJ84" s="1891">
        <f t="shared" si="95"/>
        <v>57</v>
      </c>
      <c r="BK84" s="2377" t="str">
        <f>+DMREZ!AI40</f>
        <v>Clear</v>
      </c>
      <c r="BL84" s="1105"/>
      <c r="BM84" s="1105"/>
      <c r="BN84" s="1105"/>
      <c r="BO84" s="1105"/>
      <c r="BP84" s="1105"/>
      <c r="BQ84" s="1105"/>
      <c r="BR84" s="1105"/>
      <c r="BS84" s="1105"/>
      <c r="BT84" s="1105"/>
      <c r="BU84" s="1105"/>
      <c r="BV84" s="1105"/>
      <c r="BW84" s="1105"/>
      <c r="BX84" s="1105"/>
      <c r="BY84" s="1105"/>
      <c r="BZ84" s="1105"/>
      <c r="CA84" s="1105"/>
      <c r="CB84" s="1105"/>
      <c r="CC84" s="1105"/>
      <c r="CD84" s="1105"/>
      <c r="CE84" s="1105"/>
      <c r="CF84" s="1105"/>
      <c r="CG84" s="1105"/>
      <c r="CH84" s="1105"/>
      <c r="CI84" s="1105"/>
      <c r="CJ84" s="1105"/>
      <c r="CK84" s="1105"/>
      <c r="CL84" s="1105"/>
      <c r="CM84" s="1105"/>
      <c r="CN84" s="1105"/>
      <c r="CO84" s="1105"/>
      <c r="CP84" s="1105"/>
      <c r="CQ84" s="1105"/>
      <c r="CR84" s="1105"/>
      <c r="CS84" s="1105"/>
      <c r="CT84" s="1105"/>
      <c r="CU84" s="1105"/>
      <c r="CV84" s="1105"/>
      <c r="CW84" s="1105"/>
      <c r="CX84" s="1105"/>
      <c r="CY84" s="110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c r="EC84" s="103"/>
      <c r="ED84" s="103"/>
      <c r="EE84" s="103"/>
      <c r="EF84" s="103"/>
      <c r="EG84" s="103"/>
      <c r="EH84" s="103"/>
      <c r="EI84" s="103"/>
      <c r="EJ84" s="103"/>
      <c r="EK84" s="103"/>
      <c r="EL84" s="103"/>
      <c r="EM84" s="103"/>
      <c r="EN84" s="103"/>
      <c r="EO84" s="103"/>
      <c r="EP84" s="103"/>
      <c r="EQ84" s="103"/>
      <c r="ER84" s="103"/>
      <c r="ES84" s="103"/>
      <c r="ET84" s="103"/>
      <c r="EU84" s="103"/>
      <c r="EV84" s="103"/>
      <c r="EW84" s="103"/>
    </row>
    <row r="85" spans="1:153" ht="15.6" thickBot="1">
      <c r="A85" s="103"/>
      <c r="B85" s="1077" t="s">
        <v>343</v>
      </c>
      <c r="C85" s="1104">
        <f t="shared" si="143"/>
        <v>62</v>
      </c>
      <c r="D85" s="1073">
        <f t="shared" si="144"/>
        <v>63</v>
      </c>
      <c r="E85" s="1073">
        <f t="shared" si="145"/>
        <v>66</v>
      </c>
      <c r="F85" s="1073">
        <f t="shared" si="146"/>
        <v>74</v>
      </c>
      <c r="G85" s="1073">
        <f t="shared" si="147"/>
        <v>96</v>
      </c>
      <c r="H85" s="1073">
        <f t="shared" si="148"/>
        <v>100</v>
      </c>
      <c r="I85" s="1073">
        <f t="shared" si="149"/>
        <v>121</v>
      </c>
      <c r="J85" s="1073">
        <f t="shared" si="150"/>
        <v>108</v>
      </c>
      <c r="K85" s="1073">
        <f t="shared" si="151"/>
        <v>109</v>
      </c>
      <c r="L85" s="1073">
        <f t="shared" si="152"/>
        <v>108</v>
      </c>
      <c r="M85" s="1073">
        <f t="shared" si="153"/>
        <v>108</v>
      </c>
      <c r="N85" s="1073">
        <f t="shared" si="154"/>
        <v>108</v>
      </c>
      <c r="O85" s="1073">
        <f t="shared" si="155"/>
        <v>107</v>
      </c>
      <c r="P85" s="1073">
        <f t="shared" si="156"/>
        <v>108</v>
      </c>
      <c r="Q85" s="1073">
        <f t="shared" si="157"/>
        <v>109</v>
      </c>
      <c r="R85" s="1073">
        <f t="shared" si="158"/>
        <v>110</v>
      </c>
      <c r="S85" s="1073">
        <f t="shared" si="159"/>
        <v>127</v>
      </c>
      <c r="T85" s="1073">
        <f t="shared" si="160"/>
        <v>122</v>
      </c>
      <c r="U85" s="1073">
        <f t="shared" si="161"/>
        <v>111</v>
      </c>
      <c r="V85" s="1073">
        <f t="shared" si="162"/>
        <v>97</v>
      </c>
      <c r="W85" s="1073">
        <f t="shared" si="163"/>
        <v>84</v>
      </c>
      <c r="X85" s="1073">
        <f t="shared" si="164"/>
        <v>70</v>
      </c>
      <c r="Y85" s="1073">
        <f t="shared" si="165"/>
        <v>67</v>
      </c>
      <c r="Z85" s="1073">
        <f t="shared" si="166"/>
        <v>67</v>
      </c>
      <c r="AA85" s="1077">
        <f t="shared" si="68"/>
        <v>96</v>
      </c>
      <c r="AB85" s="1103"/>
      <c r="AD85" s="995"/>
      <c r="AE85" s="995"/>
      <c r="AF85" s="1105"/>
      <c r="AG85" s="1105"/>
      <c r="AH85" s="1105"/>
      <c r="AI85" s="2492" t="s">
        <v>343</v>
      </c>
      <c r="AJ85" s="2496">
        <f t="shared" si="126"/>
        <v>62</v>
      </c>
      <c r="AK85" s="2368">
        <f t="shared" si="167"/>
        <v>63</v>
      </c>
      <c r="AL85" s="2368">
        <f t="shared" si="117"/>
        <v>66</v>
      </c>
      <c r="AM85" s="2368">
        <f t="shared" si="118"/>
        <v>74</v>
      </c>
      <c r="AN85" s="2368">
        <f t="shared" ref="AN85" si="180">IF(G39&gt;0,G39,"")</f>
        <v>96</v>
      </c>
      <c r="AO85" s="2368">
        <f t="shared" ref="AO85" si="181">IF(H39&gt;0,H39,"")</f>
        <v>100</v>
      </c>
      <c r="AP85" s="2368">
        <f t="shared" ref="AP85" si="182">IF(I39&gt;0,I39,"")</f>
        <v>121</v>
      </c>
      <c r="AQ85" s="2368"/>
      <c r="AR85" s="2368"/>
      <c r="AS85" s="2368"/>
      <c r="AT85" s="2368"/>
      <c r="AU85" s="2368"/>
      <c r="AV85" s="2368"/>
      <c r="AW85" s="2368"/>
      <c r="AX85" s="2368"/>
      <c r="AY85" s="2368"/>
      <c r="AZ85" s="2368">
        <f t="shared" si="175"/>
        <v>127</v>
      </c>
      <c r="BA85" s="2368">
        <f t="shared" si="176"/>
        <v>122</v>
      </c>
      <c r="BB85" s="2368">
        <f t="shared" ref="BB85" si="183">IF(U39&gt;0,U39,"")</f>
        <v>111</v>
      </c>
      <c r="BC85" s="2368">
        <f t="shared" si="178"/>
        <v>97</v>
      </c>
      <c r="BD85" s="2368">
        <f t="shared" si="124"/>
        <v>84</v>
      </c>
      <c r="BE85" s="2368">
        <f t="shared" si="123"/>
        <v>70</v>
      </c>
      <c r="BF85" s="2368">
        <f t="shared" si="125"/>
        <v>67</v>
      </c>
      <c r="BG85" s="2477">
        <f t="shared" si="116"/>
        <v>67</v>
      </c>
      <c r="BH85" s="2457">
        <f t="shared" si="93"/>
        <v>88</v>
      </c>
      <c r="BI85" s="772">
        <f t="shared" si="94"/>
        <v>127</v>
      </c>
      <c r="BJ85" s="2380">
        <f t="shared" si="95"/>
        <v>62</v>
      </c>
      <c r="BK85" s="2377" t="str">
        <f>+DMREZ!AI41</f>
        <v>Snow Melt</v>
      </c>
      <c r="BL85" s="1105"/>
      <c r="BM85" s="1105"/>
      <c r="BN85" s="1105"/>
      <c r="BO85" s="1105"/>
      <c r="BP85" s="1105"/>
      <c r="BQ85" s="1105"/>
      <c r="BR85" s="1105"/>
      <c r="BS85" s="1105"/>
      <c r="BT85" s="1105"/>
      <c r="BU85" s="1105"/>
      <c r="BV85" s="1105"/>
      <c r="BW85" s="1105"/>
      <c r="BX85" s="1105"/>
      <c r="BY85" s="1105"/>
      <c r="BZ85" s="1105"/>
      <c r="CA85" s="1105"/>
      <c r="CB85" s="1105"/>
      <c r="CC85" s="1105"/>
      <c r="CD85" s="1105"/>
      <c r="CE85" s="1105"/>
      <c r="CF85" s="1105"/>
      <c r="CG85" s="1105"/>
      <c r="CH85" s="1105"/>
      <c r="CI85" s="1105"/>
      <c r="CJ85" s="1105"/>
      <c r="CK85" s="1105"/>
      <c r="CL85" s="1105"/>
      <c r="CM85" s="1105"/>
      <c r="CN85" s="1105"/>
      <c r="CO85" s="1105"/>
      <c r="CP85" s="1105"/>
      <c r="CQ85" s="1105"/>
      <c r="CR85" s="1105"/>
      <c r="CS85" s="1105"/>
      <c r="CT85" s="1105"/>
      <c r="CU85" s="1105"/>
      <c r="CV85" s="1105"/>
      <c r="CW85" s="1105"/>
      <c r="CX85" s="1105"/>
      <c r="CY85" s="110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c r="EC85" s="103"/>
      <c r="ED85" s="103"/>
      <c r="EE85" s="103"/>
      <c r="EF85" s="103"/>
      <c r="EG85" s="103"/>
      <c r="EH85" s="103"/>
      <c r="EI85" s="103"/>
      <c r="EJ85" s="103"/>
      <c r="EK85" s="103"/>
      <c r="EL85" s="103"/>
      <c r="EM85" s="103"/>
      <c r="EN85" s="103"/>
      <c r="EO85" s="103"/>
      <c r="EP85" s="103"/>
      <c r="EQ85" s="103"/>
      <c r="ER85" s="103"/>
      <c r="ES85" s="103"/>
      <c r="ET85" s="103"/>
      <c r="EU85" s="103"/>
      <c r="EV85" s="103"/>
      <c r="EW85" s="103"/>
    </row>
    <row r="86" spans="1:153">
      <c r="A86" s="103"/>
      <c r="B86" s="1067" t="s">
        <v>1051</v>
      </c>
      <c r="C86" s="1067">
        <f t="shared" ref="C86:AA86" si="184">SUM(C55:C85)</f>
        <v>1978</v>
      </c>
      <c r="D86" s="1068">
        <f t="shared" si="184"/>
        <v>2095</v>
      </c>
      <c r="E86" s="1068">
        <f t="shared" si="184"/>
        <v>2294</v>
      </c>
      <c r="F86" s="1068">
        <f t="shared" si="184"/>
        <v>2705</v>
      </c>
      <c r="G86" s="1068">
        <f t="shared" si="184"/>
        <v>2998</v>
      </c>
      <c r="H86" s="1068">
        <f t="shared" si="184"/>
        <v>3046</v>
      </c>
      <c r="I86" s="1068">
        <f t="shared" si="184"/>
        <v>3261</v>
      </c>
      <c r="J86" s="1068">
        <f t="shared" si="184"/>
        <v>3337</v>
      </c>
      <c r="K86" s="1068">
        <f t="shared" si="184"/>
        <v>3370</v>
      </c>
      <c r="L86" s="1068">
        <f t="shared" si="184"/>
        <v>3354</v>
      </c>
      <c r="M86" s="1068">
        <f t="shared" si="184"/>
        <v>3353</v>
      </c>
      <c r="N86" s="1068">
        <f t="shared" si="184"/>
        <v>3337</v>
      </c>
      <c r="O86" s="1068">
        <f t="shared" si="184"/>
        <v>3323</v>
      </c>
      <c r="P86" s="1068">
        <f t="shared" si="184"/>
        <v>3347</v>
      </c>
      <c r="Q86" s="1068">
        <f t="shared" si="184"/>
        <v>3391</v>
      </c>
      <c r="R86" s="1068">
        <f t="shared" si="184"/>
        <v>3399</v>
      </c>
      <c r="S86" s="1068">
        <f t="shared" si="184"/>
        <v>3533</v>
      </c>
      <c r="T86" s="1068">
        <f t="shared" si="184"/>
        <v>3384</v>
      </c>
      <c r="U86" s="1068">
        <f t="shared" si="184"/>
        <v>3113</v>
      </c>
      <c r="V86" s="1068">
        <f t="shared" si="184"/>
        <v>2625</v>
      </c>
      <c r="W86" s="1068">
        <f t="shared" si="184"/>
        <v>2274</v>
      </c>
      <c r="X86" s="1068">
        <f t="shared" si="184"/>
        <v>2106</v>
      </c>
      <c r="Y86" s="1068">
        <f t="shared" si="184"/>
        <v>1959</v>
      </c>
      <c r="Z86" s="1068">
        <f t="shared" si="184"/>
        <v>1884</v>
      </c>
      <c r="AA86" s="1067">
        <f t="shared" si="184"/>
        <v>2895</v>
      </c>
      <c r="AB86" s="1103"/>
      <c r="AD86" s="995"/>
      <c r="AE86" s="995"/>
      <c r="AF86" s="1105"/>
      <c r="AG86" s="1105"/>
      <c r="AH86" s="1105"/>
      <c r="AI86" s="996" t="s">
        <v>942</v>
      </c>
      <c r="AJ86" s="1069">
        <f t="shared" ref="AJ86:BG86" si="185">ROUND(AVERAGE(AJ55:AJ85),0)</f>
        <v>64</v>
      </c>
      <c r="AK86" s="1065">
        <f t="shared" si="185"/>
        <v>68</v>
      </c>
      <c r="AL86" s="1065">
        <f t="shared" si="185"/>
        <v>74</v>
      </c>
      <c r="AM86" s="1065">
        <f t="shared" si="185"/>
        <v>86</v>
      </c>
      <c r="AN86" s="1065">
        <f t="shared" si="185"/>
        <v>97</v>
      </c>
      <c r="AO86" s="1065">
        <f t="shared" si="185"/>
        <v>98</v>
      </c>
      <c r="AP86" s="1065">
        <f t="shared" si="185"/>
        <v>105</v>
      </c>
      <c r="AQ86" s="1065">
        <f t="shared" si="185"/>
        <v>108</v>
      </c>
      <c r="AR86" s="1065">
        <f t="shared" si="185"/>
        <v>109</v>
      </c>
      <c r="AS86" s="1065">
        <f t="shared" si="185"/>
        <v>108</v>
      </c>
      <c r="AT86" s="1065">
        <f>ROUND(AVERAGE(AT55:AT85),0)</f>
        <v>108</v>
      </c>
      <c r="AU86" s="1065">
        <f t="shared" si="185"/>
        <v>108</v>
      </c>
      <c r="AV86" s="1065">
        <f t="shared" si="185"/>
        <v>107</v>
      </c>
      <c r="AW86" s="1065">
        <f t="shared" si="185"/>
        <v>108</v>
      </c>
      <c r="AX86" s="1065">
        <f t="shared" si="185"/>
        <v>109</v>
      </c>
      <c r="AY86" s="1065">
        <f t="shared" si="185"/>
        <v>110</v>
      </c>
      <c r="AZ86" s="1065">
        <f t="shared" si="185"/>
        <v>113</v>
      </c>
      <c r="BA86" s="1065">
        <f t="shared" si="185"/>
        <v>109</v>
      </c>
      <c r="BB86" s="1065">
        <f t="shared" si="185"/>
        <v>100</v>
      </c>
      <c r="BC86" s="1065">
        <f t="shared" si="185"/>
        <v>85</v>
      </c>
      <c r="BD86" s="1065">
        <f t="shared" si="185"/>
        <v>73</v>
      </c>
      <c r="BE86" s="1065">
        <f t="shared" si="185"/>
        <v>68</v>
      </c>
      <c r="BF86" s="1065">
        <f t="shared" si="185"/>
        <v>63</v>
      </c>
      <c r="BG86" s="1065">
        <f t="shared" si="185"/>
        <v>61</v>
      </c>
      <c r="BH86" s="1085">
        <f>SUM(BH55:BH85)</f>
        <v>2861</v>
      </c>
      <c r="BI86" s="1086">
        <f>SUM(BI55:BI85)</f>
        <v>3767</v>
      </c>
      <c r="BJ86" s="1086">
        <f>SUM(BJ55:BJ85)</f>
        <v>1801</v>
      </c>
      <c r="BK86" s="1106"/>
      <c r="BL86" s="1105"/>
      <c r="BM86" s="1105"/>
      <c r="BN86" s="1105"/>
      <c r="BO86" s="1105"/>
      <c r="BP86" s="1105"/>
      <c r="BQ86" s="1105"/>
      <c r="BR86" s="1105"/>
      <c r="BS86" s="1105"/>
      <c r="BT86" s="1105"/>
      <c r="BU86" s="1105"/>
      <c r="BV86" s="1105"/>
      <c r="BW86" s="1105"/>
      <c r="BX86" s="1105"/>
      <c r="BY86" s="1105"/>
      <c r="BZ86" s="1105"/>
      <c r="CA86" s="1105"/>
      <c r="CB86" s="1105"/>
      <c r="CC86" s="1105"/>
      <c r="CD86" s="1105"/>
      <c r="CE86" s="1105"/>
      <c r="CF86" s="1105"/>
      <c r="CG86" s="1105"/>
      <c r="CH86" s="1105"/>
      <c r="CI86" s="1105"/>
      <c r="CJ86" s="1105"/>
      <c r="CK86" s="1105"/>
      <c r="CL86" s="1105"/>
      <c r="CM86" s="1105"/>
      <c r="CN86" s="1105"/>
      <c r="CO86" s="1105"/>
      <c r="CP86" s="1105"/>
      <c r="CQ86" s="1105"/>
      <c r="CR86" s="1105"/>
      <c r="CS86" s="1105"/>
      <c r="CT86" s="1105"/>
      <c r="CU86" s="1105"/>
      <c r="CV86" s="1105"/>
      <c r="CW86" s="1105"/>
      <c r="CX86" s="1105"/>
      <c r="CY86" s="110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c r="EC86" s="103"/>
      <c r="ED86" s="103"/>
      <c r="EE86" s="103"/>
      <c r="EF86" s="103"/>
      <c r="EG86" s="103"/>
      <c r="EH86" s="103"/>
      <c r="EI86" s="103"/>
      <c r="EJ86" s="103"/>
      <c r="EK86" s="103"/>
      <c r="EL86" s="103"/>
      <c r="EM86" s="103"/>
      <c r="EN86" s="103"/>
      <c r="EO86" s="103"/>
      <c r="EP86" s="103"/>
      <c r="EQ86" s="103"/>
      <c r="ER86" s="103"/>
      <c r="ES86" s="103"/>
      <c r="ET86" s="103"/>
      <c r="EU86" s="103"/>
      <c r="EV86" s="103"/>
      <c r="EW86" s="103"/>
    </row>
    <row r="87" spans="1:153" ht="15.6" thickBot="1">
      <c r="A87" s="103"/>
      <c r="B87" s="1077" t="s">
        <v>942</v>
      </c>
      <c r="C87" s="1077">
        <f t="shared" ref="C87:AA87" si="186">ROUND(AVERAGE(C55:C85),0)</f>
        <v>64</v>
      </c>
      <c r="D87" s="1078">
        <f t="shared" si="186"/>
        <v>68</v>
      </c>
      <c r="E87" s="1078">
        <f t="shared" si="186"/>
        <v>74</v>
      </c>
      <c r="F87" s="1078">
        <f t="shared" si="186"/>
        <v>87</v>
      </c>
      <c r="G87" s="1078">
        <f t="shared" si="186"/>
        <v>97</v>
      </c>
      <c r="H87" s="1078">
        <f t="shared" si="186"/>
        <v>98</v>
      </c>
      <c r="I87" s="1078">
        <f t="shared" si="186"/>
        <v>105</v>
      </c>
      <c r="J87" s="1078">
        <f t="shared" si="186"/>
        <v>108</v>
      </c>
      <c r="K87" s="1078">
        <f t="shared" si="186"/>
        <v>109</v>
      </c>
      <c r="L87" s="1078">
        <f t="shared" si="186"/>
        <v>108</v>
      </c>
      <c r="M87" s="1078">
        <f t="shared" si="186"/>
        <v>108</v>
      </c>
      <c r="N87" s="1078">
        <f t="shared" si="186"/>
        <v>108</v>
      </c>
      <c r="O87" s="1078">
        <f t="shared" si="186"/>
        <v>107</v>
      </c>
      <c r="P87" s="1078">
        <f t="shared" si="186"/>
        <v>108</v>
      </c>
      <c r="Q87" s="1078">
        <f t="shared" si="186"/>
        <v>109</v>
      </c>
      <c r="R87" s="1078">
        <f t="shared" si="186"/>
        <v>110</v>
      </c>
      <c r="S87" s="1078">
        <f t="shared" si="186"/>
        <v>114</v>
      </c>
      <c r="T87" s="1078">
        <f t="shared" si="186"/>
        <v>109</v>
      </c>
      <c r="U87" s="1078">
        <f t="shared" si="186"/>
        <v>100</v>
      </c>
      <c r="V87" s="1078">
        <f t="shared" si="186"/>
        <v>85</v>
      </c>
      <c r="W87" s="1078">
        <f t="shared" si="186"/>
        <v>73</v>
      </c>
      <c r="X87" s="1078">
        <f t="shared" si="186"/>
        <v>68</v>
      </c>
      <c r="Y87" s="1078">
        <f t="shared" si="186"/>
        <v>63</v>
      </c>
      <c r="Z87" s="1078">
        <f t="shared" si="186"/>
        <v>61</v>
      </c>
      <c r="AA87" s="1077">
        <f t="shared" si="186"/>
        <v>93</v>
      </c>
      <c r="AB87" s="1103"/>
      <c r="AD87" s="995"/>
      <c r="AE87" s="995"/>
      <c r="AF87" s="1105"/>
      <c r="AG87" s="1105"/>
      <c r="AH87" s="1105"/>
      <c r="AI87" s="777" t="s">
        <v>738</v>
      </c>
      <c r="AJ87" s="1108">
        <f t="shared" ref="AJ87:BG87" si="187">ROUND(2*STDEVP(AJ55:AJ85),0)</f>
        <v>16</v>
      </c>
      <c r="AK87" s="37">
        <f t="shared" si="187"/>
        <v>16</v>
      </c>
      <c r="AL87" s="37">
        <f t="shared" si="187"/>
        <v>22</v>
      </c>
      <c r="AM87" s="37">
        <f t="shared" si="187"/>
        <v>26</v>
      </c>
      <c r="AN87" s="37">
        <f t="shared" si="187"/>
        <v>29</v>
      </c>
      <c r="AO87" s="37">
        <f t="shared" si="187"/>
        <v>26</v>
      </c>
      <c r="AP87" s="37">
        <f t="shared" si="187"/>
        <v>27</v>
      </c>
      <c r="AQ87" s="37">
        <f t="shared" si="187"/>
        <v>29</v>
      </c>
      <c r="AR87" s="37">
        <f t="shared" si="187"/>
        <v>27</v>
      </c>
      <c r="AS87" s="37">
        <f t="shared" si="187"/>
        <v>31</v>
      </c>
      <c r="AT87" s="37">
        <f>ROUND(2*STDEVP(AT55:AT85),0)</f>
        <v>30</v>
      </c>
      <c r="AU87" s="37">
        <f t="shared" si="187"/>
        <v>25</v>
      </c>
      <c r="AV87" s="37">
        <f t="shared" si="187"/>
        <v>23</v>
      </c>
      <c r="AW87" s="37">
        <f t="shared" si="187"/>
        <v>20</v>
      </c>
      <c r="AX87" s="37">
        <f t="shared" si="187"/>
        <v>17</v>
      </c>
      <c r="AY87" s="37">
        <f t="shared" si="187"/>
        <v>15</v>
      </c>
      <c r="AZ87" s="37">
        <f t="shared" si="187"/>
        <v>20</v>
      </c>
      <c r="BA87" s="37">
        <f t="shared" si="187"/>
        <v>27</v>
      </c>
      <c r="BB87" s="37">
        <f t="shared" si="187"/>
        <v>26</v>
      </c>
      <c r="BC87" s="37">
        <f t="shared" si="187"/>
        <v>26</v>
      </c>
      <c r="BD87" s="37">
        <f t="shared" si="187"/>
        <v>21</v>
      </c>
      <c r="BE87" s="37">
        <f t="shared" si="187"/>
        <v>22</v>
      </c>
      <c r="BF87" s="37">
        <f t="shared" si="187"/>
        <v>18</v>
      </c>
      <c r="BG87" s="37">
        <f t="shared" si="187"/>
        <v>18</v>
      </c>
      <c r="BH87" s="1085"/>
      <c r="BI87" s="1086"/>
      <c r="BJ87" s="1086"/>
      <c r="BK87" s="1106"/>
      <c r="BL87" s="1105"/>
      <c r="BM87" s="1105"/>
      <c r="BN87" s="1105"/>
      <c r="BO87" s="1105"/>
      <c r="BP87" s="1105"/>
      <c r="BQ87" s="1105"/>
      <c r="BR87" s="1105"/>
      <c r="BS87" s="1105"/>
      <c r="BT87" s="1105"/>
      <c r="BU87" s="1105"/>
      <c r="BV87" s="1105"/>
      <c r="BW87" s="1105"/>
      <c r="BX87" s="1105"/>
      <c r="BY87" s="1105"/>
      <c r="BZ87" s="1105"/>
      <c r="CA87" s="1105"/>
      <c r="CB87" s="1105"/>
      <c r="CC87" s="1105"/>
      <c r="CD87" s="1105"/>
      <c r="CE87" s="1105"/>
      <c r="CF87" s="1105"/>
      <c r="CG87" s="1105"/>
      <c r="CH87" s="1105"/>
      <c r="CI87" s="1105"/>
      <c r="CJ87" s="1105"/>
      <c r="CK87" s="1105"/>
      <c r="CL87" s="1105"/>
      <c r="CM87" s="1105"/>
      <c r="CN87" s="1105"/>
      <c r="CO87" s="1105"/>
      <c r="CP87" s="1105"/>
      <c r="CQ87" s="1105"/>
      <c r="CR87" s="1105"/>
      <c r="CS87" s="1105"/>
      <c r="CT87" s="1105"/>
      <c r="CU87" s="1105"/>
      <c r="CV87" s="1105"/>
      <c r="CW87" s="1105"/>
      <c r="CX87" s="1105"/>
      <c r="CY87" s="110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c r="EC87" s="103"/>
      <c r="ED87" s="103"/>
      <c r="EE87" s="103"/>
      <c r="EF87" s="103"/>
      <c r="EG87" s="103"/>
      <c r="EH87" s="103"/>
      <c r="EI87" s="103"/>
      <c r="EJ87" s="103"/>
      <c r="EK87" s="103"/>
      <c r="EL87" s="103"/>
      <c r="EM87" s="103"/>
      <c r="EN87" s="103"/>
      <c r="EO87" s="103"/>
      <c r="EP87" s="103"/>
      <c r="EQ87" s="103"/>
      <c r="ER87" s="103"/>
      <c r="ES87" s="103"/>
      <c r="ET87" s="103"/>
      <c r="EU87" s="103"/>
      <c r="EV87" s="103"/>
      <c r="EW87" s="103"/>
    </row>
    <row r="88" spans="1:153">
      <c r="A88" s="103"/>
      <c r="B88" s="1091"/>
      <c r="C88" s="1091"/>
      <c r="D88" s="1091"/>
      <c r="E88" s="1091"/>
      <c r="F88" s="1091"/>
      <c r="G88" s="1091"/>
      <c r="H88" s="1091"/>
      <c r="I88" s="1091"/>
      <c r="J88" s="1091"/>
      <c r="K88" s="1091"/>
      <c r="L88" s="1091"/>
      <c r="M88" s="1091"/>
      <c r="N88" s="1091"/>
      <c r="O88" s="1091"/>
      <c r="P88" s="1091"/>
      <c r="Q88" s="1091"/>
      <c r="R88" s="1091"/>
      <c r="S88" s="1091"/>
      <c r="T88" s="1091"/>
      <c r="U88" s="1091"/>
      <c r="V88" s="1091"/>
      <c r="W88" s="1091"/>
      <c r="X88" s="1091"/>
      <c r="Y88" s="1091"/>
      <c r="Z88" s="1091"/>
      <c r="AA88" s="1091"/>
      <c r="AD88" s="995"/>
      <c r="AE88" s="995"/>
      <c r="AF88" s="1105"/>
      <c r="AG88" s="1105"/>
      <c r="AH88" s="1105"/>
      <c r="AI88" s="777" t="s">
        <v>759</v>
      </c>
      <c r="AJ88" s="1108">
        <f t="shared" ref="AJ88:BG88" si="188">ROUND(2*STDEVP(AJ55:AJ85)+AVERAGE(AJ55:AJ85),0)</f>
        <v>80</v>
      </c>
      <c r="AK88" s="37">
        <f t="shared" si="188"/>
        <v>84</v>
      </c>
      <c r="AL88" s="37">
        <f t="shared" si="188"/>
        <v>96</v>
      </c>
      <c r="AM88" s="37">
        <f t="shared" si="188"/>
        <v>113</v>
      </c>
      <c r="AN88" s="37">
        <f t="shared" si="188"/>
        <v>126</v>
      </c>
      <c r="AO88" s="37">
        <f t="shared" si="188"/>
        <v>125</v>
      </c>
      <c r="AP88" s="37">
        <f t="shared" si="188"/>
        <v>132</v>
      </c>
      <c r="AQ88" s="37">
        <f t="shared" si="188"/>
        <v>137</v>
      </c>
      <c r="AR88" s="37">
        <f t="shared" si="188"/>
        <v>136</v>
      </c>
      <c r="AS88" s="37">
        <f t="shared" si="188"/>
        <v>139</v>
      </c>
      <c r="AT88" s="37">
        <f>ROUND(2*STDEVP(AT55:AT85)+AVERAGE(AT55:AT85),0)</f>
        <v>138</v>
      </c>
      <c r="AU88" s="37">
        <f t="shared" si="188"/>
        <v>133</v>
      </c>
      <c r="AV88" s="37">
        <f t="shared" si="188"/>
        <v>130</v>
      </c>
      <c r="AW88" s="37">
        <f t="shared" si="188"/>
        <v>128</v>
      </c>
      <c r="AX88" s="37">
        <f t="shared" si="188"/>
        <v>126</v>
      </c>
      <c r="AY88" s="37">
        <f t="shared" si="188"/>
        <v>125</v>
      </c>
      <c r="AZ88" s="37">
        <f t="shared" si="188"/>
        <v>132</v>
      </c>
      <c r="BA88" s="37">
        <f t="shared" si="188"/>
        <v>137</v>
      </c>
      <c r="BB88" s="37">
        <f t="shared" si="188"/>
        <v>126</v>
      </c>
      <c r="BC88" s="37">
        <f t="shared" si="188"/>
        <v>111</v>
      </c>
      <c r="BD88" s="37">
        <f t="shared" si="188"/>
        <v>95</v>
      </c>
      <c r="BE88" s="37">
        <f t="shared" si="188"/>
        <v>90</v>
      </c>
      <c r="BF88" s="37">
        <f t="shared" si="188"/>
        <v>81</v>
      </c>
      <c r="BG88" s="37">
        <f t="shared" si="188"/>
        <v>79</v>
      </c>
      <c r="BH88" s="644">
        <f>ROUND(AVERAGE(BH55:BH85),0)</f>
        <v>92</v>
      </c>
      <c r="BI88" s="614">
        <f>MAX(BI55:BI85)</f>
        <v>158</v>
      </c>
      <c r="BJ88" s="614">
        <f>MIN(BJ55:BJ85)</f>
        <v>36</v>
      </c>
      <c r="BK88" s="1106"/>
      <c r="BL88" s="1105"/>
      <c r="BM88" s="1105"/>
      <c r="BN88" s="1105"/>
      <c r="BO88" s="1105"/>
      <c r="BP88" s="1105"/>
      <c r="BQ88" s="1105"/>
      <c r="BR88" s="1105"/>
      <c r="BS88" s="1105"/>
      <c r="BT88" s="1105"/>
      <c r="BU88" s="1105"/>
      <c r="BV88" s="1105"/>
      <c r="BW88" s="1105"/>
      <c r="BX88" s="1105"/>
      <c r="BY88" s="1105"/>
      <c r="BZ88" s="1105"/>
      <c r="CA88" s="1105"/>
      <c r="CB88" s="1105"/>
      <c r="CC88" s="1105"/>
      <c r="CD88" s="1105"/>
      <c r="CE88" s="1105"/>
      <c r="CF88" s="1105"/>
      <c r="CG88" s="1105"/>
      <c r="CH88" s="1105"/>
      <c r="CI88" s="1105"/>
      <c r="CJ88" s="1105"/>
      <c r="CK88" s="1105"/>
      <c r="CL88" s="1105"/>
      <c r="CM88" s="1105"/>
      <c r="CN88" s="1105"/>
      <c r="CO88" s="1105"/>
      <c r="CP88" s="1105"/>
      <c r="CQ88" s="1105"/>
      <c r="CR88" s="1105"/>
      <c r="CS88" s="1105"/>
      <c r="CT88" s="1105"/>
      <c r="CU88" s="1105"/>
      <c r="CV88" s="1105"/>
      <c r="CW88" s="1105"/>
      <c r="CX88" s="1105"/>
      <c r="CY88" s="110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c r="EC88" s="103"/>
      <c r="ED88" s="103"/>
      <c r="EE88" s="103"/>
      <c r="EF88" s="103"/>
      <c r="EG88" s="103"/>
      <c r="EH88" s="103"/>
      <c r="EI88" s="103"/>
      <c r="EJ88" s="103"/>
      <c r="EK88" s="103"/>
      <c r="EL88" s="103"/>
      <c r="EM88" s="103"/>
      <c r="EN88" s="103"/>
      <c r="EO88" s="103"/>
      <c r="EP88" s="103"/>
      <c r="EQ88" s="103"/>
      <c r="ER88" s="103"/>
      <c r="ES88" s="103"/>
      <c r="ET88" s="103"/>
      <c r="EU88" s="103"/>
      <c r="EV88" s="103"/>
      <c r="EW88" s="103"/>
    </row>
    <row r="89" spans="1:153">
      <c r="A89" s="103"/>
      <c r="AD89" s="995"/>
      <c r="AE89" s="995"/>
      <c r="AF89" s="1105"/>
      <c r="AG89" s="1105"/>
      <c r="AH89" s="1105"/>
      <c r="AI89" s="777" t="s">
        <v>760</v>
      </c>
      <c r="AJ89" s="685">
        <f t="shared" ref="AJ89:BG89" si="189">AJ86</f>
        <v>64</v>
      </c>
      <c r="AK89" s="677">
        <f t="shared" si="189"/>
        <v>68</v>
      </c>
      <c r="AL89" s="677">
        <f t="shared" si="189"/>
        <v>74</v>
      </c>
      <c r="AM89" s="677">
        <f t="shared" si="189"/>
        <v>86</v>
      </c>
      <c r="AN89" s="677">
        <f t="shared" si="189"/>
        <v>97</v>
      </c>
      <c r="AO89" s="677">
        <f t="shared" si="189"/>
        <v>98</v>
      </c>
      <c r="AP89" s="677">
        <f t="shared" si="189"/>
        <v>105</v>
      </c>
      <c r="AQ89" s="677">
        <f t="shared" si="189"/>
        <v>108</v>
      </c>
      <c r="AR89" s="677">
        <f t="shared" si="189"/>
        <v>109</v>
      </c>
      <c r="AS89" s="677">
        <f t="shared" si="189"/>
        <v>108</v>
      </c>
      <c r="AT89" s="677">
        <f t="shared" si="189"/>
        <v>108</v>
      </c>
      <c r="AU89" s="677">
        <f t="shared" si="189"/>
        <v>108</v>
      </c>
      <c r="AV89" s="677">
        <f t="shared" si="189"/>
        <v>107</v>
      </c>
      <c r="AW89" s="677">
        <f t="shared" si="189"/>
        <v>108</v>
      </c>
      <c r="AX89" s="677">
        <f t="shared" si="189"/>
        <v>109</v>
      </c>
      <c r="AY89" s="677">
        <f t="shared" si="189"/>
        <v>110</v>
      </c>
      <c r="AZ89" s="677">
        <f t="shared" si="189"/>
        <v>113</v>
      </c>
      <c r="BA89" s="677">
        <f t="shared" si="189"/>
        <v>109</v>
      </c>
      <c r="BB89" s="677">
        <f t="shared" si="189"/>
        <v>100</v>
      </c>
      <c r="BC89" s="677">
        <f t="shared" si="189"/>
        <v>85</v>
      </c>
      <c r="BD89" s="677">
        <f t="shared" si="189"/>
        <v>73</v>
      </c>
      <c r="BE89" s="677">
        <f t="shared" si="189"/>
        <v>68</v>
      </c>
      <c r="BF89" s="677">
        <f t="shared" si="189"/>
        <v>63</v>
      </c>
      <c r="BG89" s="677">
        <f t="shared" si="189"/>
        <v>61</v>
      </c>
      <c r="BH89" s="1089" t="s">
        <v>131</v>
      </c>
      <c r="BI89" s="640" t="s">
        <v>432</v>
      </c>
      <c r="BJ89" s="640" t="s">
        <v>256</v>
      </c>
      <c r="BK89" s="1106"/>
      <c r="BL89" s="1105"/>
      <c r="BM89" s="1105"/>
      <c r="BN89" s="1105"/>
      <c r="BO89" s="1105"/>
      <c r="BP89" s="1105"/>
      <c r="BQ89" s="1105"/>
      <c r="BR89" s="1105"/>
      <c r="BS89" s="1105"/>
      <c r="BT89" s="1105"/>
      <c r="BU89" s="1105"/>
      <c r="BV89" s="1105"/>
      <c r="BW89" s="1105"/>
      <c r="BX89" s="1105"/>
      <c r="BY89" s="1105"/>
      <c r="BZ89" s="1105"/>
      <c r="CA89" s="1105"/>
      <c r="CB89" s="1105"/>
      <c r="CC89" s="1105"/>
      <c r="CD89" s="1105"/>
      <c r="CE89" s="1105"/>
      <c r="CF89" s="1105"/>
      <c r="CG89" s="1105"/>
      <c r="CH89" s="1105"/>
      <c r="CI89" s="1105"/>
      <c r="CJ89" s="1105"/>
      <c r="CK89" s="1105"/>
      <c r="CL89" s="1105"/>
      <c r="CM89" s="1105"/>
      <c r="CN89" s="1105"/>
      <c r="CO89" s="1105"/>
      <c r="CP89" s="1105"/>
      <c r="CQ89" s="1105"/>
      <c r="CR89" s="1105"/>
      <c r="CS89" s="1105"/>
      <c r="CT89" s="1105"/>
      <c r="CU89" s="1105"/>
      <c r="CV89" s="1105"/>
      <c r="CW89" s="1105"/>
      <c r="CX89" s="1105"/>
      <c r="CY89" s="110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c r="EC89" s="103"/>
      <c r="ED89" s="103"/>
      <c r="EE89" s="103"/>
      <c r="EF89" s="103"/>
      <c r="EG89" s="103"/>
      <c r="EH89" s="103"/>
      <c r="EI89" s="103"/>
      <c r="EJ89" s="103"/>
      <c r="EK89" s="103"/>
      <c r="EL89" s="103"/>
      <c r="EM89" s="103"/>
      <c r="EN89" s="103"/>
      <c r="EO89" s="103"/>
      <c r="EP89" s="103"/>
      <c r="EQ89" s="103"/>
      <c r="ER89" s="103"/>
      <c r="ES89" s="103"/>
      <c r="ET89" s="103"/>
      <c r="EU89" s="103"/>
      <c r="EV89" s="103"/>
      <c r="EW89" s="103"/>
    </row>
    <row r="90" spans="1:153" ht="16.2" thickBot="1">
      <c r="A90" s="103"/>
      <c r="B90" s="1420"/>
      <c r="AD90" s="995"/>
      <c r="AE90" s="995"/>
      <c r="AF90" s="995"/>
      <c r="AG90" s="995"/>
      <c r="AH90" s="995"/>
      <c r="AI90" s="777" t="s">
        <v>759</v>
      </c>
      <c r="AJ90" s="685">
        <f t="shared" ref="AJ90:BG90" si="190">AJ88</f>
        <v>80</v>
      </c>
      <c r="AK90" s="677">
        <f t="shared" si="190"/>
        <v>84</v>
      </c>
      <c r="AL90" s="677">
        <f t="shared" si="190"/>
        <v>96</v>
      </c>
      <c r="AM90" s="677">
        <f t="shared" si="190"/>
        <v>113</v>
      </c>
      <c r="AN90" s="677">
        <f t="shared" si="190"/>
        <v>126</v>
      </c>
      <c r="AO90" s="677">
        <f t="shared" si="190"/>
        <v>125</v>
      </c>
      <c r="AP90" s="677">
        <f t="shared" si="190"/>
        <v>132</v>
      </c>
      <c r="AQ90" s="677">
        <f t="shared" si="190"/>
        <v>137</v>
      </c>
      <c r="AR90" s="677">
        <f t="shared" si="190"/>
        <v>136</v>
      </c>
      <c r="AS90" s="677">
        <f t="shared" si="190"/>
        <v>139</v>
      </c>
      <c r="AT90" s="677">
        <f t="shared" si="190"/>
        <v>138</v>
      </c>
      <c r="AU90" s="677">
        <f t="shared" si="190"/>
        <v>133</v>
      </c>
      <c r="AV90" s="677">
        <f t="shared" si="190"/>
        <v>130</v>
      </c>
      <c r="AW90" s="677">
        <f t="shared" si="190"/>
        <v>128</v>
      </c>
      <c r="AX90" s="677">
        <f t="shared" si="190"/>
        <v>126</v>
      </c>
      <c r="AY90" s="677">
        <f t="shared" si="190"/>
        <v>125</v>
      </c>
      <c r="AZ90" s="677">
        <f t="shared" si="190"/>
        <v>132</v>
      </c>
      <c r="BA90" s="677">
        <f t="shared" si="190"/>
        <v>137</v>
      </c>
      <c r="BB90" s="677">
        <f t="shared" si="190"/>
        <v>126</v>
      </c>
      <c r="BC90" s="677">
        <f t="shared" si="190"/>
        <v>111</v>
      </c>
      <c r="BD90" s="677">
        <f t="shared" si="190"/>
        <v>95</v>
      </c>
      <c r="BE90" s="677">
        <f t="shared" si="190"/>
        <v>90</v>
      </c>
      <c r="BF90" s="677">
        <f t="shared" si="190"/>
        <v>81</v>
      </c>
      <c r="BG90" s="677">
        <f t="shared" si="190"/>
        <v>79</v>
      </c>
      <c r="BH90" s="806"/>
      <c r="BI90" s="1090"/>
      <c r="BJ90" s="1090"/>
      <c r="BK90" s="1069"/>
      <c r="BL90" s="995"/>
      <c r="BM90" s="995"/>
      <c r="BN90" s="995"/>
      <c r="BO90" s="995"/>
      <c r="BP90" s="995"/>
      <c r="BQ90" s="995"/>
      <c r="BR90" s="995"/>
      <c r="BS90" s="995"/>
      <c r="BT90" s="995"/>
      <c r="BU90" s="995"/>
      <c r="BV90" s="995"/>
      <c r="BW90" s="995"/>
      <c r="BX90" s="995"/>
      <c r="BY90" s="995"/>
      <c r="BZ90" s="995"/>
      <c r="CA90" s="995"/>
      <c r="CB90" s="995"/>
      <c r="CC90" s="995"/>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c r="EC90" s="103"/>
      <c r="ED90" s="103"/>
      <c r="EE90" s="103"/>
      <c r="EF90" s="103"/>
      <c r="EG90" s="103"/>
      <c r="EH90" s="103"/>
      <c r="EI90" s="103"/>
      <c r="EJ90" s="103"/>
      <c r="EK90" s="103"/>
      <c r="EL90" s="103"/>
      <c r="EM90" s="103"/>
      <c r="EN90" s="103"/>
      <c r="EO90" s="103"/>
      <c r="EP90" s="103"/>
      <c r="EQ90" s="103"/>
      <c r="ER90" s="103"/>
      <c r="ES90" s="103"/>
      <c r="ET90" s="103"/>
      <c r="EU90" s="103"/>
      <c r="EV90" s="103"/>
      <c r="EW90" s="103"/>
    </row>
    <row r="91" spans="1:153">
      <c r="A91" s="103"/>
      <c r="AD91" s="995"/>
      <c r="AE91" s="995"/>
      <c r="AF91" s="995"/>
      <c r="AG91" s="995"/>
      <c r="AH91" s="995"/>
      <c r="AI91" s="987"/>
      <c r="AJ91" s="1109"/>
      <c r="AK91" s="1109"/>
      <c r="AL91" s="1109"/>
      <c r="AM91" s="1109"/>
      <c r="AN91" s="1109"/>
      <c r="AO91" s="1109"/>
      <c r="AP91" s="1109"/>
      <c r="AQ91" s="1109"/>
      <c r="AR91" s="1109"/>
      <c r="AS91" s="1109"/>
      <c r="AT91" s="1109"/>
      <c r="AU91" s="1109"/>
      <c r="AV91" s="1109"/>
      <c r="AW91" s="1109"/>
      <c r="AX91" s="1109"/>
      <c r="AY91" s="1109"/>
      <c r="AZ91" s="1109"/>
      <c r="BA91" s="1109"/>
      <c r="BB91" s="1109"/>
      <c r="BC91" s="1109"/>
      <c r="BD91" s="1109"/>
      <c r="BE91" s="1109"/>
      <c r="BF91" s="1109"/>
      <c r="BG91" s="1109"/>
      <c r="BH91" s="1109"/>
      <c r="BI91" s="1109"/>
      <c r="BJ91" s="1109"/>
      <c r="BK91" s="995"/>
      <c r="BL91" s="995"/>
      <c r="BM91" s="995"/>
      <c r="BN91" s="995"/>
      <c r="BO91" s="995"/>
      <c r="BP91" s="995"/>
      <c r="BQ91" s="995"/>
      <c r="BR91" s="995"/>
      <c r="BS91" s="995"/>
      <c r="BT91" s="995"/>
      <c r="BU91" s="995"/>
      <c r="BV91" s="995"/>
      <c r="BW91" s="995"/>
      <c r="BX91" s="995"/>
      <c r="BY91" s="995"/>
      <c r="BZ91" s="995"/>
      <c r="CA91" s="995"/>
      <c r="CB91" s="995"/>
      <c r="CC91" s="995"/>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56"/>
      <c r="DH91" s="56"/>
      <c r="DI91" s="56"/>
      <c r="DJ91" s="56"/>
      <c r="DK91" s="56"/>
      <c r="DL91" s="56"/>
      <c r="DM91" s="56"/>
      <c r="DN91" s="56"/>
      <c r="DO91" s="56"/>
      <c r="DP91" s="56"/>
      <c r="DQ91" s="56"/>
      <c r="DR91" s="995"/>
      <c r="DS91" s="995"/>
      <c r="DT91" s="995"/>
      <c r="DU91" s="995"/>
      <c r="DV91" s="995"/>
      <c r="DW91" s="995"/>
      <c r="DX91" s="995"/>
      <c r="DY91" s="995"/>
      <c r="DZ91" s="995"/>
      <c r="EA91" s="995"/>
      <c r="EB91" s="995"/>
      <c r="EC91" s="103"/>
      <c r="ED91" s="103"/>
      <c r="EE91" s="103"/>
      <c r="EF91" s="103"/>
      <c r="EG91" s="103"/>
      <c r="EH91" s="103"/>
      <c r="EI91" s="103"/>
      <c r="EJ91" s="103"/>
      <c r="EK91" s="103"/>
      <c r="EL91" s="103"/>
      <c r="EM91" s="103"/>
      <c r="EN91" s="103"/>
      <c r="EO91" s="103"/>
      <c r="EP91" s="103"/>
      <c r="EQ91" s="103"/>
      <c r="ER91" s="103"/>
      <c r="ES91" s="103"/>
      <c r="ET91" s="103"/>
      <c r="EU91" s="103"/>
      <c r="EV91" s="103"/>
      <c r="EW91" s="103"/>
    </row>
    <row r="92" spans="1:153" ht="15.6" thickBot="1">
      <c r="A92" s="103"/>
      <c r="AD92" s="995"/>
      <c r="AE92" s="995"/>
      <c r="AF92" s="995"/>
      <c r="AG92" s="995"/>
      <c r="AH92" s="995"/>
      <c r="BK92" s="995"/>
      <c r="BL92" s="995"/>
      <c r="BM92" s="995"/>
      <c r="BN92" s="995"/>
      <c r="BO92" s="995"/>
      <c r="BP92" s="995"/>
      <c r="BQ92" s="995"/>
      <c r="BR92" s="995"/>
      <c r="BS92" s="995"/>
      <c r="BT92" s="995"/>
      <c r="BU92" s="995"/>
      <c r="BV92" s="995"/>
      <c r="BW92" s="995"/>
      <c r="BX92" s="995"/>
      <c r="BY92" s="995"/>
      <c r="BZ92" s="995"/>
      <c r="CA92" s="995"/>
      <c r="CB92" s="995"/>
      <c r="CC92" s="995"/>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56"/>
      <c r="DH92" s="56"/>
      <c r="DI92" s="56"/>
      <c r="DJ92" s="56"/>
      <c r="DK92" s="56"/>
      <c r="DL92" s="56"/>
      <c r="DM92" s="56"/>
      <c r="DN92" s="56"/>
      <c r="DO92" s="56"/>
      <c r="DP92" s="56"/>
      <c r="DQ92" s="56"/>
      <c r="DR92" s="56"/>
      <c r="DS92" s="56"/>
      <c r="DT92" s="56"/>
      <c r="DU92" s="56"/>
      <c r="DV92" s="56"/>
      <c r="DW92" s="56"/>
      <c r="DX92" s="56"/>
      <c r="DY92" s="56"/>
      <c r="DZ92" s="56"/>
      <c r="EA92" s="56"/>
      <c r="EB92" s="56"/>
      <c r="EC92" s="103"/>
      <c r="ED92" s="103"/>
      <c r="EE92" s="103"/>
      <c r="EF92" s="103"/>
      <c r="EG92" s="103"/>
      <c r="EH92" s="103"/>
      <c r="EI92" s="103"/>
      <c r="EJ92" s="103"/>
      <c r="EK92" s="103"/>
      <c r="EL92" s="103"/>
      <c r="EM92" s="103"/>
      <c r="EN92" s="103"/>
      <c r="EO92" s="103"/>
      <c r="EP92" s="103"/>
      <c r="EQ92" s="103"/>
      <c r="ER92" s="103"/>
      <c r="ES92" s="103"/>
      <c r="ET92" s="103"/>
      <c r="EU92" s="103"/>
      <c r="EV92" s="103"/>
      <c r="EW92" s="103"/>
    </row>
    <row r="93" spans="1:153" ht="15.6" thickBot="1">
      <c r="A93" s="103"/>
      <c r="AD93" s="1058"/>
      <c r="AE93" s="1058"/>
      <c r="AF93" s="1058"/>
      <c r="AG93" s="1058"/>
      <c r="AH93" s="1058"/>
      <c r="AI93" s="1107"/>
      <c r="AJ93" s="1062" t="s">
        <v>741</v>
      </c>
      <c r="AK93" s="1110" t="s">
        <v>742</v>
      </c>
      <c r="AL93" s="1110" t="s">
        <v>743</v>
      </c>
      <c r="AM93" s="1110" t="s">
        <v>744</v>
      </c>
      <c r="AN93" s="1110" t="s">
        <v>745</v>
      </c>
      <c r="AO93" s="1110" t="s">
        <v>747</v>
      </c>
      <c r="AP93" s="1110" t="s">
        <v>748</v>
      </c>
      <c r="AQ93" s="1110" t="s">
        <v>749</v>
      </c>
      <c r="AR93" s="1110" t="s">
        <v>750</v>
      </c>
      <c r="AS93" s="1110" t="s">
        <v>751</v>
      </c>
      <c r="AT93" s="1110" t="s">
        <v>752</v>
      </c>
      <c r="AU93" s="1110" t="s">
        <v>753</v>
      </c>
      <c r="AV93" s="1110" t="s">
        <v>741</v>
      </c>
      <c r="AW93" s="1110" t="s">
        <v>742</v>
      </c>
      <c r="AX93" s="1110" t="s">
        <v>743</v>
      </c>
      <c r="AY93" s="1110" t="s">
        <v>744</v>
      </c>
      <c r="AZ93" s="1110" t="s">
        <v>745</v>
      </c>
      <c r="BA93" s="1110" t="s">
        <v>747</v>
      </c>
      <c r="BB93" s="1110" t="s">
        <v>748</v>
      </c>
      <c r="BC93" s="1110" t="s">
        <v>749</v>
      </c>
      <c r="BD93" s="1110" t="s">
        <v>750</v>
      </c>
      <c r="BE93" s="1110" t="s">
        <v>751</v>
      </c>
      <c r="BF93" s="1110" t="s">
        <v>752</v>
      </c>
      <c r="BG93" s="1110" t="s">
        <v>753</v>
      </c>
      <c r="BH93" s="1103"/>
      <c r="BK93" s="1058"/>
      <c r="BL93" s="1058"/>
      <c r="BM93" s="1058"/>
      <c r="BN93" s="1058"/>
      <c r="BO93" s="1058"/>
      <c r="BP93" s="1058"/>
      <c r="BQ93" s="1058"/>
      <c r="BR93" s="1058"/>
      <c r="BS93" s="1058"/>
      <c r="BT93" s="1058"/>
      <c r="BU93" s="1058"/>
      <c r="BV93" s="1058"/>
      <c r="BW93" s="1058"/>
      <c r="BX93" s="1058"/>
      <c r="BY93" s="1058"/>
      <c r="BZ93" s="1058"/>
      <c r="CA93" s="1058"/>
      <c r="CB93" s="1058"/>
      <c r="CC93" s="1058"/>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995"/>
      <c r="DA93" s="995"/>
      <c r="DB93" s="995"/>
      <c r="DC93" s="995"/>
      <c r="DD93" s="995"/>
      <c r="DE93" s="995"/>
      <c r="DF93" s="995"/>
      <c r="DG93" s="56"/>
      <c r="DH93" s="56"/>
      <c r="DI93" s="56"/>
      <c r="DJ93" s="56"/>
      <c r="DK93" s="56"/>
      <c r="DL93" s="56"/>
      <c r="DM93" s="56"/>
      <c r="DN93" s="56"/>
      <c r="DO93" s="56"/>
      <c r="DP93" s="56"/>
      <c r="DQ93" s="56"/>
      <c r="DR93" s="995"/>
      <c r="DS93" s="995"/>
      <c r="DT93" s="995"/>
      <c r="DU93" s="995"/>
      <c r="DV93" s="995"/>
      <c r="DW93" s="995"/>
      <c r="DX93" s="995"/>
      <c r="DY93" s="995"/>
      <c r="DZ93" s="995"/>
      <c r="EA93" s="995"/>
      <c r="EB93" s="995"/>
      <c r="EC93" s="103"/>
      <c r="ED93" s="103"/>
      <c r="EE93" s="103"/>
      <c r="EF93" s="103"/>
      <c r="EG93" s="103"/>
      <c r="EH93" s="103"/>
      <c r="EI93" s="103"/>
      <c r="EJ93" s="103"/>
      <c r="EK93" s="103"/>
      <c r="EL93" s="103"/>
      <c r="EM93" s="103"/>
      <c r="EN93" s="103"/>
      <c r="EO93" s="103"/>
      <c r="EP93" s="103"/>
      <c r="EQ93" s="103"/>
      <c r="ER93" s="103"/>
      <c r="ES93" s="103"/>
      <c r="ET93" s="103"/>
      <c r="EU93" s="103"/>
      <c r="EV93" s="103"/>
      <c r="EW93" s="103"/>
    </row>
    <row r="94" spans="1:153" ht="16.2" thickTop="1" thickBot="1">
      <c r="A94" s="103"/>
      <c r="B94" s="995"/>
      <c r="C94" s="995"/>
      <c r="D94" s="995"/>
      <c r="E94" s="995"/>
      <c r="F94" s="995"/>
      <c r="G94" s="995"/>
      <c r="H94" s="995"/>
      <c r="I94" s="995"/>
      <c r="J94" s="995"/>
      <c r="K94" s="995"/>
      <c r="L94" s="995"/>
      <c r="M94" s="995"/>
      <c r="N94" s="995"/>
      <c r="O94" s="995"/>
      <c r="P94" s="995"/>
      <c r="Q94" s="995"/>
      <c r="R94" s="995"/>
      <c r="S94" s="995"/>
      <c r="T94" s="995"/>
      <c r="U94" s="995"/>
      <c r="V94" s="995"/>
      <c r="W94" s="995"/>
      <c r="X94" s="995"/>
      <c r="Y94" s="995"/>
      <c r="Z94" s="995"/>
      <c r="AA94" s="995"/>
      <c r="AB94" s="995"/>
      <c r="AC94" s="995"/>
      <c r="AD94" s="995"/>
      <c r="AE94" s="995"/>
      <c r="AF94" s="995"/>
      <c r="AG94" s="995"/>
      <c r="AH94" s="995"/>
      <c r="AI94" s="1111" t="str">
        <f t="shared" ref="AI94:AI124" si="191">AI55</f>
        <v>1</v>
      </c>
      <c r="AJ94" s="1112" t="str">
        <f t="shared" ref="AJ94:BG104" si="192">IF(AJ55&gt;AJ$90,"!!!","")</f>
        <v/>
      </c>
      <c r="AK94" s="1112" t="str">
        <f t="shared" si="192"/>
        <v/>
      </c>
      <c r="AL94" s="1112" t="str">
        <f t="shared" si="192"/>
        <v/>
      </c>
      <c r="AM94" s="1112" t="str">
        <f t="shared" si="192"/>
        <v/>
      </c>
      <c r="AN94" s="1112" t="str">
        <f t="shared" si="192"/>
        <v/>
      </c>
      <c r="AO94" s="1112" t="str">
        <f>IF(AO55&gt;AO$90,"!!!","")</f>
        <v/>
      </c>
      <c r="AP94" s="1112" t="str">
        <f t="shared" si="192"/>
        <v/>
      </c>
      <c r="AQ94" s="1112" t="str">
        <f t="shared" si="192"/>
        <v/>
      </c>
      <c r="AR94" s="1112" t="str">
        <f t="shared" si="192"/>
        <v/>
      </c>
      <c r="AS94" s="1112" t="str">
        <f t="shared" si="192"/>
        <v/>
      </c>
      <c r="AT94" s="1112" t="str">
        <f>IF(AT55&gt;AT$90,"!!!","")</f>
        <v/>
      </c>
      <c r="AU94" s="1112" t="str">
        <f t="shared" si="192"/>
        <v/>
      </c>
      <c r="AV94" s="1112" t="str">
        <f t="shared" si="192"/>
        <v/>
      </c>
      <c r="AW94" s="1112" t="str">
        <f t="shared" si="192"/>
        <v/>
      </c>
      <c r="AX94" s="1112" t="str">
        <f t="shared" si="192"/>
        <v/>
      </c>
      <c r="AY94" s="1112" t="str">
        <f t="shared" si="192"/>
        <v/>
      </c>
      <c r="AZ94" s="1112" t="str">
        <f t="shared" si="192"/>
        <v/>
      </c>
      <c r="BA94" s="1112" t="str">
        <f t="shared" si="192"/>
        <v/>
      </c>
      <c r="BB94" s="1112" t="str">
        <f t="shared" si="192"/>
        <v/>
      </c>
      <c r="BC94" s="1112" t="str">
        <f t="shared" si="192"/>
        <v/>
      </c>
      <c r="BD94" s="1112" t="str">
        <f t="shared" si="192"/>
        <v/>
      </c>
      <c r="BE94" s="1112" t="str">
        <f t="shared" si="192"/>
        <v/>
      </c>
      <c r="BF94" s="1112" t="str">
        <f t="shared" si="192"/>
        <v/>
      </c>
      <c r="BG94" s="1112" t="str">
        <f t="shared" si="192"/>
        <v/>
      </c>
      <c r="BH94" s="1103"/>
      <c r="BK94" s="995"/>
      <c r="BL94" s="995"/>
      <c r="BM94" s="995"/>
      <c r="BN94" s="995"/>
      <c r="BO94" s="995"/>
      <c r="BP94" s="995"/>
      <c r="BQ94" s="995"/>
      <c r="BR94" s="995"/>
      <c r="BS94" s="995"/>
      <c r="BT94" s="995"/>
      <c r="BU94" s="995"/>
      <c r="BV94" s="995"/>
      <c r="BW94" s="995"/>
      <c r="BX94" s="995"/>
      <c r="BY94" s="995"/>
      <c r="BZ94" s="995"/>
      <c r="CA94" s="995"/>
      <c r="CB94" s="995"/>
      <c r="CC94" s="995"/>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c r="EC94" s="103"/>
      <c r="ED94" s="103"/>
      <c r="EE94" s="103"/>
      <c r="EF94" s="103"/>
      <c r="EG94" s="103"/>
      <c r="EH94" s="103"/>
      <c r="EI94" s="103"/>
      <c r="EJ94" s="103"/>
      <c r="EK94" s="103"/>
      <c r="EL94" s="103"/>
      <c r="EM94" s="103"/>
      <c r="EN94" s="103"/>
      <c r="EO94" s="103"/>
      <c r="EP94" s="103"/>
      <c r="EQ94" s="103"/>
      <c r="ER94" s="103"/>
      <c r="ES94" s="103"/>
      <c r="ET94" s="103"/>
      <c r="EU94" s="103"/>
      <c r="EV94" s="103"/>
      <c r="EW94" s="103"/>
    </row>
    <row r="95" spans="1:153" ht="16.2" thickTop="1" thickBot="1">
      <c r="A95" s="103"/>
      <c r="B95" s="995"/>
      <c r="C95" s="1058"/>
      <c r="D95" s="1058"/>
      <c r="E95" s="1058"/>
      <c r="F95" s="1058"/>
      <c r="G95" s="1058"/>
      <c r="H95" s="1058"/>
      <c r="I95" s="1058"/>
      <c r="J95" s="1058"/>
      <c r="K95" s="1058"/>
      <c r="L95" s="1058"/>
      <c r="M95" s="1058"/>
      <c r="N95" s="1058"/>
      <c r="O95" s="1058"/>
      <c r="P95" s="1058"/>
      <c r="Q95" s="1058"/>
      <c r="R95" s="1058"/>
      <c r="S95" s="1058"/>
      <c r="T95" s="1058"/>
      <c r="U95" s="1058"/>
      <c r="V95" s="1058"/>
      <c r="W95" s="1058"/>
      <c r="X95" s="1058"/>
      <c r="Y95" s="1058"/>
      <c r="Z95" s="1058"/>
      <c r="AA95" s="1058"/>
      <c r="AB95" s="1058"/>
      <c r="AC95" s="1058"/>
      <c r="AD95" s="1058"/>
      <c r="AE95" s="1058"/>
      <c r="AF95" s="1058"/>
      <c r="AG95" s="1058"/>
      <c r="AH95" s="1058"/>
      <c r="AI95" s="1111" t="str">
        <f t="shared" si="191"/>
        <v>2</v>
      </c>
      <c r="AJ95" s="1112" t="str">
        <f t="shared" si="192"/>
        <v/>
      </c>
      <c r="AK95" s="1112" t="str">
        <f t="shared" si="192"/>
        <v/>
      </c>
      <c r="AL95" s="1112" t="str">
        <f t="shared" si="192"/>
        <v/>
      </c>
      <c r="AM95" s="1112" t="str">
        <f t="shared" si="192"/>
        <v/>
      </c>
      <c r="AN95" s="1112" t="str">
        <f t="shared" si="192"/>
        <v/>
      </c>
      <c r="AO95" s="1112" t="str">
        <f t="shared" si="192"/>
        <v/>
      </c>
      <c r="AP95" s="1112" t="str">
        <f t="shared" si="192"/>
        <v/>
      </c>
      <c r="AQ95" s="1112" t="str">
        <f t="shared" si="192"/>
        <v/>
      </c>
      <c r="AR95" s="1112" t="str">
        <f t="shared" si="192"/>
        <v/>
      </c>
      <c r="AS95" s="1112" t="str">
        <f t="shared" si="192"/>
        <v/>
      </c>
      <c r="AT95" s="1112" t="str">
        <f t="shared" si="192"/>
        <v/>
      </c>
      <c r="AU95" s="1112" t="str">
        <f t="shared" si="192"/>
        <v/>
      </c>
      <c r="AV95" s="1112" t="str">
        <f t="shared" si="192"/>
        <v/>
      </c>
      <c r="AW95" s="1112" t="str">
        <f t="shared" si="192"/>
        <v/>
      </c>
      <c r="AX95" s="1112" t="str">
        <f t="shared" si="192"/>
        <v/>
      </c>
      <c r="AY95" s="1112" t="str">
        <f t="shared" si="192"/>
        <v/>
      </c>
      <c r="AZ95" s="1112" t="str">
        <f t="shared" si="192"/>
        <v/>
      </c>
      <c r="BA95" s="1112" t="str">
        <f t="shared" si="192"/>
        <v/>
      </c>
      <c r="BB95" s="1112" t="str">
        <f t="shared" si="192"/>
        <v/>
      </c>
      <c r="BC95" s="1112" t="str">
        <f t="shared" si="192"/>
        <v/>
      </c>
      <c r="BD95" s="1112" t="str">
        <f t="shared" si="192"/>
        <v/>
      </c>
      <c r="BE95" s="1112" t="str">
        <f t="shared" si="192"/>
        <v/>
      </c>
      <c r="BF95" s="1112" t="str">
        <f t="shared" si="192"/>
        <v/>
      </c>
      <c r="BG95" s="1112" t="str">
        <f t="shared" si="192"/>
        <v/>
      </c>
      <c r="BH95" s="1103"/>
      <c r="BK95" s="1058"/>
      <c r="BL95" s="1058"/>
      <c r="BM95" s="1058"/>
      <c r="BN95" s="1058"/>
      <c r="BO95" s="1058"/>
      <c r="BP95" s="1058"/>
      <c r="BQ95" s="1058"/>
      <c r="BR95" s="1058"/>
      <c r="BS95" s="1058"/>
      <c r="BT95" s="1058"/>
      <c r="BU95" s="1058"/>
      <c r="BV95" s="1058"/>
      <c r="BW95" s="1058"/>
      <c r="BX95" s="1058"/>
      <c r="BY95" s="1058"/>
      <c r="BZ95" s="1058"/>
      <c r="CA95" s="1058"/>
      <c r="CB95" s="1058"/>
      <c r="CC95" s="1058"/>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c r="EC95" s="103"/>
      <c r="ED95" s="103"/>
      <c r="EE95" s="103"/>
      <c r="EF95" s="103"/>
      <c r="EG95" s="103"/>
      <c r="EH95" s="103"/>
      <c r="EI95" s="103"/>
      <c r="EJ95" s="103"/>
      <c r="EK95" s="103"/>
      <c r="EL95" s="103"/>
      <c r="EM95" s="103"/>
      <c r="EN95" s="103"/>
      <c r="EO95" s="103"/>
      <c r="EP95" s="103"/>
      <c r="EQ95" s="103"/>
      <c r="ER95" s="103"/>
      <c r="ES95" s="103"/>
      <c r="ET95" s="103"/>
      <c r="EU95" s="103"/>
      <c r="EV95" s="103"/>
      <c r="EW95" s="103"/>
    </row>
    <row r="96" spans="1:153" ht="16.2" thickTop="1" thickBot="1">
      <c r="A96" s="103"/>
      <c r="B96" s="995"/>
      <c r="C96" s="1058"/>
      <c r="D96" s="1058"/>
      <c r="E96" s="1058"/>
      <c r="F96" s="1058"/>
      <c r="G96" s="1058"/>
      <c r="H96" s="1058"/>
      <c r="I96" s="1058"/>
      <c r="J96" s="1058"/>
      <c r="K96" s="1058"/>
      <c r="L96" s="1058"/>
      <c r="M96" s="1058"/>
      <c r="N96" s="1058"/>
      <c r="O96" s="1058"/>
      <c r="P96" s="1058"/>
      <c r="Q96" s="1058"/>
      <c r="R96" s="1058"/>
      <c r="S96" s="1058"/>
      <c r="T96" s="1058"/>
      <c r="U96" s="1058"/>
      <c r="V96" s="1058"/>
      <c r="W96" s="1058"/>
      <c r="X96" s="1058"/>
      <c r="Y96" s="1058"/>
      <c r="Z96" s="1058"/>
      <c r="AA96" s="1058"/>
      <c r="AB96" s="1058"/>
      <c r="AC96" s="1058"/>
      <c r="AD96" s="1058"/>
      <c r="AE96" s="1058"/>
      <c r="AF96" s="1058"/>
      <c r="AG96" s="1058"/>
      <c r="AH96" s="1058"/>
      <c r="AI96" s="1111" t="str">
        <f t="shared" si="191"/>
        <v>3</v>
      </c>
      <c r="AJ96" s="1112" t="str">
        <f t="shared" si="192"/>
        <v/>
      </c>
      <c r="AK96" s="1112" t="str">
        <f t="shared" si="192"/>
        <v/>
      </c>
      <c r="AL96" s="1112" t="str">
        <f t="shared" si="192"/>
        <v/>
      </c>
      <c r="AM96" s="1112" t="str">
        <f t="shared" si="192"/>
        <v/>
      </c>
      <c r="AN96" s="1112" t="str">
        <f t="shared" si="192"/>
        <v/>
      </c>
      <c r="AO96" s="1112" t="str">
        <f t="shared" si="192"/>
        <v/>
      </c>
      <c r="AP96" s="1112" t="str">
        <f>IF(AP57&gt;AP$90,"!!!","")</f>
        <v/>
      </c>
      <c r="AQ96" s="1112" t="str">
        <f>IF(AQ57&gt;AQ$90,"!!!","")</f>
        <v/>
      </c>
      <c r="AR96" s="1112" t="str">
        <f t="shared" si="192"/>
        <v/>
      </c>
      <c r="AS96" s="1112" t="str">
        <f t="shared" si="192"/>
        <v/>
      </c>
      <c r="AT96" s="1112" t="str">
        <f t="shared" si="192"/>
        <v/>
      </c>
      <c r="AU96" s="1112" t="str">
        <f t="shared" si="192"/>
        <v/>
      </c>
      <c r="AV96" s="1112" t="str">
        <f t="shared" si="192"/>
        <v/>
      </c>
      <c r="AW96" s="1112" t="str">
        <f t="shared" si="192"/>
        <v/>
      </c>
      <c r="AX96" s="1112" t="str">
        <f t="shared" si="192"/>
        <v/>
      </c>
      <c r="AY96" s="1112" t="str">
        <f t="shared" si="192"/>
        <v/>
      </c>
      <c r="AZ96" s="1112" t="str">
        <f t="shared" si="192"/>
        <v/>
      </c>
      <c r="BA96" s="1112" t="str">
        <f t="shared" si="192"/>
        <v/>
      </c>
      <c r="BB96" s="1112" t="str">
        <f t="shared" si="192"/>
        <v/>
      </c>
      <c r="BC96" s="1112" t="str">
        <f t="shared" si="192"/>
        <v/>
      </c>
      <c r="BD96" s="1112" t="str">
        <f t="shared" si="192"/>
        <v/>
      </c>
      <c r="BE96" s="1112" t="str">
        <f t="shared" si="192"/>
        <v/>
      </c>
      <c r="BF96" s="1112" t="str">
        <f t="shared" si="192"/>
        <v/>
      </c>
      <c r="BG96" s="1112" t="str">
        <f t="shared" si="192"/>
        <v/>
      </c>
      <c r="BH96" s="1103"/>
      <c r="BK96" s="1058"/>
      <c r="BL96" s="1058"/>
      <c r="BM96" s="1058"/>
      <c r="BN96" s="1058"/>
      <c r="BO96" s="1058"/>
      <c r="BP96" s="1058"/>
      <c r="BQ96" s="1058"/>
      <c r="BR96" s="1058"/>
      <c r="BS96" s="1058"/>
      <c r="BT96" s="1058"/>
      <c r="BU96" s="1058"/>
      <c r="BV96" s="1058"/>
      <c r="BW96" s="1058"/>
      <c r="BX96" s="1058"/>
      <c r="BY96" s="1058"/>
      <c r="BZ96" s="1058"/>
      <c r="CA96" s="1058"/>
      <c r="CB96" s="1058"/>
      <c r="CC96" s="1058"/>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995"/>
      <c r="DA96" s="995"/>
      <c r="DB96" s="995"/>
      <c r="DC96" s="995"/>
      <c r="DD96" s="995"/>
      <c r="DE96" s="995"/>
      <c r="DF96" s="995"/>
      <c r="DG96" s="995"/>
      <c r="DH96" s="995"/>
      <c r="DI96" s="995"/>
      <c r="DJ96" s="995"/>
      <c r="DK96" s="995"/>
      <c r="DL96" s="1058"/>
      <c r="DM96" s="1058"/>
      <c r="DN96" s="1058"/>
      <c r="DO96" s="1058"/>
      <c r="DP96" s="1058"/>
      <c r="DQ96" s="1058"/>
      <c r="DR96" s="1058"/>
      <c r="DS96" s="1058"/>
      <c r="DT96" s="1058"/>
      <c r="DU96" s="1058"/>
      <c r="DV96" s="1058"/>
      <c r="DW96" s="1058"/>
      <c r="DX96" s="1058"/>
      <c r="DY96" s="1058"/>
      <c r="DZ96" s="1058"/>
      <c r="EA96" s="1058"/>
      <c r="EB96" s="1058"/>
      <c r="EC96" s="103"/>
      <c r="ED96" s="103"/>
      <c r="EE96" s="103"/>
      <c r="EF96" s="103"/>
      <c r="EG96" s="103"/>
      <c r="EH96" s="103"/>
      <c r="EI96" s="103"/>
      <c r="EJ96" s="103"/>
      <c r="EK96" s="103"/>
      <c r="EL96" s="103"/>
      <c r="EM96" s="103"/>
      <c r="EN96" s="103"/>
      <c r="EO96" s="103"/>
      <c r="EP96" s="103"/>
      <c r="EQ96" s="103"/>
      <c r="ER96" s="103"/>
      <c r="ES96" s="103"/>
      <c r="ET96" s="103"/>
      <c r="EU96" s="103"/>
      <c r="EV96" s="103"/>
      <c r="EW96" s="103"/>
    </row>
    <row r="97" spans="1:153" ht="16.2" thickTop="1" thickBot="1">
      <c r="A97" s="103"/>
      <c r="B97" s="995"/>
      <c r="C97" s="1058"/>
      <c r="D97" s="1058"/>
      <c r="E97" s="1058"/>
      <c r="F97" s="1058"/>
      <c r="G97" s="1058"/>
      <c r="H97" s="1058"/>
      <c r="I97" s="1058"/>
      <c r="J97" s="1058"/>
      <c r="K97" s="1058"/>
      <c r="L97" s="1058"/>
      <c r="M97" s="1058"/>
      <c r="N97" s="1058"/>
      <c r="O97" s="1058"/>
      <c r="P97" s="1058"/>
      <c r="Q97" s="1058"/>
      <c r="R97" s="1058"/>
      <c r="S97" s="1058"/>
      <c r="T97" s="1058"/>
      <c r="U97" s="1058"/>
      <c r="V97" s="1058"/>
      <c r="W97" s="1058"/>
      <c r="X97" s="1058"/>
      <c r="Y97" s="1058"/>
      <c r="Z97" s="1058"/>
      <c r="AA97" s="1058"/>
      <c r="AB97" s="1058"/>
      <c r="AC97" s="1058"/>
      <c r="AD97" s="1058"/>
      <c r="AE97" s="1058"/>
      <c r="AF97" s="1058"/>
      <c r="AG97" s="1058"/>
      <c r="AH97" s="1058"/>
      <c r="AI97" s="1111" t="str">
        <f t="shared" si="191"/>
        <v>4</v>
      </c>
      <c r="AJ97" s="1112" t="str">
        <f t="shared" si="192"/>
        <v/>
      </c>
      <c r="AK97" s="1112" t="str">
        <f t="shared" si="192"/>
        <v/>
      </c>
      <c r="AL97" s="1112" t="str">
        <f t="shared" si="192"/>
        <v/>
      </c>
      <c r="AM97" s="1112" t="str">
        <f t="shared" si="192"/>
        <v/>
      </c>
      <c r="AN97" s="1112" t="str">
        <f t="shared" si="192"/>
        <v/>
      </c>
      <c r="AO97" s="1112" t="str">
        <f t="shared" si="192"/>
        <v/>
      </c>
      <c r="AP97" s="1112" t="str">
        <f t="shared" si="192"/>
        <v/>
      </c>
      <c r="AQ97" s="1112" t="str">
        <f t="shared" si="192"/>
        <v/>
      </c>
      <c r="AR97" s="1112" t="str">
        <f t="shared" si="192"/>
        <v/>
      </c>
      <c r="AS97" s="1112" t="str">
        <f t="shared" si="192"/>
        <v/>
      </c>
      <c r="AT97" s="1112" t="str">
        <f t="shared" si="192"/>
        <v/>
      </c>
      <c r="AU97" s="1112" t="str">
        <f t="shared" si="192"/>
        <v/>
      </c>
      <c r="AV97" s="1112" t="str">
        <f t="shared" si="192"/>
        <v/>
      </c>
      <c r="AW97" s="1112" t="str">
        <f t="shared" si="192"/>
        <v/>
      </c>
      <c r="AX97" s="1112" t="str">
        <f t="shared" si="192"/>
        <v/>
      </c>
      <c r="AY97" s="1112" t="str">
        <f t="shared" si="192"/>
        <v/>
      </c>
      <c r="AZ97" s="1112" t="str">
        <f t="shared" si="192"/>
        <v/>
      </c>
      <c r="BA97" s="1112" t="str">
        <f t="shared" si="192"/>
        <v/>
      </c>
      <c r="BB97" s="1112" t="str">
        <f t="shared" si="192"/>
        <v/>
      </c>
      <c r="BC97" s="1112" t="str">
        <f t="shared" si="192"/>
        <v/>
      </c>
      <c r="BD97" s="1112" t="str">
        <f t="shared" si="192"/>
        <v/>
      </c>
      <c r="BE97" s="1112" t="str">
        <f t="shared" si="192"/>
        <v/>
      </c>
      <c r="BF97" s="1112" t="str">
        <f t="shared" si="192"/>
        <v/>
      </c>
      <c r="BG97" s="1112" t="str">
        <f t="shared" si="192"/>
        <v/>
      </c>
      <c r="BH97" s="1103"/>
      <c r="BK97" s="1058"/>
      <c r="BL97" s="1058"/>
      <c r="BM97" s="1058"/>
      <c r="BN97" s="1058"/>
      <c r="BO97" s="1058"/>
      <c r="BP97" s="1058"/>
      <c r="BQ97" s="1058"/>
      <c r="BR97" s="1058"/>
      <c r="BS97" s="1058"/>
      <c r="BT97" s="1058"/>
      <c r="BU97" s="1058"/>
      <c r="BV97" s="1058"/>
      <c r="BW97" s="1058"/>
      <c r="BX97" s="1058"/>
      <c r="BY97" s="1058"/>
      <c r="BZ97" s="1058"/>
      <c r="CA97" s="1058"/>
      <c r="CB97" s="1058"/>
      <c r="CC97" s="1058"/>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995"/>
      <c r="DA97" s="995"/>
      <c r="DB97" s="995"/>
      <c r="DC97" s="995"/>
      <c r="DD97" s="995"/>
      <c r="DE97" s="995"/>
      <c r="DF97" s="995"/>
      <c r="DG97" s="995"/>
      <c r="DH97" s="995"/>
      <c r="DI97" s="995"/>
      <c r="DJ97" s="995"/>
      <c r="DK97" s="995"/>
      <c r="DL97" s="1058"/>
      <c r="DM97" s="1058"/>
      <c r="DN97" s="1058"/>
      <c r="DO97" s="1058"/>
      <c r="DP97" s="1058"/>
      <c r="DQ97" s="1058"/>
      <c r="DR97" s="1058"/>
      <c r="DS97" s="1058"/>
      <c r="DT97" s="1058"/>
      <c r="DU97" s="1058"/>
      <c r="DV97" s="1058"/>
      <c r="DW97" s="1058"/>
      <c r="DX97" s="1058"/>
      <c r="DY97" s="1058"/>
      <c r="DZ97" s="1058"/>
      <c r="EA97" s="1058"/>
      <c r="EB97" s="1058"/>
      <c r="EC97" s="103"/>
      <c r="ED97" s="103"/>
      <c r="EE97" s="103"/>
      <c r="EF97" s="103"/>
      <c r="EG97" s="103"/>
      <c r="EH97" s="103"/>
      <c r="EI97" s="103"/>
      <c r="EJ97" s="103"/>
      <c r="EK97" s="103"/>
      <c r="EL97" s="103"/>
      <c r="EM97" s="103"/>
      <c r="EN97" s="103"/>
      <c r="EO97" s="103"/>
      <c r="EP97" s="103"/>
      <c r="EQ97" s="103"/>
      <c r="ER97" s="103"/>
      <c r="ES97" s="103"/>
      <c r="ET97" s="103"/>
      <c r="EU97" s="103"/>
      <c r="EV97" s="103"/>
      <c r="EW97" s="103"/>
    </row>
    <row r="98" spans="1:153" ht="16.2" thickTop="1" thickBot="1">
      <c r="A98" s="103"/>
      <c r="B98" s="995"/>
      <c r="C98" s="1058"/>
      <c r="D98" s="1058"/>
      <c r="E98" s="1058"/>
      <c r="F98" s="1058"/>
      <c r="G98" s="1058"/>
      <c r="H98" s="1058"/>
      <c r="I98" s="1058"/>
      <c r="J98" s="1058"/>
      <c r="K98" s="1058"/>
      <c r="L98" s="1058"/>
      <c r="M98" s="1058"/>
      <c r="N98" s="1058"/>
      <c r="O98" s="1058"/>
      <c r="P98" s="1058"/>
      <c r="Q98" s="1058"/>
      <c r="R98" s="1058"/>
      <c r="S98" s="1058"/>
      <c r="T98" s="1058"/>
      <c r="U98" s="1058"/>
      <c r="V98" s="1058"/>
      <c r="W98" s="1058"/>
      <c r="X98" s="1058"/>
      <c r="Y98" s="1058"/>
      <c r="Z98" s="1058"/>
      <c r="AA98" s="1058"/>
      <c r="AB98" s="1058"/>
      <c r="AC98" s="1058"/>
      <c r="AD98" s="1058"/>
      <c r="AE98" s="1058"/>
      <c r="AF98" s="1058"/>
      <c r="AG98" s="1058"/>
      <c r="AH98" s="1058"/>
      <c r="AI98" s="1111" t="str">
        <f t="shared" si="191"/>
        <v>5</v>
      </c>
      <c r="AJ98" s="1112" t="str">
        <f t="shared" si="192"/>
        <v/>
      </c>
      <c r="AK98" s="1112" t="str">
        <f t="shared" si="192"/>
        <v/>
      </c>
      <c r="AL98" s="1112" t="str">
        <f t="shared" si="192"/>
        <v/>
      </c>
      <c r="AM98" s="1112" t="str">
        <f t="shared" si="192"/>
        <v/>
      </c>
      <c r="AN98" s="1112" t="str">
        <f t="shared" si="192"/>
        <v/>
      </c>
      <c r="AO98" s="1112" t="str">
        <f t="shared" si="192"/>
        <v/>
      </c>
      <c r="AP98" s="1112" t="str">
        <f t="shared" si="192"/>
        <v/>
      </c>
      <c r="AQ98" s="1112" t="str">
        <f t="shared" si="192"/>
        <v/>
      </c>
      <c r="AR98" s="1112" t="str">
        <f t="shared" si="192"/>
        <v/>
      </c>
      <c r="AS98" s="1112" t="str">
        <f t="shared" si="192"/>
        <v/>
      </c>
      <c r="AT98" s="1112" t="str">
        <f t="shared" si="192"/>
        <v/>
      </c>
      <c r="AU98" s="1112" t="str">
        <f t="shared" si="192"/>
        <v/>
      </c>
      <c r="AV98" s="1112" t="str">
        <f t="shared" si="192"/>
        <v/>
      </c>
      <c r="AW98" s="1112" t="str">
        <f t="shared" si="192"/>
        <v/>
      </c>
      <c r="AX98" s="1112" t="str">
        <f t="shared" si="192"/>
        <v/>
      </c>
      <c r="AY98" s="1112" t="str">
        <f t="shared" si="192"/>
        <v/>
      </c>
      <c r="AZ98" s="1112" t="str">
        <f t="shared" si="192"/>
        <v/>
      </c>
      <c r="BA98" s="1112" t="str">
        <f t="shared" si="192"/>
        <v/>
      </c>
      <c r="BB98" s="1112" t="str">
        <f t="shared" si="192"/>
        <v/>
      </c>
      <c r="BC98" s="1112" t="str">
        <f t="shared" si="192"/>
        <v/>
      </c>
      <c r="BD98" s="1112" t="str">
        <f t="shared" si="192"/>
        <v/>
      </c>
      <c r="BE98" s="1112" t="str">
        <f t="shared" si="192"/>
        <v/>
      </c>
      <c r="BF98" s="1112" t="str">
        <f t="shared" si="192"/>
        <v/>
      </c>
      <c r="BG98" s="1112" t="str">
        <f t="shared" si="192"/>
        <v/>
      </c>
      <c r="BH98" s="1103"/>
      <c r="BK98" s="1058"/>
      <c r="BL98" s="1058"/>
      <c r="BM98" s="1058"/>
      <c r="BN98" s="1058"/>
      <c r="BO98" s="1058"/>
      <c r="BP98" s="1058"/>
      <c r="BQ98" s="1058"/>
      <c r="BR98" s="1058"/>
      <c r="BS98" s="1058"/>
      <c r="BT98" s="1058"/>
      <c r="BU98" s="1058"/>
      <c r="BV98" s="1058"/>
      <c r="BW98" s="1058"/>
      <c r="BX98" s="1058"/>
      <c r="BY98" s="1058"/>
      <c r="BZ98" s="1058"/>
      <c r="CA98" s="1058"/>
      <c r="CB98" s="1058"/>
      <c r="CC98" s="1058"/>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995"/>
      <c r="DA98" s="995"/>
      <c r="DB98" s="995"/>
      <c r="DC98" s="995"/>
      <c r="DD98" s="995"/>
      <c r="DE98" s="995"/>
      <c r="DF98" s="995"/>
      <c r="DG98" s="995"/>
      <c r="DH98" s="995"/>
      <c r="DI98" s="995"/>
      <c r="DJ98" s="995"/>
      <c r="DK98" s="995"/>
      <c r="DL98" s="1058"/>
      <c r="DM98" s="1058"/>
      <c r="DN98" s="1058"/>
      <c r="DO98" s="1058"/>
      <c r="DP98" s="1058"/>
      <c r="DQ98" s="1058"/>
      <c r="DR98" s="1058"/>
      <c r="DS98" s="1058"/>
      <c r="DT98" s="1058"/>
      <c r="DU98" s="1058"/>
      <c r="DV98" s="1058"/>
      <c r="DW98" s="1058"/>
      <c r="DX98" s="1058"/>
      <c r="DY98" s="1058"/>
      <c r="DZ98" s="1058"/>
      <c r="EA98" s="1058"/>
      <c r="EB98" s="1058"/>
      <c r="EC98" s="103"/>
      <c r="ED98" s="103"/>
      <c r="EE98" s="103"/>
      <c r="EF98" s="103"/>
      <c r="EG98" s="103"/>
      <c r="EH98" s="103"/>
      <c r="EI98" s="103"/>
      <c r="EJ98" s="103"/>
      <c r="EK98" s="103"/>
      <c r="EL98" s="103"/>
      <c r="EM98" s="103"/>
      <c r="EN98" s="103"/>
      <c r="EO98" s="103"/>
      <c r="EP98" s="103"/>
      <c r="EQ98" s="103"/>
      <c r="ER98" s="103"/>
      <c r="ES98" s="103"/>
      <c r="ET98" s="103"/>
      <c r="EU98" s="103"/>
      <c r="EV98" s="103"/>
      <c r="EW98" s="103"/>
    </row>
    <row r="99" spans="1:153" ht="16.2" thickTop="1" thickBot="1">
      <c r="A99" s="103"/>
      <c r="B99" s="995"/>
      <c r="C99" s="1058"/>
      <c r="D99" s="1058"/>
      <c r="E99" s="1058"/>
      <c r="F99" s="1058"/>
      <c r="G99" s="1058"/>
      <c r="H99" s="1058"/>
      <c r="I99" s="1058"/>
      <c r="J99" s="1058"/>
      <c r="K99" s="1058"/>
      <c r="L99" s="1058"/>
      <c r="M99" s="1058"/>
      <c r="N99" s="1058"/>
      <c r="O99" s="1058"/>
      <c r="P99" s="1058"/>
      <c r="Q99" s="1058"/>
      <c r="R99" s="1058"/>
      <c r="S99" s="1058"/>
      <c r="T99" s="1058"/>
      <c r="U99" s="1058"/>
      <c r="V99" s="1058"/>
      <c r="W99" s="1058"/>
      <c r="X99" s="1058"/>
      <c r="Y99" s="1058"/>
      <c r="Z99" s="1058"/>
      <c r="AA99" s="1058"/>
      <c r="AB99" s="1058"/>
      <c r="AC99" s="1058"/>
      <c r="AD99" s="1058"/>
      <c r="AE99" s="1058"/>
      <c r="AF99" s="1058"/>
      <c r="AG99" s="1058"/>
      <c r="AH99" s="1058"/>
      <c r="AI99" s="1111" t="str">
        <f t="shared" si="191"/>
        <v>6</v>
      </c>
      <c r="AJ99" s="1112" t="str">
        <f t="shared" si="192"/>
        <v/>
      </c>
      <c r="AK99" s="1112" t="str">
        <f t="shared" si="192"/>
        <v/>
      </c>
      <c r="AL99" s="1112" t="str">
        <f t="shared" si="192"/>
        <v/>
      </c>
      <c r="AM99" s="1112" t="str">
        <f t="shared" si="192"/>
        <v/>
      </c>
      <c r="AN99" s="1112" t="str">
        <f t="shared" si="192"/>
        <v/>
      </c>
      <c r="AO99" s="1112" t="str">
        <f t="shared" si="192"/>
        <v/>
      </c>
      <c r="AP99" s="1112" t="str">
        <f t="shared" si="192"/>
        <v/>
      </c>
      <c r="AQ99" s="1112" t="str">
        <f t="shared" si="192"/>
        <v/>
      </c>
      <c r="AR99" s="1112" t="str">
        <f t="shared" si="192"/>
        <v/>
      </c>
      <c r="AS99" s="1112" t="str">
        <f t="shared" si="192"/>
        <v/>
      </c>
      <c r="AT99" s="1112" t="str">
        <f t="shared" si="192"/>
        <v/>
      </c>
      <c r="AU99" s="1112" t="str">
        <f t="shared" si="192"/>
        <v/>
      </c>
      <c r="AV99" s="1112" t="str">
        <f t="shared" si="192"/>
        <v/>
      </c>
      <c r="AW99" s="1112" t="str">
        <f t="shared" si="192"/>
        <v/>
      </c>
      <c r="AX99" s="1112" t="str">
        <f t="shared" si="192"/>
        <v/>
      </c>
      <c r="AY99" s="1112" t="str">
        <f t="shared" si="192"/>
        <v/>
      </c>
      <c r="AZ99" s="1112" t="str">
        <f t="shared" si="192"/>
        <v>!!!</v>
      </c>
      <c r="BA99" s="1112" t="str">
        <f t="shared" si="192"/>
        <v>!!!</v>
      </c>
      <c r="BB99" s="1112" t="str">
        <f t="shared" si="192"/>
        <v/>
      </c>
      <c r="BC99" s="1112" t="str">
        <f t="shared" si="192"/>
        <v/>
      </c>
      <c r="BD99" s="1112" t="str">
        <f t="shared" si="192"/>
        <v/>
      </c>
      <c r="BE99" s="1112" t="str">
        <f t="shared" si="192"/>
        <v/>
      </c>
      <c r="BF99" s="1112" t="str">
        <f t="shared" si="192"/>
        <v/>
      </c>
      <c r="BG99" s="1112" t="str">
        <f t="shared" si="192"/>
        <v/>
      </c>
      <c r="BH99" s="1103"/>
      <c r="BK99" s="1058"/>
      <c r="BL99" s="1058"/>
      <c r="BM99" s="1058"/>
      <c r="BN99" s="1058"/>
      <c r="BO99" s="1058"/>
      <c r="BP99" s="1058"/>
      <c r="BQ99" s="1058"/>
      <c r="BR99" s="1058"/>
      <c r="BS99" s="1058"/>
      <c r="BT99" s="1058"/>
      <c r="BU99" s="1058"/>
      <c r="BV99" s="1058"/>
      <c r="BW99" s="1058"/>
      <c r="BX99" s="1058"/>
      <c r="BY99" s="1058"/>
      <c r="BZ99" s="1058"/>
      <c r="CA99" s="1058"/>
      <c r="CB99" s="1058"/>
      <c r="CC99" s="1058"/>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995"/>
      <c r="DA99" s="995"/>
      <c r="DB99" s="995"/>
      <c r="DC99" s="995"/>
      <c r="DD99" s="995"/>
      <c r="DE99" s="995"/>
      <c r="DF99" s="995"/>
      <c r="DG99" s="995"/>
      <c r="DH99" s="995"/>
      <c r="DI99" s="995"/>
      <c r="DJ99" s="995"/>
      <c r="DK99" s="995"/>
      <c r="DL99" s="1058"/>
      <c r="DM99" s="1058"/>
      <c r="DN99" s="1058"/>
      <c r="DO99" s="1058"/>
      <c r="DP99" s="1058"/>
      <c r="DQ99" s="1058"/>
      <c r="DR99" s="1058"/>
      <c r="DS99" s="1058"/>
      <c r="DT99" s="1058"/>
      <c r="DU99" s="1058"/>
      <c r="DV99" s="1058"/>
      <c r="DW99" s="1058"/>
      <c r="DX99" s="1058"/>
      <c r="DY99" s="1058"/>
      <c r="DZ99" s="1058"/>
      <c r="EA99" s="1058"/>
      <c r="EB99" s="1058"/>
      <c r="EC99" s="103"/>
      <c r="ED99" s="103"/>
      <c r="EE99" s="103"/>
      <c r="EF99" s="103"/>
      <c r="EG99" s="103"/>
      <c r="EH99" s="103"/>
      <c r="EI99" s="103"/>
      <c r="EJ99" s="103"/>
      <c r="EK99" s="103"/>
      <c r="EL99" s="103"/>
      <c r="EM99" s="103"/>
      <c r="EN99" s="103"/>
      <c r="EO99" s="103"/>
      <c r="EP99" s="103"/>
      <c r="EQ99" s="103"/>
      <c r="ER99" s="103"/>
      <c r="ES99" s="103"/>
      <c r="ET99" s="103"/>
      <c r="EU99" s="103"/>
      <c r="EV99" s="103"/>
      <c r="EW99" s="103"/>
    </row>
    <row r="100" spans="1:153" ht="16.2" thickTop="1" thickBot="1">
      <c r="A100" s="103"/>
      <c r="B100" s="995"/>
      <c r="C100" s="995"/>
      <c r="D100" s="995"/>
      <c r="E100" s="995"/>
      <c r="F100" s="995"/>
      <c r="G100" s="995"/>
      <c r="H100" s="995"/>
      <c r="I100" s="995"/>
      <c r="J100" s="995"/>
      <c r="K100" s="995"/>
      <c r="L100" s="995"/>
      <c r="M100" s="995"/>
      <c r="N100" s="995"/>
      <c r="O100" s="995"/>
      <c r="P100" s="995"/>
      <c r="Q100" s="995"/>
      <c r="R100" s="995"/>
      <c r="S100" s="995"/>
      <c r="T100" s="995"/>
      <c r="U100" s="995"/>
      <c r="V100" s="995"/>
      <c r="W100" s="995"/>
      <c r="X100" s="995"/>
      <c r="Y100" s="995"/>
      <c r="Z100" s="995"/>
      <c r="AA100" s="995"/>
      <c r="AB100" s="995"/>
      <c r="AC100" s="995"/>
      <c r="AD100" s="995"/>
      <c r="AE100" s="995"/>
      <c r="AF100" s="995"/>
      <c r="AG100" s="995"/>
      <c r="AH100" s="995"/>
      <c r="AI100" s="1111" t="str">
        <f t="shared" si="191"/>
        <v>7</v>
      </c>
      <c r="AJ100" s="1112" t="str">
        <f t="shared" si="192"/>
        <v/>
      </c>
      <c r="AK100" s="1112" t="str">
        <f t="shared" si="192"/>
        <v/>
      </c>
      <c r="AL100" s="1112" t="str">
        <f t="shared" si="192"/>
        <v/>
      </c>
      <c r="AM100" s="1112" t="str">
        <f t="shared" si="192"/>
        <v/>
      </c>
      <c r="AN100" s="1112" t="str">
        <f t="shared" si="192"/>
        <v/>
      </c>
      <c r="AO100" s="1112" t="str">
        <f t="shared" si="192"/>
        <v/>
      </c>
      <c r="AP100" s="1112" t="str">
        <f t="shared" si="192"/>
        <v/>
      </c>
      <c r="AQ100" s="1112" t="str">
        <f t="shared" si="192"/>
        <v/>
      </c>
      <c r="AR100" s="1112" t="str">
        <f t="shared" si="192"/>
        <v/>
      </c>
      <c r="AS100" s="1112" t="str">
        <f t="shared" si="192"/>
        <v/>
      </c>
      <c r="AT100" s="1112" t="str">
        <f t="shared" si="192"/>
        <v/>
      </c>
      <c r="AU100" s="1112" t="str">
        <f t="shared" si="192"/>
        <v/>
      </c>
      <c r="AV100" s="1112" t="str">
        <f t="shared" si="192"/>
        <v/>
      </c>
      <c r="AW100" s="1112" t="str">
        <f t="shared" si="192"/>
        <v/>
      </c>
      <c r="AX100" s="1112" t="str">
        <f t="shared" si="192"/>
        <v/>
      </c>
      <c r="AY100" s="1112" t="str">
        <f t="shared" si="192"/>
        <v/>
      </c>
      <c r="AZ100" s="1112" t="str">
        <f t="shared" si="192"/>
        <v/>
      </c>
      <c r="BA100" s="1112" t="str">
        <f t="shared" si="192"/>
        <v/>
      </c>
      <c r="BB100" s="1112" t="str">
        <f t="shared" si="192"/>
        <v/>
      </c>
      <c r="BC100" s="1112" t="str">
        <f t="shared" si="192"/>
        <v/>
      </c>
      <c r="BD100" s="1112" t="str">
        <f t="shared" si="192"/>
        <v/>
      </c>
      <c r="BE100" s="1112" t="str">
        <f t="shared" si="192"/>
        <v/>
      </c>
      <c r="BF100" s="1112" t="str">
        <f t="shared" si="192"/>
        <v/>
      </c>
      <c r="BG100" s="1112" t="str">
        <f t="shared" si="192"/>
        <v/>
      </c>
      <c r="BH100" s="1103"/>
      <c r="BK100" s="995"/>
      <c r="BL100" s="995"/>
      <c r="BM100" s="995"/>
      <c r="BN100" s="995"/>
      <c r="BO100" s="995"/>
      <c r="BP100" s="995"/>
      <c r="BQ100" s="995"/>
      <c r="BR100" s="995"/>
      <c r="BS100" s="995"/>
      <c r="BT100" s="995"/>
      <c r="BU100" s="995"/>
      <c r="BV100" s="995"/>
      <c r="BW100" s="995"/>
      <c r="BX100" s="995"/>
      <c r="BY100" s="995"/>
      <c r="BZ100" s="995"/>
      <c r="CA100" s="995"/>
      <c r="CB100" s="995"/>
      <c r="CC100" s="995"/>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1058"/>
      <c r="DM100" s="1058"/>
      <c r="DN100" s="1058"/>
      <c r="DO100" s="1058"/>
      <c r="DP100" s="1058"/>
      <c r="DQ100" s="1058"/>
      <c r="DR100" s="1058"/>
      <c r="DS100" s="1058"/>
      <c r="DT100" s="1058"/>
      <c r="DU100" s="1058"/>
      <c r="DV100" s="1058"/>
      <c r="DW100" s="1058"/>
      <c r="DX100" s="1058"/>
      <c r="DY100" s="1058"/>
      <c r="DZ100" s="1058"/>
      <c r="EA100" s="1058"/>
      <c r="EB100" s="1058"/>
      <c r="EC100" s="103"/>
      <c r="ED100" s="103"/>
      <c r="EE100" s="103"/>
      <c r="EF100" s="103"/>
      <c r="EG100" s="103"/>
      <c r="EH100" s="103"/>
      <c r="EI100" s="103"/>
      <c r="EJ100" s="103"/>
      <c r="EK100" s="103"/>
      <c r="EL100" s="103"/>
      <c r="EM100" s="103"/>
      <c r="EN100" s="103"/>
      <c r="EO100" s="103"/>
      <c r="EP100" s="103"/>
      <c r="EQ100" s="103"/>
      <c r="ER100" s="103"/>
      <c r="ES100" s="103"/>
      <c r="ET100" s="103"/>
      <c r="EU100" s="103"/>
      <c r="EV100" s="103"/>
      <c r="EW100" s="103"/>
    </row>
    <row r="101" spans="1:153" ht="16.2" thickTop="1" thickBot="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111" t="str">
        <f t="shared" si="191"/>
        <v>8</v>
      </c>
      <c r="AJ101" s="1112" t="str">
        <f t="shared" si="192"/>
        <v/>
      </c>
      <c r="AK101" s="1112" t="str">
        <f t="shared" si="192"/>
        <v/>
      </c>
      <c r="AL101" s="1112" t="str">
        <f t="shared" si="192"/>
        <v/>
      </c>
      <c r="AM101" s="1112" t="str">
        <f t="shared" si="192"/>
        <v/>
      </c>
      <c r="AN101" s="1112" t="str">
        <f t="shared" si="192"/>
        <v/>
      </c>
      <c r="AO101" s="1112" t="str">
        <f t="shared" si="192"/>
        <v/>
      </c>
      <c r="AP101" s="1112" t="str">
        <f t="shared" si="192"/>
        <v/>
      </c>
      <c r="AQ101" s="1112" t="str">
        <f t="shared" si="192"/>
        <v/>
      </c>
      <c r="AR101" s="1112" t="str">
        <f t="shared" si="192"/>
        <v/>
      </c>
      <c r="AS101" s="1112" t="str">
        <f t="shared" si="192"/>
        <v/>
      </c>
      <c r="AT101" s="1112" t="str">
        <f t="shared" si="192"/>
        <v/>
      </c>
      <c r="AU101" s="1112" t="str">
        <f t="shared" si="192"/>
        <v/>
      </c>
      <c r="AV101" s="1112" t="str">
        <f t="shared" si="192"/>
        <v/>
      </c>
      <c r="AW101" s="1112" t="str">
        <f t="shared" si="192"/>
        <v/>
      </c>
      <c r="AX101" s="1112" t="str">
        <f t="shared" si="192"/>
        <v/>
      </c>
      <c r="AY101" s="1112" t="str">
        <f t="shared" si="192"/>
        <v/>
      </c>
      <c r="AZ101" s="1112" t="str">
        <f t="shared" si="192"/>
        <v/>
      </c>
      <c r="BA101" s="1112" t="str">
        <f t="shared" si="192"/>
        <v/>
      </c>
      <c r="BB101" s="1112" t="str">
        <f t="shared" si="192"/>
        <v/>
      </c>
      <c r="BC101" s="1112" t="str">
        <f t="shared" si="192"/>
        <v/>
      </c>
      <c r="BD101" s="1112" t="str">
        <f t="shared" si="192"/>
        <v/>
      </c>
      <c r="BE101" s="1112" t="str">
        <f t="shared" si="192"/>
        <v/>
      </c>
      <c r="BF101" s="1112" t="str">
        <f t="shared" si="192"/>
        <v/>
      </c>
      <c r="BG101" s="1112" t="str">
        <f t="shared" si="192"/>
        <v/>
      </c>
      <c r="BH101" s="1103"/>
      <c r="BK101" s="103"/>
      <c r="BL101" s="103"/>
      <c r="BM101" s="103"/>
      <c r="BN101" s="103"/>
      <c r="BO101" s="103"/>
      <c r="BP101" s="103"/>
      <c r="BQ101" s="103"/>
      <c r="BR101" s="103"/>
      <c r="BS101" s="103"/>
      <c r="BT101" s="103"/>
      <c r="BU101" s="103"/>
      <c r="BV101" s="103"/>
      <c r="BW101" s="103"/>
      <c r="BX101" s="103"/>
      <c r="BY101" s="103"/>
      <c r="BZ101" s="103"/>
      <c r="CA101" s="103"/>
      <c r="CB101" s="103"/>
      <c r="CC101" s="103"/>
      <c r="CD101" s="103"/>
      <c r="CE101" s="103"/>
      <c r="CF101" s="103"/>
      <c r="CG101" s="103"/>
      <c r="CH101" s="103"/>
      <c r="CI101" s="103"/>
      <c r="CJ101" s="103"/>
      <c r="CK101" s="103"/>
      <c r="CL101" s="103"/>
      <c r="CM101" s="103"/>
      <c r="CN101" s="103"/>
      <c r="CO101" s="103"/>
      <c r="CP101" s="103"/>
      <c r="CQ101" s="103"/>
      <c r="CR101" s="103"/>
      <c r="CS101" s="103"/>
      <c r="CT101" s="103"/>
      <c r="CU101" s="103"/>
      <c r="CV101" s="103"/>
      <c r="CW101" s="103"/>
      <c r="CX101" s="103"/>
      <c r="CY101" s="103"/>
      <c r="CZ101" s="103"/>
      <c r="DA101" s="103"/>
      <c r="DB101" s="103"/>
      <c r="DC101" s="103"/>
      <c r="DD101" s="103"/>
      <c r="DE101" s="103"/>
      <c r="DF101" s="103"/>
      <c r="DG101" s="103"/>
      <c r="DH101" s="103"/>
      <c r="DI101" s="103"/>
      <c r="DJ101" s="103"/>
      <c r="DK101" s="103"/>
      <c r="DL101" s="69"/>
      <c r="DM101" s="69"/>
      <c r="DN101" s="69"/>
      <c r="DO101" s="69"/>
      <c r="DP101" s="69"/>
      <c r="DQ101" s="69"/>
      <c r="DR101" s="69"/>
      <c r="DS101" s="69"/>
      <c r="DT101" s="69"/>
      <c r="DU101" s="69"/>
      <c r="DV101" s="69"/>
      <c r="DW101" s="69"/>
      <c r="DX101" s="69"/>
      <c r="DY101" s="69"/>
      <c r="DZ101" s="69"/>
      <c r="EA101" s="69"/>
      <c r="EB101" s="69"/>
      <c r="EC101" s="103"/>
      <c r="ED101" s="103"/>
      <c r="EE101" s="103"/>
      <c r="EF101" s="103"/>
      <c r="EG101" s="103"/>
      <c r="EH101" s="103"/>
      <c r="EI101" s="103"/>
      <c r="EJ101" s="103"/>
      <c r="EK101" s="103"/>
      <c r="EL101" s="103"/>
      <c r="EM101" s="103"/>
      <c r="EN101" s="103"/>
      <c r="EO101" s="103"/>
      <c r="EP101" s="103"/>
      <c r="EQ101" s="103"/>
      <c r="ER101" s="103"/>
      <c r="ES101" s="103"/>
      <c r="ET101" s="103"/>
      <c r="EU101" s="103"/>
      <c r="EV101" s="103"/>
      <c r="EW101" s="103"/>
    </row>
    <row r="102" spans="1:153" ht="16.2" thickTop="1" thickBot="1">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111" t="str">
        <f t="shared" si="191"/>
        <v>9</v>
      </c>
      <c r="AJ102" s="1112" t="str">
        <f t="shared" si="192"/>
        <v/>
      </c>
      <c r="AK102" s="1112" t="str">
        <f t="shared" si="192"/>
        <v/>
      </c>
      <c r="AL102" s="1112" t="str">
        <f t="shared" si="192"/>
        <v/>
      </c>
      <c r="AM102" s="1112" t="str">
        <f t="shared" si="192"/>
        <v/>
      </c>
      <c r="AN102" s="1112" t="str">
        <f t="shared" si="192"/>
        <v/>
      </c>
      <c r="AO102" s="1112" t="str">
        <f>IF(AO63&gt;AO$90,"!!!","")</f>
        <v/>
      </c>
      <c r="AP102" s="1112" t="str">
        <f t="shared" si="192"/>
        <v>!!!</v>
      </c>
      <c r="AQ102" s="1112" t="str">
        <f t="shared" si="192"/>
        <v/>
      </c>
      <c r="AR102" s="1112" t="str">
        <f t="shared" si="192"/>
        <v>!!!</v>
      </c>
      <c r="AS102" s="1112" t="str">
        <f t="shared" si="192"/>
        <v/>
      </c>
      <c r="AT102" s="1112" t="str">
        <f t="shared" si="192"/>
        <v/>
      </c>
      <c r="AU102" s="1112" t="str">
        <f t="shared" si="192"/>
        <v/>
      </c>
      <c r="AV102" s="1112" t="str">
        <f t="shared" si="192"/>
        <v/>
      </c>
      <c r="AW102" s="1112" t="str">
        <f t="shared" si="192"/>
        <v/>
      </c>
      <c r="AX102" s="1112" t="str">
        <f t="shared" si="192"/>
        <v/>
      </c>
      <c r="AY102" s="1112" t="str">
        <f t="shared" si="192"/>
        <v/>
      </c>
      <c r="AZ102" s="1112" t="str">
        <f t="shared" si="192"/>
        <v/>
      </c>
      <c r="BA102" s="1112" t="str">
        <f t="shared" si="192"/>
        <v/>
      </c>
      <c r="BB102" s="1112" t="str">
        <f t="shared" si="192"/>
        <v/>
      </c>
      <c r="BC102" s="1112" t="str">
        <f t="shared" si="192"/>
        <v/>
      </c>
      <c r="BD102" s="1112" t="str">
        <f t="shared" si="192"/>
        <v/>
      </c>
      <c r="BE102" s="1112" t="str">
        <f t="shared" si="192"/>
        <v/>
      </c>
      <c r="BF102" s="1112" t="str">
        <f t="shared" si="192"/>
        <v/>
      </c>
      <c r="BG102" s="1112" t="str">
        <f t="shared" si="192"/>
        <v/>
      </c>
      <c r="BH102" s="1103"/>
      <c r="BK102" s="103"/>
      <c r="BL102" s="103"/>
      <c r="BM102" s="103"/>
      <c r="BN102" s="103"/>
      <c r="BO102" s="103"/>
      <c r="BP102" s="103"/>
      <c r="BQ102" s="103"/>
      <c r="BR102" s="103"/>
      <c r="BS102" s="103"/>
      <c r="BT102" s="103"/>
      <c r="BU102" s="103"/>
      <c r="BV102" s="103"/>
      <c r="BW102" s="103"/>
      <c r="BX102" s="103"/>
      <c r="BY102" s="103"/>
      <c r="BZ102" s="103"/>
      <c r="CA102" s="103"/>
      <c r="CB102" s="103"/>
      <c r="CC102" s="103"/>
      <c r="CD102" s="103"/>
      <c r="CE102" s="103"/>
      <c r="CF102" s="103"/>
      <c r="CG102" s="103"/>
      <c r="CH102" s="103"/>
      <c r="CI102" s="103"/>
      <c r="CJ102" s="103"/>
      <c r="CK102" s="103"/>
      <c r="CL102" s="103"/>
      <c r="CM102" s="103"/>
      <c r="CN102" s="103"/>
      <c r="CO102" s="103"/>
      <c r="CP102" s="103"/>
      <c r="CQ102" s="103"/>
      <c r="CR102" s="103"/>
      <c r="CS102" s="103"/>
      <c r="CT102" s="103"/>
      <c r="CU102" s="103"/>
      <c r="CV102" s="103"/>
      <c r="CW102" s="103"/>
      <c r="CX102" s="103"/>
      <c r="CY102" s="103"/>
      <c r="CZ102" s="103"/>
      <c r="DA102" s="103"/>
      <c r="DB102" s="103"/>
      <c r="DC102" s="103"/>
      <c r="DD102" s="103"/>
      <c r="DE102" s="103"/>
      <c r="DF102" s="103"/>
      <c r="DG102" s="103"/>
      <c r="DH102" s="103"/>
      <c r="DI102" s="103"/>
      <c r="DJ102" s="103"/>
      <c r="DK102" s="103"/>
      <c r="DL102" s="69"/>
      <c r="DM102" s="69"/>
      <c r="DN102" s="69"/>
      <c r="DO102" s="69"/>
      <c r="DP102" s="69"/>
      <c r="DQ102" s="69"/>
      <c r="DR102" s="69"/>
      <c r="DS102" s="69"/>
      <c r="DT102" s="69"/>
      <c r="DU102" s="69"/>
      <c r="DV102" s="69"/>
      <c r="DW102" s="69"/>
      <c r="DX102" s="69"/>
      <c r="DY102" s="69"/>
      <c r="DZ102" s="69"/>
      <c r="EA102" s="69"/>
      <c r="EB102" s="69"/>
      <c r="EC102" s="103"/>
      <c r="ED102" s="103"/>
      <c r="EE102" s="103"/>
      <c r="EF102" s="103"/>
      <c r="EG102" s="103"/>
      <c r="EH102" s="103"/>
      <c r="EI102" s="103"/>
      <c r="EJ102" s="103"/>
      <c r="EK102" s="103"/>
      <c r="EL102" s="103"/>
      <c r="EM102" s="103"/>
      <c r="EN102" s="103"/>
      <c r="EO102" s="103"/>
      <c r="EP102" s="103"/>
      <c r="EQ102" s="103"/>
      <c r="ER102" s="103"/>
      <c r="ES102" s="103"/>
      <c r="ET102" s="103"/>
      <c r="EU102" s="103"/>
      <c r="EV102" s="103"/>
      <c r="EW102" s="103"/>
    </row>
    <row r="103" spans="1:153" ht="16.2" thickTop="1" thickBot="1">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111" t="str">
        <f t="shared" si="191"/>
        <v>10</v>
      </c>
      <c r="AJ103" s="1112" t="str">
        <f t="shared" si="192"/>
        <v/>
      </c>
      <c r="AK103" s="1112" t="str">
        <f>IF(AK64&gt;AK$90,"!!!","")</f>
        <v/>
      </c>
      <c r="AL103" s="1112" t="str">
        <f t="shared" si="192"/>
        <v/>
      </c>
      <c r="AM103" s="1112" t="str">
        <f t="shared" si="192"/>
        <v/>
      </c>
      <c r="AN103" s="1112" t="str">
        <f t="shared" si="192"/>
        <v/>
      </c>
      <c r="AO103" s="1112" t="str">
        <f>IF(AO64&gt;AO$90,"!!!","")</f>
        <v/>
      </c>
      <c r="AP103" s="1112" t="str">
        <f t="shared" si="192"/>
        <v/>
      </c>
      <c r="AQ103" s="1112" t="str">
        <f t="shared" si="192"/>
        <v/>
      </c>
      <c r="AR103" s="1112" t="str">
        <f t="shared" si="192"/>
        <v/>
      </c>
      <c r="AS103" s="1112" t="str">
        <f t="shared" si="192"/>
        <v/>
      </c>
      <c r="AT103" s="1112" t="str">
        <f t="shared" si="192"/>
        <v/>
      </c>
      <c r="AU103" s="1112" t="str">
        <f t="shared" si="192"/>
        <v/>
      </c>
      <c r="AV103" s="1112" t="str">
        <f t="shared" si="192"/>
        <v/>
      </c>
      <c r="AW103" s="1112" t="str">
        <f t="shared" si="192"/>
        <v/>
      </c>
      <c r="AX103" s="1112" t="str">
        <f t="shared" si="192"/>
        <v/>
      </c>
      <c r="AY103" s="1112" t="str">
        <f>IF(AY64&gt;AY$90,"!!!","")</f>
        <v/>
      </c>
      <c r="AZ103" s="1112" t="str">
        <f t="shared" si="192"/>
        <v/>
      </c>
      <c r="BA103" s="1112" t="str">
        <f t="shared" si="192"/>
        <v/>
      </c>
      <c r="BB103" s="1112" t="str">
        <f t="shared" si="192"/>
        <v/>
      </c>
      <c r="BC103" s="1112" t="str">
        <f t="shared" si="192"/>
        <v/>
      </c>
      <c r="BD103" s="1112" t="str">
        <f>IF(BD64&gt;BD$90,"!!!","")</f>
        <v/>
      </c>
      <c r="BE103" s="1112" t="str">
        <f t="shared" si="192"/>
        <v/>
      </c>
      <c r="BF103" s="1112" t="str">
        <f t="shared" si="192"/>
        <v/>
      </c>
      <c r="BG103" s="1112" t="str">
        <f t="shared" si="192"/>
        <v/>
      </c>
      <c r="BH103" s="1103"/>
      <c r="BK103" s="103"/>
      <c r="BL103" s="103"/>
      <c r="BM103" s="103"/>
      <c r="BN103" s="103"/>
      <c r="BO103" s="103"/>
      <c r="BP103" s="103"/>
      <c r="BQ103" s="103"/>
      <c r="BR103" s="103"/>
      <c r="BS103" s="103"/>
      <c r="BT103" s="103"/>
      <c r="BU103" s="103"/>
      <c r="BV103" s="103"/>
      <c r="BW103" s="103"/>
      <c r="BX103" s="103"/>
      <c r="BY103" s="103"/>
      <c r="BZ103" s="103"/>
      <c r="CA103" s="103"/>
      <c r="CB103" s="103"/>
      <c r="CC103" s="103"/>
      <c r="CD103" s="103"/>
      <c r="CE103" s="103"/>
      <c r="CF103" s="103"/>
      <c r="CG103" s="103"/>
      <c r="CH103" s="103"/>
      <c r="CI103" s="103"/>
      <c r="CJ103" s="103"/>
      <c r="CK103" s="103"/>
      <c r="CL103" s="103"/>
      <c r="CM103" s="103"/>
      <c r="CN103" s="103"/>
      <c r="CO103" s="103"/>
      <c r="CP103" s="103"/>
      <c r="CQ103" s="103"/>
      <c r="CR103" s="103"/>
      <c r="CS103" s="103"/>
      <c r="CT103" s="103"/>
      <c r="CU103" s="103"/>
      <c r="CV103" s="103"/>
      <c r="CW103" s="103"/>
      <c r="CX103" s="103"/>
      <c r="CY103" s="103"/>
      <c r="CZ103" s="103"/>
      <c r="DA103" s="103"/>
      <c r="DB103" s="103"/>
      <c r="DC103" s="103"/>
      <c r="DD103" s="103"/>
      <c r="DE103" s="103"/>
      <c r="DF103" s="103"/>
      <c r="DG103" s="103"/>
      <c r="DH103" s="103"/>
      <c r="DI103" s="103"/>
      <c r="DJ103" s="103"/>
      <c r="DK103" s="1818"/>
      <c r="DL103" s="69"/>
      <c r="DM103" s="69"/>
      <c r="DN103" s="69"/>
      <c r="DO103" s="69"/>
      <c r="DP103" s="69"/>
      <c r="DQ103" s="69"/>
      <c r="DR103" s="69"/>
      <c r="DS103" s="69"/>
      <c r="DT103" s="69"/>
      <c r="DU103" s="69"/>
      <c r="DV103" s="69"/>
      <c r="DW103" s="69"/>
      <c r="DX103" s="69"/>
      <c r="DY103" s="69"/>
      <c r="DZ103" s="69"/>
      <c r="EA103" s="69"/>
      <c r="EB103" s="69"/>
      <c r="EC103" s="103"/>
      <c r="ED103" s="103"/>
      <c r="EE103" s="103"/>
      <c r="EF103" s="103"/>
      <c r="EG103" s="103"/>
      <c r="EH103" s="103"/>
      <c r="EI103" s="103"/>
      <c r="EJ103" s="103"/>
      <c r="EK103" s="103"/>
      <c r="EL103" s="103"/>
      <c r="EM103" s="103"/>
      <c r="EN103" s="103"/>
      <c r="EO103" s="103"/>
      <c r="EP103" s="103"/>
      <c r="EQ103" s="103"/>
      <c r="ER103" s="103"/>
      <c r="ES103" s="103"/>
      <c r="ET103" s="103"/>
      <c r="EU103" s="103"/>
      <c r="EV103" s="103"/>
      <c r="EW103" s="103"/>
    </row>
    <row r="104" spans="1:153" ht="16.2" thickTop="1" thickBot="1">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111" t="str">
        <f t="shared" si="191"/>
        <v>11</v>
      </c>
      <c r="AJ104" s="1112" t="str">
        <f>IF(AJ65&gt;AJ$90,"!!!","")</f>
        <v/>
      </c>
      <c r="AK104" s="1112" t="str">
        <f t="shared" si="192"/>
        <v/>
      </c>
      <c r="AL104" s="1112" t="str">
        <f t="shared" si="192"/>
        <v>!!!</v>
      </c>
      <c r="AM104" s="1112" t="str">
        <f t="shared" si="192"/>
        <v/>
      </c>
      <c r="AN104" s="1112" t="str">
        <f t="shared" si="192"/>
        <v/>
      </c>
      <c r="AO104" s="1112" t="str">
        <f t="shared" si="192"/>
        <v/>
      </c>
      <c r="AP104" s="1112" t="str">
        <f t="shared" si="192"/>
        <v/>
      </c>
      <c r="AQ104" s="1112" t="str">
        <f t="shared" si="192"/>
        <v/>
      </c>
      <c r="AR104" s="1112" t="str">
        <f t="shared" si="192"/>
        <v/>
      </c>
      <c r="AS104" s="1112" t="str">
        <f t="shared" si="192"/>
        <v/>
      </c>
      <c r="AT104" s="1112" t="str">
        <f t="shared" si="192"/>
        <v/>
      </c>
      <c r="AU104" s="1112" t="str">
        <f t="shared" si="192"/>
        <v/>
      </c>
      <c r="AV104" s="1112" t="str">
        <f t="shared" si="192"/>
        <v/>
      </c>
      <c r="AW104" s="1112" t="str">
        <f t="shared" si="192"/>
        <v/>
      </c>
      <c r="AX104" s="1112" t="str">
        <f t="shared" si="192"/>
        <v/>
      </c>
      <c r="AY104" s="1112" t="str">
        <f t="shared" ref="AY104:BG104" si="193">IF(AY65&gt;AY$90,"!!!","")</f>
        <v/>
      </c>
      <c r="AZ104" s="1112" t="str">
        <f t="shared" si="193"/>
        <v/>
      </c>
      <c r="BA104" s="1112" t="str">
        <f t="shared" si="193"/>
        <v/>
      </c>
      <c r="BB104" s="1112" t="str">
        <f t="shared" si="193"/>
        <v/>
      </c>
      <c r="BC104" s="1112" t="str">
        <f t="shared" si="193"/>
        <v/>
      </c>
      <c r="BD104" s="1112" t="str">
        <f t="shared" si="193"/>
        <v/>
      </c>
      <c r="BE104" s="1112" t="str">
        <f t="shared" si="193"/>
        <v/>
      </c>
      <c r="BF104" s="1112" t="str">
        <f t="shared" si="193"/>
        <v/>
      </c>
      <c r="BG104" s="1112" t="str">
        <f t="shared" si="193"/>
        <v/>
      </c>
      <c r="BH104" s="1103"/>
      <c r="BK104" s="103"/>
      <c r="BL104" s="103"/>
      <c r="BM104" s="103"/>
      <c r="BN104" s="103"/>
      <c r="BO104" s="103"/>
      <c r="BP104" s="103"/>
      <c r="BQ104" s="103"/>
      <c r="BR104" s="103"/>
      <c r="BS104" s="103"/>
      <c r="BT104" s="103"/>
      <c r="BU104" s="103"/>
      <c r="BV104" s="103"/>
      <c r="BW104" s="103"/>
      <c r="BX104" s="103"/>
      <c r="BY104" s="103"/>
      <c r="BZ104" s="103"/>
      <c r="CA104" s="103"/>
      <c r="CB104" s="103"/>
      <c r="CC104" s="103"/>
      <c r="CD104" s="103"/>
      <c r="CE104" s="103"/>
      <c r="CF104" s="103"/>
      <c r="CG104" s="103"/>
      <c r="CH104" s="103"/>
      <c r="CI104" s="103"/>
      <c r="CJ104" s="103"/>
      <c r="CK104" s="103"/>
      <c r="CL104" s="103"/>
      <c r="CM104" s="103"/>
      <c r="CN104" s="103"/>
      <c r="CO104" s="103"/>
      <c r="CP104" s="103"/>
      <c r="CQ104" s="103"/>
      <c r="CR104" s="103"/>
      <c r="CS104" s="103"/>
      <c r="CT104" s="103"/>
      <c r="CU104" s="103"/>
      <c r="CV104" s="103"/>
      <c r="CW104" s="103"/>
      <c r="CX104" s="103"/>
      <c r="CY104" s="103"/>
      <c r="CZ104" s="103"/>
      <c r="DA104" s="103"/>
      <c r="DB104" s="103"/>
      <c r="DC104" s="103"/>
      <c r="DD104" s="103"/>
      <c r="DE104" s="103"/>
      <c r="DF104" s="103"/>
      <c r="DG104" s="103"/>
      <c r="DH104" s="103"/>
      <c r="DI104" s="103"/>
      <c r="DJ104" s="103"/>
      <c r="DK104" s="1818"/>
      <c r="DL104" s="69"/>
      <c r="DM104" s="69"/>
      <c r="DN104" s="69"/>
      <c r="DO104" s="69"/>
      <c r="DP104" s="69"/>
      <c r="DQ104" s="69"/>
      <c r="DR104" s="69"/>
      <c r="DS104" s="69"/>
      <c r="DT104" s="69"/>
      <c r="DU104" s="69"/>
      <c r="DV104" s="69"/>
      <c r="DW104" s="69"/>
      <c r="DX104" s="69"/>
      <c r="DY104" s="69"/>
      <c r="DZ104" s="69"/>
      <c r="EA104" s="69"/>
      <c r="EB104" s="69"/>
      <c r="EC104" s="103"/>
      <c r="ED104" s="103"/>
      <c r="EE104" s="103"/>
      <c r="EF104" s="103"/>
      <c r="EG104" s="103"/>
      <c r="EH104" s="103"/>
      <c r="EI104" s="103"/>
      <c r="EJ104" s="103"/>
      <c r="EK104" s="103"/>
      <c r="EL104" s="103"/>
      <c r="EM104" s="103"/>
      <c r="EN104" s="103"/>
      <c r="EO104" s="103"/>
      <c r="EP104" s="103"/>
      <c r="EQ104" s="103"/>
      <c r="ER104" s="103"/>
      <c r="ES104" s="103"/>
      <c r="ET104" s="103"/>
      <c r="EU104" s="103"/>
      <c r="EV104" s="103"/>
      <c r="EW104" s="103"/>
    </row>
    <row r="105" spans="1:153" ht="16.2" thickTop="1" thickBot="1">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111" t="str">
        <f t="shared" si="191"/>
        <v>12</v>
      </c>
      <c r="AJ105" s="1112" t="str">
        <f t="shared" ref="AJ105:BG115" si="194">IF(AJ66&gt;AJ$90,"!!!","")</f>
        <v/>
      </c>
      <c r="AK105" s="1112" t="str">
        <f t="shared" si="194"/>
        <v/>
      </c>
      <c r="AL105" s="1112" t="str">
        <f t="shared" si="194"/>
        <v/>
      </c>
      <c r="AM105" s="1112" t="str">
        <f t="shared" si="194"/>
        <v/>
      </c>
      <c r="AN105" s="1112" t="str">
        <f t="shared" si="194"/>
        <v/>
      </c>
      <c r="AO105" s="1112" t="str">
        <f t="shared" si="194"/>
        <v/>
      </c>
      <c r="AP105" s="1112" t="str">
        <f t="shared" si="194"/>
        <v/>
      </c>
      <c r="AQ105" s="1112" t="str">
        <f t="shared" si="194"/>
        <v/>
      </c>
      <c r="AR105" s="1112" t="str">
        <f t="shared" si="194"/>
        <v/>
      </c>
      <c r="AS105" s="1112" t="str">
        <f t="shared" si="194"/>
        <v/>
      </c>
      <c r="AT105" s="1112" t="str">
        <f t="shared" si="194"/>
        <v/>
      </c>
      <c r="AU105" s="1112" t="str">
        <f t="shared" si="194"/>
        <v/>
      </c>
      <c r="AV105" s="1112" t="str">
        <f t="shared" si="194"/>
        <v/>
      </c>
      <c r="AW105" s="1112" t="str">
        <f t="shared" si="194"/>
        <v/>
      </c>
      <c r="AX105" s="1112" t="str">
        <f t="shared" si="194"/>
        <v/>
      </c>
      <c r="AY105" s="1112" t="str">
        <f t="shared" si="194"/>
        <v/>
      </c>
      <c r="AZ105" s="1112" t="str">
        <f t="shared" si="194"/>
        <v/>
      </c>
      <c r="BA105" s="1112" t="str">
        <f t="shared" si="194"/>
        <v/>
      </c>
      <c r="BB105" s="1112" t="str">
        <f t="shared" si="194"/>
        <v/>
      </c>
      <c r="BC105" s="1112" t="str">
        <f t="shared" si="194"/>
        <v/>
      </c>
      <c r="BD105" s="1112" t="str">
        <f t="shared" si="194"/>
        <v/>
      </c>
      <c r="BE105" s="1112" t="str">
        <f t="shared" si="194"/>
        <v/>
      </c>
      <c r="BF105" s="1112" t="str">
        <f t="shared" si="194"/>
        <v/>
      </c>
      <c r="BG105" s="1112" t="str">
        <f t="shared" si="194"/>
        <v/>
      </c>
      <c r="BH105" s="1103"/>
      <c r="BK105" s="103"/>
      <c r="BL105" s="103"/>
      <c r="BM105" s="103"/>
      <c r="BN105" s="103"/>
      <c r="BO105" s="103"/>
      <c r="BP105" s="103"/>
      <c r="BQ105" s="103"/>
      <c r="BR105" s="103"/>
      <c r="BS105" s="103"/>
      <c r="BT105" s="103"/>
      <c r="BU105" s="103"/>
      <c r="BV105" s="103"/>
      <c r="BW105" s="103"/>
      <c r="BX105" s="103"/>
      <c r="BY105" s="103"/>
      <c r="BZ105" s="103"/>
      <c r="CA105" s="103"/>
      <c r="CB105" s="103"/>
      <c r="CC105" s="103"/>
      <c r="CD105" s="103"/>
      <c r="CE105" s="103"/>
      <c r="CF105" s="103"/>
      <c r="CG105" s="103"/>
      <c r="CH105" s="103"/>
      <c r="CI105" s="103"/>
      <c r="CJ105" s="103"/>
      <c r="CK105" s="103"/>
      <c r="CL105" s="103"/>
      <c r="CM105" s="103"/>
      <c r="CN105" s="103"/>
      <c r="CO105" s="103"/>
      <c r="CP105" s="103"/>
      <c r="CQ105" s="103"/>
      <c r="CR105" s="103"/>
      <c r="CS105" s="103"/>
      <c r="CT105" s="103"/>
      <c r="CU105" s="103"/>
      <c r="CV105" s="103"/>
      <c r="CW105" s="103"/>
      <c r="CX105" s="103"/>
      <c r="CY105" s="103"/>
      <c r="CZ105" s="103"/>
      <c r="DA105" s="103"/>
      <c r="DB105" s="103"/>
      <c r="DC105" s="103"/>
      <c r="DD105" s="103"/>
      <c r="DE105" s="103"/>
      <c r="DF105" s="103"/>
      <c r="DG105" s="103"/>
      <c r="DH105" s="103"/>
      <c r="DI105" s="103"/>
      <c r="DJ105" s="103"/>
      <c r="DK105" s="1818"/>
      <c r="DL105" s="69"/>
      <c r="DM105" s="69"/>
      <c r="DN105" s="69"/>
      <c r="DO105" s="69"/>
      <c r="DP105" s="69"/>
      <c r="DQ105" s="69"/>
      <c r="DR105" s="69"/>
      <c r="DS105" s="69"/>
      <c r="DT105" s="69"/>
      <c r="DU105" s="69"/>
      <c r="DV105" s="69"/>
      <c r="DW105" s="69"/>
      <c r="DX105" s="69"/>
      <c r="DY105" s="69"/>
      <c r="DZ105" s="69"/>
      <c r="EA105" s="69"/>
      <c r="EB105" s="69"/>
      <c r="EC105" s="103"/>
      <c r="ED105" s="103"/>
      <c r="EE105" s="103"/>
      <c r="EF105" s="103"/>
      <c r="EG105" s="103"/>
      <c r="EH105" s="103"/>
      <c r="EI105" s="103"/>
      <c r="EJ105" s="103"/>
      <c r="EK105" s="103"/>
      <c r="EL105" s="103"/>
      <c r="EM105" s="103"/>
      <c r="EN105" s="103"/>
      <c r="EO105" s="103"/>
      <c r="EP105" s="103"/>
      <c r="EQ105" s="103"/>
      <c r="ER105" s="103"/>
      <c r="ES105" s="103"/>
      <c r="ET105" s="103"/>
      <c r="EU105" s="103"/>
      <c r="EV105" s="103"/>
      <c r="EW105" s="103"/>
    </row>
    <row r="106" spans="1:153" ht="16.2" thickTop="1" thickBot="1">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c r="AI106" s="1111" t="str">
        <f t="shared" si="191"/>
        <v>13</v>
      </c>
      <c r="AJ106" s="1112" t="str">
        <f t="shared" si="194"/>
        <v/>
      </c>
      <c r="AK106" s="1112" t="str">
        <f t="shared" si="194"/>
        <v/>
      </c>
      <c r="AL106" s="1112" t="str">
        <f t="shared" si="194"/>
        <v/>
      </c>
      <c r="AM106" s="1112" t="str">
        <f t="shared" si="194"/>
        <v/>
      </c>
      <c r="AN106" s="1112" t="str">
        <f t="shared" si="194"/>
        <v/>
      </c>
      <c r="AO106" s="1112" t="str">
        <f t="shared" si="194"/>
        <v/>
      </c>
      <c r="AP106" s="1112" t="str">
        <f t="shared" si="194"/>
        <v/>
      </c>
      <c r="AQ106" s="1112" t="str">
        <f t="shared" si="194"/>
        <v/>
      </c>
      <c r="AR106" s="1112" t="str">
        <f t="shared" si="194"/>
        <v/>
      </c>
      <c r="AS106" s="1112" t="str">
        <f t="shared" si="194"/>
        <v/>
      </c>
      <c r="AT106" s="1112" t="str">
        <f t="shared" si="194"/>
        <v/>
      </c>
      <c r="AU106" s="1112" t="str">
        <f t="shared" si="194"/>
        <v/>
      </c>
      <c r="AV106" s="1112" t="str">
        <f t="shared" si="194"/>
        <v/>
      </c>
      <c r="AW106" s="1112" t="str">
        <f t="shared" si="194"/>
        <v/>
      </c>
      <c r="AX106" s="1112" t="str">
        <f t="shared" si="194"/>
        <v/>
      </c>
      <c r="AY106" s="1112" t="str">
        <f t="shared" si="194"/>
        <v/>
      </c>
      <c r="AZ106" s="1112" t="str">
        <f t="shared" si="194"/>
        <v/>
      </c>
      <c r="BA106" s="1112" t="str">
        <f t="shared" si="194"/>
        <v/>
      </c>
      <c r="BB106" s="1112" t="str">
        <f t="shared" si="194"/>
        <v/>
      </c>
      <c r="BC106" s="1112" t="str">
        <f t="shared" si="194"/>
        <v/>
      </c>
      <c r="BD106" s="1112" t="str">
        <f t="shared" si="194"/>
        <v/>
      </c>
      <c r="BE106" s="1112" t="str">
        <f t="shared" si="194"/>
        <v/>
      </c>
      <c r="BF106" s="1112" t="str">
        <f t="shared" si="194"/>
        <v/>
      </c>
      <c r="BG106" s="1112" t="str">
        <f t="shared" si="194"/>
        <v/>
      </c>
      <c r="BH106" s="1103"/>
      <c r="BK106" s="103"/>
      <c r="BL106" s="103"/>
      <c r="BM106" s="103"/>
      <c r="BN106" s="103"/>
      <c r="BO106" s="103"/>
      <c r="BP106" s="103"/>
      <c r="BQ106" s="103"/>
      <c r="BR106" s="103"/>
      <c r="BS106" s="103"/>
      <c r="BT106" s="103"/>
      <c r="BU106" s="103"/>
      <c r="BV106" s="103"/>
      <c r="BW106" s="103"/>
      <c r="BX106" s="103"/>
      <c r="BY106" s="103"/>
      <c r="BZ106" s="103"/>
      <c r="CA106" s="103"/>
      <c r="CB106" s="103"/>
      <c r="CC106" s="103"/>
      <c r="CD106" s="103"/>
      <c r="CE106" s="103"/>
      <c r="CF106" s="103"/>
      <c r="CG106" s="103"/>
      <c r="CH106" s="103"/>
      <c r="CI106" s="103"/>
      <c r="CJ106" s="103"/>
      <c r="CK106" s="103"/>
      <c r="CL106" s="103"/>
      <c r="CM106" s="103"/>
      <c r="CN106" s="103"/>
      <c r="CO106" s="103"/>
      <c r="CP106" s="103"/>
      <c r="CQ106" s="103"/>
      <c r="CR106" s="103"/>
      <c r="CS106" s="103"/>
      <c r="CT106" s="103"/>
      <c r="CU106" s="103"/>
      <c r="CV106" s="103"/>
      <c r="CW106" s="103"/>
      <c r="CX106" s="103"/>
      <c r="CY106" s="103"/>
      <c r="CZ106" s="103"/>
      <c r="DA106" s="103"/>
      <c r="DB106" s="103"/>
      <c r="DC106" s="103"/>
      <c r="DD106" s="103"/>
      <c r="DE106" s="103"/>
      <c r="DF106" s="103"/>
      <c r="DG106" s="103"/>
      <c r="DH106" s="103"/>
      <c r="DI106" s="103"/>
      <c r="DJ106" s="103"/>
      <c r="DK106" s="1818"/>
      <c r="DL106" s="69"/>
      <c r="DM106" s="69"/>
      <c r="DN106" s="69"/>
      <c r="DO106" s="69"/>
      <c r="DP106" s="69"/>
      <c r="DQ106" s="69"/>
      <c r="DR106" s="69"/>
      <c r="DS106" s="69"/>
      <c r="DT106" s="69"/>
      <c r="DU106" s="69"/>
      <c r="DV106" s="69"/>
      <c r="DW106" s="69"/>
      <c r="DX106" s="69"/>
      <c r="DY106" s="69"/>
      <c r="DZ106" s="69"/>
      <c r="EA106" s="69"/>
      <c r="EB106" s="69"/>
      <c r="EC106" s="103"/>
      <c r="ED106" s="103"/>
      <c r="EE106" s="103"/>
      <c r="EF106" s="103"/>
      <c r="EG106" s="103"/>
      <c r="EH106" s="103"/>
      <c r="EI106" s="103"/>
      <c r="EJ106" s="103"/>
      <c r="EK106" s="103"/>
      <c r="EL106" s="103"/>
      <c r="EM106" s="103"/>
      <c r="EN106" s="103"/>
      <c r="EO106" s="103"/>
      <c r="EP106" s="103"/>
      <c r="EQ106" s="103"/>
      <c r="ER106" s="103"/>
      <c r="ES106" s="103"/>
      <c r="ET106" s="103"/>
      <c r="EU106" s="103"/>
      <c r="EV106" s="103"/>
      <c r="EW106" s="103"/>
    </row>
    <row r="107" spans="1:153" ht="16.2" thickTop="1" thickBot="1">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c r="AI107" s="1111" t="str">
        <f t="shared" si="191"/>
        <v>14</v>
      </c>
      <c r="AJ107" s="1112" t="str">
        <f t="shared" si="194"/>
        <v/>
      </c>
      <c r="AK107" s="1112" t="str">
        <f t="shared" si="194"/>
        <v/>
      </c>
      <c r="AL107" s="1112" t="str">
        <f t="shared" si="194"/>
        <v/>
      </c>
      <c r="AM107" s="1112" t="str">
        <f t="shared" si="194"/>
        <v/>
      </c>
      <c r="AN107" s="1112" t="str">
        <f t="shared" si="194"/>
        <v/>
      </c>
      <c r="AO107" s="1112" t="str">
        <f t="shared" si="194"/>
        <v/>
      </c>
      <c r="AP107" s="1112" t="str">
        <f t="shared" si="194"/>
        <v/>
      </c>
      <c r="AQ107" s="1112" t="str">
        <f t="shared" si="194"/>
        <v/>
      </c>
      <c r="AR107" s="1112" t="str">
        <f t="shared" si="194"/>
        <v/>
      </c>
      <c r="AS107" s="1112" t="str">
        <f t="shared" si="194"/>
        <v/>
      </c>
      <c r="AT107" s="1112" t="str">
        <f t="shared" si="194"/>
        <v/>
      </c>
      <c r="AU107" s="1112" t="str">
        <f t="shared" si="194"/>
        <v/>
      </c>
      <c r="AV107" s="1112" t="str">
        <f t="shared" si="194"/>
        <v/>
      </c>
      <c r="AW107" s="1112" t="str">
        <f t="shared" si="194"/>
        <v/>
      </c>
      <c r="AX107" s="1112" t="str">
        <f t="shared" si="194"/>
        <v/>
      </c>
      <c r="AY107" s="1112" t="str">
        <f t="shared" si="194"/>
        <v/>
      </c>
      <c r="AZ107" s="1112" t="str">
        <f t="shared" si="194"/>
        <v/>
      </c>
      <c r="BA107" s="1112" t="str">
        <f t="shared" si="194"/>
        <v/>
      </c>
      <c r="BB107" s="1112" t="str">
        <f t="shared" si="194"/>
        <v/>
      </c>
      <c r="BC107" s="1112" t="str">
        <f t="shared" si="194"/>
        <v/>
      </c>
      <c r="BD107" s="1112" t="str">
        <f t="shared" si="194"/>
        <v/>
      </c>
      <c r="BE107" s="1112" t="str">
        <f t="shared" si="194"/>
        <v/>
      </c>
      <c r="BF107" s="1112" t="str">
        <f t="shared" si="194"/>
        <v/>
      </c>
      <c r="BG107" s="1112" t="str">
        <f t="shared" si="194"/>
        <v/>
      </c>
      <c r="BH107" s="1103"/>
      <c r="BK107" s="103"/>
      <c r="BL107" s="103"/>
      <c r="BM107" s="103"/>
      <c r="BN107" s="103"/>
      <c r="BO107" s="103"/>
      <c r="BP107" s="103"/>
      <c r="BQ107" s="103"/>
      <c r="BR107" s="103"/>
      <c r="BS107" s="103"/>
      <c r="BT107" s="103"/>
      <c r="BU107" s="103"/>
      <c r="BV107" s="103"/>
      <c r="BW107" s="103"/>
      <c r="BX107" s="103"/>
      <c r="BY107" s="103"/>
      <c r="BZ107" s="103"/>
      <c r="CA107" s="103"/>
      <c r="CB107" s="103"/>
      <c r="CC107" s="103"/>
      <c r="CD107" s="103"/>
      <c r="CE107" s="103"/>
      <c r="CF107" s="103"/>
      <c r="CG107" s="103"/>
      <c r="CH107" s="103"/>
      <c r="CI107" s="103"/>
      <c r="CJ107" s="103"/>
      <c r="CK107" s="103"/>
      <c r="CL107" s="103"/>
      <c r="CM107" s="103"/>
      <c r="CN107" s="103"/>
      <c r="CO107" s="103"/>
      <c r="CP107" s="103"/>
      <c r="CQ107" s="103"/>
      <c r="CR107" s="103"/>
      <c r="CS107" s="103"/>
      <c r="CT107" s="103"/>
      <c r="CU107" s="103"/>
      <c r="CV107" s="103"/>
      <c r="CW107" s="103"/>
      <c r="CX107" s="103"/>
      <c r="CY107" s="103"/>
      <c r="CZ107" s="103"/>
      <c r="DA107" s="103"/>
      <c r="DB107" s="103"/>
      <c r="DC107" s="103"/>
      <c r="DD107" s="103"/>
      <c r="DE107" s="103"/>
      <c r="DF107" s="103"/>
      <c r="DG107" s="103"/>
      <c r="DH107" s="103"/>
      <c r="DI107" s="103"/>
      <c r="DJ107" s="103"/>
      <c r="DK107" s="1818"/>
      <c r="DL107" s="69"/>
      <c r="DM107" s="69"/>
      <c r="DN107" s="69"/>
      <c r="DO107" s="69"/>
      <c r="DP107" s="69"/>
      <c r="DQ107" s="69"/>
      <c r="DR107" s="69"/>
      <c r="DS107" s="69"/>
      <c r="DT107" s="69"/>
      <c r="DU107" s="69"/>
      <c r="DV107" s="69"/>
      <c r="DW107" s="69"/>
      <c r="DX107" s="69"/>
      <c r="DY107" s="69"/>
      <c r="DZ107" s="69"/>
      <c r="EA107" s="69"/>
      <c r="EB107" s="69"/>
      <c r="EC107" s="103"/>
      <c r="ED107" s="103"/>
      <c r="EE107" s="103"/>
      <c r="EF107" s="103"/>
      <c r="EG107" s="103"/>
      <c r="EH107" s="103"/>
      <c r="EI107" s="103"/>
      <c r="EJ107" s="103"/>
      <c r="EK107" s="103"/>
      <c r="EL107" s="103"/>
      <c r="EM107" s="103"/>
      <c r="EN107" s="103"/>
      <c r="EO107" s="103"/>
      <c r="EP107" s="103"/>
      <c r="EQ107" s="103"/>
      <c r="ER107" s="103"/>
      <c r="ES107" s="103"/>
      <c r="ET107" s="103"/>
      <c r="EU107" s="103"/>
      <c r="EV107" s="103"/>
      <c r="EW107" s="103"/>
    </row>
    <row r="108" spans="1:153" ht="16.2" thickTop="1" thickBot="1">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111" t="str">
        <f t="shared" si="191"/>
        <v>15</v>
      </c>
      <c r="AJ108" s="1112" t="str">
        <f t="shared" si="194"/>
        <v/>
      </c>
      <c r="AK108" s="1112" t="str">
        <f t="shared" si="194"/>
        <v/>
      </c>
      <c r="AL108" s="1112" t="str">
        <f t="shared" si="194"/>
        <v/>
      </c>
      <c r="AM108" s="1112" t="str">
        <f t="shared" si="194"/>
        <v/>
      </c>
      <c r="AN108" s="1112" t="str">
        <f t="shared" si="194"/>
        <v/>
      </c>
      <c r="AO108" s="1112" t="str">
        <f t="shared" si="194"/>
        <v/>
      </c>
      <c r="AP108" s="1112" t="str">
        <f t="shared" si="194"/>
        <v/>
      </c>
      <c r="AQ108" s="1112" t="str">
        <f t="shared" si="194"/>
        <v/>
      </c>
      <c r="AR108" s="1112" t="str">
        <f t="shared" si="194"/>
        <v/>
      </c>
      <c r="AS108" s="1112" t="str">
        <f t="shared" si="194"/>
        <v/>
      </c>
      <c r="AT108" s="1112" t="str">
        <f t="shared" si="194"/>
        <v/>
      </c>
      <c r="AU108" s="1112" t="str">
        <f t="shared" si="194"/>
        <v/>
      </c>
      <c r="AV108" s="1112" t="str">
        <f t="shared" si="194"/>
        <v/>
      </c>
      <c r="AW108" s="1112" t="str">
        <f t="shared" si="194"/>
        <v/>
      </c>
      <c r="AX108" s="1112" t="str">
        <f t="shared" si="194"/>
        <v/>
      </c>
      <c r="AY108" s="1112" t="str">
        <f t="shared" si="194"/>
        <v/>
      </c>
      <c r="AZ108" s="1112" t="str">
        <f t="shared" si="194"/>
        <v/>
      </c>
      <c r="BA108" s="1112" t="str">
        <f t="shared" si="194"/>
        <v/>
      </c>
      <c r="BB108" s="1112" t="str">
        <f t="shared" si="194"/>
        <v/>
      </c>
      <c r="BC108" s="1112" t="str">
        <f t="shared" si="194"/>
        <v/>
      </c>
      <c r="BD108" s="1112" t="str">
        <f t="shared" si="194"/>
        <v/>
      </c>
      <c r="BE108" s="1112" t="str">
        <f t="shared" si="194"/>
        <v/>
      </c>
      <c r="BF108" s="1112" t="str">
        <f t="shared" si="194"/>
        <v/>
      </c>
      <c r="BG108" s="1112" t="str">
        <f t="shared" si="194"/>
        <v/>
      </c>
      <c r="BH108" s="1103"/>
      <c r="BK108" s="103"/>
      <c r="BL108" s="103"/>
      <c r="BM108" s="103"/>
      <c r="BN108" s="103"/>
      <c r="BO108" s="103"/>
      <c r="BP108" s="103"/>
      <c r="BQ108" s="103"/>
      <c r="BR108" s="103"/>
      <c r="BS108" s="103"/>
      <c r="BT108" s="103"/>
      <c r="BU108" s="103"/>
      <c r="BV108" s="103"/>
      <c r="BW108" s="103"/>
      <c r="BX108" s="103"/>
      <c r="BY108" s="103"/>
      <c r="BZ108" s="103"/>
      <c r="CA108" s="103"/>
      <c r="CB108" s="103"/>
      <c r="CC108" s="103"/>
      <c r="CD108" s="103"/>
      <c r="CE108" s="103"/>
      <c r="CF108" s="103"/>
      <c r="CG108" s="103"/>
      <c r="CH108" s="2190"/>
      <c r="CI108" s="2190"/>
      <c r="CJ108" s="2190"/>
      <c r="CK108" s="2190"/>
      <c r="CL108" s="2190"/>
      <c r="CM108" s="2190"/>
      <c r="CN108" s="2190"/>
      <c r="CO108" s="2190"/>
      <c r="CP108" s="2190"/>
      <c r="CQ108" s="2190"/>
      <c r="CR108" s="2190"/>
      <c r="CS108" s="2190"/>
      <c r="CT108" s="2190"/>
      <c r="CU108" s="2190"/>
      <c r="CV108" s="2190"/>
      <c r="CW108" s="2190"/>
      <c r="CX108" s="2190"/>
      <c r="CY108" s="2190"/>
      <c r="CZ108" s="2190"/>
      <c r="DA108" s="2190"/>
      <c r="DB108" s="2190"/>
      <c r="DC108" s="2190"/>
      <c r="DD108" s="2190"/>
      <c r="DE108" s="2190"/>
      <c r="DF108" s="2190"/>
      <c r="DG108" s="2190"/>
      <c r="DH108" s="2190"/>
      <c r="DI108" s="2190"/>
      <c r="DJ108" s="2190"/>
      <c r="DK108" s="2190"/>
      <c r="DL108" s="2190"/>
      <c r="DM108" s="2190"/>
      <c r="DN108" s="2190"/>
      <c r="DO108" s="2190"/>
      <c r="DP108" s="2190"/>
      <c r="DQ108" s="2190"/>
      <c r="DR108" s="2190"/>
      <c r="DS108" s="2190"/>
      <c r="DT108" s="2190"/>
      <c r="DU108" s="2190"/>
      <c r="DV108" s="2190"/>
      <c r="DW108" s="2190"/>
      <c r="DX108" s="2190"/>
      <c r="DY108" s="2190"/>
      <c r="DZ108" s="2190"/>
      <c r="EA108" s="2190"/>
      <c r="EB108" s="2190"/>
      <c r="EC108" s="2190"/>
      <c r="ED108" s="2190"/>
      <c r="EE108" s="2190"/>
      <c r="EF108" s="2190"/>
      <c r="EG108" s="2190"/>
      <c r="EH108" s="2190"/>
      <c r="EI108" s="2190"/>
      <c r="EJ108" s="103"/>
      <c r="EK108" s="103"/>
      <c r="EL108" s="103"/>
      <c r="EM108" s="103"/>
      <c r="EN108" s="103"/>
      <c r="EO108" s="103"/>
      <c r="EP108" s="103"/>
      <c r="EQ108" s="103"/>
      <c r="ER108" s="103"/>
      <c r="ES108" s="103"/>
      <c r="ET108" s="103"/>
      <c r="EU108" s="103"/>
      <c r="EV108" s="103"/>
      <c r="EW108" s="103"/>
    </row>
    <row r="109" spans="1:153" ht="16.2" thickTop="1" thickBot="1">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111" t="str">
        <f t="shared" si="191"/>
        <v>16</v>
      </c>
      <c r="AJ109" s="1112" t="str">
        <f t="shared" si="194"/>
        <v/>
      </c>
      <c r="AK109" s="1112" t="str">
        <f t="shared" si="194"/>
        <v/>
      </c>
      <c r="AL109" s="1112" t="str">
        <f t="shared" si="194"/>
        <v/>
      </c>
      <c r="AM109" s="1112" t="str">
        <f t="shared" si="194"/>
        <v/>
      </c>
      <c r="AN109" s="1112" t="str">
        <f t="shared" si="194"/>
        <v/>
      </c>
      <c r="AO109" s="1112" t="str">
        <f t="shared" si="194"/>
        <v/>
      </c>
      <c r="AP109" s="1112" t="str">
        <f t="shared" si="194"/>
        <v/>
      </c>
      <c r="AQ109" s="1112" t="str">
        <f t="shared" si="194"/>
        <v/>
      </c>
      <c r="AR109" s="1112" t="str">
        <f t="shared" si="194"/>
        <v/>
      </c>
      <c r="AS109" s="1112" t="str">
        <f t="shared" si="194"/>
        <v/>
      </c>
      <c r="AT109" s="1112" t="str">
        <f t="shared" si="194"/>
        <v/>
      </c>
      <c r="AU109" s="1112" t="str">
        <f t="shared" si="194"/>
        <v/>
      </c>
      <c r="AV109" s="1112" t="str">
        <f t="shared" si="194"/>
        <v/>
      </c>
      <c r="AW109" s="1112" t="str">
        <f t="shared" si="194"/>
        <v/>
      </c>
      <c r="AX109" s="1112" t="str">
        <f t="shared" si="194"/>
        <v/>
      </c>
      <c r="AY109" s="1112" t="str">
        <f t="shared" si="194"/>
        <v/>
      </c>
      <c r="AZ109" s="1112" t="str">
        <f t="shared" si="194"/>
        <v/>
      </c>
      <c r="BA109" s="1112" t="str">
        <f t="shared" si="194"/>
        <v/>
      </c>
      <c r="BB109" s="1112" t="str">
        <f t="shared" si="194"/>
        <v/>
      </c>
      <c r="BC109" s="1112" t="str">
        <f>IF(BC70&gt;BC$90,"!!!","")</f>
        <v/>
      </c>
      <c r="BD109" s="1112" t="str">
        <f t="shared" si="194"/>
        <v/>
      </c>
      <c r="BE109" s="1112" t="str">
        <f t="shared" si="194"/>
        <v/>
      </c>
      <c r="BF109" s="1112" t="str">
        <f t="shared" si="194"/>
        <v/>
      </c>
      <c r="BG109" s="1112" t="str">
        <f>IF(BG70&gt;BG$90,"!!!","")</f>
        <v/>
      </c>
      <c r="BH109" s="1103"/>
      <c r="BK109" s="103"/>
      <c r="BL109" s="103"/>
      <c r="BM109" s="103"/>
      <c r="BN109" s="103"/>
      <c r="BO109" s="103"/>
      <c r="BP109" s="103"/>
      <c r="BQ109" s="103"/>
      <c r="BR109" s="103"/>
      <c r="BS109" s="103"/>
      <c r="BT109" s="103"/>
      <c r="BU109" s="103"/>
      <c r="BV109" s="103"/>
      <c r="BW109" s="103"/>
      <c r="BX109" s="103"/>
      <c r="BY109" s="103"/>
      <c r="BZ109" s="103"/>
      <c r="CA109" s="103"/>
      <c r="CB109" s="103"/>
      <c r="CC109" s="103"/>
      <c r="CD109" s="103"/>
      <c r="CE109" s="103"/>
      <c r="CF109" s="103"/>
      <c r="CG109" s="103"/>
      <c r="CH109" s="2190"/>
      <c r="CI109" s="2190"/>
      <c r="CJ109" s="2190"/>
      <c r="CK109" s="2190"/>
      <c r="CL109" s="2190"/>
      <c r="CM109" s="2190"/>
      <c r="CN109" s="2190"/>
      <c r="CO109" s="2190"/>
      <c r="CP109" s="2190"/>
      <c r="CQ109" s="2190"/>
      <c r="CR109" s="2190"/>
      <c r="CS109" s="2190"/>
      <c r="CT109" s="2190"/>
      <c r="CU109" s="2190"/>
      <c r="CV109" s="2190"/>
      <c r="CW109" s="2190"/>
      <c r="CX109" s="2190"/>
      <c r="CY109" s="2190"/>
      <c r="CZ109" s="2190"/>
      <c r="DA109" s="2190"/>
      <c r="DB109" s="2190"/>
      <c r="DC109" s="2190"/>
      <c r="DD109" s="2190"/>
      <c r="DE109" s="2190"/>
      <c r="DF109" s="2190"/>
      <c r="DG109" s="2190"/>
      <c r="DH109" s="2190"/>
      <c r="DI109" s="2190"/>
      <c r="DJ109" s="2190"/>
      <c r="DK109" s="2190"/>
      <c r="DL109" s="2190"/>
      <c r="DM109" s="2190"/>
      <c r="DN109" s="2190"/>
      <c r="DO109" s="2190"/>
      <c r="DP109" s="2190"/>
      <c r="DQ109" s="2190"/>
      <c r="DR109" s="2190"/>
      <c r="DS109" s="2190"/>
      <c r="DT109" s="2190"/>
      <c r="DU109" s="2190"/>
      <c r="DV109" s="2190"/>
      <c r="DW109" s="2190"/>
      <c r="DX109" s="2190"/>
      <c r="DY109" s="2190"/>
      <c r="DZ109" s="2190"/>
      <c r="EA109" s="2190"/>
      <c r="EB109" s="2190"/>
      <c r="EC109" s="2190"/>
      <c r="ED109" s="2190"/>
      <c r="EE109" s="2190"/>
      <c r="EF109" s="2190"/>
      <c r="EG109" s="2190"/>
      <c r="EH109" s="2190"/>
      <c r="EI109" s="2190"/>
      <c r="EJ109" s="103"/>
      <c r="EK109" s="103"/>
      <c r="EL109" s="103"/>
      <c r="EM109" s="103"/>
      <c r="EN109" s="103"/>
      <c r="EO109" s="103"/>
      <c r="EP109" s="103"/>
      <c r="EQ109" s="103"/>
      <c r="ER109" s="103"/>
      <c r="ES109" s="103"/>
      <c r="ET109" s="103"/>
      <c r="EU109" s="103"/>
      <c r="EV109" s="103"/>
      <c r="EW109" s="103"/>
    </row>
    <row r="110" spans="1:153" ht="16.2" thickTop="1" thickBot="1">
      <c r="A110" s="995"/>
      <c r="B110" s="995"/>
      <c r="C110" s="995"/>
      <c r="D110" s="995"/>
      <c r="E110" s="995"/>
      <c r="F110" s="995"/>
      <c r="G110" s="995"/>
      <c r="H110" s="995"/>
      <c r="I110" s="995"/>
      <c r="J110" s="995"/>
      <c r="K110" s="995"/>
      <c r="L110" s="995"/>
      <c r="M110" s="995"/>
      <c r="N110" s="995"/>
      <c r="O110" s="995"/>
      <c r="P110" s="995"/>
      <c r="Q110" s="995"/>
      <c r="R110" s="995"/>
      <c r="S110" s="995"/>
      <c r="T110" s="995"/>
      <c r="U110" s="995"/>
      <c r="V110" s="995"/>
      <c r="W110" s="995"/>
      <c r="X110" s="995"/>
      <c r="Y110" s="995"/>
      <c r="Z110" s="995"/>
      <c r="AA110" s="995"/>
      <c r="AB110" s="995"/>
      <c r="AC110" s="995"/>
      <c r="AD110" s="995"/>
      <c r="AE110" s="995"/>
      <c r="AF110" s="995"/>
      <c r="AG110" s="995"/>
      <c r="AH110" s="995"/>
      <c r="AI110" s="1111" t="str">
        <f t="shared" si="191"/>
        <v>17</v>
      </c>
      <c r="AJ110" s="1112" t="str">
        <f t="shared" si="194"/>
        <v/>
      </c>
      <c r="AK110" s="1112" t="str">
        <f t="shared" si="194"/>
        <v/>
      </c>
      <c r="AL110" s="1112" t="str">
        <f t="shared" si="194"/>
        <v/>
      </c>
      <c r="AM110" s="1112" t="str">
        <f t="shared" si="194"/>
        <v/>
      </c>
      <c r="AN110" s="1112" t="str">
        <f t="shared" si="194"/>
        <v/>
      </c>
      <c r="AO110" s="1112" t="str">
        <f t="shared" si="194"/>
        <v/>
      </c>
      <c r="AP110" s="1112" t="str">
        <f t="shared" si="194"/>
        <v/>
      </c>
      <c r="AQ110" s="1112" t="str">
        <f t="shared" si="194"/>
        <v/>
      </c>
      <c r="AR110" s="1112" t="str">
        <f t="shared" si="194"/>
        <v/>
      </c>
      <c r="AS110" s="1112" t="str">
        <f t="shared" si="194"/>
        <v/>
      </c>
      <c r="AT110" s="1112" t="str">
        <f t="shared" si="194"/>
        <v/>
      </c>
      <c r="AU110" s="1112" t="str">
        <f t="shared" si="194"/>
        <v/>
      </c>
      <c r="AV110" s="1112" t="str">
        <f t="shared" si="194"/>
        <v/>
      </c>
      <c r="AW110" s="1112" t="str">
        <f t="shared" si="194"/>
        <v/>
      </c>
      <c r="AX110" s="1112" t="str">
        <f t="shared" si="194"/>
        <v/>
      </c>
      <c r="AY110" s="1112" t="str">
        <f t="shared" si="194"/>
        <v/>
      </c>
      <c r="AZ110" s="1112" t="str">
        <f t="shared" si="194"/>
        <v/>
      </c>
      <c r="BA110" s="1112" t="str">
        <f t="shared" si="194"/>
        <v/>
      </c>
      <c r="BB110" s="1112" t="str">
        <f t="shared" si="194"/>
        <v/>
      </c>
      <c r="BC110" s="1112" t="str">
        <f t="shared" si="194"/>
        <v/>
      </c>
      <c r="BD110" s="1112" t="str">
        <f t="shared" si="194"/>
        <v/>
      </c>
      <c r="BE110" s="1112" t="str">
        <f t="shared" si="194"/>
        <v/>
      </c>
      <c r="BF110" s="1112" t="str">
        <f t="shared" si="194"/>
        <v/>
      </c>
      <c r="BG110" s="1112" t="str">
        <f t="shared" si="194"/>
        <v/>
      </c>
      <c r="BH110" s="1103"/>
      <c r="BK110" s="995"/>
      <c r="BL110" s="995"/>
      <c r="BM110" s="995"/>
      <c r="BN110" s="995"/>
      <c r="BO110" s="995"/>
      <c r="BP110" s="995"/>
      <c r="BQ110" s="995"/>
      <c r="BR110" s="995"/>
      <c r="BS110" s="995"/>
      <c r="BT110" s="995"/>
      <c r="BU110" s="995"/>
      <c r="BV110" s="995"/>
      <c r="BW110" s="995"/>
      <c r="BX110" s="995"/>
      <c r="BY110" s="995"/>
      <c r="BZ110" s="995"/>
      <c r="CA110" s="995"/>
      <c r="CB110" s="995"/>
      <c r="CC110" s="995"/>
      <c r="CD110" s="995"/>
      <c r="CE110" s="995"/>
      <c r="CF110" s="995"/>
      <c r="CG110" s="995"/>
      <c r="CH110" s="1105"/>
      <c r="CI110" s="1105"/>
      <c r="CJ110" s="1105"/>
      <c r="CK110" s="1105"/>
      <c r="CL110" s="1105"/>
      <c r="CM110" s="1105"/>
      <c r="CN110" s="1105"/>
      <c r="CO110" s="1105"/>
      <c r="CP110" s="1105"/>
      <c r="CQ110" s="1105"/>
      <c r="CR110" s="1105"/>
      <c r="CS110" s="1105"/>
      <c r="CT110" s="1105"/>
      <c r="CU110" s="1105"/>
      <c r="CV110" s="1105"/>
      <c r="CW110" s="1105"/>
      <c r="CX110" s="1105"/>
      <c r="CY110" s="1105"/>
      <c r="CZ110" s="1105"/>
      <c r="DA110" s="1105"/>
      <c r="DB110" s="1105"/>
      <c r="DC110" s="1105"/>
      <c r="DD110" s="1105"/>
      <c r="DE110" s="1105"/>
      <c r="DF110" s="1105"/>
      <c r="DG110" s="1105"/>
      <c r="DH110" s="1105"/>
      <c r="DI110" s="1105"/>
      <c r="DJ110" s="1105"/>
      <c r="DK110" s="1105"/>
      <c r="DL110" s="1105"/>
      <c r="DM110" s="1105"/>
      <c r="DN110" s="1113"/>
      <c r="DO110" s="1113"/>
      <c r="DP110" s="1113"/>
      <c r="DQ110" s="1113"/>
      <c r="DR110" s="1113"/>
      <c r="DS110" s="1113"/>
      <c r="DT110" s="1113"/>
      <c r="DU110" s="1113"/>
      <c r="DV110" s="1113"/>
      <c r="DW110" s="1113"/>
      <c r="DX110" s="1113"/>
      <c r="DY110" s="1113"/>
      <c r="DZ110" s="1113"/>
      <c r="EA110" s="1113"/>
      <c r="EB110" s="1113"/>
      <c r="EC110" s="1113"/>
      <c r="ED110" s="1113"/>
      <c r="EE110" s="1113"/>
      <c r="EF110" s="1113"/>
      <c r="EG110" s="1113"/>
      <c r="EH110" s="1113"/>
      <c r="EI110" s="1113"/>
    </row>
    <row r="111" spans="1:153" ht="16.2" thickTop="1" thickBot="1">
      <c r="A111" s="995"/>
      <c r="B111" s="995"/>
      <c r="C111" s="995"/>
      <c r="D111" s="995"/>
      <c r="E111" s="995"/>
      <c r="F111" s="995"/>
      <c r="G111" s="995"/>
      <c r="H111" s="995"/>
      <c r="I111" s="995"/>
      <c r="J111" s="995"/>
      <c r="K111" s="995"/>
      <c r="L111" s="995"/>
      <c r="M111" s="995"/>
      <c r="N111" s="995"/>
      <c r="O111" s="995"/>
      <c r="P111" s="995"/>
      <c r="Q111" s="995"/>
      <c r="R111" s="995"/>
      <c r="S111" s="995"/>
      <c r="T111" s="995"/>
      <c r="U111" s="995"/>
      <c r="V111" s="995"/>
      <c r="W111" s="995"/>
      <c r="X111" s="995"/>
      <c r="Y111" s="995"/>
      <c r="Z111" s="995"/>
      <c r="AA111" s="995"/>
      <c r="AB111" s="995"/>
      <c r="AC111" s="995"/>
      <c r="AD111" s="995"/>
      <c r="AE111" s="995"/>
      <c r="AF111" s="995"/>
      <c r="AG111" s="995"/>
      <c r="AH111" s="995"/>
      <c r="AI111" s="1111" t="str">
        <f t="shared" si="191"/>
        <v>18</v>
      </c>
      <c r="AJ111" s="1112" t="str">
        <f t="shared" si="194"/>
        <v/>
      </c>
      <c r="AK111" s="1112" t="str">
        <f t="shared" si="194"/>
        <v/>
      </c>
      <c r="AL111" s="1112" t="str">
        <f t="shared" si="194"/>
        <v/>
      </c>
      <c r="AM111" s="1112" t="str">
        <f t="shared" si="194"/>
        <v/>
      </c>
      <c r="AN111" s="1112" t="str">
        <f t="shared" si="194"/>
        <v/>
      </c>
      <c r="AO111" s="1112" t="str">
        <f t="shared" si="194"/>
        <v/>
      </c>
      <c r="AP111" s="1112" t="str">
        <f t="shared" si="194"/>
        <v/>
      </c>
      <c r="AQ111" s="1112" t="str">
        <f t="shared" si="194"/>
        <v/>
      </c>
      <c r="AR111" s="1112" t="str">
        <f t="shared" si="194"/>
        <v/>
      </c>
      <c r="AS111" s="1112" t="str">
        <f t="shared" si="194"/>
        <v/>
      </c>
      <c r="AT111" s="1112" t="str">
        <f t="shared" si="194"/>
        <v/>
      </c>
      <c r="AU111" s="1112" t="str">
        <f t="shared" si="194"/>
        <v/>
      </c>
      <c r="AV111" s="1112" t="str">
        <f t="shared" si="194"/>
        <v/>
      </c>
      <c r="AW111" s="1112" t="str">
        <f t="shared" si="194"/>
        <v/>
      </c>
      <c r="AX111" s="1112" t="str">
        <f t="shared" si="194"/>
        <v/>
      </c>
      <c r="AY111" s="1112" t="str">
        <f t="shared" si="194"/>
        <v/>
      </c>
      <c r="AZ111" s="1112" t="str">
        <f t="shared" si="194"/>
        <v/>
      </c>
      <c r="BA111" s="1112" t="str">
        <f t="shared" si="194"/>
        <v/>
      </c>
      <c r="BB111" s="1112" t="str">
        <f t="shared" si="194"/>
        <v/>
      </c>
      <c r="BC111" s="1112" t="str">
        <f t="shared" si="194"/>
        <v/>
      </c>
      <c r="BD111" s="1112" t="str">
        <f t="shared" si="194"/>
        <v/>
      </c>
      <c r="BE111" s="1112" t="str">
        <f t="shared" si="194"/>
        <v/>
      </c>
      <c r="BF111" s="1112" t="str">
        <f t="shared" si="194"/>
        <v/>
      </c>
      <c r="BG111" s="1112" t="str">
        <f t="shared" si="194"/>
        <v/>
      </c>
      <c r="BH111" s="1103"/>
      <c r="BK111" s="995"/>
      <c r="BL111" s="995"/>
      <c r="BM111" s="995"/>
      <c r="BN111" s="995"/>
      <c r="BO111" s="995"/>
      <c r="BP111" s="995"/>
      <c r="BQ111" s="995"/>
      <c r="BR111" s="995"/>
      <c r="BS111" s="995"/>
      <c r="BT111" s="995"/>
      <c r="BU111" s="995"/>
      <c r="BV111" s="995"/>
      <c r="BW111" s="995"/>
      <c r="BX111" s="995"/>
      <c r="BY111" s="995"/>
      <c r="BZ111" s="995"/>
      <c r="CA111" s="995"/>
      <c r="CB111" s="995"/>
      <c r="CC111" s="995"/>
      <c r="CD111" s="995"/>
      <c r="CE111" s="995"/>
      <c r="CF111" s="995"/>
      <c r="CG111" s="995"/>
      <c r="CH111" s="1105"/>
      <c r="CI111" s="1105"/>
      <c r="CJ111" s="1105"/>
      <c r="CK111" s="1105"/>
      <c r="CL111" s="1105"/>
      <c r="CM111" s="1105"/>
      <c r="CN111" s="1105"/>
      <c r="CO111" s="1105"/>
      <c r="CP111" s="1105"/>
      <c r="CQ111" s="1105"/>
      <c r="CR111" s="1105"/>
      <c r="CS111" s="1105"/>
      <c r="CT111" s="1105"/>
      <c r="CU111" s="1105"/>
      <c r="CV111" s="1105"/>
      <c r="CW111" s="1105"/>
      <c r="CX111" s="1105"/>
      <c r="CY111" s="1105"/>
      <c r="CZ111" s="1105"/>
      <c r="DA111" s="1105"/>
      <c r="DB111" s="1105"/>
      <c r="DC111" s="1105"/>
      <c r="DD111" s="1105"/>
      <c r="DE111" s="1105"/>
      <c r="DF111" s="1105"/>
      <c r="DG111" s="1105"/>
      <c r="DH111" s="1105"/>
      <c r="DI111" s="1105"/>
      <c r="DJ111" s="1105"/>
      <c r="DK111" s="1105"/>
      <c r="DL111" s="1105"/>
      <c r="DM111" s="1105"/>
      <c r="DN111" s="1113"/>
      <c r="DO111" s="1113"/>
      <c r="DP111" s="1113"/>
      <c r="DQ111" s="1113"/>
      <c r="DR111" s="1113"/>
      <c r="DS111" s="1113"/>
      <c r="DT111" s="1113"/>
      <c r="DU111" s="1113"/>
      <c r="DV111" s="1113"/>
      <c r="DW111" s="1113"/>
      <c r="DX111" s="1113"/>
      <c r="DY111" s="1113"/>
      <c r="DZ111" s="1113"/>
      <c r="EA111" s="1113"/>
      <c r="EB111" s="1113"/>
      <c r="EC111" s="1113"/>
      <c r="ED111" s="1113"/>
      <c r="EE111" s="1113"/>
      <c r="EF111" s="1113"/>
      <c r="EG111" s="1113"/>
      <c r="EH111" s="1113"/>
      <c r="EI111" s="1113"/>
    </row>
    <row r="112" spans="1:153" ht="16.2" thickTop="1" thickBot="1">
      <c r="A112" s="995"/>
      <c r="B112" s="995"/>
      <c r="C112" s="995"/>
      <c r="D112" s="995"/>
      <c r="E112" s="995"/>
      <c r="F112" s="995"/>
      <c r="G112" s="995"/>
      <c r="H112" s="995"/>
      <c r="I112" s="995"/>
      <c r="J112" s="995"/>
      <c r="K112" s="995"/>
      <c r="L112" s="995"/>
      <c r="M112" s="995"/>
      <c r="N112" s="995"/>
      <c r="O112" s="995"/>
      <c r="P112" s="995"/>
      <c r="Q112" s="995"/>
      <c r="R112" s="995"/>
      <c r="S112" s="995"/>
      <c r="T112" s="995"/>
      <c r="U112" s="995"/>
      <c r="V112" s="995"/>
      <c r="W112" s="995"/>
      <c r="X112" s="995"/>
      <c r="Y112" s="995"/>
      <c r="Z112" s="995"/>
      <c r="AA112" s="995"/>
      <c r="AB112" s="995"/>
      <c r="AC112" s="995"/>
      <c r="AD112" s="995"/>
      <c r="AE112" s="995"/>
      <c r="AF112" s="995"/>
      <c r="AG112" s="995"/>
      <c r="AH112" s="995"/>
      <c r="AI112" s="1111" t="str">
        <f t="shared" si="191"/>
        <v>19</v>
      </c>
      <c r="AJ112" s="1112" t="str">
        <f t="shared" si="194"/>
        <v/>
      </c>
      <c r="AK112" s="1112" t="str">
        <f t="shared" si="194"/>
        <v/>
      </c>
      <c r="AL112" s="1112" t="str">
        <f t="shared" si="194"/>
        <v/>
      </c>
      <c r="AM112" s="1112" t="str">
        <f t="shared" si="194"/>
        <v/>
      </c>
      <c r="AN112" s="1112" t="str">
        <f t="shared" si="194"/>
        <v/>
      </c>
      <c r="AO112" s="1112" t="str">
        <f t="shared" si="194"/>
        <v/>
      </c>
      <c r="AP112" s="1112" t="str">
        <f t="shared" si="194"/>
        <v/>
      </c>
      <c r="AQ112" s="1112" t="str">
        <f t="shared" si="194"/>
        <v/>
      </c>
      <c r="AR112" s="1112" t="str">
        <f t="shared" si="194"/>
        <v/>
      </c>
      <c r="AS112" s="1112" t="str">
        <f t="shared" si="194"/>
        <v/>
      </c>
      <c r="AT112" s="1112" t="str">
        <f t="shared" si="194"/>
        <v/>
      </c>
      <c r="AU112" s="1112" t="str">
        <f t="shared" si="194"/>
        <v/>
      </c>
      <c r="AV112" s="1112" t="str">
        <f t="shared" si="194"/>
        <v/>
      </c>
      <c r="AW112" s="1112" t="str">
        <f t="shared" si="194"/>
        <v/>
      </c>
      <c r="AX112" s="1112" t="str">
        <f t="shared" si="194"/>
        <v/>
      </c>
      <c r="AY112" s="1112" t="str">
        <f t="shared" si="194"/>
        <v/>
      </c>
      <c r="AZ112" s="1112" t="str">
        <f t="shared" si="194"/>
        <v/>
      </c>
      <c r="BA112" s="1112" t="str">
        <f t="shared" si="194"/>
        <v/>
      </c>
      <c r="BB112" s="1112" t="str">
        <f t="shared" si="194"/>
        <v/>
      </c>
      <c r="BC112" s="1112" t="str">
        <f t="shared" si="194"/>
        <v/>
      </c>
      <c r="BD112" s="1112" t="str">
        <f t="shared" si="194"/>
        <v/>
      </c>
      <c r="BE112" s="1112" t="str">
        <f t="shared" si="194"/>
        <v/>
      </c>
      <c r="BF112" s="1112" t="str">
        <f t="shared" si="194"/>
        <v/>
      </c>
      <c r="BG112" s="1112" t="str">
        <f t="shared" si="194"/>
        <v/>
      </c>
      <c r="BH112" s="1103"/>
      <c r="BK112" s="995"/>
      <c r="BL112" s="995"/>
      <c r="BM112" s="995"/>
      <c r="BN112" s="995"/>
      <c r="BO112" s="995"/>
      <c r="BP112" s="995"/>
      <c r="BQ112" s="995"/>
      <c r="BR112" s="995"/>
      <c r="BS112" s="995"/>
      <c r="BT112" s="995"/>
      <c r="BU112" s="995"/>
      <c r="BV112" s="995"/>
      <c r="BW112" s="995"/>
      <c r="BX112" s="995"/>
      <c r="BY112" s="995"/>
      <c r="BZ112" s="995"/>
      <c r="CA112" s="995"/>
      <c r="CB112" s="995"/>
      <c r="CC112" s="995"/>
      <c r="CD112" s="995"/>
      <c r="CE112" s="995"/>
      <c r="CF112" s="995"/>
      <c r="CG112" s="995"/>
      <c r="CH112" s="1105"/>
      <c r="CI112" s="1105"/>
      <c r="CJ112" s="1105"/>
      <c r="CK112" s="1105"/>
      <c r="CL112" s="1105"/>
      <c r="CM112" s="1105"/>
      <c r="CN112" s="1105"/>
      <c r="CO112" s="1105"/>
      <c r="CP112" s="1105"/>
      <c r="CQ112" s="1105"/>
      <c r="CR112" s="1105"/>
      <c r="CS112" s="1105"/>
      <c r="CT112" s="1105"/>
      <c r="CU112" s="1105"/>
      <c r="CV112" s="1105"/>
      <c r="CW112" s="1105"/>
      <c r="CX112" s="1105"/>
      <c r="CY112" s="1105"/>
      <c r="CZ112" s="1105"/>
      <c r="DA112" s="1105"/>
      <c r="DB112" s="1105"/>
      <c r="DC112" s="1105"/>
      <c r="DD112" s="1105"/>
      <c r="DE112" s="1105"/>
      <c r="DF112" s="1105"/>
      <c r="DG112" s="1105"/>
      <c r="DH112" s="1105"/>
      <c r="DI112" s="1105"/>
      <c r="DJ112" s="1105"/>
      <c r="DK112" s="1105"/>
      <c r="DL112" s="1105"/>
      <c r="DM112" s="1105"/>
      <c r="DN112" s="1113"/>
      <c r="DO112" s="1113"/>
      <c r="DP112" s="1113"/>
      <c r="DQ112" s="1113"/>
      <c r="DR112" s="1113"/>
      <c r="DS112" s="1113"/>
      <c r="DT112" s="1113"/>
      <c r="DU112" s="1113"/>
      <c r="DV112" s="1113"/>
      <c r="DW112" s="1113"/>
      <c r="DX112" s="1113"/>
      <c r="DY112" s="1113"/>
      <c r="DZ112" s="1113"/>
      <c r="EA112" s="1113"/>
      <c r="EB112" s="1113"/>
      <c r="EC112" s="1113"/>
      <c r="ED112" s="1113"/>
      <c r="EE112" s="1113"/>
      <c r="EF112" s="1113"/>
      <c r="EG112" s="1113"/>
      <c r="EH112" s="1113"/>
      <c r="EI112" s="1113"/>
    </row>
    <row r="113" spans="1:139" ht="16.2" thickTop="1" thickBot="1">
      <c r="A113" s="995"/>
      <c r="B113" s="995"/>
      <c r="C113" s="995"/>
      <c r="D113" s="995"/>
      <c r="E113" s="995"/>
      <c r="F113" s="995"/>
      <c r="G113" s="995"/>
      <c r="H113" s="995"/>
      <c r="I113" s="995"/>
      <c r="J113" s="995"/>
      <c r="K113" s="995"/>
      <c r="L113" s="995"/>
      <c r="M113" s="995"/>
      <c r="N113" s="995"/>
      <c r="O113" s="995"/>
      <c r="P113" s="995"/>
      <c r="Q113" s="995"/>
      <c r="R113" s="995"/>
      <c r="S113" s="995"/>
      <c r="T113" s="995"/>
      <c r="U113" s="995"/>
      <c r="V113" s="995"/>
      <c r="W113" s="995"/>
      <c r="X113" s="995"/>
      <c r="Y113" s="995"/>
      <c r="Z113" s="995"/>
      <c r="AA113" s="995"/>
      <c r="AB113" s="995"/>
      <c r="AC113" s="995"/>
      <c r="AD113" s="995"/>
      <c r="AE113" s="995"/>
      <c r="AF113" s="995"/>
      <c r="AG113" s="995"/>
      <c r="AH113" s="995"/>
      <c r="AI113" s="1111" t="str">
        <f t="shared" si="191"/>
        <v>20</v>
      </c>
      <c r="AJ113" s="1112" t="str">
        <f t="shared" si="194"/>
        <v/>
      </c>
      <c r="AK113" s="1112" t="str">
        <f t="shared" si="194"/>
        <v/>
      </c>
      <c r="AL113" s="1112" t="str">
        <f t="shared" si="194"/>
        <v/>
      </c>
      <c r="AM113" s="1112" t="str">
        <f t="shared" si="194"/>
        <v/>
      </c>
      <c r="AN113" s="1112" t="str">
        <f t="shared" si="194"/>
        <v/>
      </c>
      <c r="AO113" s="1112" t="str">
        <f t="shared" si="194"/>
        <v/>
      </c>
      <c r="AP113" s="1112" t="str">
        <f t="shared" si="194"/>
        <v/>
      </c>
      <c r="AQ113" s="1112" t="str">
        <f t="shared" si="194"/>
        <v/>
      </c>
      <c r="AR113" s="1112" t="str">
        <f t="shared" si="194"/>
        <v/>
      </c>
      <c r="AS113" s="1112" t="str">
        <f t="shared" si="194"/>
        <v/>
      </c>
      <c r="AT113" s="1112" t="str">
        <f t="shared" si="194"/>
        <v/>
      </c>
      <c r="AU113" s="1112" t="str">
        <f t="shared" si="194"/>
        <v/>
      </c>
      <c r="AV113" s="1112" t="str">
        <f t="shared" si="194"/>
        <v/>
      </c>
      <c r="AW113" s="1112" t="str">
        <f t="shared" si="194"/>
        <v/>
      </c>
      <c r="AX113" s="1112" t="str">
        <f t="shared" si="194"/>
        <v/>
      </c>
      <c r="AY113" s="1112" t="str">
        <f t="shared" si="194"/>
        <v/>
      </c>
      <c r="AZ113" s="1112" t="str">
        <f t="shared" si="194"/>
        <v/>
      </c>
      <c r="BA113" s="1112" t="str">
        <f t="shared" si="194"/>
        <v/>
      </c>
      <c r="BB113" s="1112" t="str">
        <f t="shared" si="194"/>
        <v/>
      </c>
      <c r="BC113" s="1112" t="str">
        <f t="shared" si="194"/>
        <v/>
      </c>
      <c r="BD113" s="1112" t="str">
        <f t="shared" si="194"/>
        <v/>
      </c>
      <c r="BE113" s="1112" t="str">
        <f t="shared" si="194"/>
        <v/>
      </c>
      <c r="BF113" s="1112" t="str">
        <f t="shared" si="194"/>
        <v/>
      </c>
      <c r="BG113" s="1112" t="str">
        <f t="shared" si="194"/>
        <v/>
      </c>
      <c r="BH113" s="1103"/>
      <c r="BK113" s="995"/>
      <c r="BL113" s="995"/>
      <c r="BM113" s="995"/>
      <c r="BN113" s="995"/>
      <c r="BO113" s="995"/>
      <c r="BP113" s="995"/>
      <c r="BQ113" s="995"/>
      <c r="BR113" s="995"/>
      <c r="BS113" s="995"/>
      <c r="BT113" s="995"/>
      <c r="BU113" s="995"/>
      <c r="BV113" s="995"/>
      <c r="BW113" s="995"/>
      <c r="BX113" s="995"/>
      <c r="BY113" s="995"/>
      <c r="BZ113" s="995"/>
      <c r="CA113" s="995"/>
      <c r="CB113" s="995"/>
      <c r="CC113" s="995"/>
      <c r="CD113" s="995"/>
      <c r="CE113" s="995"/>
      <c r="CF113" s="995"/>
      <c r="CG113" s="995"/>
      <c r="CH113" s="1105"/>
      <c r="CI113" s="1105"/>
      <c r="CJ113" s="1105"/>
      <c r="CK113" s="1105"/>
      <c r="CL113" s="1105"/>
      <c r="CM113" s="1105"/>
      <c r="CN113" s="1105"/>
      <c r="CO113" s="1105"/>
      <c r="CP113" s="1105"/>
      <c r="CQ113" s="1105"/>
      <c r="CR113" s="1105"/>
      <c r="CS113" s="1105"/>
      <c r="CT113" s="1105"/>
      <c r="CU113" s="1105"/>
      <c r="CV113" s="1105"/>
      <c r="CW113" s="1105"/>
      <c r="CX113" s="1105"/>
      <c r="CY113" s="1105"/>
      <c r="CZ113" s="1105"/>
      <c r="DA113" s="1105"/>
      <c r="DB113" s="1105"/>
      <c r="DC113" s="1105"/>
      <c r="DD113" s="1105"/>
      <c r="DE113" s="1105"/>
      <c r="DF113" s="1105"/>
      <c r="DG113" s="1105"/>
      <c r="DH113" s="1105"/>
      <c r="DI113" s="1105"/>
      <c r="DJ113" s="1105"/>
      <c r="DK113" s="1105"/>
      <c r="DL113" s="1105"/>
      <c r="DM113" s="1105"/>
      <c r="DN113" s="1113"/>
      <c r="DO113" s="1113"/>
      <c r="DP113" s="1113"/>
      <c r="DQ113" s="1113"/>
      <c r="DR113" s="1113"/>
      <c r="DS113" s="1113"/>
      <c r="DT113" s="1113"/>
      <c r="DU113" s="1113"/>
      <c r="DV113" s="1113"/>
      <c r="DW113" s="1113"/>
      <c r="DX113" s="1113"/>
      <c r="DY113" s="1113"/>
      <c r="DZ113" s="1113"/>
      <c r="EA113" s="1113"/>
      <c r="EB113" s="1113"/>
      <c r="EC113" s="1113"/>
      <c r="ED113" s="1113"/>
      <c r="EE113" s="1113"/>
      <c r="EF113" s="1113"/>
      <c r="EG113" s="1113"/>
      <c r="EH113" s="1113"/>
      <c r="EI113" s="1113"/>
    </row>
    <row r="114" spans="1:139" ht="16.2" thickTop="1" thickBot="1">
      <c r="A114" s="995"/>
      <c r="B114" s="995"/>
      <c r="C114" s="995"/>
      <c r="D114" s="995"/>
      <c r="E114" s="995"/>
      <c r="F114" s="995"/>
      <c r="G114" s="995"/>
      <c r="H114" s="995"/>
      <c r="I114" s="995"/>
      <c r="J114" s="995"/>
      <c r="K114" s="995"/>
      <c r="L114" s="995"/>
      <c r="M114" s="995"/>
      <c r="N114" s="995"/>
      <c r="O114" s="995"/>
      <c r="P114" s="995"/>
      <c r="Q114" s="995"/>
      <c r="R114" s="995"/>
      <c r="S114" s="995"/>
      <c r="T114" s="995"/>
      <c r="U114" s="995"/>
      <c r="V114" s="995"/>
      <c r="W114" s="995"/>
      <c r="X114" s="995"/>
      <c r="Y114" s="995"/>
      <c r="Z114" s="995"/>
      <c r="AA114" s="995"/>
      <c r="AB114" s="995"/>
      <c r="AC114" s="995"/>
      <c r="AD114" s="995"/>
      <c r="AE114" s="995"/>
      <c r="AF114" s="995"/>
      <c r="AG114" s="995"/>
      <c r="AH114" s="995"/>
      <c r="AI114" s="1111" t="str">
        <f t="shared" si="191"/>
        <v>21</v>
      </c>
      <c r="AJ114" s="1112" t="str">
        <f t="shared" si="194"/>
        <v/>
      </c>
      <c r="AK114" s="1112" t="str">
        <f t="shared" si="194"/>
        <v/>
      </c>
      <c r="AL114" s="1112" t="str">
        <f t="shared" si="194"/>
        <v/>
      </c>
      <c r="AM114" s="1112" t="str">
        <f t="shared" si="194"/>
        <v/>
      </c>
      <c r="AN114" s="1112" t="str">
        <f t="shared" si="194"/>
        <v/>
      </c>
      <c r="AO114" s="1112" t="str">
        <f t="shared" si="194"/>
        <v/>
      </c>
      <c r="AP114" s="1112" t="str">
        <f t="shared" si="194"/>
        <v/>
      </c>
      <c r="AQ114" s="1112" t="str">
        <f t="shared" si="194"/>
        <v/>
      </c>
      <c r="AR114" s="1112" t="str">
        <f t="shared" si="194"/>
        <v/>
      </c>
      <c r="AS114" s="1112" t="str">
        <f t="shared" si="194"/>
        <v/>
      </c>
      <c r="AT114" s="1112" t="str">
        <f t="shared" si="194"/>
        <v/>
      </c>
      <c r="AU114" s="1112" t="str">
        <f t="shared" si="194"/>
        <v/>
      </c>
      <c r="AV114" s="1112" t="str">
        <f t="shared" si="194"/>
        <v/>
      </c>
      <c r="AW114" s="1112" t="str">
        <f t="shared" si="194"/>
        <v/>
      </c>
      <c r="AX114" s="1112" t="str">
        <f t="shared" si="194"/>
        <v/>
      </c>
      <c r="AY114" s="1112" t="str">
        <f t="shared" si="194"/>
        <v/>
      </c>
      <c r="AZ114" s="1112" t="str">
        <f t="shared" si="194"/>
        <v/>
      </c>
      <c r="BA114" s="1112" t="str">
        <f t="shared" si="194"/>
        <v/>
      </c>
      <c r="BB114" s="1112" t="str">
        <f t="shared" si="194"/>
        <v/>
      </c>
      <c r="BC114" s="1112" t="str">
        <f t="shared" si="194"/>
        <v/>
      </c>
      <c r="BD114" s="1112" t="str">
        <f t="shared" si="194"/>
        <v/>
      </c>
      <c r="BE114" s="1112" t="str">
        <f t="shared" si="194"/>
        <v/>
      </c>
      <c r="BF114" s="1112" t="str">
        <f t="shared" si="194"/>
        <v/>
      </c>
      <c r="BG114" s="1112" t="str">
        <f t="shared" si="194"/>
        <v/>
      </c>
      <c r="BH114" s="1103"/>
      <c r="BK114" s="995"/>
      <c r="BL114" s="995"/>
      <c r="BM114" s="995"/>
      <c r="BN114" s="995"/>
      <c r="BO114" s="995"/>
      <c r="BP114" s="995"/>
      <c r="BQ114" s="995"/>
      <c r="BR114" s="995"/>
      <c r="BS114" s="995"/>
      <c r="BT114" s="995"/>
      <c r="BU114" s="995"/>
      <c r="BV114" s="995"/>
      <c r="BW114" s="995"/>
      <c r="BX114" s="995"/>
      <c r="BY114" s="995"/>
      <c r="BZ114" s="995"/>
      <c r="CA114" s="995"/>
      <c r="CB114" s="995"/>
      <c r="CC114" s="995"/>
      <c r="CD114" s="995"/>
      <c r="CE114" s="995"/>
      <c r="CF114" s="995"/>
      <c r="CG114" s="995"/>
      <c r="CH114" s="1105"/>
      <c r="CI114" s="1105"/>
      <c r="CJ114" s="1105"/>
      <c r="CK114" s="1105"/>
      <c r="CL114" s="1105"/>
      <c r="CM114" s="1105"/>
      <c r="CN114" s="1105"/>
      <c r="CO114" s="1105"/>
      <c r="CP114" s="1105"/>
      <c r="CQ114" s="1105"/>
      <c r="CR114" s="1105"/>
      <c r="CS114" s="1105"/>
      <c r="CT114" s="1105"/>
      <c r="CU114" s="1105"/>
      <c r="CV114" s="1105"/>
      <c r="CW114" s="1105"/>
      <c r="CX114" s="1105"/>
      <c r="CY114" s="1105"/>
      <c r="CZ114" s="1105"/>
      <c r="DA114" s="1105"/>
      <c r="DB114" s="1105"/>
      <c r="DC114" s="1105"/>
      <c r="DD114" s="1105"/>
      <c r="DE114" s="1105"/>
      <c r="DF114" s="1105"/>
      <c r="DG114" s="1105"/>
      <c r="DH114" s="1105"/>
      <c r="DI114" s="1105"/>
      <c r="DJ114" s="1105"/>
      <c r="DK114" s="1105"/>
      <c r="DL114" s="1105"/>
      <c r="DM114" s="1105"/>
      <c r="DN114" s="1113"/>
      <c r="DO114" s="1113"/>
      <c r="DP114" s="1113"/>
      <c r="DQ114" s="1113"/>
      <c r="DR114" s="1113"/>
      <c r="DS114" s="1113"/>
      <c r="DT114" s="1113"/>
      <c r="DU114" s="1113"/>
      <c r="DV114" s="1113"/>
      <c r="DW114" s="1113"/>
      <c r="DX114" s="1113"/>
      <c r="DY114" s="1113"/>
      <c r="DZ114" s="1113"/>
      <c r="EA114" s="1113"/>
      <c r="EB114" s="1113"/>
      <c r="EC114" s="1113"/>
      <c r="ED114" s="1113"/>
      <c r="EE114" s="1113"/>
      <c r="EF114" s="1113"/>
      <c r="EG114" s="1113"/>
      <c r="EH114" s="1113"/>
      <c r="EI114" s="1113"/>
    </row>
    <row r="115" spans="1:139" ht="16.2" thickTop="1" thickBot="1">
      <c r="A115" s="995"/>
      <c r="B115" s="995"/>
      <c r="C115" s="995"/>
      <c r="D115" s="995"/>
      <c r="E115" s="995"/>
      <c r="F115" s="995"/>
      <c r="G115" s="995"/>
      <c r="H115" s="995"/>
      <c r="I115" s="995"/>
      <c r="J115" s="995"/>
      <c r="K115" s="995"/>
      <c r="L115" s="995"/>
      <c r="M115" s="995"/>
      <c r="N115" s="995"/>
      <c r="O115" s="995"/>
      <c r="P115" s="995"/>
      <c r="Q115" s="995"/>
      <c r="R115" s="995"/>
      <c r="S115" s="995"/>
      <c r="T115" s="995"/>
      <c r="U115" s="995"/>
      <c r="V115" s="995"/>
      <c r="W115" s="995"/>
      <c r="X115" s="995"/>
      <c r="Y115" s="995"/>
      <c r="Z115" s="995"/>
      <c r="AA115" s="995"/>
      <c r="AB115" s="995"/>
      <c r="AC115" s="995"/>
      <c r="AD115" s="995"/>
      <c r="AE115" s="995"/>
      <c r="AF115" s="995"/>
      <c r="AG115" s="995"/>
      <c r="AH115" s="995"/>
      <c r="AI115" s="1111" t="str">
        <f t="shared" si="191"/>
        <v>22</v>
      </c>
      <c r="AJ115" s="1112" t="str">
        <f t="shared" si="194"/>
        <v/>
      </c>
      <c r="AK115" s="1112" t="str">
        <f t="shared" si="194"/>
        <v/>
      </c>
      <c r="AL115" s="1112" t="str">
        <f t="shared" si="194"/>
        <v/>
      </c>
      <c r="AM115" s="1112" t="str">
        <f t="shared" si="194"/>
        <v/>
      </c>
      <c r="AN115" s="1112" t="str">
        <f t="shared" si="194"/>
        <v/>
      </c>
      <c r="AO115" s="1112" t="str">
        <f t="shared" si="194"/>
        <v/>
      </c>
      <c r="AP115" s="1112" t="str">
        <f t="shared" si="194"/>
        <v/>
      </c>
      <c r="AQ115" s="1112" t="str">
        <f t="shared" si="194"/>
        <v/>
      </c>
      <c r="AR115" s="1112" t="str">
        <f t="shared" si="194"/>
        <v/>
      </c>
      <c r="AS115" s="1112" t="str">
        <f t="shared" si="194"/>
        <v/>
      </c>
      <c r="AT115" s="1112" t="str">
        <f t="shared" si="194"/>
        <v/>
      </c>
      <c r="AU115" s="1112" t="str">
        <f t="shared" si="194"/>
        <v/>
      </c>
      <c r="AV115" s="1112" t="str">
        <f t="shared" si="194"/>
        <v/>
      </c>
      <c r="AW115" s="1112" t="str">
        <f t="shared" si="194"/>
        <v/>
      </c>
      <c r="AX115" s="1112" t="str">
        <f t="shared" si="194"/>
        <v/>
      </c>
      <c r="AY115" s="1112" t="str">
        <f t="shared" ref="AY115:BG115" si="195">IF(AY76&gt;AY$90,"!!!","")</f>
        <v/>
      </c>
      <c r="AZ115" s="1112" t="str">
        <f t="shared" si="195"/>
        <v/>
      </c>
      <c r="BA115" s="1112" t="str">
        <f t="shared" si="195"/>
        <v/>
      </c>
      <c r="BB115" s="1112" t="str">
        <f t="shared" si="195"/>
        <v/>
      </c>
      <c r="BC115" s="1112" t="str">
        <f t="shared" si="195"/>
        <v/>
      </c>
      <c r="BD115" s="1112" t="str">
        <f t="shared" si="195"/>
        <v/>
      </c>
      <c r="BE115" s="1112" t="str">
        <f t="shared" si="195"/>
        <v/>
      </c>
      <c r="BF115" s="1112" t="str">
        <f t="shared" si="195"/>
        <v/>
      </c>
      <c r="BG115" s="1112" t="str">
        <f t="shared" si="195"/>
        <v/>
      </c>
      <c r="BH115" s="1103"/>
      <c r="BK115" s="995"/>
      <c r="BL115" s="995"/>
      <c r="BM115" s="995"/>
      <c r="BN115" s="995"/>
      <c r="BO115" s="995"/>
      <c r="BP115" s="995"/>
      <c r="BQ115" s="995"/>
      <c r="BR115" s="995"/>
      <c r="BS115" s="995"/>
      <c r="BT115" s="995"/>
      <c r="BU115" s="995"/>
      <c r="BV115" s="995"/>
      <c r="BW115" s="995"/>
      <c r="BX115" s="995"/>
      <c r="BY115" s="995"/>
      <c r="BZ115" s="995"/>
      <c r="CA115" s="995"/>
      <c r="CB115" s="995"/>
      <c r="CC115" s="995"/>
      <c r="CD115" s="995"/>
      <c r="CE115" s="995"/>
      <c r="CF115" s="995"/>
      <c r="CG115" s="995"/>
      <c r="CH115" s="1105"/>
      <c r="CI115" s="1105"/>
      <c r="CJ115" s="1105"/>
      <c r="CK115" s="1105"/>
      <c r="CL115" s="1105"/>
      <c r="CM115" s="1105"/>
      <c r="CN115" s="1105"/>
      <c r="CO115" s="1105"/>
      <c r="CP115" s="1105"/>
      <c r="CQ115" s="1105"/>
      <c r="CR115" s="1105"/>
      <c r="CS115" s="1105"/>
      <c r="CT115" s="1105"/>
      <c r="CU115" s="1105"/>
      <c r="CV115" s="1105"/>
      <c r="CW115" s="1105"/>
      <c r="CX115" s="1105"/>
      <c r="CY115" s="1105"/>
      <c r="CZ115" s="1105"/>
      <c r="DA115" s="1105"/>
      <c r="DB115" s="1105"/>
      <c r="DC115" s="1105"/>
      <c r="DD115" s="1105"/>
      <c r="DE115" s="1105"/>
      <c r="DF115" s="1105"/>
      <c r="DG115" s="1105"/>
      <c r="DH115" s="1105"/>
      <c r="DI115" s="1105"/>
      <c r="DJ115" s="1105"/>
      <c r="DK115" s="1105"/>
      <c r="DL115" s="1105"/>
      <c r="DM115" s="1105"/>
      <c r="DN115" s="1113"/>
      <c r="DO115" s="1113"/>
      <c r="DP115" s="1113"/>
      <c r="DQ115" s="1113"/>
      <c r="DR115" s="1113"/>
      <c r="DS115" s="1113"/>
      <c r="DT115" s="1113"/>
      <c r="DU115" s="1113"/>
      <c r="DV115" s="1113"/>
      <c r="DW115" s="1113"/>
      <c r="DX115" s="1113"/>
      <c r="DY115" s="1113"/>
      <c r="DZ115" s="1113"/>
      <c r="EA115" s="1113"/>
      <c r="EB115" s="1113"/>
      <c r="EC115" s="1113"/>
      <c r="ED115" s="1113"/>
      <c r="EE115" s="1113"/>
      <c r="EF115" s="1113"/>
      <c r="EG115" s="1113"/>
      <c r="EH115" s="1113"/>
      <c r="EI115" s="1113"/>
    </row>
    <row r="116" spans="1:139" ht="16.2" thickTop="1" thickBot="1">
      <c r="A116" s="995"/>
      <c r="B116" s="995"/>
      <c r="C116" s="995"/>
      <c r="D116" s="995"/>
      <c r="E116" s="995"/>
      <c r="F116" s="995"/>
      <c r="G116" s="995"/>
      <c r="H116" s="995"/>
      <c r="I116" s="995"/>
      <c r="J116" s="995"/>
      <c r="K116" s="995"/>
      <c r="L116" s="995"/>
      <c r="M116" s="995"/>
      <c r="N116" s="995"/>
      <c r="O116" s="995"/>
      <c r="P116" s="995"/>
      <c r="Q116" s="995"/>
      <c r="R116" s="995"/>
      <c r="S116" s="995"/>
      <c r="T116" s="995"/>
      <c r="U116" s="995"/>
      <c r="V116" s="995"/>
      <c r="W116" s="995"/>
      <c r="X116" s="995"/>
      <c r="Y116" s="995"/>
      <c r="Z116" s="995"/>
      <c r="AA116" s="995"/>
      <c r="AB116" s="995"/>
      <c r="AC116" s="995"/>
      <c r="AD116" s="995"/>
      <c r="AE116" s="995"/>
      <c r="AF116" s="995"/>
      <c r="AG116" s="995"/>
      <c r="AH116" s="995"/>
      <c r="AI116" s="1111" t="str">
        <f t="shared" si="191"/>
        <v>23</v>
      </c>
      <c r="AJ116" s="1112" t="str">
        <f t="shared" ref="AJ116:BG124" si="196">IF(AJ77&gt;AJ$90,"!!!","")</f>
        <v/>
      </c>
      <c r="AK116" s="1112" t="str">
        <f t="shared" si="196"/>
        <v/>
      </c>
      <c r="AL116" s="1112" t="str">
        <f t="shared" si="196"/>
        <v/>
      </c>
      <c r="AM116" s="1112" t="str">
        <f t="shared" si="196"/>
        <v/>
      </c>
      <c r="AN116" s="1112" t="str">
        <f t="shared" si="196"/>
        <v/>
      </c>
      <c r="AO116" s="1112" t="str">
        <f t="shared" si="196"/>
        <v/>
      </c>
      <c r="AP116" s="1112" t="str">
        <f t="shared" si="196"/>
        <v/>
      </c>
      <c r="AQ116" s="1112" t="str">
        <f t="shared" si="196"/>
        <v/>
      </c>
      <c r="AR116" s="1112" t="str">
        <f t="shared" si="196"/>
        <v/>
      </c>
      <c r="AS116" s="1112" t="str">
        <f t="shared" si="196"/>
        <v/>
      </c>
      <c r="AT116" s="1112" t="str">
        <f t="shared" si="196"/>
        <v/>
      </c>
      <c r="AU116" s="1112" t="str">
        <f t="shared" si="196"/>
        <v/>
      </c>
      <c r="AV116" s="1112" t="str">
        <f t="shared" si="196"/>
        <v/>
      </c>
      <c r="AW116" s="1112" t="str">
        <f t="shared" si="196"/>
        <v/>
      </c>
      <c r="AX116" s="1112" t="str">
        <f t="shared" si="196"/>
        <v/>
      </c>
      <c r="AY116" s="1112" t="str">
        <f t="shared" si="196"/>
        <v/>
      </c>
      <c r="AZ116" s="1112" t="str">
        <f t="shared" si="196"/>
        <v/>
      </c>
      <c r="BA116" s="1112" t="str">
        <f t="shared" si="196"/>
        <v/>
      </c>
      <c r="BB116" s="1112" t="str">
        <f t="shared" si="196"/>
        <v/>
      </c>
      <c r="BC116" s="1112" t="str">
        <f t="shared" si="196"/>
        <v/>
      </c>
      <c r="BD116" s="1112" t="str">
        <f t="shared" si="196"/>
        <v>!!!</v>
      </c>
      <c r="BE116" s="1112" t="str">
        <f t="shared" si="196"/>
        <v>!!!</v>
      </c>
      <c r="BF116" s="1112" t="str">
        <f t="shared" si="196"/>
        <v>!!!</v>
      </c>
      <c r="BG116" s="1112" t="str">
        <f t="shared" si="196"/>
        <v>!!!</v>
      </c>
      <c r="BH116" s="1103"/>
      <c r="BK116" s="995"/>
      <c r="BL116" s="995"/>
      <c r="BM116" s="995"/>
      <c r="BN116" s="995"/>
      <c r="BO116" s="995"/>
      <c r="BP116" s="995"/>
      <c r="BQ116" s="995"/>
      <c r="BR116" s="995"/>
      <c r="BS116" s="995"/>
      <c r="BT116" s="995"/>
      <c r="BU116" s="995"/>
      <c r="BV116" s="995"/>
      <c r="BW116" s="995"/>
      <c r="BX116" s="995"/>
      <c r="BY116" s="995"/>
      <c r="BZ116" s="995"/>
      <c r="CA116" s="995"/>
      <c r="CB116" s="995"/>
      <c r="CC116" s="995"/>
      <c r="CD116" s="995"/>
      <c r="CE116" s="995"/>
      <c r="CF116" s="995"/>
      <c r="CG116" s="995"/>
      <c r="CH116" s="1105"/>
      <c r="CI116" s="1105"/>
      <c r="CJ116" s="1105"/>
      <c r="CK116" s="1105"/>
      <c r="CL116" s="1105"/>
      <c r="CM116" s="1105"/>
      <c r="CN116" s="1105"/>
      <c r="CO116" s="1105"/>
      <c r="CP116" s="1105"/>
      <c r="CQ116" s="1105"/>
      <c r="CR116" s="1105"/>
      <c r="CS116" s="1105"/>
      <c r="CT116" s="1105"/>
      <c r="CU116" s="1105"/>
      <c r="CV116" s="1105"/>
      <c r="CW116" s="1105"/>
      <c r="CX116" s="1105"/>
      <c r="CY116" s="1105"/>
      <c r="CZ116" s="1105"/>
      <c r="DA116" s="1105"/>
      <c r="DB116" s="1105"/>
      <c r="DC116" s="1105"/>
      <c r="DD116" s="1105"/>
      <c r="DE116" s="1105"/>
      <c r="DF116" s="1105"/>
      <c r="DG116" s="1105"/>
      <c r="DH116" s="1105"/>
      <c r="DI116" s="1105"/>
      <c r="DJ116" s="1105"/>
      <c r="DK116" s="1105"/>
      <c r="DL116" s="1105"/>
      <c r="DM116" s="1105"/>
      <c r="DN116" s="1113"/>
      <c r="DO116" s="1113"/>
      <c r="DP116" s="1113"/>
      <c r="DQ116" s="1113"/>
      <c r="DR116" s="1113"/>
      <c r="DS116" s="1113"/>
      <c r="DT116" s="1113"/>
      <c r="DU116" s="1113"/>
      <c r="DV116" s="1113"/>
      <c r="DW116" s="1113"/>
      <c r="DX116" s="1113"/>
      <c r="DY116" s="1113"/>
      <c r="DZ116" s="1113"/>
      <c r="EA116" s="1113"/>
      <c r="EB116" s="1113"/>
      <c r="EC116" s="1113"/>
      <c r="ED116" s="1113"/>
      <c r="EE116" s="1113"/>
      <c r="EF116" s="1113"/>
      <c r="EG116" s="1113"/>
      <c r="EH116" s="1113"/>
      <c r="EI116" s="1113"/>
    </row>
    <row r="117" spans="1:139" ht="16.2" thickTop="1" thickBot="1">
      <c r="A117" s="995"/>
      <c r="B117" s="995"/>
      <c r="C117" s="995"/>
      <c r="D117" s="995"/>
      <c r="E117" s="995"/>
      <c r="F117" s="995"/>
      <c r="G117" s="995"/>
      <c r="H117" s="995"/>
      <c r="I117" s="995"/>
      <c r="J117" s="995"/>
      <c r="K117" s="995"/>
      <c r="L117" s="995"/>
      <c r="M117" s="995"/>
      <c r="N117" s="995"/>
      <c r="O117" s="995"/>
      <c r="P117" s="995"/>
      <c r="Q117" s="995"/>
      <c r="R117" s="995"/>
      <c r="S117" s="995"/>
      <c r="T117" s="995"/>
      <c r="U117" s="995"/>
      <c r="V117" s="995"/>
      <c r="W117" s="995"/>
      <c r="X117" s="995"/>
      <c r="Y117" s="995"/>
      <c r="Z117" s="995"/>
      <c r="AA117" s="995"/>
      <c r="AB117" s="995"/>
      <c r="AC117" s="995"/>
      <c r="AD117" s="995"/>
      <c r="AE117" s="995"/>
      <c r="AF117" s="995"/>
      <c r="AG117" s="995"/>
      <c r="AH117" s="995"/>
      <c r="AI117" s="1111" t="str">
        <f t="shared" si="191"/>
        <v>24</v>
      </c>
      <c r="AJ117" s="1112" t="str">
        <f t="shared" si="196"/>
        <v>!!!</v>
      </c>
      <c r="AK117" s="1112" t="str">
        <f t="shared" si="196"/>
        <v/>
      </c>
      <c r="AL117" s="1112" t="str">
        <f t="shared" si="196"/>
        <v/>
      </c>
      <c r="AM117" s="1112" t="str">
        <f t="shared" si="196"/>
        <v/>
      </c>
      <c r="AN117" s="1112" t="str">
        <f t="shared" si="196"/>
        <v/>
      </c>
      <c r="AO117" s="1112" t="str">
        <f t="shared" si="196"/>
        <v/>
      </c>
      <c r="AP117" s="1112" t="str">
        <f t="shared" si="196"/>
        <v/>
      </c>
      <c r="AQ117" s="1112" t="str">
        <f t="shared" si="196"/>
        <v/>
      </c>
      <c r="AR117" s="1112" t="str">
        <f t="shared" si="196"/>
        <v/>
      </c>
      <c r="AS117" s="1112" t="str">
        <f t="shared" si="196"/>
        <v/>
      </c>
      <c r="AT117" s="1112" t="str">
        <f t="shared" si="196"/>
        <v/>
      </c>
      <c r="AU117" s="1112" t="str">
        <f t="shared" si="196"/>
        <v/>
      </c>
      <c r="AV117" s="1112" t="str">
        <f t="shared" si="196"/>
        <v/>
      </c>
      <c r="AW117" s="1112" t="str">
        <f t="shared" si="196"/>
        <v/>
      </c>
      <c r="AX117" s="1112" t="str">
        <f t="shared" si="196"/>
        <v/>
      </c>
      <c r="AY117" s="1112" t="str">
        <f t="shared" si="196"/>
        <v/>
      </c>
      <c r="AZ117" s="1112" t="str">
        <f t="shared" si="196"/>
        <v/>
      </c>
      <c r="BA117" s="1112" t="str">
        <f t="shared" si="196"/>
        <v/>
      </c>
      <c r="BB117" s="1112" t="str">
        <f t="shared" si="196"/>
        <v/>
      </c>
      <c r="BC117" s="1112" t="str">
        <f t="shared" si="196"/>
        <v/>
      </c>
      <c r="BD117" s="1112" t="str">
        <f t="shared" si="196"/>
        <v/>
      </c>
      <c r="BE117" s="1112" t="str">
        <f t="shared" si="196"/>
        <v/>
      </c>
      <c r="BF117" s="1112" t="str">
        <f t="shared" si="196"/>
        <v/>
      </c>
      <c r="BG117" s="1112" t="str">
        <f t="shared" si="196"/>
        <v/>
      </c>
      <c r="BH117" s="1103"/>
      <c r="BK117" s="995"/>
      <c r="BL117" s="995"/>
      <c r="BM117" s="995"/>
      <c r="BN117" s="995"/>
      <c r="BO117" s="995"/>
      <c r="BP117" s="995"/>
      <c r="BQ117" s="995"/>
      <c r="BR117" s="995"/>
      <c r="BS117" s="995"/>
      <c r="BT117" s="995"/>
      <c r="BU117" s="995"/>
      <c r="BV117" s="995"/>
      <c r="BW117" s="995"/>
      <c r="BX117" s="995"/>
      <c r="BY117" s="995"/>
      <c r="BZ117" s="995"/>
      <c r="CA117" s="995"/>
      <c r="CB117" s="995"/>
      <c r="CC117" s="995"/>
      <c r="CD117" s="995"/>
      <c r="CE117" s="995"/>
      <c r="CF117" s="995"/>
      <c r="CG117" s="995"/>
      <c r="CH117" s="1105"/>
      <c r="CI117" s="1105"/>
      <c r="CJ117" s="1105"/>
      <c r="CK117" s="1105"/>
      <c r="CL117" s="1105"/>
      <c r="CM117" s="1105"/>
      <c r="CN117" s="1105"/>
      <c r="CO117" s="1105"/>
      <c r="CP117" s="1105"/>
      <c r="CQ117" s="1105"/>
      <c r="CR117" s="1105"/>
      <c r="CS117" s="1105"/>
      <c r="CT117" s="1105"/>
      <c r="CU117" s="1105"/>
      <c r="CV117" s="1105"/>
      <c r="CW117" s="1105"/>
      <c r="CX117" s="1105"/>
      <c r="CY117" s="1105"/>
      <c r="CZ117" s="1105"/>
      <c r="DA117" s="1105"/>
      <c r="DB117" s="1105"/>
      <c r="DC117" s="1105"/>
      <c r="DD117" s="1105"/>
      <c r="DE117" s="1105"/>
      <c r="DF117" s="1105"/>
      <c r="DG117" s="1105"/>
      <c r="DH117" s="1105"/>
      <c r="DI117" s="1105"/>
      <c r="DJ117" s="1105"/>
      <c r="DK117" s="1105"/>
      <c r="DL117" s="1105"/>
      <c r="DM117" s="1105"/>
      <c r="DN117" s="1113"/>
      <c r="DO117" s="1113"/>
      <c r="DP117" s="1113"/>
      <c r="DQ117" s="1113"/>
      <c r="DR117" s="1113"/>
      <c r="DS117" s="1113"/>
      <c r="DT117" s="1113"/>
      <c r="DU117" s="1113"/>
      <c r="DV117" s="1113"/>
      <c r="DW117" s="1113"/>
      <c r="DX117" s="1113"/>
      <c r="DY117" s="1113"/>
      <c r="DZ117" s="1113"/>
      <c r="EA117" s="1113"/>
      <c r="EB117" s="1113"/>
      <c r="EC117" s="1113"/>
      <c r="ED117" s="1113"/>
      <c r="EE117" s="1113"/>
      <c r="EF117" s="1113"/>
      <c r="EG117" s="1113"/>
      <c r="EH117" s="1113"/>
      <c r="EI117" s="1113"/>
    </row>
    <row r="118" spans="1:139" ht="16.2" thickTop="1" thickBot="1">
      <c r="A118" s="995"/>
      <c r="B118" s="995"/>
      <c r="C118" s="995"/>
      <c r="D118" s="995"/>
      <c r="E118" s="995"/>
      <c r="F118" s="995"/>
      <c r="G118" s="995"/>
      <c r="H118" s="995"/>
      <c r="I118" s="995"/>
      <c r="J118" s="995"/>
      <c r="K118" s="995"/>
      <c r="L118" s="995"/>
      <c r="M118" s="995"/>
      <c r="N118" s="995"/>
      <c r="O118" s="995"/>
      <c r="P118" s="995"/>
      <c r="Q118" s="995"/>
      <c r="R118" s="995"/>
      <c r="S118" s="995"/>
      <c r="T118" s="995"/>
      <c r="U118" s="995"/>
      <c r="V118" s="995"/>
      <c r="W118" s="995"/>
      <c r="X118" s="995"/>
      <c r="Y118" s="995"/>
      <c r="Z118" s="995"/>
      <c r="AA118" s="995"/>
      <c r="AB118" s="995"/>
      <c r="AC118" s="995"/>
      <c r="AD118" s="995"/>
      <c r="AE118" s="995"/>
      <c r="AF118" s="995"/>
      <c r="AG118" s="995"/>
      <c r="AH118" s="995"/>
      <c r="AI118" s="1111" t="str">
        <f t="shared" si="191"/>
        <v>25</v>
      </c>
      <c r="AJ118" s="1112" t="str">
        <f t="shared" si="196"/>
        <v/>
      </c>
      <c r="AK118" s="1112" t="str">
        <f t="shared" si="196"/>
        <v/>
      </c>
      <c r="AL118" s="1112" t="str">
        <f t="shared" si="196"/>
        <v/>
      </c>
      <c r="AM118" s="1112" t="str">
        <f t="shared" si="196"/>
        <v/>
      </c>
      <c r="AN118" s="1112" t="str">
        <f t="shared" si="196"/>
        <v/>
      </c>
      <c r="AO118" s="1112" t="str">
        <f t="shared" si="196"/>
        <v/>
      </c>
      <c r="AP118" s="1112" t="str">
        <f t="shared" si="196"/>
        <v/>
      </c>
      <c r="AQ118" s="1112" t="str">
        <f t="shared" si="196"/>
        <v/>
      </c>
      <c r="AR118" s="1112" t="str">
        <f t="shared" si="196"/>
        <v/>
      </c>
      <c r="AS118" s="1112" t="str">
        <f t="shared" si="196"/>
        <v/>
      </c>
      <c r="AT118" s="1112" t="str">
        <f t="shared" si="196"/>
        <v/>
      </c>
      <c r="AU118" s="1112" t="str">
        <f t="shared" si="196"/>
        <v/>
      </c>
      <c r="AV118" s="1112" t="str">
        <f t="shared" si="196"/>
        <v/>
      </c>
      <c r="AW118" s="1112" t="str">
        <f t="shared" si="196"/>
        <v/>
      </c>
      <c r="AX118" s="1112" t="str">
        <f t="shared" si="196"/>
        <v>!!!</v>
      </c>
      <c r="AY118" s="1112" t="str">
        <f t="shared" si="196"/>
        <v/>
      </c>
      <c r="AZ118" s="1112" t="str">
        <f t="shared" si="196"/>
        <v/>
      </c>
      <c r="BA118" s="1112" t="str">
        <f t="shared" si="196"/>
        <v/>
      </c>
      <c r="BB118" s="1112" t="str">
        <f t="shared" si="196"/>
        <v/>
      </c>
      <c r="BC118" s="1112" t="str">
        <f t="shared" si="196"/>
        <v>!!!</v>
      </c>
      <c r="BD118" s="1112" t="str">
        <f t="shared" si="196"/>
        <v/>
      </c>
      <c r="BE118" s="1112" t="str">
        <f t="shared" si="196"/>
        <v/>
      </c>
      <c r="BF118" s="1112" t="str">
        <f t="shared" si="196"/>
        <v/>
      </c>
      <c r="BG118" s="1112" t="str">
        <f t="shared" si="196"/>
        <v/>
      </c>
      <c r="BH118" s="1103"/>
      <c r="BK118" s="995"/>
      <c r="BL118" s="995"/>
      <c r="BM118" s="995"/>
      <c r="BN118" s="995"/>
      <c r="BO118" s="995"/>
      <c r="BP118" s="995"/>
      <c r="BQ118" s="995"/>
      <c r="BR118" s="995"/>
      <c r="BS118" s="995"/>
      <c r="BT118" s="995"/>
      <c r="BU118" s="995"/>
      <c r="BV118" s="995"/>
      <c r="BW118" s="995"/>
      <c r="BX118" s="995"/>
      <c r="BY118" s="995"/>
      <c r="BZ118" s="995"/>
      <c r="CA118" s="995"/>
      <c r="CB118" s="995"/>
      <c r="CC118" s="995"/>
      <c r="CD118" s="995"/>
      <c r="CE118" s="995"/>
      <c r="CF118" s="995"/>
      <c r="CG118" s="995"/>
      <c r="CH118" s="1105"/>
      <c r="CI118" s="1105"/>
      <c r="CJ118" s="1105"/>
      <c r="CK118" s="1105"/>
      <c r="CL118" s="1105"/>
      <c r="CM118" s="1105"/>
      <c r="CN118" s="1105"/>
      <c r="CO118" s="1105"/>
      <c r="CP118" s="1105"/>
      <c r="CQ118" s="1105"/>
      <c r="CR118" s="1105"/>
      <c r="CS118" s="1105"/>
      <c r="CT118" s="1105"/>
      <c r="CU118" s="1105"/>
      <c r="CV118" s="1105"/>
      <c r="CW118" s="1105"/>
      <c r="CX118" s="1105"/>
      <c r="CY118" s="1105"/>
      <c r="CZ118" s="1105"/>
      <c r="DA118" s="1105"/>
      <c r="DB118" s="1105"/>
      <c r="DC118" s="1105"/>
      <c r="DD118" s="1105"/>
      <c r="DE118" s="1105"/>
      <c r="DF118" s="1105"/>
      <c r="DG118" s="1105"/>
      <c r="DH118" s="1105"/>
      <c r="DI118" s="1105"/>
      <c r="DJ118" s="1105"/>
      <c r="DK118" s="1105"/>
      <c r="DL118" s="1105"/>
      <c r="DM118" s="1105"/>
      <c r="DN118" s="1113"/>
      <c r="DO118" s="1113"/>
      <c r="DP118" s="1113"/>
      <c r="DQ118" s="1113"/>
      <c r="DR118" s="1113"/>
      <c r="DS118" s="1113"/>
      <c r="DT118" s="1113"/>
      <c r="DU118" s="1113"/>
      <c r="DV118" s="1113"/>
      <c r="DW118" s="1113"/>
      <c r="DX118" s="1113"/>
      <c r="DY118" s="1113"/>
      <c r="DZ118" s="1113"/>
      <c r="EA118" s="1113"/>
      <c r="EB118" s="1113"/>
      <c r="EC118" s="1113"/>
      <c r="ED118" s="1113"/>
      <c r="EE118" s="1113"/>
      <c r="EF118" s="1113"/>
      <c r="EG118" s="1113"/>
      <c r="EH118" s="1113"/>
      <c r="EI118" s="1113"/>
    </row>
    <row r="119" spans="1:139" ht="16.2" thickTop="1" thickBot="1">
      <c r="A119" s="995"/>
      <c r="B119" s="995"/>
      <c r="C119" s="995"/>
      <c r="D119" s="995"/>
      <c r="E119" s="995"/>
      <c r="F119" s="995"/>
      <c r="G119" s="995"/>
      <c r="H119" s="995"/>
      <c r="I119" s="995"/>
      <c r="J119" s="995"/>
      <c r="K119" s="995"/>
      <c r="L119" s="995"/>
      <c r="M119" s="995"/>
      <c r="N119" s="995"/>
      <c r="O119" s="995"/>
      <c r="P119" s="995"/>
      <c r="Q119" s="995"/>
      <c r="R119" s="995"/>
      <c r="S119" s="995"/>
      <c r="T119" s="995"/>
      <c r="U119" s="995"/>
      <c r="V119" s="995"/>
      <c r="W119" s="995"/>
      <c r="X119" s="995"/>
      <c r="Y119" s="995"/>
      <c r="Z119" s="995"/>
      <c r="AA119" s="995"/>
      <c r="AB119" s="995"/>
      <c r="AC119" s="995"/>
      <c r="AD119" s="995"/>
      <c r="AE119" s="995"/>
      <c r="AF119" s="995"/>
      <c r="AG119" s="995"/>
      <c r="AH119" s="995"/>
      <c r="AI119" s="1111" t="str">
        <f t="shared" si="191"/>
        <v>26</v>
      </c>
      <c r="AJ119" s="1112" t="str">
        <f t="shared" si="196"/>
        <v/>
      </c>
      <c r="AK119" s="1112" t="str">
        <f t="shared" si="196"/>
        <v/>
      </c>
      <c r="AL119" s="1112" t="str">
        <f t="shared" si="196"/>
        <v/>
      </c>
      <c r="AM119" s="1112" t="str">
        <f t="shared" si="196"/>
        <v>!!!</v>
      </c>
      <c r="AN119" s="1112" t="str">
        <f t="shared" si="196"/>
        <v>!!!</v>
      </c>
      <c r="AO119" s="1112" t="str">
        <f t="shared" si="196"/>
        <v/>
      </c>
      <c r="AP119" s="1112" t="str">
        <f t="shared" si="196"/>
        <v/>
      </c>
      <c r="AQ119" s="1112" t="str">
        <f t="shared" si="196"/>
        <v/>
      </c>
      <c r="AR119" s="1112" t="str">
        <f t="shared" si="196"/>
        <v/>
      </c>
      <c r="AS119" s="1112" t="str">
        <f t="shared" si="196"/>
        <v/>
      </c>
      <c r="AT119" s="1112" t="str">
        <f t="shared" si="196"/>
        <v/>
      </c>
      <c r="AU119" s="1112" t="str">
        <f t="shared" si="196"/>
        <v/>
      </c>
      <c r="AV119" s="1112" t="str">
        <f t="shared" si="196"/>
        <v/>
      </c>
      <c r="AW119" s="1112" t="str">
        <f t="shared" si="196"/>
        <v/>
      </c>
      <c r="AX119" s="1112" t="str">
        <f t="shared" si="196"/>
        <v/>
      </c>
      <c r="AY119" s="1112" t="str">
        <f t="shared" si="196"/>
        <v/>
      </c>
      <c r="AZ119" s="1112" t="str">
        <f t="shared" si="196"/>
        <v/>
      </c>
      <c r="BA119" s="1112" t="str">
        <f t="shared" si="196"/>
        <v/>
      </c>
      <c r="BB119" s="1112" t="str">
        <f t="shared" si="196"/>
        <v/>
      </c>
      <c r="BC119" s="1112" t="str">
        <f t="shared" si="196"/>
        <v/>
      </c>
      <c r="BD119" s="1112" t="str">
        <f t="shared" si="196"/>
        <v/>
      </c>
      <c r="BE119" s="1112" t="str">
        <f t="shared" si="196"/>
        <v/>
      </c>
      <c r="BF119" s="1112" t="str">
        <f t="shared" si="196"/>
        <v/>
      </c>
      <c r="BG119" s="1112" t="str">
        <f t="shared" si="196"/>
        <v/>
      </c>
      <c r="BH119" s="1103"/>
      <c r="BK119" s="995"/>
      <c r="BL119" s="995"/>
      <c r="BM119" s="995"/>
      <c r="BN119" s="995"/>
      <c r="BO119" s="995"/>
      <c r="BP119" s="995"/>
      <c r="BQ119" s="995"/>
      <c r="BR119" s="995"/>
      <c r="BS119" s="995"/>
      <c r="BT119" s="995"/>
      <c r="BU119" s="995"/>
      <c r="BV119" s="995"/>
      <c r="BW119" s="995"/>
      <c r="BX119" s="995"/>
      <c r="BY119" s="995"/>
      <c r="BZ119" s="995"/>
      <c r="CA119" s="995"/>
      <c r="CB119" s="995"/>
      <c r="CC119" s="995"/>
      <c r="CD119" s="995"/>
      <c r="CE119" s="995"/>
      <c r="CF119" s="995"/>
      <c r="CG119" s="995"/>
      <c r="CH119" s="1105"/>
      <c r="CI119" s="1105"/>
      <c r="CJ119" s="1105"/>
      <c r="CK119" s="1105"/>
      <c r="CL119" s="1105"/>
      <c r="CM119" s="1105"/>
      <c r="CN119" s="1105"/>
      <c r="CO119" s="1105"/>
      <c r="CP119" s="1105"/>
      <c r="CQ119" s="1105"/>
      <c r="CR119" s="1105"/>
      <c r="CS119" s="1105"/>
      <c r="CT119" s="1105"/>
      <c r="CU119" s="1105"/>
      <c r="CV119" s="1105"/>
      <c r="CW119" s="1105"/>
      <c r="CX119" s="1105"/>
      <c r="CY119" s="1105"/>
      <c r="CZ119" s="1105"/>
      <c r="DA119" s="1105"/>
      <c r="DB119" s="1105"/>
      <c r="DC119" s="1105"/>
      <c r="DD119" s="1105"/>
      <c r="DE119" s="1105"/>
      <c r="DF119" s="1105"/>
      <c r="DG119" s="1105"/>
      <c r="DH119" s="1105"/>
      <c r="DI119" s="1105"/>
      <c r="DJ119" s="1105"/>
      <c r="DK119" s="1105"/>
      <c r="DL119" s="1105"/>
      <c r="DM119" s="1105"/>
      <c r="DN119" s="1113"/>
      <c r="DO119" s="1113"/>
      <c r="DP119" s="1113"/>
      <c r="DQ119" s="1113"/>
      <c r="DR119" s="1113"/>
      <c r="DS119" s="1113"/>
      <c r="DT119" s="1113"/>
      <c r="DU119" s="1113"/>
      <c r="DV119" s="1113"/>
      <c r="DW119" s="1113"/>
      <c r="DX119" s="1113"/>
      <c r="DY119" s="1113"/>
      <c r="DZ119" s="1113"/>
      <c r="EA119" s="1113"/>
      <c r="EB119" s="1113"/>
      <c r="EC119" s="1113"/>
      <c r="ED119" s="1113"/>
      <c r="EE119" s="1113"/>
      <c r="EF119" s="1113"/>
      <c r="EG119" s="1113"/>
      <c r="EH119" s="1113"/>
      <c r="EI119" s="1113"/>
    </row>
    <row r="120" spans="1:139" ht="16.2" thickTop="1" thickBot="1">
      <c r="A120" s="995"/>
      <c r="B120" s="995"/>
      <c r="C120" s="995"/>
      <c r="D120" s="995"/>
      <c r="E120" s="995"/>
      <c r="F120" s="995"/>
      <c r="G120" s="995"/>
      <c r="H120" s="995"/>
      <c r="I120" s="995"/>
      <c r="J120" s="995"/>
      <c r="K120" s="995"/>
      <c r="L120" s="995"/>
      <c r="M120" s="995"/>
      <c r="N120" s="995"/>
      <c r="O120" s="995"/>
      <c r="P120" s="995"/>
      <c r="Q120" s="995"/>
      <c r="R120" s="995"/>
      <c r="S120" s="995"/>
      <c r="T120" s="995"/>
      <c r="U120" s="995"/>
      <c r="V120" s="995"/>
      <c r="W120" s="995"/>
      <c r="X120" s="995"/>
      <c r="Y120" s="995"/>
      <c r="Z120" s="995"/>
      <c r="AA120" s="995"/>
      <c r="AB120" s="995"/>
      <c r="AC120" s="995"/>
      <c r="AD120" s="995"/>
      <c r="AE120" s="995"/>
      <c r="AF120" s="995"/>
      <c r="AG120" s="995"/>
      <c r="AH120" s="995"/>
      <c r="AI120" s="1111" t="str">
        <f t="shared" si="191"/>
        <v>27</v>
      </c>
      <c r="AJ120" s="1112" t="str">
        <f t="shared" si="196"/>
        <v/>
      </c>
      <c r="AK120" s="1112" t="str">
        <f t="shared" si="196"/>
        <v/>
      </c>
      <c r="AL120" s="1112" t="str">
        <f t="shared" si="196"/>
        <v/>
      </c>
      <c r="AM120" s="1112" t="str">
        <f t="shared" si="196"/>
        <v/>
      </c>
      <c r="AN120" s="1112" t="str">
        <f t="shared" si="196"/>
        <v/>
      </c>
      <c r="AO120" s="1112" t="str">
        <f t="shared" si="196"/>
        <v/>
      </c>
      <c r="AP120" s="1112" t="str">
        <f t="shared" si="196"/>
        <v/>
      </c>
      <c r="AQ120" s="1112" t="str">
        <f t="shared" si="196"/>
        <v/>
      </c>
      <c r="AR120" s="1112" t="str">
        <f t="shared" si="196"/>
        <v/>
      </c>
      <c r="AS120" s="1112" t="str">
        <f t="shared" si="196"/>
        <v/>
      </c>
      <c r="AT120" s="1112" t="str">
        <f t="shared" si="196"/>
        <v/>
      </c>
      <c r="AU120" s="1112" t="str">
        <f t="shared" si="196"/>
        <v/>
      </c>
      <c r="AV120" s="1112" t="str">
        <f t="shared" si="196"/>
        <v/>
      </c>
      <c r="AW120" s="1112" t="str">
        <f t="shared" si="196"/>
        <v/>
      </c>
      <c r="AX120" s="1112" t="str">
        <f t="shared" si="196"/>
        <v/>
      </c>
      <c r="AY120" s="1112" t="str">
        <f t="shared" si="196"/>
        <v/>
      </c>
      <c r="AZ120" s="1112" t="str">
        <f t="shared" si="196"/>
        <v/>
      </c>
      <c r="BA120" s="1112" t="str">
        <f t="shared" si="196"/>
        <v/>
      </c>
      <c r="BB120" s="1112" t="str">
        <f t="shared" si="196"/>
        <v/>
      </c>
      <c r="BC120" s="1112" t="str">
        <f t="shared" si="196"/>
        <v/>
      </c>
      <c r="BD120" s="1112" t="str">
        <f t="shared" si="196"/>
        <v/>
      </c>
      <c r="BE120" s="1112" t="str">
        <f t="shared" si="196"/>
        <v/>
      </c>
      <c r="BF120" s="1112" t="str">
        <f t="shared" si="196"/>
        <v/>
      </c>
      <c r="BG120" s="1112" t="str">
        <f t="shared" si="196"/>
        <v/>
      </c>
      <c r="BH120" s="1103"/>
      <c r="BK120" s="995"/>
      <c r="BL120" s="995"/>
      <c r="BM120" s="995"/>
      <c r="BN120" s="995"/>
      <c r="BO120" s="995"/>
      <c r="BP120" s="995"/>
      <c r="BQ120" s="995"/>
      <c r="BR120" s="995"/>
      <c r="BS120" s="995"/>
      <c r="BT120" s="995"/>
      <c r="BU120" s="995"/>
      <c r="BV120" s="995"/>
      <c r="BW120" s="995"/>
      <c r="BX120" s="995"/>
      <c r="BY120" s="995"/>
      <c r="BZ120" s="995"/>
      <c r="CA120" s="995"/>
      <c r="CB120" s="995"/>
      <c r="CC120" s="995"/>
      <c r="CD120" s="995"/>
      <c r="CE120" s="995"/>
      <c r="CF120" s="995"/>
      <c r="CG120" s="995"/>
      <c r="CH120" s="1105"/>
      <c r="CI120" s="1105"/>
      <c r="CJ120" s="1105"/>
      <c r="CK120" s="1105"/>
      <c r="CL120" s="1105"/>
      <c r="CM120" s="1105"/>
      <c r="CN120" s="1105"/>
      <c r="CO120" s="1105"/>
      <c r="CP120" s="1105"/>
      <c r="CQ120" s="1105"/>
      <c r="CR120" s="1105"/>
      <c r="CS120" s="1105"/>
      <c r="CT120" s="1105"/>
      <c r="CU120" s="1105"/>
      <c r="CV120" s="1105"/>
      <c r="CW120" s="1105"/>
      <c r="CX120" s="1105"/>
      <c r="CY120" s="1105"/>
      <c r="CZ120" s="1105"/>
      <c r="DA120" s="1105"/>
      <c r="DB120" s="1105"/>
      <c r="DC120" s="1105"/>
      <c r="DD120" s="1105"/>
      <c r="DE120" s="1105"/>
      <c r="DF120" s="1105"/>
      <c r="DG120" s="1105"/>
      <c r="DH120" s="1105"/>
      <c r="DI120" s="1105"/>
      <c r="DJ120" s="1105"/>
      <c r="DK120" s="1105"/>
      <c r="DL120" s="1105"/>
      <c r="DM120" s="1105"/>
      <c r="DN120" s="1113"/>
      <c r="DO120" s="1113"/>
      <c r="DP120" s="1113"/>
      <c r="DQ120" s="1113"/>
      <c r="DR120" s="1113"/>
      <c r="DS120" s="1113"/>
      <c r="DT120" s="1113"/>
      <c r="DU120" s="1113"/>
      <c r="DV120" s="1113"/>
      <c r="DW120" s="1113"/>
      <c r="DX120" s="1113"/>
      <c r="DY120" s="1113"/>
      <c r="DZ120" s="1113"/>
      <c r="EA120" s="1113"/>
      <c r="EB120" s="1113"/>
      <c r="EC120" s="1113"/>
      <c r="ED120" s="1113"/>
      <c r="EE120" s="1113"/>
      <c r="EF120" s="1113"/>
      <c r="EG120" s="1113"/>
      <c r="EH120" s="1113"/>
      <c r="EI120" s="1113"/>
    </row>
    <row r="121" spans="1:139" ht="16.2" thickTop="1" thickBot="1">
      <c r="A121" s="995"/>
      <c r="B121" s="995"/>
      <c r="C121" s="995"/>
      <c r="D121" s="995"/>
      <c r="E121" s="995"/>
      <c r="F121" s="995"/>
      <c r="G121" s="995"/>
      <c r="H121" s="995"/>
      <c r="I121" s="995"/>
      <c r="J121" s="995"/>
      <c r="K121" s="995"/>
      <c r="L121" s="995"/>
      <c r="M121" s="995"/>
      <c r="N121" s="995"/>
      <c r="O121" s="995"/>
      <c r="P121" s="995"/>
      <c r="Q121" s="995"/>
      <c r="R121" s="995"/>
      <c r="S121" s="995"/>
      <c r="T121" s="995"/>
      <c r="U121" s="995"/>
      <c r="V121" s="995"/>
      <c r="W121" s="995"/>
      <c r="X121" s="995"/>
      <c r="Y121" s="995"/>
      <c r="Z121" s="995"/>
      <c r="AA121" s="995"/>
      <c r="AB121" s="995"/>
      <c r="AC121" s="995"/>
      <c r="AD121" s="995"/>
      <c r="AE121" s="995"/>
      <c r="AF121" s="995"/>
      <c r="AG121" s="995"/>
      <c r="AH121" s="995"/>
      <c r="AI121" s="1111" t="str">
        <f t="shared" si="191"/>
        <v>28</v>
      </c>
      <c r="AJ121" s="1112" t="str">
        <f t="shared" si="196"/>
        <v/>
      </c>
      <c r="AK121" s="1112" t="str">
        <f t="shared" si="196"/>
        <v/>
      </c>
      <c r="AL121" s="1112" t="str">
        <f t="shared" si="196"/>
        <v/>
      </c>
      <c r="AM121" s="1112" t="str">
        <f t="shared" si="196"/>
        <v/>
      </c>
      <c r="AN121" s="1112" t="str">
        <f t="shared" si="196"/>
        <v/>
      </c>
      <c r="AO121" s="1112" t="str">
        <f t="shared" si="196"/>
        <v/>
      </c>
      <c r="AP121" s="1112" t="str">
        <f t="shared" si="196"/>
        <v/>
      </c>
      <c r="AQ121" s="1112" t="str">
        <f t="shared" si="196"/>
        <v/>
      </c>
      <c r="AR121" s="1112" t="str">
        <f t="shared" si="196"/>
        <v/>
      </c>
      <c r="AS121" s="1112" t="str">
        <f t="shared" si="196"/>
        <v/>
      </c>
      <c r="AT121" s="1112" t="str">
        <f t="shared" si="196"/>
        <v/>
      </c>
      <c r="AU121" s="1112" t="str">
        <f t="shared" si="196"/>
        <v/>
      </c>
      <c r="AV121" s="1112" t="str">
        <f t="shared" si="196"/>
        <v/>
      </c>
      <c r="AW121" s="1112" t="str">
        <f t="shared" si="196"/>
        <v/>
      </c>
      <c r="AX121" s="1112" t="str">
        <f t="shared" si="196"/>
        <v/>
      </c>
      <c r="AY121" s="1112" t="str">
        <f t="shared" si="196"/>
        <v/>
      </c>
      <c r="AZ121" s="1112" t="str">
        <f t="shared" si="196"/>
        <v/>
      </c>
      <c r="BA121" s="1112" t="str">
        <f t="shared" si="196"/>
        <v/>
      </c>
      <c r="BB121" s="1112" t="str">
        <f t="shared" si="196"/>
        <v/>
      </c>
      <c r="BC121" s="1112" t="str">
        <f t="shared" si="196"/>
        <v/>
      </c>
      <c r="BD121" s="1112" t="str">
        <f t="shared" si="196"/>
        <v/>
      </c>
      <c r="BE121" s="1112" t="str">
        <f t="shared" si="196"/>
        <v/>
      </c>
      <c r="BF121" s="1112" t="str">
        <f t="shared" si="196"/>
        <v/>
      </c>
      <c r="BG121" s="1112" t="str">
        <f t="shared" si="196"/>
        <v/>
      </c>
      <c r="BH121" s="1103"/>
      <c r="BK121" s="995"/>
      <c r="BL121" s="995"/>
      <c r="BM121" s="995"/>
      <c r="BN121" s="995"/>
      <c r="BO121" s="995"/>
      <c r="BP121" s="995"/>
      <c r="BQ121" s="995"/>
      <c r="BR121" s="995"/>
      <c r="BS121" s="995"/>
      <c r="BT121" s="995"/>
      <c r="BU121" s="995"/>
      <c r="BV121" s="995"/>
      <c r="BW121" s="995"/>
      <c r="BX121" s="995"/>
      <c r="BY121" s="995"/>
      <c r="BZ121" s="995"/>
      <c r="CA121" s="995"/>
      <c r="CB121" s="995"/>
      <c r="CC121" s="995"/>
      <c r="CD121" s="995"/>
      <c r="CE121" s="995"/>
      <c r="CF121" s="995"/>
      <c r="CG121" s="995"/>
      <c r="CH121" s="1105"/>
      <c r="CI121" s="1105"/>
      <c r="CJ121" s="1105"/>
      <c r="CK121" s="1105"/>
      <c r="CL121" s="1105"/>
      <c r="CM121" s="1105"/>
      <c r="CN121" s="1105"/>
      <c r="CO121" s="1105"/>
      <c r="CP121" s="1105"/>
      <c r="CQ121" s="1105"/>
      <c r="CR121" s="1105"/>
      <c r="CS121" s="1105"/>
      <c r="CT121" s="1105"/>
      <c r="CU121" s="1105"/>
      <c r="CV121" s="1105"/>
      <c r="CW121" s="1105"/>
      <c r="CX121" s="1105"/>
      <c r="CY121" s="1105"/>
      <c r="CZ121" s="1105"/>
      <c r="DA121" s="1105"/>
      <c r="DB121" s="1105"/>
      <c r="DC121" s="1105"/>
      <c r="DD121" s="1105"/>
      <c r="DE121" s="1105"/>
      <c r="DF121" s="1105"/>
      <c r="DG121" s="1105"/>
      <c r="DH121" s="1105"/>
      <c r="DI121" s="1105"/>
      <c r="DJ121" s="1105"/>
      <c r="DK121" s="1105"/>
      <c r="DL121" s="1105"/>
      <c r="DM121" s="1105"/>
      <c r="DN121" s="1113"/>
      <c r="DO121" s="1113"/>
      <c r="DP121" s="1113"/>
      <c r="DQ121" s="1113"/>
      <c r="DR121" s="1113"/>
      <c r="DS121" s="1113"/>
      <c r="DT121" s="1113"/>
      <c r="DU121" s="1113"/>
      <c r="DV121" s="1113"/>
      <c r="DW121" s="1113"/>
      <c r="DX121" s="1113"/>
      <c r="DY121" s="1113"/>
      <c r="DZ121" s="1113"/>
      <c r="EA121" s="1113"/>
      <c r="EB121" s="1113"/>
      <c r="EC121" s="1113"/>
      <c r="ED121" s="1113"/>
      <c r="EE121" s="1113"/>
      <c r="EF121" s="1113"/>
      <c r="EG121" s="1113"/>
      <c r="EH121" s="1113"/>
      <c r="EI121" s="1113"/>
    </row>
    <row r="122" spans="1:139" ht="16.2" thickTop="1" thickBot="1">
      <c r="A122" s="995"/>
      <c r="B122" s="995"/>
      <c r="C122" s="995"/>
      <c r="D122" s="995"/>
      <c r="E122" s="995"/>
      <c r="F122" s="995"/>
      <c r="G122" s="995"/>
      <c r="H122" s="995"/>
      <c r="I122" s="995"/>
      <c r="J122" s="995"/>
      <c r="K122" s="995"/>
      <c r="L122" s="995"/>
      <c r="M122" s="995"/>
      <c r="N122" s="995"/>
      <c r="O122" s="995"/>
      <c r="P122" s="995"/>
      <c r="Q122" s="995"/>
      <c r="R122" s="995"/>
      <c r="S122" s="995"/>
      <c r="T122" s="995"/>
      <c r="U122" s="995"/>
      <c r="V122" s="995"/>
      <c r="W122" s="995"/>
      <c r="X122" s="995"/>
      <c r="Y122" s="995"/>
      <c r="Z122" s="995"/>
      <c r="AA122" s="995"/>
      <c r="AB122" s="995"/>
      <c r="AC122" s="995"/>
      <c r="AD122" s="995"/>
      <c r="AE122" s="995"/>
      <c r="AF122" s="995"/>
      <c r="AG122" s="995"/>
      <c r="AH122" s="995"/>
      <c r="AI122" s="1111" t="str">
        <f t="shared" si="191"/>
        <v>29</v>
      </c>
      <c r="AJ122" s="1112" t="str">
        <f t="shared" si="196"/>
        <v>!!!</v>
      </c>
      <c r="AK122" s="1112" t="str">
        <f t="shared" si="196"/>
        <v>!!!</v>
      </c>
      <c r="AL122" s="1112" t="str">
        <f t="shared" si="196"/>
        <v/>
      </c>
      <c r="AM122" s="1112" t="str">
        <f t="shared" si="196"/>
        <v/>
      </c>
      <c r="AN122" s="1112" t="str">
        <f t="shared" si="196"/>
        <v/>
      </c>
      <c r="AO122" s="1112" t="str">
        <f t="shared" si="196"/>
        <v/>
      </c>
      <c r="AP122" s="1112" t="str">
        <f t="shared" si="196"/>
        <v/>
      </c>
      <c r="AQ122" s="1112" t="str">
        <f t="shared" si="196"/>
        <v/>
      </c>
      <c r="AR122" s="1112" t="str">
        <f t="shared" si="196"/>
        <v/>
      </c>
      <c r="AS122" s="1112" t="str">
        <f t="shared" si="196"/>
        <v/>
      </c>
      <c r="AT122" s="1112" t="str">
        <f t="shared" si="196"/>
        <v/>
      </c>
      <c r="AU122" s="1112" t="str">
        <f t="shared" si="196"/>
        <v/>
      </c>
      <c r="AV122" s="1112" t="str">
        <f t="shared" si="196"/>
        <v/>
      </c>
      <c r="AW122" s="1112" t="str">
        <f t="shared" si="196"/>
        <v/>
      </c>
      <c r="AX122" s="1112" t="str">
        <f t="shared" si="196"/>
        <v/>
      </c>
      <c r="AY122" s="1112" t="str">
        <f t="shared" si="196"/>
        <v/>
      </c>
      <c r="AZ122" s="1112" t="str">
        <f t="shared" si="196"/>
        <v/>
      </c>
      <c r="BA122" s="1112" t="str">
        <f t="shared" si="196"/>
        <v/>
      </c>
      <c r="BB122" s="1112" t="str">
        <f t="shared" si="196"/>
        <v/>
      </c>
      <c r="BC122" s="1112" t="str">
        <f t="shared" si="196"/>
        <v/>
      </c>
      <c r="BD122" s="1112" t="str">
        <f t="shared" si="196"/>
        <v/>
      </c>
      <c r="BE122" s="1112" t="str">
        <f t="shared" si="196"/>
        <v/>
      </c>
      <c r="BF122" s="1112" t="str">
        <f t="shared" si="196"/>
        <v/>
      </c>
      <c r="BG122" s="1112" t="str">
        <f t="shared" si="196"/>
        <v/>
      </c>
      <c r="BH122" s="1103"/>
      <c r="BK122" s="995"/>
      <c r="BL122" s="995"/>
      <c r="BM122" s="995"/>
      <c r="BN122" s="995"/>
      <c r="BO122" s="995"/>
      <c r="BP122" s="995"/>
      <c r="BQ122" s="995"/>
      <c r="BR122" s="995"/>
      <c r="BS122" s="995"/>
      <c r="BT122" s="995"/>
      <c r="BU122" s="995"/>
      <c r="BV122" s="995"/>
      <c r="BW122" s="995"/>
      <c r="BX122" s="995"/>
      <c r="BY122" s="995"/>
      <c r="BZ122" s="995"/>
      <c r="CA122" s="995"/>
      <c r="CB122" s="995"/>
      <c r="CC122" s="995"/>
      <c r="CD122" s="995"/>
      <c r="CE122" s="995"/>
      <c r="CF122" s="995"/>
      <c r="CG122" s="995"/>
      <c r="CH122" s="1105"/>
      <c r="CI122" s="1105"/>
      <c r="CJ122" s="1105"/>
      <c r="CK122" s="1105"/>
      <c r="CL122" s="1105"/>
      <c r="CM122" s="1105"/>
      <c r="CN122" s="1105"/>
      <c r="CO122" s="1105"/>
      <c r="CP122" s="1105"/>
      <c r="CQ122" s="1105"/>
      <c r="CR122" s="1105"/>
      <c r="CS122" s="1105"/>
      <c r="CT122" s="1105"/>
      <c r="CU122" s="1105"/>
      <c r="CV122" s="1105"/>
      <c r="CW122" s="1105"/>
      <c r="CX122" s="1105"/>
      <c r="CY122" s="1105"/>
      <c r="CZ122" s="1105"/>
      <c r="DA122" s="1105"/>
      <c r="DB122" s="1105"/>
      <c r="DC122" s="1105"/>
      <c r="DD122" s="1105"/>
      <c r="DE122" s="1105"/>
      <c r="DF122" s="1105"/>
      <c r="DG122" s="1105"/>
      <c r="DH122" s="1105"/>
      <c r="DI122" s="1105"/>
      <c r="DJ122" s="1105"/>
      <c r="DK122" s="1105"/>
      <c r="DL122" s="1105"/>
      <c r="DM122" s="1105"/>
      <c r="DN122" s="1113"/>
      <c r="DO122" s="1113"/>
      <c r="DP122" s="1113"/>
      <c r="DQ122" s="1113"/>
      <c r="DR122" s="1113"/>
      <c r="DS122" s="1113"/>
      <c r="DT122" s="1113"/>
      <c r="DU122" s="1113"/>
      <c r="DV122" s="1113"/>
      <c r="DW122" s="1113"/>
      <c r="DX122" s="1113"/>
      <c r="DY122" s="1113"/>
      <c r="DZ122" s="1113"/>
      <c r="EA122" s="1113"/>
      <c r="EB122" s="1113"/>
      <c r="EC122" s="1113"/>
      <c r="ED122" s="1113"/>
      <c r="EE122" s="1113"/>
      <c r="EF122" s="1113"/>
      <c r="EG122" s="1113"/>
      <c r="EH122" s="1113"/>
      <c r="EI122" s="1113"/>
    </row>
    <row r="123" spans="1:139" ht="16.2" thickTop="1" thickBot="1">
      <c r="A123" s="995"/>
      <c r="B123" s="995"/>
      <c r="C123" s="995"/>
      <c r="D123" s="995"/>
      <c r="E123" s="995"/>
      <c r="F123" s="995"/>
      <c r="G123" s="995"/>
      <c r="H123" s="995"/>
      <c r="I123" s="995"/>
      <c r="J123" s="995"/>
      <c r="K123" s="995"/>
      <c r="L123" s="995"/>
      <c r="M123" s="995"/>
      <c r="N123" s="995"/>
      <c r="O123" s="995"/>
      <c r="P123" s="995"/>
      <c r="Q123" s="995"/>
      <c r="R123" s="995"/>
      <c r="S123" s="995"/>
      <c r="T123" s="995"/>
      <c r="U123" s="995"/>
      <c r="V123" s="995"/>
      <c r="W123" s="995"/>
      <c r="X123" s="995"/>
      <c r="Y123" s="995"/>
      <c r="Z123" s="995"/>
      <c r="AA123" s="995"/>
      <c r="AB123" s="995"/>
      <c r="AC123" s="995"/>
      <c r="AD123" s="995"/>
      <c r="AE123" s="995"/>
      <c r="AF123" s="995"/>
      <c r="AG123" s="995"/>
      <c r="AH123" s="995"/>
      <c r="AI123" s="1111" t="str">
        <f t="shared" si="191"/>
        <v>30</v>
      </c>
      <c r="AJ123" s="1112" t="str">
        <f t="shared" si="196"/>
        <v/>
      </c>
      <c r="AK123" s="1112" t="str">
        <f t="shared" si="196"/>
        <v/>
      </c>
      <c r="AL123" s="1112" t="str">
        <f t="shared" si="196"/>
        <v/>
      </c>
      <c r="AM123" s="1112" t="str">
        <f t="shared" si="196"/>
        <v/>
      </c>
      <c r="AN123" s="1112" t="str">
        <f t="shared" si="196"/>
        <v/>
      </c>
      <c r="AO123" s="1112" t="str">
        <f t="shared" si="196"/>
        <v/>
      </c>
      <c r="AP123" s="1112" t="str">
        <f t="shared" si="196"/>
        <v/>
      </c>
      <c r="AQ123" s="1112" t="str">
        <f t="shared" si="196"/>
        <v/>
      </c>
      <c r="AR123" s="1112" t="str">
        <f t="shared" si="196"/>
        <v/>
      </c>
      <c r="AS123" s="1112" t="str">
        <f t="shared" si="196"/>
        <v/>
      </c>
      <c r="AT123" s="1112" t="str">
        <f t="shared" si="196"/>
        <v/>
      </c>
      <c r="AU123" s="1112" t="str">
        <f t="shared" si="196"/>
        <v/>
      </c>
      <c r="AV123" s="1112" t="str">
        <f>IF(AV84&gt;AV$90,"!!!","")</f>
        <v/>
      </c>
      <c r="AW123" s="1112" t="str">
        <f t="shared" si="196"/>
        <v/>
      </c>
      <c r="AX123" s="1112" t="str">
        <f t="shared" si="196"/>
        <v/>
      </c>
      <c r="AY123" s="1112" t="str">
        <f t="shared" si="196"/>
        <v/>
      </c>
      <c r="AZ123" s="1112" t="str">
        <f t="shared" si="196"/>
        <v/>
      </c>
      <c r="BA123" s="1112" t="str">
        <f t="shared" si="196"/>
        <v/>
      </c>
      <c r="BB123" s="1112" t="str">
        <f t="shared" si="196"/>
        <v/>
      </c>
      <c r="BC123" s="1112" t="str">
        <f t="shared" si="196"/>
        <v/>
      </c>
      <c r="BD123" s="1112" t="str">
        <f t="shared" si="196"/>
        <v/>
      </c>
      <c r="BE123" s="1112" t="str">
        <f t="shared" si="196"/>
        <v/>
      </c>
      <c r="BF123" s="1112" t="str">
        <f t="shared" si="196"/>
        <v/>
      </c>
      <c r="BG123" s="1112" t="str">
        <f t="shared" si="196"/>
        <v/>
      </c>
      <c r="BH123" s="1103"/>
      <c r="BK123" s="995"/>
      <c r="BL123" s="995"/>
      <c r="BM123" s="995"/>
      <c r="BN123" s="995"/>
      <c r="BO123" s="995"/>
      <c r="BP123" s="995"/>
      <c r="BQ123" s="995"/>
      <c r="BR123" s="995"/>
      <c r="BS123" s="995"/>
      <c r="BT123" s="995"/>
      <c r="BU123" s="995"/>
      <c r="BV123" s="995"/>
      <c r="BW123" s="995"/>
      <c r="BX123" s="995"/>
      <c r="BY123" s="995"/>
      <c r="BZ123" s="995"/>
      <c r="CA123" s="995"/>
      <c r="CB123" s="995"/>
      <c r="CC123" s="995"/>
      <c r="CD123" s="995"/>
      <c r="CE123" s="995"/>
      <c r="CF123" s="995"/>
      <c r="CG123" s="995"/>
      <c r="CH123" s="1105"/>
      <c r="CI123" s="1105"/>
      <c r="CJ123" s="1105"/>
      <c r="CK123" s="1105"/>
      <c r="CL123" s="1105"/>
      <c r="CM123" s="1105"/>
      <c r="CN123" s="1105"/>
      <c r="CO123" s="1105"/>
      <c r="CP123" s="1105"/>
      <c r="CQ123" s="1105"/>
      <c r="CR123" s="1105"/>
      <c r="CS123" s="1105"/>
      <c r="CT123" s="1105"/>
      <c r="CU123" s="1105"/>
      <c r="CV123" s="1105"/>
      <c r="CW123" s="1105"/>
      <c r="CX123" s="1105"/>
      <c r="CY123" s="1105"/>
      <c r="CZ123" s="1105"/>
      <c r="DA123" s="1105"/>
      <c r="DB123" s="1105"/>
      <c r="DC123" s="1105"/>
      <c r="DD123" s="1105"/>
      <c r="DE123" s="1105"/>
      <c r="DF123" s="1105"/>
      <c r="DG123" s="1105"/>
      <c r="DH123" s="1105"/>
      <c r="DI123" s="1105"/>
      <c r="DJ123" s="1105"/>
      <c r="DK123" s="1105"/>
      <c r="DL123" s="1105"/>
      <c r="DM123" s="1105"/>
      <c r="DN123" s="1113"/>
      <c r="DO123" s="1113"/>
      <c r="DP123" s="1113"/>
      <c r="DQ123" s="1113"/>
      <c r="DR123" s="1113"/>
      <c r="DS123" s="1113"/>
      <c r="DT123" s="1113"/>
      <c r="DU123" s="1113"/>
      <c r="DV123" s="1113"/>
      <c r="DW123" s="1113"/>
      <c r="DX123" s="1113"/>
      <c r="DY123" s="1113"/>
      <c r="DZ123" s="1113"/>
      <c r="EA123" s="1113"/>
      <c r="EB123" s="1113"/>
      <c r="EC123" s="1113"/>
      <c r="ED123" s="1113"/>
      <c r="EE123" s="1113"/>
      <c r="EF123" s="1113"/>
      <c r="EG123" s="1113"/>
      <c r="EH123" s="1113"/>
      <c r="EI123" s="1113"/>
    </row>
    <row r="124" spans="1:139" ht="16.2" thickTop="1" thickBot="1">
      <c r="A124" s="995"/>
      <c r="B124" s="995"/>
      <c r="C124" s="995"/>
      <c r="D124" s="995"/>
      <c r="E124" s="995"/>
      <c r="F124" s="995"/>
      <c r="G124" s="995"/>
      <c r="H124" s="995"/>
      <c r="I124" s="995"/>
      <c r="J124" s="995"/>
      <c r="K124" s="995"/>
      <c r="L124" s="995"/>
      <c r="M124" s="995"/>
      <c r="N124" s="995"/>
      <c r="O124" s="995"/>
      <c r="P124" s="995"/>
      <c r="Q124" s="995"/>
      <c r="R124" s="995"/>
      <c r="S124" s="995"/>
      <c r="T124" s="995"/>
      <c r="U124" s="995"/>
      <c r="V124" s="995"/>
      <c r="W124" s="995"/>
      <c r="X124" s="995"/>
      <c r="Y124" s="995"/>
      <c r="Z124" s="995"/>
      <c r="AA124" s="995"/>
      <c r="AB124" s="995"/>
      <c r="AC124" s="995"/>
      <c r="AD124" s="995"/>
      <c r="AE124" s="995"/>
      <c r="AF124" s="995"/>
      <c r="AG124" s="995"/>
      <c r="AH124" s="995"/>
      <c r="AI124" s="1111" t="str">
        <f t="shared" si="191"/>
        <v>31</v>
      </c>
      <c r="AJ124" s="1112" t="str">
        <f t="shared" si="196"/>
        <v/>
      </c>
      <c r="AK124" s="1112" t="str">
        <f t="shared" si="196"/>
        <v/>
      </c>
      <c r="AL124" s="1112" t="str">
        <f t="shared" si="196"/>
        <v/>
      </c>
      <c r="AM124" s="1112" t="str">
        <f t="shared" si="196"/>
        <v/>
      </c>
      <c r="AN124" s="1112" t="str">
        <f t="shared" si="196"/>
        <v/>
      </c>
      <c r="AO124" s="1112" t="str">
        <f t="shared" si="196"/>
        <v/>
      </c>
      <c r="AP124" s="1112" t="str">
        <f t="shared" si="196"/>
        <v/>
      </c>
      <c r="AQ124" s="1112" t="str">
        <f t="shared" si="196"/>
        <v/>
      </c>
      <c r="AR124" s="1112" t="str">
        <f t="shared" si="196"/>
        <v/>
      </c>
      <c r="AS124" s="1112" t="str">
        <f t="shared" si="196"/>
        <v/>
      </c>
      <c r="AT124" s="1112" t="str">
        <f t="shared" si="196"/>
        <v/>
      </c>
      <c r="AU124" s="1112" t="str">
        <f t="shared" si="196"/>
        <v/>
      </c>
      <c r="AV124" s="1112" t="str">
        <f t="shared" si="196"/>
        <v/>
      </c>
      <c r="AW124" s="1112" t="str">
        <f t="shared" si="196"/>
        <v/>
      </c>
      <c r="AX124" s="1112" t="str">
        <f t="shared" si="196"/>
        <v/>
      </c>
      <c r="AY124" s="1112" t="str">
        <f t="shared" si="196"/>
        <v/>
      </c>
      <c r="AZ124" s="1112" t="str">
        <f t="shared" si="196"/>
        <v/>
      </c>
      <c r="BA124" s="1112" t="str">
        <f t="shared" si="196"/>
        <v/>
      </c>
      <c r="BB124" s="1112" t="str">
        <f t="shared" si="196"/>
        <v/>
      </c>
      <c r="BC124" s="1112" t="str">
        <f t="shared" si="196"/>
        <v/>
      </c>
      <c r="BD124" s="1112" t="str">
        <f t="shared" si="196"/>
        <v/>
      </c>
      <c r="BE124" s="1112" t="str">
        <f t="shared" si="196"/>
        <v/>
      </c>
      <c r="BF124" s="1112" t="str">
        <f t="shared" si="196"/>
        <v/>
      </c>
      <c r="BG124" s="1112" t="str">
        <f t="shared" si="196"/>
        <v/>
      </c>
      <c r="BH124" s="1103"/>
      <c r="BK124" s="995"/>
      <c r="BL124" s="995"/>
      <c r="BM124" s="995"/>
      <c r="BN124" s="995"/>
      <c r="BO124" s="995"/>
      <c r="BP124" s="995"/>
      <c r="BQ124" s="995"/>
      <c r="BR124" s="995"/>
      <c r="BS124" s="995"/>
      <c r="BT124" s="995"/>
      <c r="BU124" s="995"/>
      <c r="BV124" s="995"/>
      <c r="BW124" s="995"/>
      <c r="BX124" s="995"/>
      <c r="BY124" s="995"/>
      <c r="BZ124" s="995"/>
      <c r="CA124" s="995"/>
      <c r="CB124" s="995"/>
      <c r="CC124" s="995"/>
      <c r="CD124" s="995"/>
      <c r="CE124" s="995"/>
      <c r="CF124" s="995"/>
      <c r="CG124" s="995"/>
      <c r="CH124" s="1105"/>
      <c r="CI124" s="1105"/>
      <c r="CJ124" s="1105"/>
      <c r="CK124" s="1105"/>
      <c r="CL124" s="1105"/>
      <c r="CM124" s="1105"/>
      <c r="CN124" s="1105"/>
      <c r="CO124" s="1105"/>
      <c r="CP124" s="1105"/>
      <c r="CQ124" s="1105"/>
      <c r="CR124" s="1105"/>
      <c r="CS124" s="1105"/>
      <c r="CT124" s="1105"/>
      <c r="CU124" s="1105"/>
      <c r="CV124" s="1105"/>
      <c r="CW124" s="1105"/>
      <c r="CX124" s="1105"/>
      <c r="CY124" s="1105"/>
      <c r="CZ124" s="1105"/>
      <c r="DA124" s="1105"/>
      <c r="DB124" s="1105"/>
      <c r="DC124" s="1105"/>
      <c r="DD124" s="1105"/>
      <c r="DE124" s="1105"/>
      <c r="DF124" s="1105"/>
      <c r="DG124" s="1105"/>
      <c r="DH124" s="1105"/>
      <c r="DI124" s="1105"/>
      <c r="DJ124" s="1105"/>
      <c r="DK124" s="1105"/>
      <c r="DL124" s="1105"/>
      <c r="DM124" s="1105"/>
      <c r="DN124" s="1113"/>
      <c r="DO124" s="1113"/>
      <c r="DP124" s="1113"/>
      <c r="DQ124" s="1113"/>
      <c r="DR124" s="1113"/>
      <c r="DS124" s="1113"/>
      <c r="DT124" s="1113"/>
      <c r="DU124" s="1113"/>
      <c r="DV124" s="1113"/>
      <c r="DW124" s="1113"/>
      <c r="DX124" s="1113"/>
      <c r="DY124" s="1113"/>
      <c r="DZ124" s="1113"/>
      <c r="EA124" s="1113"/>
      <c r="EB124" s="1113"/>
      <c r="EC124" s="1113"/>
      <c r="ED124" s="1113"/>
      <c r="EE124" s="1113"/>
      <c r="EF124" s="1113"/>
      <c r="EG124" s="1113"/>
      <c r="EH124" s="1113"/>
      <c r="EI124" s="1113"/>
    </row>
    <row r="125" spans="1:139">
      <c r="A125" s="995"/>
      <c r="B125" s="995"/>
      <c r="C125" s="995"/>
      <c r="D125" s="995"/>
      <c r="E125" s="995"/>
      <c r="F125" s="995"/>
      <c r="G125" s="995"/>
      <c r="H125" s="995"/>
      <c r="I125" s="995"/>
      <c r="J125" s="995"/>
      <c r="K125" s="995"/>
      <c r="L125" s="995"/>
      <c r="M125" s="995"/>
      <c r="N125" s="995"/>
      <c r="O125" s="995"/>
      <c r="P125" s="995"/>
      <c r="Q125" s="995"/>
      <c r="R125" s="995"/>
      <c r="S125" s="995"/>
      <c r="T125" s="995"/>
      <c r="U125" s="995"/>
      <c r="V125" s="995"/>
      <c r="W125" s="995"/>
      <c r="X125" s="995"/>
      <c r="Y125" s="995"/>
      <c r="Z125" s="995"/>
      <c r="AA125" s="995"/>
      <c r="AB125" s="995"/>
      <c r="AC125" s="995"/>
      <c r="AD125" s="995"/>
      <c r="AE125" s="995"/>
      <c r="AF125" s="995"/>
      <c r="AG125" s="995"/>
      <c r="AH125" s="995"/>
      <c r="AI125" s="1091"/>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K125" s="995"/>
      <c r="BL125" s="995"/>
      <c r="BM125" s="995"/>
      <c r="BN125" s="995"/>
      <c r="BO125" s="995"/>
      <c r="BP125" s="995"/>
      <c r="BQ125" s="995"/>
      <c r="BR125" s="995"/>
      <c r="BS125" s="995"/>
      <c r="BT125" s="995"/>
      <c r="BU125" s="995"/>
      <c r="BV125" s="995"/>
      <c r="BW125" s="995"/>
      <c r="BX125" s="995"/>
      <c r="BY125" s="995"/>
      <c r="BZ125" s="995"/>
      <c r="CA125" s="995"/>
      <c r="CB125" s="995"/>
      <c r="CC125" s="995"/>
      <c r="CD125" s="995"/>
      <c r="CE125" s="995"/>
      <c r="CF125" s="995"/>
      <c r="CG125" s="995"/>
      <c r="CH125" s="1105"/>
      <c r="CI125" s="1105"/>
      <c r="CJ125" s="1105"/>
      <c r="CK125" s="1105"/>
      <c r="CL125" s="1105"/>
      <c r="CM125" s="1105"/>
      <c r="CN125" s="1105"/>
      <c r="CO125" s="1105"/>
      <c r="CP125" s="1105"/>
      <c r="CQ125" s="1105"/>
      <c r="CR125" s="1105"/>
      <c r="CS125" s="1105"/>
      <c r="CT125" s="1105"/>
      <c r="CU125" s="1105"/>
      <c r="CV125" s="1105"/>
      <c r="CW125" s="1105"/>
      <c r="CX125" s="1105"/>
      <c r="CY125" s="1105"/>
      <c r="CZ125" s="1105"/>
      <c r="DA125" s="1105"/>
      <c r="DB125" s="1105"/>
      <c r="DC125" s="1105"/>
      <c r="DD125" s="1105"/>
      <c r="DE125" s="1105"/>
      <c r="DF125" s="1105"/>
      <c r="DG125" s="1105"/>
      <c r="DH125" s="1105"/>
      <c r="DI125" s="1105"/>
      <c r="DJ125" s="1105"/>
      <c r="DK125" s="1105"/>
      <c r="DL125" s="1105"/>
      <c r="DM125" s="1105"/>
      <c r="DN125" s="1113"/>
      <c r="DO125" s="1113"/>
      <c r="DP125" s="1113"/>
      <c r="DQ125" s="1113"/>
      <c r="DR125" s="1113"/>
      <c r="DS125" s="1113"/>
      <c r="DT125" s="1113"/>
      <c r="DU125" s="1113"/>
      <c r="DV125" s="1113"/>
      <c r="DW125" s="1113"/>
      <c r="DX125" s="1113"/>
      <c r="DY125" s="1113"/>
      <c r="DZ125" s="1113"/>
      <c r="EA125" s="1113"/>
      <c r="EB125" s="1113"/>
      <c r="EC125" s="1113"/>
      <c r="ED125" s="1113"/>
      <c r="EE125" s="1113"/>
      <c r="EF125" s="1113"/>
      <c r="EG125" s="1113"/>
      <c r="EH125" s="1113"/>
      <c r="EI125" s="1113"/>
    </row>
    <row r="126" spans="1:139">
      <c r="A126" s="995"/>
      <c r="B126" s="995"/>
      <c r="C126" s="995"/>
      <c r="D126" s="995"/>
      <c r="E126" s="995"/>
      <c r="F126" s="995"/>
      <c r="G126" s="995"/>
      <c r="H126" s="995"/>
      <c r="I126" s="995"/>
      <c r="J126" s="995"/>
      <c r="K126" s="995"/>
      <c r="L126" s="995"/>
      <c r="M126" s="995"/>
      <c r="N126" s="995"/>
      <c r="O126" s="995"/>
      <c r="P126" s="995"/>
      <c r="Q126" s="995"/>
      <c r="R126" s="995"/>
      <c r="S126" s="995"/>
      <c r="T126" s="995"/>
      <c r="U126" s="995"/>
      <c r="V126" s="995"/>
      <c r="W126" s="995"/>
      <c r="X126" s="995"/>
      <c r="Y126" s="995"/>
      <c r="Z126" s="995"/>
      <c r="AA126" s="995"/>
      <c r="AB126" s="995"/>
      <c r="AC126" s="995"/>
      <c r="AD126" s="995"/>
      <c r="AE126" s="995"/>
      <c r="AF126" s="995"/>
      <c r="AG126" s="995"/>
      <c r="AH126" s="995"/>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K126" s="995"/>
      <c r="BL126" s="995"/>
      <c r="BM126" s="995"/>
      <c r="BN126" s="995"/>
      <c r="BO126" s="995"/>
      <c r="BP126" s="995"/>
      <c r="BQ126" s="995"/>
      <c r="BR126" s="995"/>
      <c r="BS126" s="995"/>
      <c r="BT126" s="995"/>
      <c r="BU126" s="995"/>
      <c r="BV126" s="995"/>
      <c r="BW126" s="995"/>
      <c r="BX126" s="995"/>
      <c r="BY126" s="995"/>
      <c r="BZ126" s="995"/>
      <c r="CA126" s="995"/>
      <c r="CB126" s="995"/>
      <c r="CC126" s="995"/>
      <c r="CD126" s="995"/>
      <c r="CE126" s="995"/>
      <c r="CF126" s="995"/>
      <c r="CG126" s="995"/>
      <c r="CH126" s="1105"/>
      <c r="CI126" s="1105"/>
      <c r="CJ126" s="1105"/>
      <c r="CK126" s="1105"/>
      <c r="CL126" s="1105"/>
      <c r="CM126" s="1105"/>
      <c r="CN126" s="1105"/>
      <c r="CO126" s="1105"/>
      <c r="CP126" s="1105"/>
      <c r="CQ126" s="1105"/>
      <c r="CR126" s="1105"/>
      <c r="CS126" s="1105"/>
      <c r="CT126" s="1105"/>
      <c r="CU126" s="1105"/>
      <c r="CV126" s="1105"/>
      <c r="CW126" s="1105"/>
      <c r="CX126" s="1105"/>
      <c r="CY126" s="1105"/>
      <c r="CZ126" s="1105"/>
      <c r="DA126" s="1105"/>
      <c r="DB126" s="1105"/>
      <c r="DC126" s="1105"/>
      <c r="DD126" s="1105"/>
      <c r="DE126" s="1105"/>
      <c r="DF126" s="1105"/>
      <c r="DG126" s="1105"/>
      <c r="DH126" s="1105"/>
      <c r="DI126" s="1105"/>
      <c r="DJ126" s="1105"/>
      <c r="DK126" s="1105"/>
      <c r="DL126" s="1105"/>
      <c r="DM126" s="1105"/>
      <c r="DN126" s="1113"/>
      <c r="DO126" s="1113"/>
      <c r="DP126" s="1113"/>
      <c r="DQ126" s="1113"/>
      <c r="DR126" s="1113"/>
      <c r="DS126" s="1113"/>
      <c r="DT126" s="1113"/>
      <c r="DU126" s="1113"/>
      <c r="DV126" s="1113"/>
      <c r="DW126" s="1113"/>
      <c r="DX126" s="1113"/>
      <c r="DY126" s="1113"/>
      <c r="DZ126" s="1113"/>
      <c r="EA126" s="1113"/>
      <c r="EB126" s="1113"/>
      <c r="EC126" s="1113"/>
      <c r="ED126" s="1113"/>
      <c r="EE126" s="1113"/>
      <c r="EF126" s="1113"/>
      <c r="EG126" s="1113"/>
      <c r="EH126" s="1113"/>
      <c r="EI126" s="1113"/>
    </row>
    <row r="127" spans="1:139">
      <c r="A127" s="995"/>
      <c r="B127" s="995"/>
      <c r="C127" s="995"/>
      <c r="D127" s="995"/>
      <c r="E127" s="995"/>
      <c r="F127" s="995"/>
      <c r="G127" s="995"/>
      <c r="H127" s="995"/>
      <c r="I127" s="995"/>
      <c r="J127" s="995"/>
      <c r="K127" s="995"/>
      <c r="L127" s="995"/>
      <c r="M127" s="995"/>
      <c r="N127" s="995"/>
      <c r="O127" s="995"/>
      <c r="P127" s="995"/>
      <c r="Q127" s="995"/>
      <c r="R127" s="995"/>
      <c r="S127" s="995"/>
      <c r="T127" s="995"/>
      <c r="U127" s="995"/>
      <c r="V127" s="995"/>
      <c r="W127" s="995"/>
      <c r="X127" s="995"/>
      <c r="Y127" s="995"/>
      <c r="Z127" s="995"/>
      <c r="AA127" s="995"/>
      <c r="AB127" s="995"/>
      <c r="AC127" s="995"/>
      <c r="AD127" s="995"/>
      <c r="AE127" s="995"/>
      <c r="AF127" s="995"/>
      <c r="AG127" s="995"/>
      <c r="AH127" s="995"/>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K127" s="995"/>
      <c r="BL127" s="995"/>
      <c r="BM127" s="995"/>
      <c r="BN127" s="995"/>
      <c r="BO127" s="995"/>
      <c r="BP127" s="995"/>
      <c r="BQ127" s="995"/>
      <c r="BR127" s="995"/>
      <c r="BS127" s="995"/>
      <c r="BT127" s="995"/>
      <c r="BU127" s="995"/>
      <c r="BV127" s="995"/>
      <c r="BW127" s="995"/>
      <c r="BX127" s="995"/>
      <c r="BY127" s="995"/>
      <c r="BZ127" s="995"/>
      <c r="CA127" s="995"/>
      <c r="CB127" s="995"/>
      <c r="CC127" s="995"/>
      <c r="CD127" s="995"/>
      <c r="CE127" s="995"/>
      <c r="CF127" s="995"/>
      <c r="CG127" s="995"/>
      <c r="CH127" s="1105"/>
      <c r="CI127" s="1105"/>
      <c r="CJ127" s="1105"/>
      <c r="CK127" s="1105"/>
      <c r="CL127" s="1105"/>
      <c r="CM127" s="1105"/>
      <c r="CN127" s="1105"/>
      <c r="CO127" s="1105"/>
      <c r="CP127" s="1105"/>
      <c r="CQ127" s="1105"/>
      <c r="CR127" s="1105"/>
      <c r="CS127" s="1105"/>
      <c r="CT127" s="1105"/>
      <c r="CU127" s="1105"/>
      <c r="CV127" s="1105"/>
      <c r="CW127" s="1105"/>
      <c r="CX127" s="1105"/>
      <c r="CY127" s="1105"/>
      <c r="CZ127" s="1105"/>
      <c r="DA127" s="1105"/>
      <c r="DB127" s="1105"/>
      <c r="DC127" s="1105"/>
      <c r="DD127" s="1105"/>
      <c r="DE127" s="1105"/>
      <c r="DF127" s="1105"/>
      <c r="DG127" s="1105"/>
      <c r="DH127" s="1105"/>
      <c r="DI127" s="1105"/>
      <c r="DJ127" s="1105"/>
      <c r="DK127" s="1105"/>
      <c r="DL127" s="1105"/>
      <c r="DM127" s="1105"/>
      <c r="DN127" s="1113"/>
      <c r="DO127" s="1113"/>
      <c r="DP127" s="1113"/>
      <c r="DQ127" s="1113"/>
      <c r="DR127" s="1113"/>
      <c r="DS127" s="1113"/>
      <c r="DT127" s="1113"/>
      <c r="DU127" s="1113"/>
      <c r="DV127" s="1113"/>
      <c r="DW127" s="1113"/>
      <c r="DX127" s="1113"/>
      <c r="DY127" s="1113"/>
      <c r="DZ127" s="1113"/>
      <c r="EA127" s="1113"/>
      <c r="EB127" s="1113"/>
      <c r="EC127" s="1113"/>
      <c r="ED127" s="1113"/>
      <c r="EE127" s="1113"/>
      <c r="EF127" s="1113"/>
      <c r="EG127" s="1113"/>
      <c r="EH127" s="1113"/>
      <c r="EI127" s="1113"/>
    </row>
    <row r="128" spans="1:139">
      <c r="A128" s="995"/>
      <c r="B128" s="995"/>
      <c r="C128" s="995"/>
      <c r="D128" s="995"/>
      <c r="E128" s="995"/>
      <c r="F128" s="995"/>
      <c r="G128" s="995"/>
      <c r="H128" s="995"/>
      <c r="I128" s="995"/>
      <c r="J128" s="995"/>
      <c r="K128" s="995"/>
      <c r="L128" s="995"/>
      <c r="M128" s="995"/>
      <c r="N128" s="995"/>
      <c r="O128" s="995"/>
      <c r="P128" s="995"/>
      <c r="Q128" s="995"/>
      <c r="R128" s="995"/>
      <c r="S128" s="995"/>
      <c r="T128" s="995"/>
      <c r="U128" s="995"/>
      <c r="V128" s="995"/>
      <c r="W128" s="995"/>
      <c r="X128" s="995"/>
      <c r="Y128" s="995"/>
      <c r="Z128" s="995"/>
      <c r="AA128" s="995"/>
      <c r="AB128" s="995"/>
      <c r="AC128" s="995"/>
      <c r="AD128" s="995"/>
      <c r="AE128" s="995"/>
      <c r="AF128" s="995"/>
      <c r="AG128" s="995"/>
      <c r="AH128" s="995"/>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K128" s="995"/>
      <c r="BL128" s="995"/>
      <c r="BM128" s="995"/>
      <c r="BN128" s="995"/>
      <c r="BO128" s="995"/>
      <c r="BP128" s="995"/>
      <c r="BQ128" s="995"/>
      <c r="BR128" s="995"/>
      <c r="BS128" s="995"/>
      <c r="BT128" s="995"/>
      <c r="BU128" s="995"/>
      <c r="BV128" s="995"/>
      <c r="BW128" s="995"/>
      <c r="BX128" s="995"/>
      <c r="BY128" s="995"/>
      <c r="BZ128" s="995"/>
      <c r="CA128" s="995"/>
      <c r="CB128" s="995"/>
      <c r="CC128" s="995"/>
      <c r="CD128" s="995"/>
      <c r="CE128" s="995"/>
      <c r="CF128" s="995"/>
      <c r="CG128" s="995"/>
      <c r="CH128" s="1105"/>
      <c r="CI128" s="1105"/>
      <c r="CJ128" s="1105"/>
      <c r="CK128" s="1105"/>
      <c r="CL128" s="1105"/>
      <c r="CM128" s="1105"/>
      <c r="CN128" s="1105"/>
      <c r="CO128" s="1105"/>
      <c r="CP128" s="1105"/>
      <c r="CQ128" s="1105"/>
      <c r="CR128" s="1105"/>
      <c r="CS128" s="1105"/>
      <c r="CT128" s="1105"/>
      <c r="CU128" s="1105"/>
      <c r="CV128" s="1105"/>
      <c r="CW128" s="1105"/>
      <c r="CX128" s="1105"/>
      <c r="CY128" s="1105"/>
      <c r="CZ128" s="1105"/>
      <c r="DA128" s="1105"/>
      <c r="DB128" s="1105"/>
      <c r="DC128" s="1105"/>
      <c r="DD128" s="1105"/>
      <c r="DE128" s="1105"/>
      <c r="DF128" s="1105"/>
      <c r="DG128" s="1105"/>
      <c r="DH128" s="1105"/>
      <c r="DI128" s="1105"/>
      <c r="DJ128" s="1105"/>
      <c r="DK128" s="1105"/>
      <c r="DL128" s="1105"/>
      <c r="DM128" s="1105"/>
      <c r="DN128" s="1113"/>
      <c r="DO128" s="1113"/>
      <c r="DP128" s="1113"/>
      <c r="DQ128" s="1113"/>
      <c r="DR128" s="1113"/>
      <c r="DS128" s="1113"/>
      <c r="DT128" s="1113"/>
      <c r="DU128" s="1113"/>
      <c r="DV128" s="1113"/>
      <c r="DW128" s="1113"/>
      <c r="DX128" s="1113"/>
      <c r="DY128" s="1113"/>
      <c r="DZ128" s="1113"/>
      <c r="EA128" s="1113"/>
      <c r="EB128" s="1113"/>
      <c r="EC128" s="1113"/>
      <c r="ED128" s="1113"/>
      <c r="EE128" s="1113"/>
      <c r="EF128" s="1113"/>
      <c r="EG128" s="1113"/>
      <c r="EH128" s="1113"/>
      <c r="EI128" s="1113"/>
    </row>
    <row r="129" spans="1:117">
      <c r="A129" s="995"/>
      <c r="B129" s="995"/>
      <c r="C129" s="995"/>
      <c r="D129" s="995"/>
      <c r="E129" s="995"/>
      <c r="F129" s="995"/>
      <c r="G129" s="995"/>
      <c r="H129" s="995"/>
      <c r="I129" s="995"/>
      <c r="J129" s="995"/>
      <c r="K129" s="995"/>
      <c r="L129" s="995"/>
      <c r="M129" s="995"/>
      <c r="N129" s="995"/>
      <c r="O129" s="995"/>
      <c r="P129" s="995"/>
      <c r="Q129" s="995"/>
      <c r="R129" s="995"/>
      <c r="S129" s="995"/>
      <c r="T129" s="995"/>
      <c r="U129" s="995"/>
      <c r="V129" s="995"/>
      <c r="W129" s="995"/>
      <c r="X129" s="995"/>
      <c r="Y129" s="995"/>
      <c r="Z129" s="995"/>
      <c r="AA129" s="995"/>
      <c r="AB129" s="995"/>
      <c r="AC129" s="995"/>
      <c r="AD129" s="995"/>
      <c r="AE129" s="995"/>
      <c r="AF129" s="995"/>
      <c r="AG129" s="995"/>
      <c r="AH129" s="995"/>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K129" s="995"/>
      <c r="BL129" s="995"/>
      <c r="BM129" s="995"/>
      <c r="BN129" s="995"/>
      <c r="BO129" s="995"/>
      <c r="BP129" s="995"/>
      <c r="BQ129" s="995"/>
      <c r="BR129" s="995"/>
      <c r="BS129" s="995"/>
      <c r="BT129" s="995"/>
      <c r="BU129" s="995"/>
      <c r="BV129" s="995"/>
      <c r="BW129" s="995"/>
      <c r="BX129" s="995"/>
      <c r="BY129" s="995"/>
      <c r="BZ129" s="995"/>
      <c r="CA129" s="995"/>
      <c r="CB129" s="995"/>
      <c r="CC129" s="995"/>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row>
    <row r="130" spans="1:117">
      <c r="A130" s="995"/>
      <c r="B130" s="995"/>
      <c r="C130" s="995"/>
      <c r="D130" s="995"/>
      <c r="E130" s="995"/>
      <c r="F130" s="995"/>
      <c r="G130" s="995"/>
      <c r="H130" s="995"/>
      <c r="I130" s="995"/>
      <c r="J130" s="995"/>
      <c r="K130" s="995"/>
      <c r="L130" s="995"/>
      <c r="M130" s="995"/>
      <c r="N130" s="995"/>
      <c r="O130" s="995"/>
      <c r="P130" s="995"/>
      <c r="Q130" s="995"/>
      <c r="R130" s="995"/>
      <c r="S130" s="995"/>
      <c r="T130" s="995"/>
      <c r="U130" s="995"/>
      <c r="V130" s="995"/>
      <c r="W130" s="995"/>
      <c r="X130" s="995"/>
      <c r="Y130" s="995"/>
      <c r="Z130" s="995"/>
      <c r="AA130" s="995"/>
      <c r="AB130" s="995"/>
      <c r="AC130" s="995"/>
      <c r="AD130" s="995"/>
      <c r="AE130" s="995"/>
      <c r="AF130" s="995"/>
      <c r="AG130" s="995"/>
      <c r="AH130" s="995"/>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K130" s="995"/>
      <c r="BL130" s="995"/>
      <c r="BM130" s="995"/>
      <c r="BN130" s="995"/>
      <c r="BO130" s="995"/>
      <c r="BP130" s="995"/>
      <c r="BQ130" s="995"/>
      <c r="BR130" s="995"/>
      <c r="BS130" s="995"/>
      <c r="BT130" s="995"/>
      <c r="BU130" s="995"/>
      <c r="BV130" s="995"/>
      <c r="BW130" s="995"/>
      <c r="BX130" s="995"/>
      <c r="BY130" s="995"/>
      <c r="BZ130" s="995"/>
      <c r="CA130" s="995"/>
      <c r="CB130" s="995"/>
      <c r="CC130" s="995"/>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row>
    <row r="131" spans="1:117">
      <c r="A131" s="995"/>
      <c r="B131" s="995"/>
      <c r="C131" s="995"/>
      <c r="D131" s="995"/>
      <c r="E131" s="995"/>
      <c r="F131" s="995"/>
      <c r="G131" s="995"/>
      <c r="H131" s="995"/>
      <c r="I131" s="995"/>
      <c r="J131" s="995"/>
      <c r="K131" s="995"/>
      <c r="L131" s="995"/>
      <c r="M131" s="995"/>
      <c r="N131" s="995"/>
      <c r="O131" s="995"/>
      <c r="P131" s="995"/>
      <c r="Q131" s="995"/>
      <c r="R131" s="995"/>
      <c r="S131" s="995"/>
      <c r="T131" s="995"/>
      <c r="U131" s="995"/>
      <c r="V131" s="995"/>
      <c r="W131" s="995"/>
      <c r="X131" s="995"/>
      <c r="Y131" s="995"/>
      <c r="Z131" s="995"/>
      <c r="AA131" s="995"/>
      <c r="AB131" s="995"/>
      <c r="AC131" s="995"/>
      <c r="AD131" s="995"/>
      <c r="AE131" s="995"/>
      <c r="AF131" s="995"/>
      <c r="AG131" s="995"/>
      <c r="AH131" s="995"/>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K131" s="995"/>
      <c r="BL131" s="995"/>
      <c r="BM131" s="995"/>
      <c r="BN131" s="995"/>
      <c r="BO131" s="995"/>
      <c r="BP131" s="995"/>
      <c r="BQ131" s="995"/>
      <c r="BR131" s="995"/>
      <c r="BS131" s="995"/>
      <c r="BT131" s="995"/>
      <c r="BU131" s="995"/>
      <c r="BV131" s="995"/>
      <c r="BW131" s="995"/>
      <c r="BX131" s="995"/>
      <c r="BY131" s="995"/>
      <c r="BZ131" s="995"/>
      <c r="CA131" s="995"/>
      <c r="CB131" s="995"/>
      <c r="CC131" s="995"/>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row>
    <row r="132" spans="1:117">
      <c r="A132" s="995"/>
      <c r="B132" s="995"/>
      <c r="C132" s="995"/>
      <c r="D132" s="995"/>
      <c r="E132" s="995"/>
      <c r="F132" s="995"/>
      <c r="G132" s="995"/>
      <c r="H132" s="995"/>
      <c r="I132" s="995"/>
      <c r="J132" s="995"/>
      <c r="K132" s="995"/>
      <c r="L132" s="995"/>
      <c r="M132" s="995"/>
      <c r="N132" s="995"/>
      <c r="O132" s="995"/>
      <c r="P132" s="995"/>
      <c r="Q132" s="995"/>
      <c r="R132" s="995"/>
      <c r="S132" s="995"/>
      <c r="T132" s="995"/>
      <c r="U132" s="995"/>
      <c r="V132" s="995"/>
      <c r="W132" s="995"/>
      <c r="X132" s="995"/>
      <c r="Y132" s="995"/>
      <c r="Z132" s="995"/>
      <c r="AA132" s="995"/>
      <c r="AB132" s="995"/>
      <c r="AC132" s="995"/>
      <c r="AD132" s="995"/>
      <c r="AE132" s="995"/>
      <c r="AF132" s="995"/>
      <c r="AG132" s="995"/>
      <c r="AH132" s="995"/>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K132" s="995"/>
      <c r="BL132" s="995"/>
      <c r="BM132" s="995"/>
      <c r="BN132" s="995"/>
      <c r="BO132" s="995"/>
      <c r="BP132" s="995"/>
      <c r="BQ132" s="995"/>
      <c r="BR132" s="995"/>
      <c r="BS132" s="995"/>
      <c r="BT132" s="995"/>
      <c r="BU132" s="995"/>
      <c r="BV132" s="995"/>
      <c r="BW132" s="995"/>
      <c r="BX132" s="995"/>
      <c r="BY132" s="995"/>
      <c r="BZ132" s="995"/>
      <c r="CA132" s="995"/>
      <c r="CB132" s="995"/>
      <c r="CC132" s="995"/>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row>
    <row r="133" spans="1:117">
      <c r="A133" s="995"/>
      <c r="B133" s="995"/>
      <c r="C133" s="995"/>
      <c r="D133" s="995"/>
      <c r="E133" s="995"/>
      <c r="F133" s="995"/>
      <c r="G133" s="995"/>
      <c r="H133" s="995"/>
      <c r="I133" s="995"/>
      <c r="J133" s="995"/>
      <c r="K133" s="995"/>
      <c r="L133" s="995"/>
      <c r="M133" s="995"/>
      <c r="N133" s="995"/>
      <c r="O133" s="995"/>
      <c r="P133" s="995"/>
      <c r="Q133" s="995"/>
      <c r="R133" s="995"/>
      <c r="S133" s="995"/>
      <c r="T133" s="995"/>
      <c r="U133" s="995"/>
      <c r="V133" s="995"/>
      <c r="W133" s="995"/>
      <c r="X133" s="995"/>
      <c r="Y133" s="995"/>
      <c r="Z133" s="995"/>
      <c r="AA133" s="995"/>
      <c r="AB133" s="995"/>
      <c r="AC133" s="995"/>
      <c r="AD133" s="995"/>
      <c r="AE133" s="995"/>
      <c r="AF133" s="995"/>
      <c r="AG133" s="995"/>
      <c r="AH133" s="995"/>
      <c r="BK133" s="995"/>
      <c r="BL133" s="995"/>
      <c r="BM133" s="995"/>
      <c r="BN133" s="995"/>
      <c r="BO133" s="995"/>
      <c r="BP133" s="995"/>
      <c r="BQ133" s="995"/>
      <c r="BR133" s="995"/>
      <c r="BS133" s="995"/>
      <c r="BT133" s="995"/>
      <c r="BU133" s="995"/>
      <c r="BV133" s="995"/>
      <c r="BW133" s="995"/>
      <c r="BX133" s="995"/>
      <c r="BY133" s="995"/>
      <c r="BZ133" s="995"/>
      <c r="CA133" s="995"/>
      <c r="CB133" s="995"/>
      <c r="CC133" s="995"/>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row>
    <row r="134" spans="1:117">
      <c r="A134" s="995"/>
      <c r="B134" s="995"/>
      <c r="C134" s="995"/>
      <c r="D134" s="995"/>
      <c r="E134" s="995"/>
      <c r="F134" s="995"/>
      <c r="G134" s="995"/>
      <c r="H134" s="995"/>
      <c r="I134" s="995"/>
      <c r="J134" s="995"/>
      <c r="K134" s="995"/>
      <c r="L134" s="995"/>
      <c r="M134" s="995"/>
      <c r="N134" s="995"/>
      <c r="O134" s="995"/>
      <c r="P134" s="995"/>
      <c r="Q134" s="995"/>
      <c r="R134" s="995"/>
      <c r="S134" s="995"/>
      <c r="T134" s="995"/>
      <c r="U134" s="995"/>
      <c r="V134" s="995"/>
      <c r="W134" s="995"/>
      <c r="X134" s="995"/>
      <c r="Y134" s="995"/>
      <c r="Z134" s="995"/>
      <c r="AA134" s="995"/>
      <c r="AB134" s="995"/>
      <c r="AC134" s="995"/>
      <c r="AD134" s="995"/>
      <c r="AE134" s="995"/>
      <c r="AF134" s="995"/>
      <c r="AG134" s="995"/>
      <c r="AH134" s="995"/>
      <c r="BK134" s="995"/>
      <c r="BL134" s="995"/>
      <c r="BM134" s="995"/>
      <c r="BN134" s="995"/>
      <c r="BO134" s="995"/>
      <c r="BP134" s="995"/>
      <c r="BQ134" s="995"/>
      <c r="BR134" s="995"/>
      <c r="BS134" s="995"/>
      <c r="BT134" s="995"/>
      <c r="BU134" s="995"/>
      <c r="BV134" s="995"/>
      <c r="BW134" s="995"/>
      <c r="BX134" s="995"/>
      <c r="BY134" s="995"/>
      <c r="BZ134" s="995"/>
      <c r="CA134" s="995"/>
      <c r="CB134" s="995"/>
      <c r="CC134" s="995"/>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row>
    <row r="135" spans="1:117">
      <c r="A135" s="995"/>
      <c r="B135" s="995"/>
      <c r="C135" s="995"/>
      <c r="D135" s="995"/>
      <c r="E135" s="995"/>
      <c r="F135" s="995"/>
      <c r="G135" s="995"/>
      <c r="H135" s="995"/>
      <c r="I135" s="995"/>
      <c r="J135" s="995"/>
      <c r="K135" s="995"/>
      <c r="L135" s="995"/>
      <c r="M135" s="995"/>
      <c r="N135" s="995"/>
      <c r="O135" s="995"/>
      <c r="P135" s="995"/>
      <c r="Q135" s="995"/>
      <c r="R135" s="995"/>
      <c r="S135" s="995"/>
      <c r="T135" s="995"/>
      <c r="U135" s="995"/>
      <c r="V135" s="995"/>
      <c r="W135" s="995"/>
      <c r="X135" s="995"/>
      <c r="Y135" s="995"/>
      <c r="Z135" s="995"/>
      <c r="AA135" s="995"/>
      <c r="AB135" s="995"/>
      <c r="AC135" s="995"/>
      <c r="AD135" s="995"/>
      <c r="AE135" s="995"/>
      <c r="AF135" s="995"/>
      <c r="AG135" s="995"/>
      <c r="AH135" s="995"/>
      <c r="BK135" s="995"/>
      <c r="BL135" s="995"/>
      <c r="BM135" s="995"/>
      <c r="BN135" s="995"/>
      <c r="BO135" s="995"/>
      <c r="BP135" s="995"/>
      <c r="BQ135" s="995"/>
      <c r="BR135" s="995"/>
      <c r="BS135" s="995"/>
      <c r="BT135" s="995"/>
      <c r="BU135" s="995"/>
      <c r="BV135" s="995"/>
      <c r="BW135" s="995"/>
      <c r="BX135" s="995"/>
      <c r="BY135" s="995"/>
      <c r="BZ135" s="995"/>
      <c r="CA135" s="995"/>
      <c r="CB135" s="995"/>
      <c r="CC135" s="995"/>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row>
    <row r="136" spans="1:117">
      <c r="A136" s="995"/>
      <c r="B136" s="995"/>
      <c r="C136" s="995"/>
      <c r="D136" s="995"/>
      <c r="E136" s="995"/>
      <c r="F136" s="995"/>
      <c r="G136" s="995"/>
      <c r="H136" s="995"/>
      <c r="I136" s="995"/>
      <c r="J136" s="995"/>
      <c r="K136" s="995"/>
      <c r="L136" s="995"/>
      <c r="M136" s="995"/>
      <c r="N136" s="995"/>
      <c r="O136" s="995"/>
      <c r="P136" s="995"/>
      <c r="Q136" s="995"/>
      <c r="R136" s="995"/>
      <c r="S136" s="995"/>
      <c r="T136" s="995"/>
      <c r="U136" s="995"/>
      <c r="V136" s="995"/>
      <c r="W136" s="995"/>
      <c r="X136" s="995"/>
      <c r="Y136" s="995"/>
      <c r="Z136" s="995"/>
      <c r="AA136" s="995"/>
      <c r="AB136" s="995"/>
      <c r="AC136" s="995"/>
      <c r="AD136" s="995"/>
      <c r="AE136" s="995"/>
      <c r="AF136" s="995"/>
      <c r="AG136" s="995"/>
      <c r="AH136" s="995"/>
      <c r="BK136" s="995"/>
      <c r="BL136" s="995"/>
      <c r="BM136" s="995"/>
      <c r="BN136" s="995"/>
      <c r="BO136" s="995"/>
      <c r="BP136" s="995"/>
      <c r="BQ136" s="995"/>
      <c r="BR136" s="995"/>
      <c r="BS136" s="995"/>
      <c r="BT136" s="995"/>
      <c r="BU136" s="995"/>
      <c r="BV136" s="995"/>
      <c r="BW136" s="995"/>
      <c r="BX136" s="995"/>
      <c r="BY136" s="995"/>
      <c r="BZ136" s="995"/>
      <c r="CA136" s="995"/>
      <c r="CB136" s="995"/>
      <c r="CC136" s="995"/>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row>
    <row r="137" spans="1:117">
      <c r="A137" s="995"/>
      <c r="B137" s="995"/>
      <c r="C137" s="995"/>
      <c r="D137" s="995"/>
      <c r="E137" s="995"/>
      <c r="F137" s="995"/>
      <c r="G137" s="995"/>
      <c r="H137" s="995"/>
      <c r="I137" s="995"/>
      <c r="J137" s="995"/>
      <c r="K137" s="995"/>
      <c r="L137" s="995"/>
      <c r="M137" s="995"/>
      <c r="N137" s="995"/>
      <c r="O137" s="995"/>
      <c r="P137" s="995"/>
      <c r="Q137" s="995"/>
      <c r="R137" s="995"/>
      <c r="S137" s="995"/>
      <c r="T137" s="995"/>
      <c r="U137" s="995"/>
      <c r="V137" s="995"/>
      <c r="W137" s="995"/>
      <c r="X137" s="995"/>
      <c r="Y137" s="995"/>
      <c r="Z137" s="995"/>
      <c r="AA137" s="995"/>
      <c r="AB137" s="995"/>
      <c r="AC137" s="995"/>
      <c r="AD137" s="995"/>
      <c r="AE137" s="995"/>
      <c r="AF137" s="995"/>
      <c r="AG137" s="995"/>
      <c r="AH137" s="995"/>
      <c r="BK137" s="995"/>
      <c r="BL137" s="995"/>
      <c r="BM137" s="995"/>
      <c r="BN137" s="995"/>
      <c r="BO137" s="995"/>
      <c r="BP137" s="995"/>
      <c r="BQ137" s="995"/>
      <c r="BR137" s="995"/>
      <c r="BS137" s="995"/>
      <c r="BT137" s="995"/>
      <c r="BU137" s="995"/>
      <c r="BV137" s="995"/>
      <c r="BW137" s="995"/>
      <c r="BX137" s="995"/>
      <c r="BY137" s="995"/>
      <c r="BZ137" s="995"/>
      <c r="CA137" s="995"/>
      <c r="CB137" s="995"/>
      <c r="CC137" s="995"/>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row>
    <row r="138" spans="1:117">
      <c r="A138" s="995"/>
      <c r="B138" s="995"/>
      <c r="C138" s="995"/>
      <c r="D138" s="995"/>
      <c r="E138" s="995"/>
      <c r="F138" s="995"/>
      <c r="G138" s="995"/>
      <c r="H138" s="995"/>
      <c r="I138" s="995"/>
      <c r="J138" s="995"/>
      <c r="K138" s="995"/>
      <c r="L138" s="995"/>
      <c r="M138" s="995"/>
      <c r="N138" s="995"/>
      <c r="O138" s="995"/>
      <c r="P138" s="995"/>
      <c r="Q138" s="995"/>
      <c r="R138" s="995"/>
      <c r="S138" s="995"/>
      <c r="T138" s="995"/>
      <c r="U138" s="995"/>
      <c r="V138" s="995"/>
      <c r="W138" s="995"/>
      <c r="X138" s="995"/>
      <c r="Y138" s="995"/>
      <c r="Z138" s="995"/>
      <c r="AA138" s="995"/>
      <c r="AB138" s="995"/>
      <c r="AC138" s="995"/>
      <c r="AD138" s="995"/>
      <c r="AE138" s="995"/>
      <c r="AF138" s="995"/>
      <c r="AG138" s="995"/>
      <c r="AH138" s="995"/>
      <c r="BK138" s="995"/>
      <c r="BL138" s="995"/>
      <c r="BM138" s="995"/>
      <c r="BN138" s="995"/>
      <c r="BO138" s="995"/>
      <c r="BP138" s="995"/>
      <c r="BQ138" s="995"/>
      <c r="BR138" s="995"/>
      <c r="BS138" s="995"/>
      <c r="BT138" s="995"/>
      <c r="BU138" s="995"/>
      <c r="BV138" s="995"/>
      <c r="BW138" s="995"/>
      <c r="BX138" s="995"/>
      <c r="BY138" s="995"/>
      <c r="BZ138" s="995"/>
      <c r="CA138" s="995"/>
      <c r="CB138" s="995"/>
      <c r="CC138" s="995"/>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row>
    <row r="139" spans="1:117">
      <c r="A139" s="995"/>
      <c r="B139" s="995"/>
      <c r="C139" s="995"/>
      <c r="D139" s="995"/>
      <c r="E139" s="995"/>
      <c r="F139" s="995"/>
      <c r="G139" s="995"/>
      <c r="H139" s="995"/>
      <c r="I139" s="995"/>
      <c r="J139" s="995"/>
      <c r="K139" s="995"/>
      <c r="L139" s="995"/>
      <c r="M139" s="995"/>
      <c r="N139" s="995"/>
      <c r="O139" s="995"/>
      <c r="P139" s="995"/>
      <c r="Q139" s="995"/>
      <c r="R139" s="995"/>
      <c r="S139" s="995"/>
      <c r="T139" s="995"/>
      <c r="U139" s="995"/>
      <c r="V139" s="995"/>
      <c r="W139" s="995"/>
      <c r="X139" s="995"/>
      <c r="Y139" s="995"/>
      <c r="Z139" s="995"/>
      <c r="AA139" s="995"/>
      <c r="AB139" s="995"/>
      <c r="AC139" s="995"/>
      <c r="AD139" s="995"/>
      <c r="AE139" s="995"/>
      <c r="AF139" s="995"/>
      <c r="AG139" s="995"/>
      <c r="AH139" s="995"/>
      <c r="AI139" s="995"/>
      <c r="AJ139" s="995"/>
      <c r="AK139" s="995"/>
      <c r="AL139" s="995"/>
      <c r="AM139" s="995"/>
      <c r="AN139" s="995"/>
      <c r="AO139" s="995"/>
      <c r="AP139" s="995"/>
      <c r="AQ139" s="995"/>
      <c r="AR139" s="995"/>
      <c r="AS139" s="995"/>
      <c r="AT139" s="995"/>
      <c r="AU139" s="995"/>
      <c r="AV139" s="995"/>
      <c r="AW139" s="995"/>
      <c r="AX139" s="995"/>
      <c r="AY139" s="995"/>
      <c r="AZ139" s="995"/>
      <c r="BA139" s="995"/>
      <c r="BB139" s="995"/>
      <c r="BC139" s="995"/>
      <c r="BD139" s="995"/>
      <c r="BE139" s="995"/>
      <c r="BF139" s="995"/>
      <c r="BG139" s="995"/>
      <c r="BH139" s="995"/>
      <c r="BI139" s="995"/>
      <c r="BJ139" s="995"/>
      <c r="BK139" s="995"/>
      <c r="BL139" s="995"/>
      <c r="BM139" s="995"/>
      <c r="BN139" s="995"/>
      <c r="BO139" s="995"/>
      <c r="BP139" s="995"/>
      <c r="BQ139" s="995"/>
      <c r="BR139" s="995"/>
      <c r="BS139" s="995"/>
      <c r="BT139" s="995"/>
      <c r="BU139" s="995"/>
      <c r="BV139" s="995"/>
      <c r="BW139" s="995"/>
      <c r="BX139" s="995"/>
      <c r="BY139" s="995"/>
      <c r="BZ139" s="995"/>
      <c r="CA139" s="995"/>
      <c r="CB139" s="995"/>
      <c r="CC139" s="995"/>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row>
    <row r="140" spans="1:117">
      <c r="A140" s="995"/>
      <c r="B140" s="995"/>
      <c r="C140" s="995"/>
      <c r="D140" s="995"/>
      <c r="E140" s="995"/>
      <c r="F140" s="995"/>
      <c r="G140" s="995"/>
      <c r="H140" s="995"/>
      <c r="I140" s="995"/>
      <c r="J140" s="995"/>
      <c r="K140" s="995"/>
      <c r="L140" s="995"/>
      <c r="M140" s="995"/>
      <c r="N140" s="995"/>
      <c r="O140" s="995"/>
      <c r="P140" s="995"/>
      <c r="Q140" s="995"/>
      <c r="R140" s="995"/>
      <c r="S140" s="995"/>
      <c r="T140" s="995"/>
      <c r="U140" s="995"/>
      <c r="V140" s="995"/>
      <c r="W140" s="995"/>
      <c r="X140" s="995"/>
      <c r="Y140" s="995"/>
      <c r="Z140" s="995"/>
      <c r="AA140" s="995"/>
      <c r="AB140" s="995"/>
      <c r="AC140" s="995"/>
      <c r="AD140" s="995"/>
      <c r="AE140" s="995"/>
      <c r="AF140" s="995"/>
      <c r="AG140" s="995"/>
      <c r="AH140" s="995"/>
      <c r="AI140" s="995"/>
      <c r="AJ140" s="995"/>
      <c r="AK140" s="995"/>
      <c r="AL140" s="995"/>
      <c r="AM140" s="995"/>
      <c r="AN140" s="995"/>
      <c r="AO140" s="995"/>
      <c r="AP140" s="995"/>
      <c r="AQ140" s="995"/>
      <c r="AR140" s="995"/>
      <c r="AS140" s="995"/>
      <c r="AT140" s="995"/>
      <c r="AU140" s="995"/>
      <c r="AV140" s="995"/>
      <c r="AW140" s="995"/>
      <c r="AX140" s="995"/>
      <c r="AY140" s="995"/>
      <c r="AZ140" s="995"/>
      <c r="BA140" s="995"/>
      <c r="BB140" s="995"/>
      <c r="BC140" s="995"/>
      <c r="BD140" s="995"/>
      <c r="BE140" s="995"/>
      <c r="BF140" s="995"/>
      <c r="BG140" s="995"/>
      <c r="BH140" s="995"/>
      <c r="BI140" s="995"/>
      <c r="BJ140" s="995"/>
      <c r="BK140" s="995"/>
      <c r="BL140" s="995"/>
      <c r="BM140" s="995"/>
      <c r="BN140" s="995"/>
      <c r="BO140" s="995"/>
      <c r="BP140" s="995"/>
      <c r="BQ140" s="995"/>
      <c r="BR140" s="995"/>
      <c r="BS140" s="995"/>
      <c r="BT140" s="995"/>
      <c r="BU140" s="995"/>
      <c r="BV140" s="995"/>
      <c r="BW140" s="995"/>
      <c r="BX140" s="995"/>
      <c r="BY140" s="995"/>
      <c r="BZ140" s="995"/>
      <c r="CA140" s="995"/>
      <c r="CB140" s="995"/>
      <c r="CC140" s="995"/>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row>
    <row r="141" spans="1:117">
      <c r="A141" s="995"/>
      <c r="B141" s="995"/>
      <c r="C141" s="995"/>
      <c r="D141" s="995"/>
      <c r="E141" s="995"/>
      <c r="F141" s="995"/>
      <c r="G141" s="995"/>
      <c r="H141" s="995"/>
      <c r="I141" s="995"/>
      <c r="J141" s="995"/>
      <c r="K141" s="995"/>
      <c r="L141" s="995"/>
      <c r="M141" s="995"/>
      <c r="N141" s="995"/>
      <c r="O141" s="995"/>
      <c r="P141" s="995"/>
      <c r="Q141" s="995"/>
      <c r="R141" s="995"/>
      <c r="S141" s="995"/>
      <c r="T141" s="995"/>
      <c r="U141" s="995"/>
      <c r="V141" s="995"/>
      <c r="W141" s="995"/>
      <c r="X141" s="995"/>
      <c r="Y141" s="995"/>
      <c r="Z141" s="995"/>
      <c r="AA141" s="995"/>
      <c r="AB141" s="995"/>
      <c r="AC141" s="995"/>
      <c r="AD141" s="995"/>
      <c r="AE141" s="995"/>
      <c r="AF141" s="995"/>
      <c r="AG141" s="995"/>
      <c r="AH141" s="995"/>
      <c r="AI141" s="995"/>
      <c r="AJ141" s="995"/>
      <c r="AK141" s="995"/>
      <c r="AL141" s="995"/>
      <c r="AM141" s="995"/>
      <c r="AN141" s="995"/>
      <c r="AO141" s="995"/>
      <c r="AP141" s="995"/>
      <c r="AQ141" s="995"/>
      <c r="AR141" s="995"/>
      <c r="AS141" s="995"/>
      <c r="AT141" s="995"/>
      <c r="AU141" s="995"/>
      <c r="AV141" s="995"/>
      <c r="AW141" s="995"/>
      <c r="AX141" s="995"/>
      <c r="AY141" s="995"/>
      <c r="AZ141" s="995"/>
      <c r="BA141" s="995"/>
      <c r="BB141" s="995"/>
      <c r="BC141" s="995"/>
      <c r="BD141" s="995"/>
      <c r="BE141" s="995"/>
      <c r="BF141" s="995"/>
      <c r="BG141" s="995"/>
      <c r="BH141" s="995"/>
      <c r="BI141" s="995"/>
      <c r="BJ141" s="995"/>
      <c r="BK141" s="995"/>
      <c r="BL141" s="995"/>
      <c r="BM141" s="995"/>
      <c r="BN141" s="995"/>
      <c r="BO141" s="995"/>
      <c r="BP141" s="995"/>
      <c r="BQ141" s="995"/>
      <c r="BR141" s="995"/>
      <c r="BS141" s="995"/>
      <c r="BT141" s="995"/>
      <c r="BU141" s="995"/>
      <c r="BV141" s="995"/>
      <c r="BW141" s="995"/>
      <c r="BX141" s="995"/>
      <c r="BY141" s="995"/>
      <c r="BZ141" s="995"/>
      <c r="CA141" s="995"/>
      <c r="CB141" s="995"/>
      <c r="CC141" s="995"/>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row>
    <row r="142" spans="1:117">
      <c r="A142" s="995"/>
      <c r="B142" s="995"/>
      <c r="C142" s="995"/>
      <c r="D142" s="995"/>
      <c r="E142" s="995"/>
      <c r="F142" s="995"/>
      <c r="G142" s="995"/>
      <c r="H142" s="995"/>
      <c r="I142" s="995"/>
      <c r="J142" s="995"/>
      <c r="K142" s="995"/>
      <c r="L142" s="995"/>
      <c r="M142" s="995"/>
      <c r="N142" s="995"/>
      <c r="O142" s="995"/>
      <c r="P142" s="995"/>
      <c r="Q142" s="995"/>
      <c r="R142" s="995"/>
      <c r="S142" s="995"/>
      <c r="T142" s="995"/>
      <c r="U142" s="995"/>
      <c r="V142" s="995"/>
      <c r="W142" s="995"/>
      <c r="X142" s="995"/>
      <c r="Y142" s="995"/>
      <c r="Z142" s="995"/>
      <c r="AA142" s="995"/>
      <c r="AB142" s="995"/>
      <c r="AC142" s="995"/>
      <c r="AD142" s="995"/>
      <c r="AE142" s="995"/>
      <c r="AF142" s="995"/>
      <c r="AG142" s="995"/>
      <c r="AH142" s="995"/>
      <c r="AI142" s="995"/>
      <c r="AJ142" s="995"/>
      <c r="AK142" s="995"/>
      <c r="AL142" s="995"/>
      <c r="AM142" s="995"/>
      <c r="AN142" s="995"/>
      <c r="AO142" s="995"/>
      <c r="AP142" s="995"/>
      <c r="AQ142" s="995"/>
      <c r="AR142" s="995"/>
      <c r="AS142" s="995"/>
      <c r="AT142" s="995"/>
      <c r="AU142" s="995"/>
      <c r="AV142" s="995"/>
      <c r="AW142" s="995"/>
      <c r="AX142" s="995"/>
      <c r="AY142" s="995"/>
      <c r="AZ142" s="995"/>
      <c r="BA142" s="995"/>
      <c r="BB142" s="995"/>
      <c r="BC142" s="995"/>
      <c r="BD142" s="995"/>
      <c r="BE142" s="995"/>
      <c r="BF142" s="995"/>
      <c r="BG142" s="995"/>
      <c r="BH142" s="995"/>
      <c r="BI142" s="995"/>
      <c r="BJ142" s="995"/>
      <c r="BK142" s="995"/>
      <c r="BL142" s="995"/>
      <c r="BM142" s="995"/>
      <c r="BN142" s="995"/>
      <c r="BO142" s="995"/>
      <c r="BP142" s="995"/>
      <c r="BQ142" s="995"/>
      <c r="BR142" s="995"/>
      <c r="BS142" s="995"/>
      <c r="BT142" s="995"/>
      <c r="BU142" s="995"/>
      <c r="BV142" s="995"/>
      <c r="BW142" s="995"/>
      <c r="BX142" s="995"/>
      <c r="BY142" s="995"/>
      <c r="BZ142" s="995"/>
      <c r="CA142" s="995"/>
      <c r="CB142" s="995"/>
      <c r="CC142" s="995"/>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row>
    <row r="143" spans="1:117">
      <c r="A143" s="995"/>
      <c r="B143" s="995"/>
      <c r="C143" s="995"/>
      <c r="D143" s="995"/>
      <c r="E143" s="995"/>
      <c r="F143" s="995"/>
      <c r="G143" s="995"/>
      <c r="H143" s="995"/>
      <c r="I143" s="995"/>
      <c r="J143" s="995"/>
      <c r="K143" s="995"/>
      <c r="L143" s="995"/>
      <c r="M143" s="995"/>
      <c r="N143" s="995"/>
      <c r="O143" s="995"/>
      <c r="P143" s="995"/>
      <c r="Q143" s="995"/>
      <c r="R143" s="995"/>
      <c r="S143" s="995"/>
      <c r="T143" s="995"/>
      <c r="U143" s="995"/>
      <c r="V143" s="995"/>
      <c r="W143" s="995"/>
      <c r="X143" s="995"/>
      <c r="Y143" s="995"/>
      <c r="Z143" s="995"/>
      <c r="AA143" s="995"/>
      <c r="AB143" s="995"/>
      <c r="AC143" s="995"/>
      <c r="AD143" s="995"/>
      <c r="AE143" s="995"/>
      <c r="AF143" s="995"/>
      <c r="AG143" s="995"/>
      <c r="AH143" s="995"/>
      <c r="AI143" s="995"/>
      <c r="AJ143" s="995"/>
      <c r="AK143" s="995"/>
      <c r="AL143" s="995"/>
      <c r="AM143" s="995"/>
      <c r="AN143" s="995"/>
      <c r="AO143" s="995"/>
      <c r="AP143" s="995"/>
      <c r="AQ143" s="995"/>
      <c r="AR143" s="995"/>
      <c r="AS143" s="995"/>
      <c r="AT143" s="995"/>
      <c r="AU143" s="995"/>
      <c r="AV143" s="995"/>
      <c r="AW143" s="995"/>
      <c r="AX143" s="995"/>
      <c r="AY143" s="995"/>
      <c r="AZ143" s="995"/>
      <c r="BA143" s="995"/>
      <c r="BB143" s="995"/>
      <c r="BC143" s="995"/>
      <c r="BD143" s="995"/>
      <c r="BE143" s="995"/>
      <c r="BF143" s="995"/>
      <c r="BG143" s="995"/>
      <c r="BH143" s="995"/>
      <c r="BI143" s="995"/>
      <c r="BJ143" s="995"/>
      <c r="BK143" s="995"/>
      <c r="BL143" s="995"/>
      <c r="BM143" s="995"/>
      <c r="BN143" s="995"/>
      <c r="BO143" s="995"/>
      <c r="BP143" s="995"/>
      <c r="BQ143" s="995"/>
      <c r="BR143" s="995"/>
      <c r="BS143" s="995"/>
      <c r="BT143" s="995"/>
      <c r="BU143" s="995"/>
      <c r="BV143" s="995"/>
      <c r="BW143" s="995"/>
      <c r="BX143" s="995"/>
      <c r="BY143" s="995"/>
      <c r="BZ143" s="995"/>
      <c r="CA143" s="995"/>
      <c r="CB143" s="995"/>
      <c r="CC143" s="995"/>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row>
    <row r="144" spans="1:117">
      <c r="A144" s="995"/>
      <c r="B144" s="995"/>
      <c r="C144" s="995"/>
      <c r="D144" s="995"/>
      <c r="E144" s="995"/>
      <c r="F144" s="995"/>
      <c r="G144" s="995"/>
      <c r="H144" s="995"/>
      <c r="I144" s="995"/>
      <c r="J144" s="995"/>
      <c r="K144" s="995"/>
      <c r="L144" s="995"/>
      <c r="M144" s="995"/>
      <c r="N144" s="995"/>
      <c r="O144" s="995"/>
      <c r="P144" s="995"/>
      <c r="Q144" s="995"/>
      <c r="R144" s="995"/>
      <c r="S144" s="995"/>
      <c r="T144" s="995"/>
      <c r="U144" s="995"/>
      <c r="V144" s="995"/>
      <c r="W144" s="995"/>
      <c r="X144" s="995"/>
      <c r="Y144" s="995"/>
      <c r="Z144" s="995"/>
      <c r="AA144" s="995"/>
      <c r="AB144" s="995"/>
      <c r="AC144" s="995"/>
      <c r="AD144" s="995"/>
      <c r="AE144" s="995"/>
      <c r="AF144" s="995"/>
      <c r="AG144" s="995"/>
      <c r="AH144" s="995"/>
      <c r="AI144" s="995"/>
      <c r="AJ144" s="995"/>
      <c r="AK144" s="995"/>
      <c r="AL144" s="995"/>
      <c r="AM144" s="995"/>
      <c r="AN144" s="995"/>
      <c r="AO144" s="995"/>
      <c r="AP144" s="995"/>
      <c r="AQ144" s="995"/>
      <c r="AR144" s="995"/>
      <c r="AS144" s="995"/>
      <c r="AT144" s="995"/>
      <c r="AU144" s="995"/>
      <c r="AV144" s="995"/>
      <c r="AW144" s="995"/>
      <c r="AX144" s="995"/>
      <c r="AY144" s="995"/>
      <c r="AZ144" s="995"/>
      <c r="BA144" s="995"/>
      <c r="BB144" s="995"/>
      <c r="BC144" s="995"/>
      <c r="BD144" s="995"/>
      <c r="BE144" s="995"/>
      <c r="BF144" s="995"/>
      <c r="BG144" s="995"/>
      <c r="BH144" s="995"/>
      <c r="BI144" s="995"/>
      <c r="BJ144" s="995"/>
      <c r="BK144" s="995"/>
      <c r="BL144" s="995"/>
      <c r="BM144" s="995"/>
      <c r="BN144" s="995"/>
      <c r="BO144" s="995"/>
      <c r="BP144" s="995"/>
      <c r="BQ144" s="995"/>
      <c r="BR144" s="995"/>
      <c r="BS144" s="995"/>
      <c r="BT144" s="995"/>
      <c r="BU144" s="995"/>
      <c r="BV144" s="995"/>
      <c r="BW144" s="995"/>
      <c r="BX144" s="995"/>
      <c r="BY144" s="995"/>
      <c r="BZ144" s="995"/>
      <c r="CA144" s="995"/>
      <c r="CB144" s="995"/>
      <c r="CC144" s="995"/>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row>
    <row r="145" spans="1:117">
      <c r="A145" s="995"/>
      <c r="B145" s="995"/>
      <c r="C145" s="995"/>
      <c r="D145" s="995"/>
      <c r="E145" s="995"/>
      <c r="F145" s="995"/>
      <c r="G145" s="995"/>
      <c r="H145" s="995"/>
      <c r="I145" s="995"/>
      <c r="J145" s="995"/>
      <c r="K145" s="995"/>
      <c r="L145" s="995"/>
      <c r="M145" s="995"/>
      <c r="N145" s="995"/>
      <c r="O145" s="995"/>
      <c r="P145" s="995"/>
      <c r="Q145" s="995"/>
      <c r="R145" s="995"/>
      <c r="S145" s="995"/>
      <c r="T145" s="995"/>
      <c r="U145" s="995"/>
      <c r="V145" s="995"/>
      <c r="W145" s="995"/>
      <c r="X145" s="995"/>
      <c r="Y145" s="995"/>
      <c r="Z145" s="995"/>
      <c r="AA145" s="995"/>
      <c r="AB145" s="995"/>
      <c r="AC145" s="995"/>
      <c r="AD145" s="995"/>
      <c r="AE145" s="995"/>
      <c r="AF145" s="995"/>
      <c r="AG145" s="995"/>
      <c r="AH145" s="995"/>
      <c r="AI145" s="995"/>
      <c r="AJ145" s="995"/>
      <c r="AK145" s="995"/>
      <c r="AL145" s="995"/>
      <c r="AM145" s="995"/>
      <c r="AN145" s="995"/>
      <c r="AO145" s="995"/>
      <c r="AP145" s="995"/>
      <c r="AQ145" s="995"/>
      <c r="AR145" s="995"/>
      <c r="AS145" s="995"/>
      <c r="AT145" s="995"/>
      <c r="AU145" s="995"/>
      <c r="AV145" s="995"/>
      <c r="AW145" s="995"/>
      <c r="AX145" s="995"/>
      <c r="AY145" s="995"/>
      <c r="AZ145" s="995"/>
      <c r="BA145" s="995"/>
      <c r="BB145" s="995"/>
      <c r="BC145" s="995"/>
      <c r="BD145" s="995"/>
      <c r="BE145" s="995"/>
      <c r="BF145" s="995"/>
      <c r="BG145" s="995"/>
      <c r="BH145" s="995"/>
      <c r="BI145" s="995"/>
      <c r="BJ145" s="995"/>
      <c r="BK145" s="995"/>
      <c r="BL145" s="995"/>
      <c r="BM145" s="995"/>
      <c r="BN145" s="995"/>
      <c r="BO145" s="995"/>
      <c r="BP145" s="995"/>
      <c r="BQ145" s="995"/>
      <c r="BR145" s="995"/>
      <c r="BS145" s="995"/>
      <c r="BT145" s="995"/>
      <c r="BU145" s="995"/>
      <c r="BV145" s="995"/>
      <c r="BW145" s="995"/>
      <c r="BX145" s="995"/>
      <c r="BY145" s="995"/>
      <c r="BZ145" s="995"/>
      <c r="CA145" s="995"/>
      <c r="CB145" s="995"/>
      <c r="CC145" s="995"/>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row>
    <row r="146" spans="1:117">
      <c r="A146" s="995"/>
      <c r="B146" s="995"/>
      <c r="C146" s="995"/>
      <c r="D146" s="995"/>
      <c r="E146" s="995"/>
      <c r="F146" s="995"/>
      <c r="G146" s="995"/>
      <c r="H146" s="995"/>
      <c r="I146" s="995"/>
      <c r="J146" s="995"/>
      <c r="K146" s="995"/>
      <c r="L146" s="995"/>
      <c r="M146" s="995"/>
      <c r="N146" s="995"/>
      <c r="O146" s="995"/>
      <c r="P146" s="995"/>
      <c r="Q146" s="995"/>
      <c r="R146" s="995"/>
      <c r="S146" s="995"/>
      <c r="T146" s="995"/>
      <c r="U146" s="995"/>
      <c r="V146" s="995"/>
      <c r="W146" s="995"/>
      <c r="X146" s="995"/>
      <c r="Y146" s="995"/>
      <c r="Z146" s="995"/>
      <c r="AA146" s="995"/>
      <c r="AB146" s="995"/>
      <c r="AC146" s="995"/>
      <c r="AD146" s="995"/>
      <c r="AE146" s="995"/>
      <c r="AF146" s="995"/>
      <c r="AG146" s="995"/>
      <c r="AH146" s="995"/>
      <c r="AI146" s="995"/>
      <c r="AJ146" s="995"/>
      <c r="AK146" s="995"/>
      <c r="AL146" s="995"/>
      <c r="AM146" s="995"/>
      <c r="AN146" s="995"/>
      <c r="AO146" s="995"/>
      <c r="AP146" s="995"/>
      <c r="AQ146" s="995"/>
      <c r="AR146" s="995"/>
      <c r="AS146" s="995"/>
      <c r="AT146" s="995"/>
      <c r="AU146" s="995"/>
      <c r="AV146" s="995"/>
      <c r="AW146" s="995"/>
      <c r="AX146" s="995"/>
      <c r="AY146" s="995"/>
      <c r="AZ146" s="995"/>
      <c r="BA146" s="995"/>
      <c r="BB146" s="995"/>
      <c r="BC146" s="995"/>
      <c r="BD146" s="995"/>
      <c r="BE146" s="995"/>
      <c r="BF146" s="995"/>
      <c r="BG146" s="995"/>
      <c r="BH146" s="995"/>
      <c r="BI146" s="995"/>
      <c r="BJ146" s="995"/>
      <c r="BK146" s="995"/>
      <c r="BL146" s="995"/>
      <c r="BM146" s="995"/>
      <c r="BN146" s="995"/>
      <c r="BO146" s="995"/>
      <c r="BP146" s="995"/>
      <c r="BQ146" s="995"/>
      <c r="BR146" s="995"/>
      <c r="BS146" s="995"/>
      <c r="BT146" s="995"/>
      <c r="BU146" s="995"/>
      <c r="BV146" s="995"/>
      <c r="BW146" s="995"/>
      <c r="BX146" s="995"/>
      <c r="BY146" s="995"/>
      <c r="BZ146" s="995"/>
      <c r="CA146" s="995"/>
      <c r="CB146" s="995"/>
      <c r="CC146" s="995"/>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row>
    <row r="147" spans="1:117">
      <c r="A147" s="995"/>
      <c r="B147" s="995"/>
      <c r="C147" s="995"/>
      <c r="D147" s="995"/>
      <c r="E147" s="995"/>
      <c r="F147" s="995"/>
      <c r="G147" s="995"/>
      <c r="H147" s="995"/>
      <c r="I147" s="995"/>
      <c r="J147" s="995"/>
      <c r="K147" s="995"/>
      <c r="L147" s="995"/>
      <c r="M147" s="995"/>
      <c r="N147" s="995"/>
      <c r="O147" s="995"/>
      <c r="P147" s="995"/>
      <c r="Q147" s="995"/>
      <c r="R147" s="995"/>
      <c r="S147" s="995"/>
      <c r="T147" s="995"/>
      <c r="U147" s="995"/>
      <c r="V147" s="995"/>
      <c r="W147" s="995"/>
      <c r="X147" s="995"/>
      <c r="Y147" s="995"/>
      <c r="Z147" s="995"/>
      <c r="AA147" s="995"/>
      <c r="AB147" s="995"/>
      <c r="AC147" s="995"/>
      <c r="AD147" s="995"/>
      <c r="AE147" s="995"/>
      <c r="AF147" s="995"/>
      <c r="AG147" s="995"/>
      <c r="AH147" s="995"/>
      <c r="AI147" s="995"/>
      <c r="AJ147" s="995"/>
      <c r="AK147" s="995"/>
      <c r="AL147" s="995"/>
      <c r="AM147" s="995"/>
      <c r="AN147" s="995"/>
      <c r="AO147" s="995"/>
      <c r="AP147" s="995"/>
      <c r="AQ147" s="995"/>
      <c r="AR147" s="995"/>
      <c r="AS147" s="995"/>
      <c r="AT147" s="995"/>
      <c r="AU147" s="995"/>
      <c r="AV147" s="995"/>
      <c r="AW147" s="995"/>
      <c r="AX147" s="995"/>
      <c r="AY147" s="995"/>
      <c r="AZ147" s="995"/>
      <c r="BA147" s="995"/>
      <c r="BB147" s="995"/>
      <c r="BC147" s="995"/>
      <c r="BD147" s="995"/>
      <c r="BE147" s="995"/>
      <c r="BF147" s="995"/>
      <c r="BG147" s="995"/>
      <c r="BH147" s="995"/>
      <c r="BI147" s="995"/>
      <c r="BJ147" s="995"/>
      <c r="BK147" s="995"/>
      <c r="BL147" s="995"/>
      <c r="BM147" s="995"/>
      <c r="BN147" s="995"/>
      <c r="BO147" s="995"/>
      <c r="BP147" s="995"/>
      <c r="BQ147" s="995"/>
      <c r="BR147" s="995"/>
      <c r="BS147" s="995"/>
      <c r="BT147" s="995"/>
      <c r="BU147" s="995"/>
      <c r="BV147" s="995"/>
      <c r="BW147" s="995"/>
      <c r="BX147" s="995"/>
      <c r="BY147" s="995"/>
      <c r="BZ147" s="995"/>
      <c r="CA147" s="995"/>
      <c r="CB147" s="995"/>
      <c r="CC147" s="995"/>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row>
    <row r="148" spans="1:117">
      <c r="A148" s="995"/>
      <c r="B148" s="995"/>
      <c r="C148" s="995"/>
      <c r="D148" s="995"/>
      <c r="E148" s="995"/>
      <c r="F148" s="995"/>
      <c r="G148" s="995"/>
      <c r="H148" s="995"/>
      <c r="I148" s="995"/>
      <c r="J148" s="995"/>
      <c r="K148" s="995"/>
      <c r="L148" s="995"/>
      <c r="M148" s="995"/>
      <c r="N148" s="995"/>
      <c r="O148" s="995"/>
      <c r="P148" s="995"/>
      <c r="Q148" s="995"/>
      <c r="R148" s="995"/>
      <c r="S148" s="995"/>
      <c r="T148" s="995"/>
      <c r="U148" s="995"/>
      <c r="V148" s="995"/>
      <c r="W148" s="995"/>
      <c r="X148" s="995"/>
      <c r="Y148" s="995"/>
      <c r="Z148" s="995"/>
      <c r="AA148" s="995"/>
      <c r="AB148" s="995"/>
      <c r="AC148" s="995"/>
      <c r="AD148" s="995"/>
      <c r="AE148" s="995"/>
      <c r="AF148" s="995"/>
      <c r="AG148" s="995"/>
      <c r="AH148" s="995"/>
      <c r="AI148" s="995"/>
      <c r="AJ148" s="995"/>
      <c r="AK148" s="995"/>
      <c r="AL148" s="995"/>
      <c r="AM148" s="995"/>
      <c r="AN148" s="995"/>
      <c r="AO148" s="995"/>
      <c r="AP148" s="995"/>
      <c r="AQ148" s="995"/>
      <c r="AR148" s="995"/>
      <c r="AS148" s="995"/>
      <c r="AT148" s="995"/>
      <c r="AU148" s="995"/>
      <c r="AV148" s="995"/>
      <c r="AW148" s="995"/>
      <c r="AX148" s="995"/>
      <c r="AY148" s="995"/>
      <c r="AZ148" s="995"/>
      <c r="BA148" s="995"/>
      <c r="BB148" s="995"/>
      <c r="BC148" s="995"/>
      <c r="BD148" s="995"/>
      <c r="BE148" s="995"/>
      <c r="BF148" s="995"/>
      <c r="BG148" s="995"/>
      <c r="BH148" s="995"/>
      <c r="BI148" s="995"/>
      <c r="BJ148" s="995"/>
      <c r="BK148" s="995"/>
      <c r="BL148" s="995"/>
      <c r="BM148" s="995"/>
      <c r="BN148" s="995"/>
      <c r="BO148" s="995"/>
      <c r="BP148" s="995"/>
      <c r="BQ148" s="995"/>
      <c r="BR148" s="995"/>
      <c r="BS148" s="995"/>
      <c r="BT148" s="995"/>
      <c r="BU148" s="995"/>
      <c r="BV148" s="995"/>
      <c r="BW148" s="995"/>
      <c r="BX148" s="995"/>
      <c r="BY148" s="995"/>
      <c r="BZ148" s="995"/>
      <c r="CA148" s="995"/>
      <c r="CB148" s="995"/>
      <c r="CC148" s="995"/>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row>
    <row r="149" spans="1:117">
      <c r="A149" s="995"/>
      <c r="B149" s="995"/>
      <c r="C149" s="995"/>
      <c r="D149" s="995"/>
      <c r="E149" s="995"/>
      <c r="F149" s="995"/>
      <c r="G149" s="995"/>
      <c r="H149" s="995"/>
      <c r="I149" s="995"/>
      <c r="J149" s="995"/>
      <c r="K149" s="995"/>
      <c r="L149" s="995"/>
      <c r="M149" s="995"/>
      <c r="N149" s="995"/>
      <c r="O149" s="995"/>
      <c r="P149" s="995"/>
      <c r="Q149" s="995"/>
      <c r="R149" s="995"/>
      <c r="S149" s="995"/>
      <c r="T149" s="995"/>
      <c r="U149" s="995"/>
      <c r="V149" s="995"/>
      <c r="W149" s="995"/>
      <c r="X149" s="995"/>
      <c r="Y149" s="995"/>
      <c r="Z149" s="995"/>
      <c r="AA149" s="995"/>
      <c r="AB149" s="995"/>
      <c r="AC149" s="995"/>
      <c r="AD149" s="995"/>
      <c r="AE149" s="995"/>
      <c r="AF149" s="995"/>
      <c r="AG149" s="995"/>
      <c r="AH149" s="995"/>
      <c r="AI149" s="995"/>
      <c r="AJ149" s="995"/>
      <c r="AK149" s="995"/>
      <c r="AL149" s="995"/>
      <c r="AM149" s="995"/>
      <c r="AN149" s="995"/>
      <c r="AO149" s="995"/>
      <c r="AP149" s="995"/>
      <c r="AQ149" s="995"/>
      <c r="AR149" s="995"/>
      <c r="AS149" s="995"/>
      <c r="AT149" s="995"/>
      <c r="AU149" s="995"/>
      <c r="AV149" s="995"/>
      <c r="AW149" s="995"/>
      <c r="AX149" s="995"/>
      <c r="AY149" s="995"/>
      <c r="AZ149" s="995"/>
      <c r="BA149" s="995"/>
      <c r="BB149" s="995"/>
      <c r="BC149" s="995"/>
      <c r="BD149" s="995"/>
      <c r="BE149" s="995"/>
      <c r="BF149" s="995"/>
      <c r="BG149" s="995"/>
      <c r="BH149" s="995"/>
      <c r="BI149" s="995"/>
      <c r="BJ149" s="995"/>
      <c r="BK149" s="995"/>
      <c r="BL149" s="995"/>
      <c r="BM149" s="995"/>
      <c r="BN149" s="995"/>
      <c r="BO149" s="995"/>
      <c r="BP149" s="995"/>
      <c r="BQ149" s="995"/>
      <c r="BR149" s="995"/>
      <c r="BS149" s="995"/>
      <c r="BT149" s="995"/>
      <c r="BU149" s="995"/>
      <c r="BV149" s="995"/>
      <c r="BW149" s="995"/>
      <c r="BX149" s="995"/>
      <c r="BY149" s="995"/>
      <c r="BZ149" s="995"/>
      <c r="CA149" s="995"/>
      <c r="CB149" s="995"/>
      <c r="CC149" s="995"/>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row>
    <row r="150" spans="1:117">
      <c r="A150" s="995"/>
      <c r="B150" s="995"/>
      <c r="C150" s="995"/>
      <c r="D150" s="995"/>
      <c r="E150" s="995"/>
      <c r="F150" s="995"/>
      <c r="G150" s="995"/>
      <c r="H150" s="995"/>
      <c r="I150" s="995"/>
      <c r="J150" s="995"/>
      <c r="K150" s="995"/>
      <c r="L150" s="995"/>
      <c r="M150" s="995"/>
      <c r="N150" s="995"/>
      <c r="O150" s="995"/>
      <c r="P150" s="995"/>
      <c r="Q150" s="995"/>
      <c r="R150" s="995"/>
      <c r="S150" s="995"/>
      <c r="T150" s="995"/>
      <c r="U150" s="995"/>
      <c r="V150" s="995"/>
      <c r="W150" s="995"/>
      <c r="X150" s="995"/>
      <c r="Y150" s="995"/>
      <c r="Z150" s="995"/>
      <c r="AA150" s="995"/>
      <c r="AB150" s="995"/>
      <c r="AC150" s="995"/>
      <c r="AD150" s="995"/>
      <c r="AE150" s="995"/>
      <c r="AF150" s="995"/>
      <c r="AG150" s="995"/>
      <c r="AH150" s="995"/>
      <c r="AI150" s="995"/>
      <c r="AJ150" s="995"/>
      <c r="AK150" s="995"/>
      <c r="AL150" s="995"/>
      <c r="AM150" s="995"/>
      <c r="AN150" s="995"/>
      <c r="AO150" s="995"/>
      <c r="AP150" s="995"/>
      <c r="AQ150" s="995"/>
      <c r="AR150" s="995"/>
      <c r="AS150" s="995"/>
      <c r="AT150" s="995"/>
      <c r="AU150" s="995"/>
      <c r="AV150" s="995"/>
      <c r="AW150" s="995"/>
      <c r="AX150" s="995"/>
      <c r="AY150" s="995"/>
      <c r="AZ150" s="995"/>
      <c r="BA150" s="995"/>
      <c r="BB150" s="995"/>
      <c r="BC150" s="995"/>
      <c r="BD150" s="995"/>
      <c r="BE150" s="995"/>
      <c r="BF150" s="995"/>
      <c r="BG150" s="995"/>
      <c r="BH150" s="995"/>
      <c r="BI150" s="995"/>
      <c r="BJ150" s="995"/>
      <c r="BK150" s="995"/>
      <c r="BL150" s="995"/>
      <c r="BM150" s="995"/>
      <c r="BN150" s="995"/>
      <c r="BO150" s="995"/>
      <c r="BP150" s="995"/>
      <c r="BQ150" s="995"/>
      <c r="BR150" s="995"/>
      <c r="BS150" s="995"/>
      <c r="BT150" s="995"/>
      <c r="BU150" s="995"/>
      <c r="BV150" s="995"/>
      <c r="BW150" s="995"/>
      <c r="BX150" s="995"/>
      <c r="BY150" s="995"/>
      <c r="BZ150" s="995"/>
      <c r="CA150" s="995"/>
      <c r="CB150" s="995"/>
      <c r="CC150" s="995"/>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row>
    <row r="151" spans="1:117">
      <c r="A151" s="995"/>
      <c r="B151" s="995"/>
      <c r="C151" s="995"/>
      <c r="D151" s="995"/>
      <c r="E151" s="995"/>
      <c r="F151" s="995"/>
      <c r="G151" s="995"/>
      <c r="H151" s="995"/>
      <c r="I151" s="995"/>
      <c r="J151" s="995"/>
      <c r="K151" s="995"/>
      <c r="L151" s="995"/>
      <c r="M151" s="995"/>
      <c r="N151" s="995"/>
      <c r="O151" s="995"/>
      <c r="P151" s="995"/>
      <c r="Q151" s="995"/>
      <c r="R151" s="995"/>
      <c r="S151" s="995"/>
      <c r="T151" s="995"/>
      <c r="U151" s="995"/>
      <c r="V151" s="995"/>
      <c r="W151" s="995"/>
      <c r="X151" s="995"/>
      <c r="Y151" s="995"/>
      <c r="Z151" s="995"/>
      <c r="AA151" s="995"/>
      <c r="AB151" s="995"/>
      <c r="AC151" s="995"/>
      <c r="AD151" s="995"/>
      <c r="AE151" s="995"/>
      <c r="AF151" s="995"/>
      <c r="AG151" s="995"/>
      <c r="AH151" s="995"/>
      <c r="AI151" s="995"/>
      <c r="AJ151" s="995"/>
      <c r="AK151" s="995"/>
      <c r="AL151" s="995"/>
      <c r="AM151" s="995"/>
      <c r="AN151" s="995"/>
      <c r="AO151" s="995"/>
      <c r="AP151" s="995"/>
      <c r="AQ151" s="995"/>
      <c r="AR151" s="995"/>
      <c r="AS151" s="995"/>
      <c r="AT151" s="995"/>
      <c r="AU151" s="995"/>
      <c r="AV151" s="995"/>
      <c r="AW151" s="995"/>
      <c r="AX151" s="995"/>
      <c r="AY151" s="995"/>
      <c r="AZ151" s="995"/>
      <c r="BA151" s="995"/>
      <c r="BB151" s="995"/>
      <c r="BC151" s="995"/>
      <c r="BD151" s="995"/>
      <c r="BE151" s="995"/>
      <c r="BF151" s="995"/>
      <c r="BG151" s="995"/>
      <c r="BH151" s="995"/>
      <c r="BI151" s="995"/>
      <c r="BJ151" s="995"/>
      <c r="BK151" s="995"/>
      <c r="BL151" s="995"/>
      <c r="BM151" s="995"/>
      <c r="BN151" s="995"/>
      <c r="BO151" s="995"/>
      <c r="BP151" s="995"/>
      <c r="BQ151" s="995"/>
      <c r="BR151" s="995"/>
      <c r="BS151" s="995"/>
      <c r="BT151" s="995"/>
      <c r="BU151" s="995"/>
      <c r="BV151" s="995"/>
      <c r="BW151" s="995"/>
      <c r="BX151" s="995"/>
      <c r="BY151" s="995"/>
      <c r="BZ151" s="995"/>
      <c r="CA151" s="995"/>
      <c r="CB151" s="995"/>
      <c r="CC151" s="995"/>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row>
    <row r="152" spans="1:117">
      <c r="A152" s="995"/>
      <c r="B152" s="995"/>
      <c r="C152" s="995"/>
      <c r="D152" s="995"/>
      <c r="E152" s="995"/>
      <c r="F152" s="995"/>
      <c r="G152" s="995"/>
      <c r="H152" s="995"/>
      <c r="I152" s="995"/>
      <c r="J152" s="995"/>
      <c r="K152" s="995"/>
      <c r="L152" s="995"/>
      <c r="M152" s="995"/>
      <c r="N152" s="995"/>
      <c r="O152" s="995"/>
      <c r="P152" s="995"/>
      <c r="Q152" s="995"/>
      <c r="R152" s="995"/>
      <c r="S152" s="995"/>
      <c r="T152" s="995"/>
      <c r="U152" s="995"/>
      <c r="V152" s="995"/>
      <c r="W152" s="995"/>
      <c r="X152" s="995"/>
      <c r="Y152" s="995"/>
      <c r="Z152" s="995"/>
      <c r="AA152" s="995"/>
      <c r="AB152" s="995"/>
      <c r="AC152" s="995"/>
      <c r="AD152" s="995"/>
      <c r="AE152" s="995"/>
      <c r="AF152" s="995"/>
      <c r="AG152" s="995"/>
      <c r="AH152" s="995"/>
      <c r="AI152" s="995"/>
      <c r="AJ152" s="995"/>
      <c r="AK152" s="995"/>
      <c r="AL152" s="995"/>
      <c r="AM152" s="995"/>
      <c r="AN152" s="995"/>
      <c r="AO152" s="995"/>
      <c r="AP152" s="995"/>
      <c r="AQ152" s="995"/>
      <c r="AR152" s="995"/>
      <c r="AS152" s="995"/>
      <c r="AT152" s="995"/>
      <c r="AU152" s="995"/>
      <c r="AV152" s="995"/>
      <c r="AW152" s="995"/>
      <c r="AX152" s="995"/>
      <c r="AY152" s="995"/>
      <c r="AZ152" s="995"/>
      <c r="BA152" s="995"/>
      <c r="BB152" s="995"/>
      <c r="BC152" s="995"/>
      <c r="BD152" s="995"/>
      <c r="BE152" s="995"/>
      <c r="BF152" s="995"/>
      <c r="BG152" s="995"/>
      <c r="BH152" s="995"/>
      <c r="BI152" s="995"/>
      <c r="BJ152" s="995"/>
      <c r="BK152" s="995"/>
      <c r="BL152" s="995"/>
      <c r="BM152" s="995"/>
      <c r="BN152" s="995"/>
      <c r="BO152" s="995"/>
      <c r="BP152" s="995"/>
      <c r="BQ152" s="995"/>
      <c r="BR152" s="995"/>
      <c r="BS152" s="995"/>
      <c r="BT152" s="995"/>
      <c r="BU152" s="995"/>
      <c r="BV152" s="995"/>
      <c r="BW152" s="995"/>
      <c r="BX152" s="995"/>
      <c r="BY152" s="995"/>
      <c r="BZ152" s="995"/>
      <c r="CA152" s="995"/>
      <c r="CB152" s="995"/>
      <c r="CC152" s="995"/>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row>
    <row r="153" spans="1:117">
      <c r="A153" s="995"/>
      <c r="B153" s="995"/>
      <c r="C153" s="995"/>
      <c r="D153" s="995"/>
      <c r="E153" s="995"/>
      <c r="F153" s="995"/>
      <c r="G153" s="995"/>
      <c r="H153" s="995"/>
      <c r="I153" s="995"/>
      <c r="J153" s="995"/>
      <c r="K153" s="995"/>
      <c r="L153" s="995"/>
      <c r="M153" s="995"/>
      <c r="N153" s="995"/>
      <c r="O153" s="995"/>
      <c r="P153" s="995"/>
      <c r="Q153" s="995"/>
      <c r="R153" s="995"/>
      <c r="S153" s="995"/>
      <c r="T153" s="995"/>
      <c r="U153" s="995"/>
      <c r="V153" s="995"/>
      <c r="W153" s="995"/>
      <c r="X153" s="995"/>
      <c r="Y153" s="995"/>
      <c r="Z153" s="995"/>
      <c r="AA153" s="995"/>
      <c r="AB153" s="995"/>
      <c r="AC153" s="995"/>
      <c r="AD153" s="995"/>
      <c r="AE153" s="995"/>
      <c r="AF153" s="995"/>
      <c r="AG153" s="995"/>
      <c r="AH153" s="995"/>
      <c r="AI153" s="995"/>
      <c r="AJ153" s="995"/>
      <c r="AK153" s="995"/>
      <c r="AL153" s="995"/>
      <c r="AM153" s="995"/>
      <c r="AN153" s="995"/>
      <c r="AO153" s="995"/>
      <c r="AP153" s="995"/>
      <c r="AQ153" s="995"/>
      <c r="AR153" s="995"/>
      <c r="AS153" s="995"/>
      <c r="AT153" s="995"/>
      <c r="AU153" s="995"/>
      <c r="AV153" s="995"/>
      <c r="AW153" s="995"/>
      <c r="AX153" s="995"/>
      <c r="AY153" s="995"/>
      <c r="AZ153" s="995"/>
      <c r="BA153" s="995"/>
      <c r="BB153" s="995"/>
      <c r="BC153" s="995"/>
      <c r="BD153" s="995"/>
      <c r="BE153" s="995"/>
      <c r="BF153" s="995"/>
      <c r="BG153" s="995"/>
      <c r="BH153" s="995"/>
      <c r="BI153" s="995"/>
      <c r="BJ153" s="995"/>
      <c r="BK153" s="995"/>
      <c r="BL153" s="995"/>
      <c r="BM153" s="995"/>
      <c r="BN153" s="995"/>
      <c r="BO153" s="995"/>
      <c r="BP153" s="995"/>
      <c r="BQ153" s="995"/>
      <c r="BR153" s="995"/>
      <c r="BS153" s="995"/>
      <c r="BT153" s="995"/>
      <c r="BU153" s="995"/>
      <c r="BV153" s="995"/>
      <c r="BW153" s="995"/>
      <c r="BX153" s="995"/>
      <c r="BY153" s="995"/>
      <c r="BZ153" s="995"/>
      <c r="CA153" s="995"/>
      <c r="CB153" s="995"/>
      <c r="CC153" s="995"/>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row>
    <row r="154" spans="1:117">
      <c r="A154" s="995"/>
      <c r="B154" s="995"/>
      <c r="C154" s="995"/>
      <c r="D154" s="995"/>
      <c r="E154" s="995"/>
      <c r="F154" s="995"/>
      <c r="G154" s="995"/>
      <c r="H154" s="995"/>
      <c r="I154" s="995"/>
      <c r="J154" s="995"/>
      <c r="K154" s="995"/>
      <c r="L154" s="995"/>
      <c r="M154" s="995"/>
      <c r="N154" s="995"/>
      <c r="O154" s="995"/>
      <c r="P154" s="995"/>
      <c r="Q154" s="995"/>
      <c r="R154" s="995"/>
      <c r="S154" s="995"/>
      <c r="T154" s="995"/>
      <c r="U154" s="995"/>
      <c r="V154" s="995"/>
      <c r="W154" s="995"/>
      <c r="X154" s="995"/>
      <c r="Y154" s="995"/>
      <c r="Z154" s="995"/>
      <c r="AA154" s="995"/>
      <c r="AB154" s="995"/>
      <c r="AC154" s="995"/>
      <c r="AD154" s="995"/>
      <c r="AE154" s="995"/>
      <c r="AF154" s="995"/>
      <c r="AG154" s="995"/>
      <c r="AH154" s="995"/>
      <c r="AI154" s="995"/>
      <c r="AJ154" s="995"/>
      <c r="AK154" s="995"/>
      <c r="AL154" s="995"/>
      <c r="AM154" s="995"/>
      <c r="AN154" s="995"/>
      <c r="AO154" s="995"/>
      <c r="AP154" s="995"/>
      <c r="AQ154" s="995"/>
      <c r="AR154" s="995"/>
      <c r="AS154" s="995"/>
      <c r="AT154" s="995"/>
      <c r="AU154" s="995"/>
      <c r="AV154" s="995"/>
      <c r="AW154" s="995"/>
      <c r="AX154" s="995"/>
      <c r="AY154" s="995"/>
      <c r="AZ154" s="995"/>
      <c r="BA154" s="995"/>
      <c r="BB154" s="995"/>
      <c r="BC154" s="995"/>
      <c r="BD154" s="995"/>
      <c r="BE154" s="995"/>
      <c r="BF154" s="995"/>
      <c r="BG154" s="995"/>
      <c r="BH154" s="995"/>
      <c r="BI154" s="995"/>
      <c r="BJ154" s="995"/>
      <c r="BK154" s="995"/>
      <c r="BL154" s="995"/>
      <c r="BM154" s="995"/>
      <c r="BN154" s="995"/>
      <c r="BO154" s="995"/>
      <c r="BP154" s="995"/>
      <c r="BQ154" s="995"/>
      <c r="BR154" s="995"/>
      <c r="BS154" s="995"/>
      <c r="BT154" s="995"/>
      <c r="BU154" s="995"/>
      <c r="BV154" s="995"/>
      <c r="BW154" s="995"/>
      <c r="BX154" s="995"/>
      <c r="BY154" s="995"/>
      <c r="BZ154" s="995"/>
      <c r="CA154" s="995"/>
      <c r="CB154" s="995"/>
      <c r="CC154" s="995"/>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row>
    <row r="155" spans="1:117">
      <c r="A155" s="995"/>
      <c r="B155" s="995"/>
      <c r="C155" s="995"/>
      <c r="D155" s="995"/>
      <c r="E155" s="995"/>
      <c r="F155" s="995"/>
      <c r="G155" s="995"/>
      <c r="H155" s="995"/>
      <c r="I155" s="995"/>
      <c r="J155" s="995"/>
      <c r="K155" s="995"/>
      <c r="L155" s="995"/>
      <c r="M155" s="995"/>
      <c r="N155" s="995"/>
      <c r="O155" s="995"/>
      <c r="P155" s="995"/>
      <c r="Q155" s="995"/>
      <c r="R155" s="995"/>
      <c r="S155" s="995"/>
      <c r="T155" s="995"/>
      <c r="U155" s="995"/>
      <c r="V155" s="995"/>
      <c r="W155" s="995"/>
      <c r="X155" s="995"/>
      <c r="Y155" s="995"/>
      <c r="Z155" s="995"/>
      <c r="AA155" s="995"/>
      <c r="AB155" s="995"/>
      <c r="AC155" s="995"/>
      <c r="AD155" s="995"/>
      <c r="AE155" s="995"/>
      <c r="AF155" s="995"/>
      <c r="AG155" s="995"/>
      <c r="AH155" s="995"/>
      <c r="AI155" s="995"/>
      <c r="AJ155" s="995"/>
      <c r="AK155" s="995"/>
      <c r="AL155" s="995"/>
      <c r="AM155" s="995"/>
      <c r="AN155" s="995"/>
      <c r="AO155" s="995"/>
      <c r="AP155" s="995"/>
      <c r="AQ155" s="995"/>
      <c r="AR155" s="995"/>
      <c r="AS155" s="995"/>
      <c r="AT155" s="995"/>
      <c r="AU155" s="995"/>
      <c r="AV155" s="995"/>
      <c r="AW155" s="995"/>
      <c r="AX155" s="995"/>
      <c r="AY155" s="995"/>
      <c r="AZ155" s="995"/>
      <c r="BA155" s="995"/>
      <c r="BB155" s="995"/>
      <c r="BC155" s="995"/>
      <c r="BD155" s="995"/>
      <c r="BE155" s="995"/>
      <c r="BF155" s="995"/>
      <c r="BG155" s="995"/>
      <c r="BH155" s="995"/>
      <c r="BI155" s="995"/>
      <c r="BJ155" s="995"/>
      <c r="BK155" s="995"/>
      <c r="BL155" s="995"/>
      <c r="BM155" s="995"/>
      <c r="BN155" s="995"/>
      <c r="BO155" s="995"/>
      <c r="BP155" s="995"/>
      <c r="BQ155" s="995"/>
      <c r="BR155" s="995"/>
      <c r="BS155" s="995"/>
      <c r="BT155" s="995"/>
      <c r="BU155" s="995"/>
      <c r="BV155" s="995"/>
      <c r="BW155" s="995"/>
      <c r="BX155" s="995"/>
      <c r="BY155" s="995"/>
      <c r="BZ155" s="995"/>
      <c r="CA155" s="995"/>
      <c r="CB155" s="995"/>
      <c r="CC155" s="995"/>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row>
    <row r="156" spans="1:117">
      <c r="A156" s="995"/>
      <c r="B156" s="995"/>
      <c r="C156" s="995"/>
      <c r="D156" s="995"/>
      <c r="E156" s="995"/>
      <c r="F156" s="995"/>
      <c r="G156" s="995"/>
      <c r="H156" s="995"/>
      <c r="I156" s="995"/>
      <c r="J156" s="995"/>
      <c r="K156" s="995"/>
      <c r="L156" s="995"/>
      <c r="M156" s="995"/>
      <c r="N156" s="995"/>
      <c r="O156" s="995"/>
      <c r="P156" s="995"/>
      <c r="Q156" s="995"/>
      <c r="R156" s="995"/>
      <c r="S156" s="995"/>
      <c r="T156" s="995"/>
      <c r="U156" s="995"/>
      <c r="V156" s="995"/>
      <c r="W156" s="995"/>
      <c r="X156" s="995"/>
      <c r="Y156" s="995"/>
      <c r="Z156" s="995"/>
      <c r="AA156" s="995"/>
      <c r="AB156" s="995"/>
      <c r="AC156" s="995"/>
      <c r="AD156" s="995"/>
      <c r="AE156" s="995"/>
      <c r="AF156" s="995"/>
      <c r="AG156" s="995"/>
      <c r="AH156" s="995"/>
      <c r="AI156" s="995"/>
      <c r="AJ156" s="995"/>
      <c r="AK156" s="995"/>
      <c r="AL156" s="995"/>
      <c r="AM156" s="995"/>
      <c r="AN156" s="995"/>
      <c r="AO156" s="995"/>
      <c r="AP156" s="995"/>
      <c r="AQ156" s="995"/>
      <c r="AR156" s="995"/>
      <c r="AS156" s="995"/>
      <c r="AT156" s="995"/>
      <c r="AU156" s="995"/>
      <c r="AV156" s="995"/>
      <c r="AW156" s="995"/>
      <c r="AX156" s="995"/>
      <c r="AY156" s="995"/>
      <c r="AZ156" s="995"/>
      <c r="BA156" s="995"/>
      <c r="BB156" s="995"/>
      <c r="BC156" s="995"/>
      <c r="BD156" s="995"/>
      <c r="BE156" s="995"/>
      <c r="BF156" s="995"/>
      <c r="BG156" s="995"/>
      <c r="BH156" s="995"/>
      <c r="BI156" s="995"/>
      <c r="BJ156" s="995"/>
      <c r="BK156" s="995"/>
      <c r="BL156" s="995"/>
      <c r="BM156" s="995"/>
      <c r="BN156" s="995"/>
      <c r="BO156" s="995"/>
      <c r="BP156" s="995"/>
      <c r="BQ156" s="995"/>
      <c r="BR156" s="995"/>
      <c r="BS156" s="995"/>
      <c r="BT156" s="995"/>
      <c r="BU156" s="995"/>
      <c r="BV156" s="995"/>
      <c r="BW156" s="995"/>
      <c r="BX156" s="995"/>
      <c r="BY156" s="995"/>
      <c r="BZ156" s="995"/>
      <c r="CA156" s="995"/>
      <c r="CB156" s="995"/>
      <c r="CC156" s="995"/>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row>
    <row r="157" spans="1:117">
      <c r="A157" s="995"/>
      <c r="B157" s="995"/>
      <c r="C157" s="995"/>
      <c r="D157" s="995"/>
      <c r="E157" s="995"/>
      <c r="F157" s="995"/>
      <c r="G157" s="995"/>
      <c r="H157" s="995"/>
      <c r="I157" s="995"/>
      <c r="J157" s="995"/>
      <c r="K157" s="995"/>
      <c r="L157" s="995"/>
      <c r="M157" s="995"/>
      <c r="N157" s="995"/>
      <c r="O157" s="995"/>
      <c r="P157" s="995"/>
      <c r="Q157" s="995"/>
      <c r="R157" s="995"/>
      <c r="S157" s="995"/>
      <c r="T157" s="995"/>
      <c r="U157" s="995"/>
      <c r="V157" s="995"/>
      <c r="W157" s="995"/>
      <c r="X157" s="995"/>
      <c r="Y157" s="995"/>
      <c r="Z157" s="995"/>
      <c r="AA157" s="995"/>
      <c r="AB157" s="995"/>
      <c r="AC157" s="995"/>
      <c r="AD157" s="995"/>
      <c r="AE157" s="995"/>
      <c r="AF157" s="995"/>
      <c r="AG157" s="995"/>
      <c r="AH157" s="995"/>
      <c r="AI157" s="995"/>
      <c r="AJ157" s="995"/>
      <c r="AK157" s="995"/>
      <c r="AL157" s="995"/>
      <c r="AM157" s="995"/>
      <c r="AN157" s="995"/>
      <c r="AO157" s="995"/>
      <c r="AP157" s="995"/>
      <c r="AQ157" s="995"/>
      <c r="AR157" s="995"/>
      <c r="AS157" s="995"/>
      <c r="AT157" s="995"/>
      <c r="AU157" s="995"/>
      <c r="AV157" s="995"/>
      <c r="AW157" s="995"/>
      <c r="AX157" s="995"/>
      <c r="AY157" s="995"/>
      <c r="AZ157" s="995"/>
      <c r="BA157" s="995"/>
      <c r="BB157" s="995"/>
      <c r="BC157" s="995"/>
      <c r="BD157" s="995"/>
      <c r="BE157" s="995"/>
      <c r="BF157" s="995"/>
      <c r="BG157" s="995"/>
      <c r="BH157" s="995"/>
      <c r="BI157" s="995"/>
      <c r="BJ157" s="995"/>
      <c r="BK157" s="995"/>
      <c r="BL157" s="995"/>
      <c r="BM157" s="995"/>
      <c r="BN157" s="995"/>
      <c r="BO157" s="995"/>
      <c r="BP157" s="995"/>
      <c r="BQ157" s="995"/>
      <c r="BR157" s="995"/>
      <c r="BS157" s="995"/>
      <c r="BT157" s="995"/>
      <c r="BU157" s="995"/>
      <c r="BV157" s="995"/>
      <c r="BW157" s="995"/>
      <c r="BX157" s="995"/>
      <c r="BY157" s="995"/>
      <c r="BZ157" s="995"/>
      <c r="CA157" s="995"/>
      <c r="CB157" s="995"/>
      <c r="CC157" s="995"/>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row>
    <row r="158" spans="1:117">
      <c r="A158" s="995"/>
      <c r="B158" s="995"/>
      <c r="C158" s="995"/>
      <c r="D158" s="995"/>
      <c r="E158" s="995"/>
      <c r="F158" s="995"/>
      <c r="G158" s="995"/>
      <c r="H158" s="995"/>
      <c r="I158" s="995"/>
      <c r="J158" s="995"/>
      <c r="K158" s="995"/>
      <c r="L158" s="995"/>
      <c r="M158" s="995"/>
      <c r="N158" s="995"/>
      <c r="O158" s="995"/>
      <c r="P158" s="995"/>
      <c r="Q158" s="995"/>
      <c r="R158" s="995"/>
      <c r="S158" s="995"/>
      <c r="T158" s="995"/>
      <c r="U158" s="995"/>
      <c r="V158" s="995"/>
      <c r="W158" s="995"/>
      <c r="X158" s="995"/>
      <c r="Y158" s="995"/>
      <c r="Z158" s="995"/>
      <c r="AA158" s="995"/>
      <c r="AB158" s="995"/>
      <c r="AC158" s="995"/>
      <c r="AD158" s="995"/>
      <c r="AE158" s="995"/>
      <c r="AF158" s="995"/>
      <c r="AG158" s="995"/>
      <c r="AH158" s="995"/>
      <c r="AI158" s="995"/>
      <c r="AJ158" s="995"/>
      <c r="AK158" s="995"/>
      <c r="AL158" s="995"/>
      <c r="AM158" s="995"/>
      <c r="AN158" s="995"/>
      <c r="AO158" s="995"/>
      <c r="AP158" s="995"/>
      <c r="AQ158" s="995"/>
      <c r="AR158" s="995"/>
      <c r="AS158" s="995"/>
      <c r="AT158" s="995"/>
      <c r="AU158" s="995"/>
      <c r="AV158" s="995"/>
      <c r="AW158" s="995"/>
      <c r="AX158" s="995"/>
      <c r="AY158" s="995"/>
      <c r="AZ158" s="995"/>
      <c r="BA158" s="995"/>
      <c r="BB158" s="995"/>
      <c r="BC158" s="995"/>
      <c r="BD158" s="995"/>
      <c r="BE158" s="995"/>
      <c r="BF158" s="995"/>
      <c r="BG158" s="995"/>
      <c r="BH158" s="995"/>
      <c r="BI158" s="995"/>
      <c r="BJ158" s="995"/>
      <c r="BK158" s="995"/>
      <c r="BL158" s="995"/>
      <c r="BM158" s="995"/>
      <c r="BN158" s="995"/>
      <c r="BO158" s="995"/>
      <c r="BP158" s="995"/>
      <c r="BQ158" s="995"/>
      <c r="BR158" s="995"/>
      <c r="BS158" s="995"/>
      <c r="BT158" s="995"/>
      <c r="BU158" s="995"/>
      <c r="BV158" s="995"/>
      <c r="BW158" s="995"/>
      <c r="BX158" s="995"/>
      <c r="BY158" s="995"/>
      <c r="BZ158" s="995"/>
      <c r="CA158" s="995"/>
      <c r="CB158" s="995"/>
      <c r="CC158" s="995"/>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row>
    <row r="159" spans="1:117">
      <c r="A159" s="995"/>
      <c r="B159" s="995"/>
      <c r="C159" s="995"/>
      <c r="D159" s="995"/>
      <c r="E159" s="995"/>
      <c r="F159" s="995"/>
      <c r="G159" s="995"/>
      <c r="H159" s="995"/>
      <c r="I159" s="995"/>
      <c r="J159" s="995"/>
      <c r="K159" s="995"/>
      <c r="L159" s="995"/>
      <c r="M159" s="995"/>
      <c r="N159" s="995"/>
      <c r="O159" s="995"/>
      <c r="P159" s="995"/>
      <c r="Q159" s="995"/>
      <c r="R159" s="995"/>
      <c r="S159" s="995"/>
      <c r="T159" s="995"/>
      <c r="U159" s="995"/>
      <c r="V159" s="995"/>
      <c r="W159" s="995"/>
      <c r="X159" s="995"/>
      <c r="Y159" s="995"/>
      <c r="Z159" s="995"/>
      <c r="AA159" s="995"/>
      <c r="AB159" s="995"/>
      <c r="AC159" s="995"/>
      <c r="AD159" s="995"/>
      <c r="AE159" s="995"/>
      <c r="AF159" s="995"/>
      <c r="AG159" s="995"/>
      <c r="AH159" s="995"/>
      <c r="AI159" s="995"/>
      <c r="AJ159" s="995"/>
      <c r="AK159" s="995"/>
      <c r="AL159" s="995"/>
      <c r="AM159" s="995"/>
      <c r="AN159" s="995"/>
      <c r="AO159" s="995"/>
      <c r="AP159" s="995"/>
      <c r="AQ159" s="995"/>
      <c r="AR159" s="995"/>
      <c r="AS159" s="995"/>
      <c r="AT159" s="995"/>
      <c r="AU159" s="995"/>
      <c r="AV159" s="995"/>
      <c r="AW159" s="995"/>
      <c r="AX159" s="995"/>
      <c r="AY159" s="995"/>
      <c r="AZ159" s="995"/>
      <c r="BA159" s="995"/>
      <c r="BB159" s="995"/>
      <c r="BC159" s="995"/>
      <c r="BD159" s="995"/>
      <c r="BE159" s="995"/>
      <c r="BF159" s="995"/>
      <c r="BG159" s="995"/>
      <c r="BH159" s="995"/>
      <c r="BI159" s="995"/>
      <c r="BJ159" s="995"/>
      <c r="BK159" s="995"/>
      <c r="BL159" s="995"/>
      <c r="BM159" s="995"/>
      <c r="BN159" s="995"/>
      <c r="BO159" s="995"/>
      <c r="BP159" s="995"/>
      <c r="BQ159" s="995"/>
      <c r="BR159" s="995"/>
      <c r="BS159" s="995"/>
      <c r="BT159" s="995"/>
      <c r="BU159" s="995"/>
      <c r="BV159" s="995"/>
      <c r="BW159" s="995"/>
      <c r="BX159" s="995"/>
      <c r="BY159" s="995"/>
      <c r="BZ159" s="995"/>
      <c r="CA159" s="995"/>
      <c r="CB159" s="995"/>
      <c r="CC159" s="995"/>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row>
    <row r="160" spans="1:117">
      <c r="A160" s="995"/>
      <c r="B160" s="995"/>
      <c r="C160" s="995"/>
      <c r="D160" s="995"/>
      <c r="E160" s="995"/>
      <c r="F160" s="995"/>
      <c r="G160" s="995"/>
      <c r="H160" s="995"/>
      <c r="I160" s="995"/>
      <c r="J160" s="995"/>
      <c r="K160" s="995"/>
      <c r="L160" s="995"/>
      <c r="M160" s="995"/>
      <c r="N160" s="995"/>
      <c r="O160" s="995"/>
      <c r="P160" s="995"/>
      <c r="Q160" s="995"/>
      <c r="R160" s="995"/>
      <c r="S160" s="995"/>
      <c r="T160" s="995"/>
      <c r="U160" s="995"/>
      <c r="V160" s="995"/>
      <c r="W160" s="995"/>
      <c r="X160" s="995"/>
      <c r="Y160" s="995"/>
      <c r="Z160" s="995"/>
      <c r="AA160" s="995"/>
      <c r="AB160" s="995"/>
      <c r="AC160" s="995"/>
      <c r="AD160" s="995"/>
      <c r="AE160" s="995"/>
      <c r="AF160" s="995"/>
      <c r="AG160" s="995"/>
      <c r="AH160" s="995"/>
      <c r="AI160" s="995"/>
      <c r="AJ160" s="995"/>
      <c r="AK160" s="995"/>
      <c r="AL160" s="995"/>
      <c r="AM160" s="995"/>
      <c r="AN160" s="995"/>
      <c r="AO160" s="995"/>
      <c r="AP160" s="995"/>
      <c r="AQ160" s="995"/>
      <c r="AR160" s="995"/>
      <c r="AS160" s="995"/>
      <c r="AT160" s="995"/>
      <c r="AU160" s="995"/>
      <c r="AV160" s="995"/>
      <c r="AW160" s="995"/>
      <c r="AX160" s="995"/>
      <c r="AY160" s="995"/>
      <c r="AZ160" s="995"/>
      <c r="BA160" s="995"/>
      <c r="BB160" s="995"/>
      <c r="BC160" s="995"/>
      <c r="BD160" s="995"/>
      <c r="BE160" s="995"/>
      <c r="BF160" s="995"/>
      <c r="BG160" s="995"/>
      <c r="BH160" s="995"/>
      <c r="BI160" s="995"/>
      <c r="BJ160" s="995"/>
      <c r="BK160" s="995"/>
      <c r="BL160" s="995"/>
      <c r="BM160" s="995"/>
      <c r="BN160" s="995"/>
      <c r="BO160" s="995"/>
      <c r="BP160" s="995"/>
      <c r="BQ160" s="995"/>
      <c r="BR160" s="995"/>
      <c r="BS160" s="995"/>
      <c r="BT160" s="995"/>
      <c r="BU160" s="995"/>
      <c r="BV160" s="995"/>
      <c r="BW160" s="995"/>
      <c r="BX160" s="995"/>
      <c r="BY160" s="995"/>
      <c r="BZ160" s="995"/>
      <c r="CA160" s="995"/>
      <c r="CB160" s="995"/>
      <c r="CC160" s="995"/>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row>
    <row r="161" spans="1:117">
      <c r="A161" s="995"/>
      <c r="B161" s="995"/>
      <c r="C161" s="995"/>
      <c r="D161" s="995"/>
      <c r="E161" s="995"/>
      <c r="F161" s="995"/>
      <c r="G161" s="995"/>
      <c r="H161" s="995"/>
      <c r="I161" s="995"/>
      <c r="J161" s="995"/>
      <c r="K161" s="995"/>
      <c r="L161" s="995"/>
      <c r="M161" s="995"/>
      <c r="N161" s="995"/>
      <c r="O161" s="995"/>
      <c r="P161" s="995"/>
      <c r="Q161" s="995"/>
      <c r="R161" s="995"/>
      <c r="S161" s="995"/>
      <c r="T161" s="995"/>
      <c r="U161" s="995"/>
      <c r="V161" s="995"/>
      <c r="W161" s="995"/>
      <c r="X161" s="995"/>
      <c r="Y161" s="995"/>
      <c r="Z161" s="995"/>
      <c r="AA161" s="995"/>
      <c r="AB161" s="995"/>
      <c r="AC161" s="995"/>
      <c r="AD161" s="995"/>
      <c r="AE161" s="995"/>
      <c r="AF161" s="995"/>
      <c r="AG161" s="995"/>
      <c r="AH161" s="995"/>
      <c r="AI161" s="995"/>
      <c r="AJ161" s="995"/>
      <c r="AK161" s="995"/>
      <c r="AL161" s="995"/>
      <c r="AM161" s="995"/>
      <c r="AN161" s="995"/>
      <c r="AO161" s="995"/>
      <c r="AP161" s="995"/>
      <c r="AQ161" s="995"/>
      <c r="AR161" s="995"/>
      <c r="AS161" s="995"/>
      <c r="AT161" s="995"/>
      <c r="AU161" s="995"/>
      <c r="AV161" s="995"/>
      <c r="AW161" s="995"/>
      <c r="AX161" s="995"/>
      <c r="AY161" s="995"/>
      <c r="AZ161" s="995"/>
      <c r="BA161" s="995"/>
      <c r="BB161" s="995"/>
      <c r="BC161" s="995"/>
      <c r="BD161" s="995"/>
      <c r="BE161" s="995"/>
      <c r="BF161" s="995"/>
      <c r="BG161" s="995"/>
      <c r="BH161" s="995"/>
      <c r="BI161" s="995"/>
      <c r="BJ161" s="995"/>
      <c r="BK161" s="995"/>
      <c r="BL161" s="995"/>
      <c r="BM161" s="995"/>
      <c r="BN161" s="995"/>
      <c r="BO161" s="995"/>
      <c r="BP161" s="995"/>
      <c r="BQ161" s="995"/>
      <c r="BR161" s="995"/>
      <c r="BS161" s="995"/>
      <c r="BT161" s="995"/>
      <c r="BU161" s="995"/>
      <c r="BV161" s="995"/>
      <c r="BW161" s="995"/>
      <c r="BX161" s="995"/>
      <c r="BY161" s="995"/>
      <c r="BZ161" s="995"/>
      <c r="CA161" s="995"/>
      <c r="CB161" s="995"/>
      <c r="CC161" s="995"/>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row>
    <row r="162" spans="1:117">
      <c r="A162" s="995"/>
      <c r="B162" s="995"/>
      <c r="C162" s="995"/>
      <c r="D162" s="995"/>
      <c r="E162" s="995"/>
      <c r="F162" s="995"/>
      <c r="G162" s="995"/>
      <c r="H162" s="995"/>
      <c r="I162" s="995"/>
      <c r="J162" s="995"/>
      <c r="K162" s="995"/>
      <c r="L162" s="995"/>
      <c r="M162" s="995"/>
      <c r="N162" s="995"/>
      <c r="O162" s="995"/>
      <c r="P162" s="995"/>
      <c r="Q162" s="995"/>
      <c r="R162" s="995"/>
      <c r="S162" s="995"/>
      <c r="T162" s="995"/>
      <c r="U162" s="995"/>
      <c r="V162" s="995"/>
      <c r="W162" s="995"/>
      <c r="X162" s="995"/>
      <c r="Y162" s="995"/>
      <c r="Z162" s="995"/>
      <c r="AA162" s="995"/>
      <c r="AB162" s="995"/>
      <c r="AC162" s="995"/>
      <c r="AD162" s="995"/>
      <c r="AE162" s="995"/>
      <c r="AF162" s="995"/>
      <c r="AG162" s="995"/>
      <c r="AH162" s="995"/>
      <c r="AI162" s="995"/>
      <c r="AJ162" s="995"/>
      <c r="AK162" s="995"/>
      <c r="AL162" s="995"/>
      <c r="AM162" s="995"/>
      <c r="AN162" s="995"/>
      <c r="AO162" s="995"/>
      <c r="AP162" s="995"/>
      <c r="AQ162" s="995"/>
      <c r="AR162" s="995"/>
      <c r="AS162" s="995"/>
      <c r="AT162" s="995"/>
      <c r="AU162" s="995"/>
      <c r="AV162" s="995"/>
      <c r="AW162" s="995"/>
      <c r="AX162" s="995"/>
      <c r="AY162" s="995"/>
      <c r="AZ162" s="995"/>
      <c r="BA162" s="995"/>
      <c r="BB162" s="995"/>
      <c r="BC162" s="995"/>
      <c r="BD162" s="995"/>
      <c r="BE162" s="995"/>
      <c r="BF162" s="995"/>
      <c r="BG162" s="995"/>
      <c r="BH162" s="995"/>
      <c r="BI162" s="995"/>
      <c r="BJ162" s="995"/>
      <c r="BK162" s="995"/>
      <c r="BL162" s="995"/>
      <c r="BM162" s="995"/>
      <c r="BN162" s="995"/>
      <c r="BO162" s="995"/>
      <c r="BP162" s="995"/>
      <c r="BQ162" s="995"/>
      <c r="BR162" s="995"/>
      <c r="BS162" s="995"/>
      <c r="BT162" s="995"/>
      <c r="BU162" s="995"/>
      <c r="BV162" s="995"/>
      <c r="BW162" s="995"/>
      <c r="BX162" s="995"/>
      <c r="BY162" s="995"/>
      <c r="BZ162" s="995"/>
      <c r="CA162" s="995"/>
      <c r="CB162" s="995"/>
      <c r="CC162" s="995"/>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row>
    <row r="163" spans="1:117">
      <c r="A163" s="995"/>
      <c r="B163" s="995"/>
      <c r="C163" s="995"/>
      <c r="D163" s="995"/>
      <c r="E163" s="995"/>
      <c r="F163" s="995"/>
      <c r="G163" s="995"/>
      <c r="H163" s="995"/>
      <c r="I163" s="995"/>
      <c r="J163" s="995"/>
      <c r="K163" s="995"/>
      <c r="L163" s="995"/>
      <c r="M163" s="995"/>
      <c r="N163" s="995"/>
      <c r="O163" s="995"/>
      <c r="P163" s="995"/>
      <c r="Q163" s="995"/>
      <c r="R163" s="995"/>
      <c r="S163" s="995"/>
      <c r="T163" s="995"/>
      <c r="U163" s="995"/>
      <c r="V163" s="995"/>
      <c r="W163" s="995"/>
      <c r="X163" s="995"/>
      <c r="Y163" s="995"/>
      <c r="Z163" s="995"/>
      <c r="AA163" s="995"/>
      <c r="AB163" s="995"/>
      <c r="AC163" s="995"/>
      <c r="AD163" s="995"/>
      <c r="AE163" s="995"/>
      <c r="AF163" s="995"/>
      <c r="AG163" s="995"/>
      <c r="AH163" s="995"/>
      <c r="AI163" s="995"/>
      <c r="AJ163" s="995"/>
      <c r="AK163" s="995"/>
      <c r="AL163" s="995"/>
      <c r="AM163" s="995"/>
      <c r="AN163" s="995"/>
      <c r="AO163" s="995"/>
      <c r="AP163" s="995"/>
      <c r="AQ163" s="995"/>
      <c r="AR163" s="995"/>
      <c r="AS163" s="995"/>
      <c r="AT163" s="995"/>
      <c r="AU163" s="995"/>
      <c r="AV163" s="995"/>
      <c r="AW163" s="995"/>
      <c r="AX163" s="995"/>
      <c r="AY163" s="995"/>
      <c r="AZ163" s="995"/>
      <c r="BA163" s="995"/>
      <c r="BB163" s="995"/>
      <c r="BC163" s="995"/>
      <c r="BD163" s="995"/>
      <c r="BE163" s="995"/>
      <c r="BF163" s="995"/>
      <c r="BG163" s="995"/>
      <c r="BH163" s="995"/>
      <c r="BI163" s="995"/>
      <c r="BJ163" s="995"/>
      <c r="BK163" s="995"/>
      <c r="BL163" s="995"/>
      <c r="BM163" s="995"/>
      <c r="BN163" s="995"/>
      <c r="BO163" s="995"/>
      <c r="BP163" s="995"/>
      <c r="BQ163" s="995"/>
      <c r="BR163" s="995"/>
      <c r="BS163" s="995"/>
      <c r="BT163" s="995"/>
      <c r="BU163" s="995"/>
      <c r="BV163" s="995"/>
      <c r="BW163" s="995"/>
      <c r="BX163" s="995"/>
      <c r="BY163" s="995"/>
      <c r="BZ163" s="995"/>
      <c r="CA163" s="995"/>
      <c r="CB163" s="995"/>
      <c r="CC163" s="995"/>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row>
    <row r="164" spans="1:117">
      <c r="A164" s="995"/>
      <c r="B164" s="995"/>
      <c r="C164" s="995"/>
      <c r="D164" s="995"/>
      <c r="E164" s="995"/>
      <c r="F164" s="995"/>
      <c r="G164" s="995"/>
      <c r="H164" s="995"/>
      <c r="I164" s="995"/>
      <c r="J164" s="995"/>
      <c r="K164" s="995"/>
      <c r="L164" s="995"/>
      <c r="M164" s="995"/>
      <c r="N164" s="995"/>
      <c r="O164" s="995"/>
      <c r="P164" s="995"/>
      <c r="Q164" s="995"/>
      <c r="R164" s="995"/>
      <c r="S164" s="995"/>
      <c r="T164" s="995"/>
      <c r="U164" s="995"/>
      <c r="V164" s="995"/>
      <c r="W164" s="995"/>
      <c r="X164" s="995"/>
      <c r="Y164" s="995"/>
      <c r="Z164" s="995"/>
      <c r="AA164" s="995"/>
      <c r="AB164" s="995"/>
      <c r="AC164" s="995"/>
      <c r="AD164" s="995"/>
      <c r="AE164" s="995"/>
      <c r="AF164" s="995"/>
      <c r="AG164" s="995"/>
      <c r="AH164" s="995"/>
      <c r="AI164" s="995"/>
      <c r="AJ164" s="995"/>
      <c r="AK164" s="995"/>
      <c r="AL164" s="995"/>
      <c r="AM164" s="995"/>
      <c r="AN164" s="995"/>
      <c r="AO164" s="995"/>
      <c r="AP164" s="995"/>
      <c r="AQ164" s="995"/>
      <c r="AR164" s="995"/>
      <c r="AS164" s="995"/>
      <c r="AT164" s="995"/>
      <c r="AU164" s="995"/>
      <c r="AV164" s="995"/>
      <c r="AW164" s="995"/>
      <c r="AX164" s="995"/>
      <c r="AY164" s="995"/>
      <c r="AZ164" s="995"/>
      <c r="BA164" s="995"/>
      <c r="BB164" s="995"/>
      <c r="BC164" s="995"/>
      <c r="BD164" s="995"/>
      <c r="BE164" s="995"/>
      <c r="BF164" s="995"/>
      <c r="BG164" s="995"/>
      <c r="BH164" s="995"/>
      <c r="BI164" s="995"/>
      <c r="BJ164" s="995"/>
      <c r="BK164" s="995"/>
      <c r="BL164" s="995"/>
      <c r="BM164" s="995"/>
      <c r="BN164" s="995"/>
      <c r="BO164" s="995"/>
      <c r="BP164" s="995"/>
      <c r="BQ164" s="995"/>
      <c r="BR164" s="995"/>
      <c r="BS164" s="995"/>
      <c r="BT164" s="995"/>
      <c r="BU164" s="995"/>
      <c r="BV164" s="995"/>
      <c r="BW164" s="995"/>
      <c r="BX164" s="995"/>
      <c r="BY164" s="995"/>
      <c r="BZ164" s="995"/>
      <c r="CA164" s="995"/>
      <c r="CB164" s="995"/>
      <c r="CC164" s="995"/>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row>
    <row r="165" spans="1:117">
      <c r="A165" s="995"/>
      <c r="B165" s="995"/>
      <c r="C165" s="995"/>
      <c r="D165" s="995"/>
      <c r="E165" s="995"/>
      <c r="F165" s="995"/>
      <c r="G165" s="995"/>
      <c r="H165" s="995"/>
      <c r="I165" s="995"/>
      <c r="J165" s="995"/>
      <c r="K165" s="995"/>
      <c r="L165" s="995"/>
      <c r="M165" s="995"/>
      <c r="N165" s="995"/>
      <c r="O165" s="995"/>
      <c r="P165" s="995"/>
      <c r="Q165" s="995"/>
      <c r="R165" s="995"/>
      <c r="S165" s="995"/>
      <c r="T165" s="995"/>
      <c r="U165" s="995"/>
      <c r="V165" s="995"/>
      <c r="W165" s="995"/>
      <c r="X165" s="995"/>
      <c r="Y165" s="995"/>
      <c r="Z165" s="995"/>
      <c r="AA165" s="995"/>
      <c r="AB165" s="995"/>
      <c r="AC165" s="995"/>
      <c r="AD165" s="995"/>
      <c r="AE165" s="995"/>
      <c r="AF165" s="995"/>
      <c r="AG165" s="995"/>
      <c r="AH165" s="995"/>
      <c r="AI165" s="995"/>
      <c r="AJ165" s="995"/>
      <c r="AK165" s="995"/>
      <c r="AL165" s="995"/>
      <c r="AM165" s="995"/>
      <c r="AN165" s="995"/>
      <c r="AO165" s="995"/>
      <c r="AP165" s="995"/>
      <c r="AQ165" s="995"/>
      <c r="AR165" s="995"/>
      <c r="AS165" s="995"/>
      <c r="AT165" s="995"/>
      <c r="AU165" s="995"/>
      <c r="AV165" s="995"/>
      <c r="AW165" s="995"/>
      <c r="AX165" s="995"/>
      <c r="AY165" s="995"/>
      <c r="AZ165" s="995"/>
      <c r="BA165" s="995"/>
      <c r="BB165" s="995"/>
      <c r="BC165" s="995"/>
      <c r="BD165" s="995"/>
      <c r="BE165" s="995"/>
      <c r="BF165" s="995"/>
      <c r="BG165" s="995"/>
      <c r="BH165" s="995"/>
      <c r="BI165" s="995"/>
      <c r="BJ165" s="995"/>
      <c r="BK165" s="995"/>
      <c r="BL165" s="995"/>
      <c r="BM165" s="995"/>
      <c r="BN165" s="995"/>
      <c r="BO165" s="995"/>
      <c r="BP165" s="995"/>
      <c r="BQ165" s="995"/>
      <c r="BR165" s="995"/>
      <c r="BS165" s="995"/>
      <c r="BT165" s="995"/>
      <c r="BU165" s="995"/>
      <c r="BV165" s="995"/>
      <c r="BW165" s="995"/>
      <c r="BX165" s="995"/>
      <c r="BY165" s="995"/>
      <c r="BZ165" s="995"/>
      <c r="CA165" s="995"/>
      <c r="CB165" s="995"/>
      <c r="CC165" s="995"/>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row>
    <row r="166" spans="1:117">
      <c r="A166" s="995"/>
      <c r="B166" s="995"/>
      <c r="C166" s="995"/>
      <c r="D166" s="995"/>
      <c r="E166" s="995"/>
      <c r="F166" s="995"/>
      <c r="G166" s="995"/>
      <c r="H166" s="995"/>
      <c r="I166" s="995"/>
      <c r="J166" s="995"/>
      <c r="K166" s="995"/>
      <c r="L166" s="995"/>
      <c r="M166" s="995"/>
      <c r="N166" s="995"/>
      <c r="O166" s="995"/>
      <c r="P166" s="995"/>
      <c r="Q166" s="995"/>
      <c r="R166" s="995"/>
      <c r="S166" s="995"/>
      <c r="T166" s="995"/>
      <c r="U166" s="995"/>
      <c r="V166" s="995"/>
      <c r="W166" s="995"/>
      <c r="X166" s="995"/>
      <c r="Y166" s="995"/>
      <c r="Z166" s="995"/>
      <c r="AA166" s="995"/>
      <c r="AB166" s="995"/>
      <c r="AC166" s="995"/>
      <c r="AD166" s="995"/>
      <c r="AE166" s="995"/>
      <c r="AF166" s="995"/>
      <c r="AG166" s="995"/>
      <c r="AH166" s="995"/>
      <c r="AI166" s="995"/>
      <c r="AJ166" s="995"/>
      <c r="AK166" s="995"/>
      <c r="AL166" s="995"/>
      <c r="AM166" s="995"/>
      <c r="AN166" s="995"/>
      <c r="AO166" s="995"/>
      <c r="AP166" s="995"/>
      <c r="AQ166" s="995"/>
      <c r="AR166" s="995"/>
      <c r="AS166" s="995"/>
      <c r="AT166" s="995"/>
      <c r="AU166" s="995"/>
      <c r="AV166" s="995"/>
      <c r="AW166" s="995"/>
      <c r="AX166" s="995"/>
      <c r="AY166" s="995"/>
      <c r="AZ166" s="995"/>
      <c r="BA166" s="995"/>
      <c r="BB166" s="995"/>
      <c r="BC166" s="995"/>
      <c r="BD166" s="995"/>
      <c r="BE166" s="995"/>
      <c r="BF166" s="995"/>
      <c r="BG166" s="995"/>
      <c r="BH166" s="995"/>
      <c r="BI166" s="995"/>
      <c r="BJ166" s="995"/>
      <c r="BK166" s="995"/>
      <c r="BL166" s="995"/>
      <c r="BM166" s="995"/>
      <c r="BN166" s="995"/>
      <c r="BO166" s="995"/>
      <c r="BP166" s="995"/>
      <c r="BQ166" s="995"/>
      <c r="BR166" s="995"/>
      <c r="BS166" s="995"/>
      <c r="BT166" s="995"/>
      <c r="BU166" s="995"/>
      <c r="BV166" s="995"/>
      <c r="BW166" s="995"/>
      <c r="BX166" s="995"/>
      <c r="BY166" s="995"/>
      <c r="BZ166" s="995"/>
      <c r="CA166" s="995"/>
      <c r="CB166" s="995"/>
      <c r="CC166" s="995"/>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row>
    <row r="167" spans="1:117">
      <c r="A167" s="995"/>
      <c r="B167" s="995"/>
      <c r="C167" s="995"/>
      <c r="D167" s="995"/>
      <c r="E167" s="995"/>
      <c r="F167" s="995"/>
      <c r="G167" s="995"/>
      <c r="H167" s="995"/>
      <c r="I167" s="995"/>
      <c r="J167" s="995"/>
      <c r="K167" s="995"/>
      <c r="L167" s="995"/>
      <c r="M167" s="995"/>
      <c r="N167" s="995"/>
      <c r="O167" s="995"/>
      <c r="P167" s="995"/>
      <c r="Q167" s="995"/>
      <c r="R167" s="995"/>
      <c r="S167" s="995"/>
      <c r="T167" s="995"/>
      <c r="U167" s="995"/>
      <c r="V167" s="995"/>
      <c r="W167" s="995"/>
      <c r="X167" s="995"/>
      <c r="Y167" s="995"/>
      <c r="Z167" s="995"/>
      <c r="AA167" s="995"/>
      <c r="AB167" s="995"/>
      <c r="AC167" s="995"/>
      <c r="AD167" s="995"/>
      <c r="AE167" s="995"/>
      <c r="AF167" s="995"/>
      <c r="AG167" s="995"/>
      <c r="AH167" s="995"/>
      <c r="AI167" s="995"/>
      <c r="AJ167" s="995"/>
      <c r="AK167" s="995"/>
      <c r="AL167" s="995"/>
      <c r="AM167" s="995"/>
      <c r="AN167" s="995"/>
      <c r="AO167" s="995"/>
      <c r="AP167" s="995"/>
      <c r="AQ167" s="995"/>
      <c r="AR167" s="995"/>
      <c r="AS167" s="995"/>
      <c r="AT167" s="995"/>
      <c r="AU167" s="995"/>
      <c r="AV167" s="995"/>
      <c r="AW167" s="995"/>
      <c r="AX167" s="995"/>
      <c r="AY167" s="995"/>
      <c r="AZ167" s="995"/>
      <c r="BA167" s="995"/>
      <c r="BB167" s="995"/>
      <c r="BC167" s="995"/>
      <c r="BD167" s="995"/>
      <c r="BE167" s="995"/>
      <c r="BF167" s="995"/>
      <c r="BG167" s="995"/>
      <c r="BH167" s="995"/>
      <c r="BI167" s="995"/>
      <c r="BJ167" s="995"/>
      <c r="BK167" s="995"/>
      <c r="BL167" s="995"/>
      <c r="BM167" s="995"/>
      <c r="BN167" s="995"/>
      <c r="BO167" s="995"/>
      <c r="BP167" s="995"/>
      <c r="BQ167" s="995"/>
      <c r="BR167" s="995"/>
      <c r="BS167" s="995"/>
      <c r="BT167" s="995"/>
      <c r="BU167" s="995"/>
      <c r="BV167" s="995"/>
      <c r="BW167" s="995"/>
      <c r="BX167" s="995"/>
      <c r="BY167" s="995"/>
      <c r="BZ167" s="995"/>
      <c r="CA167" s="995"/>
      <c r="CB167" s="995"/>
      <c r="CC167" s="995"/>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row>
    <row r="168" spans="1:117">
      <c r="A168" s="995"/>
      <c r="B168" s="995"/>
      <c r="C168" s="995"/>
      <c r="D168" s="995"/>
      <c r="E168" s="995"/>
      <c r="F168" s="995"/>
      <c r="G168" s="995"/>
      <c r="H168" s="995"/>
      <c r="I168" s="995"/>
      <c r="J168" s="995"/>
      <c r="K168" s="995"/>
      <c r="L168" s="995"/>
      <c r="M168" s="995"/>
      <c r="N168" s="995"/>
      <c r="O168" s="995"/>
      <c r="P168" s="995"/>
      <c r="Q168" s="995"/>
      <c r="R168" s="995"/>
      <c r="S168" s="995"/>
      <c r="T168" s="995"/>
      <c r="U168" s="995"/>
      <c r="V168" s="995"/>
      <c r="W168" s="995"/>
      <c r="X168" s="995"/>
      <c r="Y168" s="995"/>
      <c r="Z168" s="995"/>
      <c r="AA168" s="995"/>
      <c r="AB168" s="995"/>
      <c r="AC168" s="995"/>
      <c r="AD168" s="995"/>
      <c r="AE168" s="995"/>
      <c r="AF168" s="995"/>
      <c r="AG168" s="995"/>
      <c r="AH168" s="995"/>
      <c r="AI168" s="995"/>
      <c r="AJ168" s="995"/>
      <c r="AK168" s="995"/>
      <c r="AL168" s="995"/>
      <c r="AM168" s="995"/>
      <c r="AN168" s="995"/>
      <c r="AO168" s="995"/>
      <c r="AP168" s="995"/>
      <c r="AQ168" s="995"/>
      <c r="AR168" s="995"/>
      <c r="AS168" s="995"/>
      <c r="AT168" s="995"/>
      <c r="AU168" s="995"/>
      <c r="AV168" s="995"/>
      <c r="AW168" s="995"/>
      <c r="AX168" s="995"/>
      <c r="AY168" s="995"/>
      <c r="AZ168" s="995"/>
      <c r="BA168" s="995"/>
      <c r="BB168" s="995"/>
      <c r="BC168" s="995"/>
      <c r="BD168" s="995"/>
      <c r="BE168" s="995"/>
      <c r="BF168" s="995"/>
      <c r="BG168" s="995"/>
      <c r="BH168" s="995"/>
      <c r="BI168" s="995"/>
      <c r="BJ168" s="995"/>
      <c r="BK168" s="995"/>
      <c r="BL168" s="995"/>
      <c r="BM168" s="995"/>
      <c r="BN168" s="995"/>
      <c r="BO168" s="995"/>
      <c r="BP168" s="995"/>
      <c r="BQ168" s="995"/>
      <c r="BR168" s="995"/>
      <c r="BS168" s="995"/>
      <c r="BT168" s="995"/>
      <c r="BU168" s="995"/>
      <c r="BV168" s="995"/>
      <c r="BW168" s="995"/>
      <c r="BX168" s="995"/>
      <c r="BY168" s="995"/>
      <c r="BZ168" s="995"/>
      <c r="CA168" s="995"/>
      <c r="CB168" s="995"/>
      <c r="CC168" s="995"/>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row>
    <row r="169" spans="1:117">
      <c r="A169" s="995"/>
      <c r="B169" s="995"/>
      <c r="C169" s="995"/>
      <c r="D169" s="995"/>
      <c r="E169" s="995"/>
      <c r="F169" s="995"/>
      <c r="G169" s="995"/>
      <c r="H169" s="995"/>
      <c r="I169" s="995"/>
      <c r="J169" s="995"/>
      <c r="K169" s="995"/>
      <c r="L169" s="995"/>
      <c r="M169" s="995"/>
      <c r="N169" s="995"/>
      <c r="O169" s="995"/>
      <c r="P169" s="995"/>
      <c r="Q169" s="995"/>
      <c r="R169" s="995"/>
      <c r="S169" s="995"/>
      <c r="T169" s="995"/>
      <c r="U169" s="995"/>
      <c r="V169" s="995"/>
      <c r="W169" s="995"/>
      <c r="X169" s="995"/>
      <c r="Y169" s="995"/>
      <c r="Z169" s="995"/>
      <c r="AA169" s="995"/>
      <c r="AB169" s="995"/>
      <c r="AC169" s="995"/>
      <c r="AD169" s="995"/>
      <c r="AE169" s="995"/>
      <c r="AF169" s="995"/>
      <c r="AG169" s="995"/>
      <c r="AH169" s="995"/>
      <c r="AI169" s="995"/>
      <c r="AJ169" s="995"/>
      <c r="AK169" s="995"/>
      <c r="AL169" s="995"/>
      <c r="AM169" s="995"/>
      <c r="AN169" s="995"/>
      <c r="AO169" s="995"/>
      <c r="AP169" s="995"/>
      <c r="AQ169" s="995"/>
      <c r="AR169" s="995"/>
      <c r="AS169" s="995"/>
      <c r="AT169" s="995"/>
      <c r="AU169" s="995"/>
      <c r="AV169" s="995"/>
      <c r="AW169" s="995"/>
      <c r="AX169" s="995"/>
      <c r="AY169" s="995"/>
      <c r="AZ169" s="995"/>
      <c r="BA169" s="995"/>
      <c r="BB169" s="995"/>
      <c r="BC169" s="995"/>
      <c r="BD169" s="995"/>
      <c r="BE169" s="995"/>
      <c r="BF169" s="995"/>
      <c r="BG169" s="995"/>
      <c r="BH169" s="995"/>
      <c r="BI169" s="995"/>
      <c r="BJ169" s="995"/>
      <c r="BK169" s="995"/>
      <c r="BL169" s="995"/>
      <c r="BM169" s="995"/>
      <c r="BN169" s="995"/>
      <c r="BO169" s="995"/>
      <c r="BP169" s="995"/>
      <c r="BQ169" s="995"/>
      <c r="BR169" s="995"/>
      <c r="BS169" s="995"/>
      <c r="BT169" s="995"/>
      <c r="BU169" s="995"/>
      <c r="BV169" s="995"/>
      <c r="BW169" s="995"/>
      <c r="BX169" s="995"/>
      <c r="BY169" s="995"/>
      <c r="BZ169" s="995"/>
      <c r="CA169" s="995"/>
      <c r="CB169" s="995"/>
      <c r="CC169" s="995"/>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row>
    <row r="170" spans="1:117">
      <c r="A170" s="995"/>
      <c r="B170" s="995"/>
      <c r="C170" s="995"/>
      <c r="D170" s="995"/>
      <c r="E170" s="995"/>
      <c r="F170" s="995"/>
      <c r="G170" s="995"/>
      <c r="H170" s="995"/>
      <c r="I170" s="995"/>
      <c r="J170" s="995"/>
      <c r="K170" s="995"/>
      <c r="L170" s="995"/>
      <c r="M170" s="995"/>
      <c r="N170" s="995"/>
      <c r="O170" s="995"/>
      <c r="P170" s="995"/>
      <c r="Q170" s="995"/>
      <c r="R170" s="995"/>
      <c r="S170" s="995"/>
      <c r="T170" s="995"/>
      <c r="U170" s="995"/>
      <c r="V170" s="995"/>
      <c r="W170" s="995"/>
      <c r="X170" s="995"/>
      <c r="Y170" s="995"/>
      <c r="Z170" s="995"/>
      <c r="AA170" s="995"/>
      <c r="AB170" s="995"/>
      <c r="AC170" s="995"/>
      <c r="AD170" s="995"/>
      <c r="AE170" s="995"/>
      <c r="AF170" s="995"/>
      <c r="AG170" s="995"/>
      <c r="AH170" s="995"/>
      <c r="AI170" s="995"/>
      <c r="AJ170" s="995"/>
      <c r="AK170" s="995"/>
      <c r="AL170" s="995"/>
      <c r="AM170" s="995"/>
      <c r="AN170" s="995"/>
      <c r="AO170" s="995"/>
      <c r="AP170" s="995"/>
      <c r="AQ170" s="995"/>
      <c r="AR170" s="995"/>
      <c r="AS170" s="995"/>
      <c r="AT170" s="995"/>
      <c r="AU170" s="995"/>
      <c r="AV170" s="995"/>
      <c r="AW170" s="995"/>
      <c r="AX170" s="995"/>
      <c r="AY170" s="995"/>
      <c r="AZ170" s="995"/>
      <c r="BA170" s="995"/>
      <c r="BB170" s="995"/>
      <c r="BC170" s="995"/>
      <c r="BD170" s="995"/>
      <c r="BE170" s="995"/>
      <c r="BF170" s="995"/>
      <c r="BG170" s="995"/>
      <c r="BH170" s="995"/>
      <c r="BI170" s="995"/>
      <c r="BJ170" s="995"/>
      <c r="BK170" s="995"/>
      <c r="BL170" s="995"/>
      <c r="BM170" s="995"/>
      <c r="BN170" s="995"/>
      <c r="BO170" s="995"/>
      <c r="BP170" s="995"/>
      <c r="BQ170" s="995"/>
      <c r="BR170" s="995"/>
      <c r="BS170" s="995"/>
      <c r="BT170" s="995"/>
      <c r="BU170" s="995"/>
      <c r="BV170" s="995"/>
      <c r="BW170" s="995"/>
      <c r="BX170" s="995"/>
      <c r="BY170" s="995"/>
      <c r="BZ170" s="995"/>
      <c r="CA170" s="995"/>
      <c r="CB170" s="995"/>
      <c r="CC170" s="995"/>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row>
    <row r="171" spans="1:117">
      <c r="A171" s="995"/>
      <c r="B171" s="995"/>
      <c r="C171" s="995"/>
      <c r="D171" s="995"/>
      <c r="E171" s="995"/>
      <c r="F171" s="995"/>
      <c r="G171" s="995"/>
      <c r="H171" s="995"/>
      <c r="I171" s="995"/>
      <c r="J171" s="995"/>
      <c r="K171" s="995"/>
      <c r="L171" s="995"/>
      <c r="M171" s="995"/>
      <c r="N171" s="995"/>
      <c r="O171" s="995"/>
      <c r="P171" s="995"/>
      <c r="Q171" s="995"/>
      <c r="R171" s="995"/>
      <c r="S171" s="995"/>
      <c r="T171" s="995"/>
      <c r="U171" s="995"/>
      <c r="V171" s="995"/>
      <c r="W171" s="995"/>
      <c r="X171" s="995"/>
      <c r="Y171" s="995"/>
      <c r="Z171" s="995"/>
      <c r="AA171" s="995"/>
      <c r="AB171" s="995"/>
      <c r="AC171" s="995"/>
      <c r="AD171" s="995"/>
      <c r="AE171" s="995"/>
      <c r="AF171" s="995"/>
      <c r="AG171" s="995"/>
      <c r="AH171" s="995"/>
      <c r="AI171" s="995"/>
      <c r="AJ171" s="995"/>
      <c r="AK171" s="995"/>
      <c r="AL171" s="995"/>
      <c r="AM171" s="995"/>
      <c r="AN171" s="995"/>
      <c r="AO171" s="995"/>
      <c r="AP171" s="995"/>
      <c r="AQ171" s="995"/>
      <c r="AR171" s="995"/>
      <c r="AS171" s="995"/>
      <c r="AT171" s="995"/>
      <c r="AU171" s="995"/>
      <c r="AV171" s="995"/>
      <c r="AW171" s="995"/>
      <c r="AX171" s="995"/>
      <c r="AY171" s="995"/>
      <c r="AZ171" s="995"/>
      <c r="BA171" s="995"/>
      <c r="BB171" s="995"/>
      <c r="BC171" s="995"/>
      <c r="BD171" s="995"/>
      <c r="BE171" s="995"/>
      <c r="BF171" s="995"/>
      <c r="BG171" s="995"/>
      <c r="BH171" s="995"/>
      <c r="BI171" s="995"/>
      <c r="BJ171" s="995"/>
      <c r="BK171" s="995"/>
      <c r="BL171" s="995"/>
      <c r="BM171" s="995"/>
      <c r="BN171" s="995"/>
      <c r="BO171" s="995"/>
      <c r="BP171" s="995"/>
      <c r="BQ171" s="995"/>
      <c r="BR171" s="995"/>
      <c r="BS171" s="995"/>
      <c r="BT171" s="995"/>
      <c r="BU171" s="995"/>
      <c r="BV171" s="995"/>
      <c r="BW171" s="995"/>
      <c r="BX171" s="995"/>
      <c r="BY171" s="995"/>
      <c r="BZ171" s="995"/>
      <c r="CA171" s="995"/>
      <c r="CB171" s="995"/>
      <c r="CC171" s="995"/>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row>
    <row r="172" spans="1:117">
      <c r="A172" s="995"/>
      <c r="B172" s="995"/>
      <c r="C172" s="995"/>
      <c r="D172" s="995"/>
      <c r="E172" s="995"/>
      <c r="F172" s="995"/>
      <c r="G172" s="995"/>
      <c r="H172" s="995"/>
      <c r="I172" s="995"/>
      <c r="J172" s="995"/>
      <c r="K172" s="995"/>
      <c r="L172" s="995"/>
      <c r="M172" s="995"/>
      <c r="N172" s="995"/>
      <c r="O172" s="995"/>
      <c r="P172" s="995"/>
      <c r="Q172" s="995"/>
      <c r="R172" s="995"/>
      <c r="S172" s="995"/>
      <c r="T172" s="995"/>
      <c r="U172" s="995"/>
      <c r="V172" s="995"/>
      <c r="W172" s="995"/>
      <c r="X172" s="995"/>
      <c r="Y172" s="995"/>
      <c r="Z172" s="995"/>
      <c r="AA172" s="995"/>
      <c r="AB172" s="995"/>
      <c r="AC172" s="995"/>
      <c r="AD172" s="995"/>
      <c r="AE172" s="995"/>
      <c r="AF172" s="995"/>
      <c r="AG172" s="995"/>
      <c r="AH172" s="995"/>
      <c r="AI172" s="995"/>
      <c r="AJ172" s="995"/>
      <c r="AK172" s="995"/>
      <c r="AL172" s="995"/>
      <c r="AM172" s="995"/>
      <c r="AN172" s="995"/>
      <c r="AO172" s="995"/>
      <c r="AP172" s="995"/>
      <c r="AQ172" s="995"/>
      <c r="AR172" s="995"/>
      <c r="AS172" s="995"/>
      <c r="AT172" s="995"/>
      <c r="AU172" s="995"/>
      <c r="AV172" s="995"/>
      <c r="AW172" s="995"/>
      <c r="AX172" s="995"/>
      <c r="AY172" s="995"/>
      <c r="AZ172" s="995"/>
      <c r="BA172" s="995"/>
      <c r="BB172" s="995"/>
      <c r="BC172" s="995"/>
      <c r="BD172" s="995"/>
      <c r="BE172" s="995"/>
      <c r="BF172" s="995"/>
      <c r="BG172" s="995"/>
      <c r="BH172" s="995"/>
      <c r="BI172" s="995"/>
      <c r="BJ172" s="995"/>
      <c r="BK172" s="995"/>
      <c r="BL172" s="995"/>
      <c r="BM172" s="995"/>
      <c r="BN172" s="995"/>
      <c r="BO172" s="995"/>
      <c r="BP172" s="995"/>
      <c r="BQ172" s="995"/>
      <c r="BR172" s="995"/>
      <c r="BS172" s="995"/>
      <c r="BT172" s="995"/>
      <c r="BU172" s="995"/>
      <c r="BV172" s="995"/>
      <c r="BW172" s="995"/>
      <c r="BX172" s="995"/>
      <c r="BY172" s="995"/>
      <c r="BZ172" s="995"/>
      <c r="CA172" s="995"/>
      <c r="CB172" s="995"/>
      <c r="CC172" s="995"/>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row>
    <row r="173" spans="1:117">
      <c r="A173" s="995"/>
      <c r="B173" s="995"/>
      <c r="C173" s="995"/>
      <c r="D173" s="995"/>
      <c r="E173" s="995"/>
      <c r="F173" s="995"/>
      <c r="G173" s="995"/>
      <c r="H173" s="995"/>
      <c r="I173" s="995"/>
      <c r="J173" s="995"/>
      <c r="K173" s="995"/>
      <c r="L173" s="995"/>
      <c r="M173" s="995"/>
      <c r="N173" s="995"/>
      <c r="O173" s="995"/>
      <c r="P173" s="995"/>
      <c r="Q173" s="995"/>
      <c r="R173" s="995"/>
      <c r="S173" s="995"/>
      <c r="T173" s="995"/>
      <c r="U173" s="995"/>
      <c r="V173" s="995"/>
      <c r="W173" s="995"/>
      <c r="X173" s="995"/>
      <c r="Y173" s="995"/>
      <c r="Z173" s="995"/>
      <c r="AA173" s="995"/>
      <c r="AB173" s="995"/>
      <c r="AC173" s="995"/>
      <c r="AD173" s="995"/>
      <c r="AE173" s="995"/>
      <c r="AF173" s="995"/>
      <c r="AG173" s="995"/>
      <c r="AH173" s="995"/>
      <c r="AI173" s="995"/>
      <c r="AJ173" s="995"/>
      <c r="AK173" s="995"/>
      <c r="AL173" s="995"/>
      <c r="AM173" s="995"/>
      <c r="AN173" s="995"/>
      <c r="AO173" s="995"/>
      <c r="AP173" s="995"/>
      <c r="AQ173" s="995"/>
      <c r="AR173" s="995"/>
      <c r="AS173" s="995"/>
      <c r="AT173" s="995"/>
      <c r="AU173" s="995"/>
      <c r="AV173" s="995"/>
      <c r="AW173" s="995"/>
      <c r="AX173" s="995"/>
      <c r="AY173" s="995"/>
      <c r="AZ173" s="995"/>
      <c r="BA173" s="995"/>
      <c r="BB173" s="995"/>
      <c r="BC173" s="995"/>
      <c r="BD173" s="995"/>
      <c r="BE173" s="995"/>
      <c r="BF173" s="995"/>
      <c r="BG173" s="995"/>
      <c r="BH173" s="995"/>
      <c r="BI173" s="995"/>
      <c r="BJ173" s="995"/>
      <c r="BK173" s="995"/>
      <c r="BL173" s="995"/>
      <c r="BM173" s="995"/>
      <c r="BN173" s="995"/>
      <c r="BO173" s="995"/>
      <c r="BP173" s="995"/>
      <c r="BQ173" s="995"/>
      <c r="BR173" s="995"/>
      <c r="BS173" s="995"/>
      <c r="BT173" s="995"/>
      <c r="BU173" s="995"/>
      <c r="BV173" s="995"/>
      <c r="BW173" s="995"/>
      <c r="BX173" s="995"/>
      <c r="BY173" s="995"/>
      <c r="BZ173" s="995"/>
      <c r="CA173" s="995"/>
      <c r="CB173" s="995"/>
      <c r="CC173" s="995"/>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row>
    <row r="174" spans="1:117">
      <c r="A174" s="995"/>
      <c r="B174" s="995"/>
      <c r="C174" s="995"/>
      <c r="D174" s="995"/>
      <c r="E174" s="995"/>
      <c r="F174" s="995"/>
      <c r="G174" s="995"/>
      <c r="H174" s="995"/>
      <c r="I174" s="995"/>
      <c r="J174" s="995"/>
      <c r="K174" s="995"/>
      <c r="L174" s="995"/>
      <c r="M174" s="995"/>
      <c r="N174" s="995"/>
      <c r="O174" s="995"/>
      <c r="P174" s="995"/>
      <c r="Q174" s="995"/>
      <c r="R174" s="995"/>
      <c r="S174" s="995"/>
      <c r="T174" s="995"/>
      <c r="U174" s="995"/>
      <c r="V174" s="995"/>
      <c r="W174" s="995"/>
      <c r="X174" s="995"/>
      <c r="Y174" s="995"/>
      <c r="Z174" s="995"/>
      <c r="AA174" s="995"/>
      <c r="AB174" s="995"/>
      <c r="AC174" s="995"/>
      <c r="AD174" s="995"/>
      <c r="AE174" s="995"/>
      <c r="AF174" s="995"/>
      <c r="AG174" s="995"/>
      <c r="AH174" s="995"/>
      <c r="AI174" s="995"/>
      <c r="AJ174" s="995"/>
      <c r="AK174" s="995"/>
      <c r="AL174" s="995"/>
      <c r="AM174" s="995"/>
      <c r="AN174" s="995"/>
      <c r="AO174" s="995"/>
      <c r="AP174" s="995"/>
      <c r="AQ174" s="995"/>
      <c r="AR174" s="995"/>
      <c r="AS174" s="995"/>
      <c r="AT174" s="995"/>
      <c r="AU174" s="995"/>
      <c r="AV174" s="995"/>
      <c r="AW174" s="995"/>
      <c r="AX174" s="995"/>
      <c r="AY174" s="995"/>
      <c r="AZ174" s="995"/>
      <c r="BA174" s="995"/>
      <c r="BB174" s="995"/>
      <c r="BC174" s="995"/>
      <c r="BD174" s="995"/>
      <c r="BE174" s="995"/>
      <c r="BF174" s="995"/>
      <c r="BG174" s="995"/>
      <c r="BH174" s="995"/>
      <c r="BI174" s="995"/>
      <c r="BJ174" s="995"/>
      <c r="BK174" s="995"/>
      <c r="BL174" s="995"/>
      <c r="BM174" s="995"/>
      <c r="BN174" s="995"/>
      <c r="BO174" s="995"/>
      <c r="BP174" s="995"/>
      <c r="BQ174" s="995"/>
      <c r="BR174" s="995"/>
      <c r="BS174" s="995"/>
      <c r="BT174" s="995"/>
      <c r="BU174" s="995"/>
      <c r="BV174" s="995"/>
      <c r="BW174" s="995"/>
      <c r="BX174" s="995"/>
      <c r="BY174" s="995"/>
      <c r="BZ174" s="995"/>
      <c r="CA174" s="995"/>
      <c r="CB174" s="995"/>
      <c r="CC174" s="995"/>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row>
  </sheetData>
  <mergeCells count="5">
    <mergeCell ref="R3:T3"/>
    <mergeCell ref="AZ3:BB3"/>
    <mergeCell ref="CC3:CE3"/>
    <mergeCell ref="R49:T49"/>
    <mergeCell ref="AY49:BA49"/>
  </mergeCells>
  <printOptions horizontalCentered="1" verticalCentered="1"/>
  <pageMargins left="0.5" right="0.33333333333333331" top="0.5" bottom="0.45" header="0" footer="0"/>
  <pageSetup scale="73"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V100"/>
  <sheetViews>
    <sheetView showGridLines="0" defaultGridColor="0" topLeftCell="X1" colorId="59" zoomScale="80" zoomScaleNormal="80" workbookViewId="0">
      <selection activeCell="AD22" sqref="AD22"/>
    </sheetView>
  </sheetViews>
  <sheetFormatPr defaultColWidth="12.6328125" defaultRowHeight="15"/>
  <cols>
    <col min="1" max="1" width="12.6328125" style="21"/>
    <col min="2" max="2" width="5.6328125" style="21" customWidth="1"/>
    <col min="3" max="12" width="9.6328125" style="21" customWidth="1"/>
    <col min="13" max="14" width="5.6328125" style="21" customWidth="1"/>
    <col min="15" max="16" width="9.6328125" style="21" customWidth="1"/>
    <col min="17" max="17" width="11.6328125" style="21" customWidth="1"/>
    <col min="18" max="19" width="9.6328125" style="21" customWidth="1"/>
    <col min="20" max="20" width="16.08984375" style="21" bestFit="1" customWidth="1"/>
    <col min="21" max="21" width="11.81640625" style="21" customWidth="1"/>
    <col min="22" max="26" width="9.6328125" style="21" customWidth="1"/>
    <col min="27" max="27" width="11.6328125" style="21" customWidth="1"/>
    <col min="28" max="36" width="9.6328125" style="21" customWidth="1"/>
    <col min="37" max="38" width="5.6328125" style="21" customWidth="1"/>
    <col min="39" max="44" width="9.6328125" style="21" customWidth="1"/>
    <col min="45" max="46" width="11.6328125" style="21" customWidth="1"/>
    <col min="47" max="47" width="5.6328125" style="21" customWidth="1"/>
    <col min="48" max="48" width="8.6328125" style="21" customWidth="1"/>
    <col min="49" max="55" width="9.6328125" style="21" customWidth="1"/>
    <col min="56" max="59" width="8.6328125" style="21" customWidth="1"/>
    <col min="60" max="16384" width="12.6328125" style="21"/>
  </cols>
  <sheetData>
    <row r="1" spans="1:256" ht="17.100000000000001" customHeight="1">
      <c r="E1" s="21" t="s">
        <v>999</v>
      </c>
      <c r="K1" s="21" t="s">
        <v>999</v>
      </c>
    </row>
    <row r="2" spans="1:256" ht="17.100000000000001" customHeight="1"/>
    <row r="3" spans="1:256" ht="17.100000000000001" customHeight="1"/>
    <row r="4" spans="1:256" s="1181" customFormat="1" ht="21">
      <c r="A4" s="1179"/>
      <c r="B4" s="1179"/>
      <c r="C4" s="1180" t="s">
        <v>677</v>
      </c>
      <c r="D4" s="1179"/>
      <c r="E4" s="1179"/>
      <c r="F4" s="1179"/>
      <c r="G4" s="1179"/>
      <c r="H4" s="1179"/>
      <c r="I4" s="1179"/>
      <c r="J4" s="2908">
        <f>DMREZ!$I$5</f>
        <v>42370</v>
      </c>
      <c r="K4" s="2908"/>
      <c r="L4" s="1180" t="str">
        <f>FIXED(DMREZ!$J$5,0,TRUE)</f>
        <v>2016</v>
      </c>
      <c r="M4" s="1179"/>
      <c r="N4" s="1179"/>
      <c r="O4" s="1180" t="str">
        <f>C4</f>
        <v>Bowery Bay WPCP Dewatering Sheet</v>
      </c>
      <c r="P4" s="1179"/>
      <c r="Q4" s="1179"/>
      <c r="R4" s="1179"/>
      <c r="S4" s="1179"/>
      <c r="T4" s="1179"/>
      <c r="U4" s="1179"/>
      <c r="V4" s="1179"/>
      <c r="W4" s="1179"/>
      <c r="X4" s="1179"/>
      <c r="Y4" s="1179"/>
      <c r="Z4" s="1179"/>
      <c r="AA4" s="1179"/>
      <c r="AB4" s="1179"/>
      <c r="AC4" s="1179"/>
      <c r="AD4" s="1179"/>
      <c r="AE4" s="1179"/>
      <c r="AF4" s="1179"/>
      <c r="AG4" s="1179"/>
      <c r="AH4" s="2908">
        <f>DMREZ!$I$5</f>
        <v>42370</v>
      </c>
      <c r="AI4" s="2908"/>
      <c r="AJ4" s="1180" t="str">
        <f>FIXED(DMREZ!$J$5,0,TRUE)</f>
        <v>2016</v>
      </c>
      <c r="AK4" s="1179"/>
      <c r="AL4" s="1179"/>
      <c r="AM4" s="1180" t="str">
        <f>$C$4</f>
        <v>Bowery Bay WPCP Dewatering Sheet</v>
      </c>
      <c r="AN4" s="1179"/>
      <c r="AO4" s="1179"/>
      <c r="AP4" s="1179"/>
      <c r="AQ4" s="1179"/>
      <c r="AR4" s="1180"/>
      <c r="AS4" s="1180"/>
      <c r="AT4" s="1180"/>
      <c r="AU4" s="1179"/>
      <c r="AV4" s="1179"/>
      <c r="AW4" s="1179"/>
      <c r="AX4" s="1179"/>
      <c r="AY4" s="1179"/>
      <c r="AZ4" s="2908">
        <f>DMREZ!$I$5</f>
        <v>42370</v>
      </c>
      <c r="BA4" s="2908"/>
      <c r="BB4" s="1180" t="str">
        <f>FIXED(DMREZ!$J$5,0,TRUE)</f>
        <v>2016</v>
      </c>
      <c r="BC4" s="1179"/>
      <c r="BD4" s="1179"/>
      <c r="BE4" s="1179"/>
      <c r="BF4" s="1179"/>
      <c r="BG4" s="1179"/>
      <c r="BH4" s="1179"/>
      <c r="BI4" s="1179"/>
      <c r="BJ4" s="1179"/>
      <c r="BK4" s="1179"/>
      <c r="BL4" s="1179"/>
      <c r="BM4" s="1179"/>
      <c r="BN4" s="1179"/>
      <c r="BO4" s="1179"/>
      <c r="BP4" s="1179"/>
      <c r="BQ4" s="1179"/>
      <c r="BR4" s="1179"/>
      <c r="BS4" s="1179"/>
      <c r="BT4" s="1179"/>
      <c r="BU4" s="1179"/>
      <c r="BV4" s="1179"/>
      <c r="BW4" s="1179"/>
      <c r="BX4" s="1179"/>
      <c r="BY4" s="1179"/>
      <c r="BZ4" s="1179"/>
      <c r="CA4" s="1179"/>
      <c r="CB4" s="1179"/>
      <c r="CC4" s="1179"/>
      <c r="CD4" s="1179"/>
      <c r="CE4" s="1179"/>
      <c r="CF4" s="1179"/>
      <c r="CG4" s="1179"/>
      <c r="CH4" s="1179"/>
      <c r="CI4" s="1179"/>
      <c r="CJ4" s="1179"/>
      <c r="CK4" s="1179"/>
      <c r="CL4" s="1179"/>
      <c r="CM4" s="1179"/>
      <c r="CN4" s="1179"/>
      <c r="CO4" s="1179"/>
      <c r="CP4" s="1179"/>
      <c r="CQ4" s="1179"/>
      <c r="CR4" s="1179"/>
      <c r="CS4" s="1179"/>
      <c r="CT4" s="1179"/>
      <c r="CU4" s="1179"/>
      <c r="CV4" s="1179"/>
      <c r="CW4" s="1179"/>
      <c r="CX4" s="1179"/>
      <c r="CY4" s="1179"/>
      <c r="CZ4" s="1179"/>
      <c r="DA4" s="1179"/>
      <c r="DB4" s="1179"/>
      <c r="DC4" s="1179"/>
      <c r="DD4" s="1179"/>
      <c r="DE4" s="1179"/>
      <c r="DF4" s="1179"/>
      <c r="DG4" s="1179"/>
      <c r="DH4" s="1179"/>
      <c r="DI4" s="1179"/>
      <c r="DJ4" s="1179"/>
      <c r="DK4" s="1179"/>
      <c r="DL4" s="1179"/>
      <c r="DM4" s="1179"/>
      <c r="DN4" s="1179"/>
      <c r="DO4" s="1179"/>
      <c r="DP4" s="1179"/>
      <c r="DQ4" s="1179"/>
      <c r="DR4" s="1179"/>
      <c r="DS4" s="1179"/>
      <c r="DT4" s="1179"/>
      <c r="DU4" s="1179"/>
      <c r="DV4" s="1179"/>
      <c r="DW4" s="1179"/>
      <c r="DX4" s="1179"/>
      <c r="DY4" s="1179"/>
      <c r="DZ4" s="1179"/>
      <c r="EA4" s="1179"/>
      <c r="EB4" s="1179"/>
      <c r="EC4" s="1179"/>
      <c r="ED4" s="1179"/>
      <c r="EE4" s="1179"/>
      <c r="EF4" s="1179"/>
      <c r="EG4" s="1179"/>
      <c r="EH4" s="1179"/>
      <c r="EI4" s="1179"/>
      <c r="EJ4" s="1179"/>
      <c r="EK4" s="1179"/>
      <c r="EL4" s="1179"/>
      <c r="EM4" s="1179"/>
      <c r="EN4" s="1179"/>
      <c r="EO4" s="1179"/>
      <c r="EP4" s="1179"/>
      <c r="EQ4" s="1179"/>
      <c r="ER4" s="1179"/>
      <c r="ES4" s="1179"/>
      <c r="ET4" s="1179"/>
      <c r="EU4" s="1179"/>
      <c r="EV4" s="1179"/>
      <c r="EW4" s="1179"/>
      <c r="EX4" s="1179"/>
      <c r="EY4" s="1179"/>
      <c r="EZ4" s="1179"/>
      <c r="FA4" s="1179"/>
      <c r="FB4" s="1179"/>
      <c r="FC4" s="1179"/>
      <c r="FD4" s="1179"/>
      <c r="FE4" s="1179"/>
      <c r="FF4" s="1179"/>
      <c r="FG4" s="1179"/>
      <c r="FH4" s="1179"/>
      <c r="FI4" s="1179"/>
      <c r="FJ4" s="1179"/>
      <c r="FK4" s="1179"/>
      <c r="FL4" s="1179"/>
      <c r="FM4" s="1179"/>
      <c r="FN4" s="1179"/>
      <c r="FO4" s="1179"/>
      <c r="FP4" s="1179"/>
      <c r="FQ4" s="1179"/>
      <c r="FR4" s="1179"/>
      <c r="FS4" s="1179"/>
      <c r="FT4" s="1179"/>
      <c r="FU4" s="1179"/>
      <c r="FV4" s="1179"/>
      <c r="FW4" s="1179"/>
      <c r="FX4" s="1179"/>
      <c r="FY4" s="1179"/>
      <c r="FZ4" s="1179"/>
      <c r="GA4" s="1179"/>
      <c r="GB4" s="1179"/>
      <c r="GC4" s="1179"/>
      <c r="GD4" s="1179"/>
      <c r="GE4" s="1179"/>
      <c r="GF4" s="1179"/>
      <c r="GG4" s="1179"/>
      <c r="GH4" s="1179"/>
      <c r="GI4" s="1179"/>
      <c r="GJ4" s="1179"/>
      <c r="GK4" s="1179"/>
      <c r="GL4" s="1179"/>
      <c r="GM4" s="1179"/>
      <c r="GN4" s="1179"/>
      <c r="GO4" s="1179"/>
      <c r="GP4" s="1179"/>
      <c r="GQ4" s="1179"/>
      <c r="GR4" s="1179"/>
      <c r="GS4" s="1179"/>
      <c r="GT4" s="1179"/>
      <c r="GU4" s="1179"/>
      <c r="GV4" s="1179"/>
      <c r="GW4" s="1179"/>
      <c r="GX4" s="1179"/>
      <c r="GY4" s="1179"/>
      <c r="GZ4" s="1179"/>
      <c r="HA4" s="1179"/>
      <c r="HB4" s="1179"/>
      <c r="HC4" s="1179"/>
      <c r="HD4" s="1179"/>
      <c r="HE4" s="1179"/>
      <c r="HF4" s="1179"/>
      <c r="HG4" s="1179"/>
      <c r="HH4" s="1179"/>
      <c r="HI4" s="1179"/>
      <c r="HJ4" s="1179"/>
      <c r="HK4" s="1179"/>
      <c r="HL4" s="1179"/>
      <c r="HM4" s="1179"/>
      <c r="HN4" s="1179"/>
      <c r="HO4" s="1179"/>
      <c r="HP4" s="1179"/>
      <c r="HQ4" s="1179"/>
      <c r="HR4" s="1179"/>
      <c r="HS4" s="1179"/>
      <c r="HT4" s="1179"/>
      <c r="HU4" s="1179"/>
      <c r="HV4" s="1179"/>
      <c r="HW4" s="1179"/>
      <c r="HX4" s="1179"/>
      <c r="HY4" s="1179"/>
      <c r="HZ4" s="1179"/>
      <c r="IA4" s="1179"/>
      <c r="IB4" s="1179"/>
      <c r="IC4" s="1179"/>
      <c r="ID4" s="1179"/>
      <c r="IE4" s="1179"/>
      <c r="IF4" s="1179"/>
      <c r="IG4" s="1179"/>
      <c r="IH4" s="1179"/>
      <c r="II4" s="1179"/>
      <c r="IJ4" s="1179"/>
      <c r="IK4" s="1179"/>
      <c r="IL4" s="1179"/>
      <c r="IM4" s="1179"/>
      <c r="IN4" s="1179"/>
      <c r="IO4" s="1179"/>
      <c r="IP4" s="1179"/>
      <c r="IQ4" s="1179"/>
      <c r="IR4" s="1179"/>
      <c r="IS4" s="1179"/>
      <c r="IT4" s="1179"/>
      <c r="IU4" s="1179"/>
      <c r="IV4" s="1179"/>
    </row>
    <row r="5" spans="1:256" ht="17.100000000000001" customHeight="1" thickBot="1">
      <c r="V5" s="980"/>
      <c r="W5" s="980"/>
      <c r="X5" s="980"/>
      <c r="Y5" s="980"/>
      <c r="Z5" s="980"/>
      <c r="AA5" s="980"/>
      <c r="AB5" s="980"/>
    </row>
    <row r="6" spans="1:256" ht="17.100000000000001" customHeight="1">
      <c r="B6" s="588"/>
      <c r="C6" s="588" t="s">
        <v>389</v>
      </c>
      <c r="D6" s="591"/>
      <c r="E6" s="593" t="s">
        <v>606</v>
      </c>
      <c r="F6" s="591"/>
      <c r="G6" s="2915" t="s">
        <v>703</v>
      </c>
      <c r="H6" s="2916"/>
      <c r="I6" s="591" t="s">
        <v>542</v>
      </c>
      <c r="J6" s="591"/>
      <c r="K6" s="591"/>
      <c r="L6" s="591"/>
      <c r="M6" s="594"/>
      <c r="N6" s="594"/>
      <c r="O6" s="588" t="s">
        <v>651</v>
      </c>
      <c r="P6" s="591"/>
      <c r="Q6" s="593" t="s">
        <v>605</v>
      </c>
      <c r="R6" s="591"/>
      <c r="S6" s="591"/>
      <c r="T6" s="1734" t="s">
        <v>47</v>
      </c>
      <c r="U6" s="1735"/>
      <c r="V6" s="984" t="s">
        <v>687</v>
      </c>
      <c r="W6" s="981">
        <f>AVERAGE(CHEM_!M41,CHEM_!P41)/100</f>
        <v>0.41</v>
      </c>
      <c r="X6" s="982" t="s">
        <v>690</v>
      </c>
      <c r="Y6" s="983" t="s">
        <v>693</v>
      </c>
      <c r="Z6" s="984"/>
      <c r="AA6" s="985">
        <f>V42/X42*W6</f>
        <v>1.8944238296141919E-3</v>
      </c>
      <c r="AB6" s="593" t="s">
        <v>703</v>
      </c>
      <c r="AC6" s="593" t="s">
        <v>972</v>
      </c>
      <c r="AD6" s="591" t="s">
        <v>661</v>
      </c>
      <c r="AE6" s="591"/>
      <c r="AF6" s="591"/>
      <c r="AG6" s="593" t="s">
        <v>542</v>
      </c>
      <c r="AH6" s="591"/>
      <c r="AI6" s="591"/>
      <c r="AJ6" s="591"/>
      <c r="AK6" s="594" t="s">
        <v>999</v>
      </c>
      <c r="AL6" s="594"/>
      <c r="AM6" s="594" t="s">
        <v>710</v>
      </c>
      <c r="AN6" s="593" t="s">
        <v>713</v>
      </c>
      <c r="AO6" s="591"/>
      <c r="AP6" s="593" t="s">
        <v>716</v>
      </c>
      <c r="AQ6" s="591"/>
      <c r="AR6" s="593" t="s">
        <v>720</v>
      </c>
      <c r="AS6" s="591"/>
      <c r="AT6" s="591"/>
      <c r="AU6" s="588" t="s">
        <v>999</v>
      </c>
      <c r="AV6" s="986"/>
      <c r="AW6" s="987"/>
      <c r="AX6" s="987"/>
      <c r="AY6" s="987"/>
      <c r="AZ6" s="987"/>
      <c r="BA6" s="987"/>
      <c r="BB6" s="987"/>
      <c r="BC6" s="987"/>
      <c r="BD6" s="988"/>
      <c r="BI6" s="290"/>
      <c r="BJ6" s="290"/>
      <c r="BK6" s="290"/>
      <c r="BL6" s="290"/>
      <c r="BM6" s="290"/>
      <c r="BN6" s="290"/>
      <c r="BO6" s="290"/>
      <c r="BP6" s="290"/>
      <c r="BQ6" s="290"/>
      <c r="BR6" s="290"/>
      <c r="BS6" s="290"/>
    </row>
    <row r="7" spans="1:256" ht="17.100000000000001" customHeight="1">
      <c r="B7" s="609" t="s">
        <v>310</v>
      </c>
      <c r="C7" s="609" t="s">
        <v>390</v>
      </c>
      <c r="D7" s="617"/>
      <c r="E7" s="615" t="s">
        <v>1051</v>
      </c>
      <c r="F7" s="615" t="s">
        <v>1051</v>
      </c>
      <c r="G7" s="2917" t="s">
        <v>55</v>
      </c>
      <c r="H7" s="2917" t="s">
        <v>56</v>
      </c>
      <c r="I7" s="615" t="s">
        <v>681</v>
      </c>
      <c r="J7" s="615" t="s">
        <v>682</v>
      </c>
      <c r="K7" s="615" t="s">
        <v>1198</v>
      </c>
      <c r="L7" s="615" t="s">
        <v>609</v>
      </c>
      <c r="M7" s="606" t="s">
        <v>310</v>
      </c>
      <c r="N7" s="606" t="s">
        <v>310</v>
      </c>
      <c r="O7" s="648" t="s">
        <v>652</v>
      </c>
      <c r="P7" s="615" t="s">
        <v>685</v>
      </c>
      <c r="Q7" s="615" t="s">
        <v>999</v>
      </c>
      <c r="R7" s="615"/>
      <c r="S7" s="615"/>
      <c r="T7" s="2909" t="s">
        <v>48</v>
      </c>
      <c r="U7" s="2912" t="s">
        <v>1260</v>
      </c>
      <c r="V7" s="1730"/>
      <c r="W7" s="989">
        <f>+CHEM_!N41</f>
        <v>8.67</v>
      </c>
      <c r="X7" s="990" t="s">
        <v>691</v>
      </c>
      <c r="Y7" s="991" t="s">
        <v>694</v>
      </c>
      <c r="Z7" s="992"/>
      <c r="AA7" s="993">
        <f>V42/X42</f>
        <v>4.6205459258882734E-3</v>
      </c>
      <c r="AB7" s="615" t="s">
        <v>453</v>
      </c>
      <c r="AC7" s="615" t="s">
        <v>706</v>
      </c>
      <c r="AD7" s="615" t="s">
        <v>664</v>
      </c>
      <c r="AE7" s="615" t="s">
        <v>450</v>
      </c>
      <c r="AF7" s="615" t="s">
        <v>999</v>
      </c>
      <c r="AG7" s="615" t="s">
        <v>933</v>
      </c>
      <c r="AH7" s="615" t="s">
        <v>680</v>
      </c>
      <c r="AI7" s="615" t="s">
        <v>681</v>
      </c>
      <c r="AJ7" s="615" t="s">
        <v>424</v>
      </c>
      <c r="AK7" s="606" t="s">
        <v>310</v>
      </c>
      <c r="AL7" s="606" t="s">
        <v>310</v>
      </c>
      <c r="AM7" s="606" t="s">
        <v>711</v>
      </c>
      <c r="AN7" s="615" t="s">
        <v>714</v>
      </c>
      <c r="AO7" s="615" t="s">
        <v>715</v>
      </c>
      <c r="AP7" s="615" t="s">
        <v>999</v>
      </c>
      <c r="AQ7" s="615" t="s">
        <v>718</v>
      </c>
      <c r="AR7" s="615" t="s">
        <v>721</v>
      </c>
      <c r="AS7" s="615" t="s">
        <v>722</v>
      </c>
      <c r="AT7" s="615" t="s">
        <v>395</v>
      </c>
      <c r="AU7" s="609" t="s">
        <v>310</v>
      </c>
      <c r="AV7" s="994" t="s">
        <v>999</v>
      </c>
      <c r="AW7" s="995"/>
      <c r="AX7" s="995"/>
      <c r="AY7" s="995"/>
      <c r="AZ7" s="995"/>
      <c r="BA7" s="995"/>
      <c r="BB7" s="995"/>
      <c r="BC7" s="995"/>
      <c r="BD7" s="988"/>
      <c r="BI7" s="290"/>
      <c r="BJ7" s="290"/>
      <c r="BK7" s="290"/>
      <c r="BL7" s="290"/>
      <c r="BM7" s="290"/>
      <c r="BN7" s="290"/>
      <c r="BO7" s="290"/>
      <c r="BP7" s="290"/>
      <c r="BQ7" s="290"/>
      <c r="BR7" s="290"/>
      <c r="BS7" s="290"/>
    </row>
    <row r="8" spans="1:256" ht="17.100000000000001" customHeight="1">
      <c r="B8" s="609" t="s">
        <v>311</v>
      </c>
      <c r="C8" s="609" t="s">
        <v>678</v>
      </c>
      <c r="D8" s="617"/>
      <c r="E8" s="625" t="s">
        <v>454</v>
      </c>
      <c r="F8" s="625" t="s">
        <v>679</v>
      </c>
      <c r="G8" s="2918"/>
      <c r="H8" s="2918"/>
      <c r="I8" s="625"/>
      <c r="J8" s="625" t="s">
        <v>681</v>
      </c>
      <c r="K8" s="625" t="s">
        <v>999</v>
      </c>
      <c r="L8" s="625" t="s">
        <v>999</v>
      </c>
      <c r="M8" s="606" t="s">
        <v>311</v>
      </c>
      <c r="N8" s="606" t="s">
        <v>311</v>
      </c>
      <c r="O8" s="606" t="s">
        <v>684</v>
      </c>
      <c r="P8" s="625" t="s">
        <v>655</v>
      </c>
      <c r="Q8" s="625" t="s">
        <v>686</v>
      </c>
      <c r="R8" s="625" t="s">
        <v>459</v>
      </c>
      <c r="S8" s="625" t="s">
        <v>450</v>
      </c>
      <c r="T8" s="2910"/>
      <c r="U8" s="2913"/>
      <c r="V8" s="1731" t="s">
        <v>688</v>
      </c>
      <c r="W8" s="615" t="s">
        <v>689</v>
      </c>
      <c r="X8" s="615" t="s">
        <v>692</v>
      </c>
      <c r="Y8" s="615" t="s">
        <v>695</v>
      </c>
      <c r="Z8" s="615" t="s">
        <v>699</v>
      </c>
      <c r="AA8" s="615" t="s">
        <v>701</v>
      </c>
      <c r="AB8" s="625" t="s">
        <v>704</v>
      </c>
      <c r="AC8" s="625" t="s">
        <v>663</v>
      </c>
      <c r="AD8" s="625" t="s">
        <v>482</v>
      </c>
      <c r="AE8" s="625" t="s">
        <v>482</v>
      </c>
      <c r="AF8" s="625" t="s">
        <v>459</v>
      </c>
      <c r="AG8" s="625" t="s">
        <v>940</v>
      </c>
      <c r="AH8" s="625" t="s">
        <v>708</v>
      </c>
      <c r="AI8" s="625" t="s">
        <v>708</v>
      </c>
      <c r="AJ8" s="625" t="s">
        <v>708</v>
      </c>
      <c r="AK8" s="606" t="s">
        <v>311</v>
      </c>
      <c r="AL8" s="606" t="s">
        <v>311</v>
      </c>
      <c r="AM8" s="606" t="s">
        <v>712</v>
      </c>
      <c r="AN8" s="625" t="s">
        <v>712</v>
      </c>
      <c r="AO8" s="625" t="s">
        <v>712</v>
      </c>
      <c r="AP8" s="625" t="s">
        <v>1051</v>
      </c>
      <c r="AQ8" s="625" t="s">
        <v>719</v>
      </c>
      <c r="AR8" s="625" t="s">
        <v>712</v>
      </c>
      <c r="AS8" s="625" t="s">
        <v>723</v>
      </c>
      <c r="AT8" s="625" t="s">
        <v>723</v>
      </c>
      <c r="AU8" s="609" t="s">
        <v>311</v>
      </c>
      <c r="AV8" s="994" t="s">
        <v>999</v>
      </c>
      <c r="AW8" s="995"/>
      <c r="AX8" s="995"/>
      <c r="AY8" s="995"/>
      <c r="AZ8" s="995"/>
      <c r="BA8" s="995"/>
      <c r="BB8" s="995"/>
      <c r="BC8" s="995"/>
      <c r="BD8" s="988"/>
      <c r="BI8" s="290"/>
      <c r="BJ8" s="290"/>
      <c r="BK8" s="290"/>
      <c r="BL8" s="290"/>
      <c r="BM8" s="290"/>
      <c r="BN8" s="290"/>
      <c r="BO8" s="290"/>
      <c r="BP8" s="290"/>
      <c r="BQ8" s="290"/>
      <c r="BR8" s="290"/>
      <c r="BS8" s="290"/>
    </row>
    <row r="9" spans="1:256" ht="17.100000000000001" customHeight="1">
      <c r="B9" s="609" t="s">
        <v>312</v>
      </c>
      <c r="C9" s="648" t="s">
        <v>396</v>
      </c>
      <c r="D9" s="615" t="s">
        <v>397</v>
      </c>
      <c r="E9" s="625" t="s">
        <v>453</v>
      </c>
      <c r="F9" s="625" t="s">
        <v>453</v>
      </c>
      <c r="G9" s="2919"/>
      <c r="H9" s="2919"/>
      <c r="I9" s="625" t="s">
        <v>1017</v>
      </c>
      <c r="J9" s="625" t="s">
        <v>453</v>
      </c>
      <c r="K9" s="625" t="s">
        <v>1017</v>
      </c>
      <c r="L9" s="625" t="s">
        <v>1017</v>
      </c>
      <c r="M9" s="606" t="s">
        <v>312</v>
      </c>
      <c r="N9" s="606" t="s">
        <v>312</v>
      </c>
      <c r="O9" s="996" t="s">
        <v>472</v>
      </c>
      <c r="P9" s="997"/>
      <c r="Q9" s="625"/>
      <c r="R9" s="625"/>
      <c r="S9" s="625" t="s">
        <v>482</v>
      </c>
      <c r="T9" s="2911"/>
      <c r="U9" s="2914"/>
      <c r="V9" s="1631" t="s">
        <v>658</v>
      </c>
      <c r="W9" s="625" t="s">
        <v>999</v>
      </c>
      <c r="X9" s="625" t="s">
        <v>656</v>
      </c>
      <c r="Y9" s="625" t="s">
        <v>496</v>
      </c>
      <c r="Z9" s="625" t="s">
        <v>700</v>
      </c>
      <c r="AA9" s="625" t="s">
        <v>700</v>
      </c>
      <c r="AB9" s="625" t="s">
        <v>999</v>
      </c>
      <c r="AC9" s="625"/>
      <c r="AD9" s="625"/>
      <c r="AE9" s="625"/>
      <c r="AF9" s="625"/>
      <c r="AG9" s="625"/>
      <c r="AH9" s="625" t="s">
        <v>974</v>
      </c>
      <c r="AI9" s="625" t="s">
        <v>974</v>
      </c>
      <c r="AJ9" s="625" t="s">
        <v>974</v>
      </c>
      <c r="AK9" s="606" t="s">
        <v>312</v>
      </c>
      <c r="AL9" s="606" t="s">
        <v>312</v>
      </c>
      <c r="AM9" s="606" t="s">
        <v>999</v>
      </c>
      <c r="AN9" s="625"/>
      <c r="AO9" s="625"/>
      <c r="AP9" s="625"/>
      <c r="AQ9" s="625"/>
      <c r="AR9" s="625"/>
      <c r="AS9" s="625" t="s">
        <v>724</v>
      </c>
      <c r="AT9" s="625" t="s">
        <v>724</v>
      </c>
      <c r="AU9" s="609" t="s">
        <v>312</v>
      </c>
      <c r="AV9" s="994" t="s">
        <v>999</v>
      </c>
      <c r="AW9" s="995"/>
      <c r="AX9" s="995"/>
      <c r="AY9" s="995"/>
      <c r="AZ9" s="995"/>
      <c r="BA9" s="995"/>
      <c r="BB9" s="995"/>
      <c r="BC9" s="995"/>
      <c r="BD9" s="988"/>
      <c r="BI9" s="290"/>
      <c r="BJ9" s="290"/>
      <c r="BK9" s="290"/>
      <c r="BL9" s="290"/>
      <c r="BM9" s="290"/>
      <c r="BN9" s="290"/>
      <c r="BO9" s="290"/>
      <c r="BP9" s="290"/>
      <c r="BQ9" s="290"/>
      <c r="BR9" s="290"/>
      <c r="BS9" s="290"/>
    </row>
    <row r="10" spans="1:256" ht="17.100000000000001" customHeight="1" thickBot="1">
      <c r="B10" s="609"/>
      <c r="C10" s="610">
        <v>1</v>
      </c>
      <c r="D10" s="618">
        <f t="shared" ref="D10:L10" si="0">C10+1</f>
        <v>2</v>
      </c>
      <c r="E10" s="618">
        <f t="shared" si="0"/>
        <v>3</v>
      </c>
      <c r="F10" s="618">
        <f t="shared" si="0"/>
        <v>4</v>
      </c>
      <c r="G10" s="2480">
        <f t="shared" si="0"/>
        <v>5</v>
      </c>
      <c r="H10" s="2481">
        <f t="shared" si="0"/>
        <v>6</v>
      </c>
      <c r="I10" s="618">
        <f t="shared" si="0"/>
        <v>7</v>
      </c>
      <c r="J10" s="618">
        <f t="shared" si="0"/>
        <v>8</v>
      </c>
      <c r="K10" s="618">
        <f t="shared" si="0"/>
        <v>9</v>
      </c>
      <c r="L10" s="618">
        <f t="shared" si="0"/>
        <v>10</v>
      </c>
      <c r="M10" s="606" t="s">
        <v>999</v>
      </c>
      <c r="N10" s="606"/>
      <c r="O10" s="610">
        <f>L10+1</f>
        <v>11</v>
      </c>
      <c r="P10" s="618">
        <f t="shared" ref="P10:AJ10" si="1">O10+1</f>
        <v>12</v>
      </c>
      <c r="Q10" s="618">
        <f t="shared" si="1"/>
        <v>13</v>
      </c>
      <c r="R10" s="618">
        <f t="shared" si="1"/>
        <v>14</v>
      </c>
      <c r="S10" s="618">
        <f t="shared" si="1"/>
        <v>15</v>
      </c>
      <c r="T10" s="1736">
        <f t="shared" si="1"/>
        <v>16</v>
      </c>
      <c r="U10" s="1778">
        <f t="shared" si="1"/>
        <v>17</v>
      </c>
      <c r="V10" s="611">
        <f t="shared" si="1"/>
        <v>18</v>
      </c>
      <c r="W10" s="618">
        <f t="shared" si="1"/>
        <v>19</v>
      </c>
      <c r="X10" s="618">
        <f t="shared" si="1"/>
        <v>20</v>
      </c>
      <c r="Y10" s="1421">
        <f t="shared" si="1"/>
        <v>21</v>
      </c>
      <c r="Z10" s="618">
        <f t="shared" si="1"/>
        <v>22</v>
      </c>
      <c r="AA10" s="618">
        <f t="shared" si="1"/>
        <v>23</v>
      </c>
      <c r="AB10" s="618">
        <f t="shared" si="1"/>
        <v>24</v>
      </c>
      <c r="AC10" s="618">
        <f t="shared" si="1"/>
        <v>25</v>
      </c>
      <c r="AD10" s="618">
        <f t="shared" si="1"/>
        <v>26</v>
      </c>
      <c r="AE10" s="618">
        <f t="shared" si="1"/>
        <v>27</v>
      </c>
      <c r="AF10" s="618">
        <f t="shared" si="1"/>
        <v>28</v>
      </c>
      <c r="AG10" s="618">
        <f t="shared" si="1"/>
        <v>29</v>
      </c>
      <c r="AH10" s="618">
        <f t="shared" si="1"/>
        <v>30</v>
      </c>
      <c r="AI10" s="618">
        <f t="shared" si="1"/>
        <v>31</v>
      </c>
      <c r="AJ10" s="618">
        <f t="shared" si="1"/>
        <v>32</v>
      </c>
      <c r="AK10" s="606" t="s">
        <v>999</v>
      </c>
      <c r="AL10" s="606"/>
      <c r="AM10" s="610">
        <f>AJ10+1</f>
        <v>33</v>
      </c>
      <c r="AN10" s="618">
        <f t="shared" ref="AN10:AT10" si="2">AM10+1</f>
        <v>34</v>
      </c>
      <c r="AO10" s="618">
        <f t="shared" si="2"/>
        <v>35</v>
      </c>
      <c r="AP10" s="618">
        <f t="shared" si="2"/>
        <v>36</v>
      </c>
      <c r="AQ10" s="618">
        <f t="shared" si="2"/>
        <v>37</v>
      </c>
      <c r="AR10" s="618">
        <f t="shared" si="2"/>
        <v>38</v>
      </c>
      <c r="AS10" s="618">
        <f t="shared" si="2"/>
        <v>39</v>
      </c>
      <c r="AT10" s="618">
        <f t="shared" si="2"/>
        <v>40</v>
      </c>
      <c r="AU10" s="609" t="s">
        <v>999</v>
      </c>
      <c r="AV10" s="994" t="s">
        <v>999</v>
      </c>
      <c r="AW10" s="995"/>
      <c r="AX10" s="995"/>
      <c r="AY10" s="995"/>
      <c r="AZ10" s="995"/>
      <c r="BA10" s="995"/>
      <c r="BB10" s="995"/>
      <c r="BC10" s="995"/>
      <c r="BD10" s="988"/>
      <c r="BI10" s="290"/>
      <c r="BJ10" s="290"/>
      <c r="BK10" s="290"/>
      <c r="BL10" s="290"/>
      <c r="BM10" s="290"/>
      <c r="BN10" s="290"/>
      <c r="BO10" s="290"/>
      <c r="BP10" s="290"/>
      <c r="BQ10" s="290"/>
      <c r="BR10" s="290"/>
      <c r="BS10" s="290"/>
    </row>
    <row r="11" spans="1:256" ht="17.100000000000001" customHeight="1">
      <c r="B11" s="588">
        <v>1</v>
      </c>
      <c r="C11" s="672">
        <f>IF(CLA_!DI11="","",+CLA_!DI11)</f>
        <v>1.69</v>
      </c>
      <c r="D11" s="659">
        <f>IF(CLA_!DJ11="","",+CLA_!DJ11)</f>
        <v>75</v>
      </c>
      <c r="E11" s="659">
        <f>IF(CLA_!DK11="","",+CLA_!DK11)</f>
        <v>23.5</v>
      </c>
      <c r="F11" s="659">
        <f>IF(CLA_!DL11="","",+CLA_!DL11)</f>
        <v>74.3</v>
      </c>
      <c r="G11" s="2478">
        <f>IF(ISNUMBER(Q11),ROUND(Q11/P11/60,0),"")</f>
        <v>198</v>
      </c>
      <c r="H11" s="2479">
        <f t="shared" ref="H11:H41" si="3">IF(ISNUMBER(G11),G11*C11*0.2527/100,"")</f>
        <v>0.84558473999999995</v>
      </c>
      <c r="I11" s="658">
        <f>IF(CLA_!DO11="","",+CLA_!DO11)</f>
        <v>2980</v>
      </c>
      <c r="J11" s="659" t="str">
        <f>IF(CLA_!DP11="","",+CLA_!DP11)</f>
        <v/>
      </c>
      <c r="K11" s="734">
        <f>IF(CLA_!DQ11="","",+CLA_!DQ11)</f>
        <v>180</v>
      </c>
      <c r="L11" s="734" t="str">
        <f>IF(CLA_!DR11="","",+CLA_!DR11)</f>
        <v/>
      </c>
      <c r="M11" s="588">
        <v>1</v>
      </c>
      <c r="N11" s="588">
        <v>1</v>
      </c>
      <c r="O11" s="666">
        <f>IF(PT_!AN11="","",+PT_!AN11)</f>
        <v>3</v>
      </c>
      <c r="P11" s="658">
        <f>IF(PT_!AO11="","",+PT_!AO11)</f>
        <v>51</v>
      </c>
      <c r="Q11" s="671">
        <f>IF(PT_!AP11="","",+PT_!AP11)</f>
        <v>606887</v>
      </c>
      <c r="R11" s="661">
        <f t="shared" ref="R11:R41" si="4">IF(Q11="","",+Q11/7.48)</f>
        <v>81134.625668449196</v>
      </c>
      <c r="S11" s="659">
        <f>IF(R11="","",IF(ISNUMBER(C11),ROUND(R11*0.63*C11/2000,1),ROUND(+R11*0.63*$C$42/2000,1)))</f>
        <v>43.2</v>
      </c>
      <c r="T11" s="1737"/>
      <c r="U11" s="1777">
        <f>IF(ISNUMBER(Q11),+Q11*0.95,"")</f>
        <v>576542.65</v>
      </c>
      <c r="V11" s="759">
        <f>IF(CHEM_!S10&gt;0,+CHEM_!S10,"")</f>
        <v>469</v>
      </c>
      <c r="W11" s="676">
        <f>IF(X11="","",+X11/P11/60)</f>
        <v>24.409150326797384</v>
      </c>
      <c r="X11" s="1388">
        <f>IF(PT_!AR11="","",+PT_!AR11)</f>
        <v>74692</v>
      </c>
      <c r="Y11" s="1002">
        <f>IF(W11="","",IF(V11=0,"",+V11*$W$6*$W$7))</f>
        <v>1667.1542999999999</v>
      </c>
      <c r="Z11" s="998">
        <f>IF(W11="","",IF(Y11=0,"",+Y11/S11))</f>
        <v>38.591534722222221</v>
      </c>
      <c r="AA11" s="1003">
        <f>IF(W11="","",IF(V11=0,"",ROUND(+X11*$AA$7*$W$7/S11,1)))</f>
        <v>69.3</v>
      </c>
      <c r="AB11" s="999">
        <f>IF(ISNUMBER(C11),((C11*10000-I11)/(C11*10000)*100),"")</f>
        <v>82.366863905325445</v>
      </c>
      <c r="AC11" s="734">
        <f>IF(PT_!AU11="","",+PT_!AU11)</f>
        <v>3</v>
      </c>
      <c r="AD11" s="659">
        <f>IF(PT_!AV11="","",+PT_!AV11)</f>
        <v>64.55</v>
      </c>
      <c r="AE11" s="1000">
        <f>IF(AD11="","",+AD11*IF(ISNUMBER(E11),E11/100,$E$42/100))</f>
        <v>15.169249999999998</v>
      </c>
      <c r="AF11" s="998">
        <f>IF(AD11="","",ROUND(+AD11*2000/53,-2))</f>
        <v>2400</v>
      </c>
      <c r="AG11" s="1006">
        <f>IF(Q11="","",(0.95*Q11/1000000))</f>
        <v>0.57654265000000005</v>
      </c>
      <c r="AH11" s="999"/>
      <c r="AI11" s="1002">
        <f>IF($Q11="","",ROUND(+$AG11*8.34*IF(I11=0,$I$42,I11),-1))</f>
        <v>14330</v>
      </c>
      <c r="AJ11" s="1002">
        <f>IF($Q11="","",ROUND(+$AG11*8.34*IF(ISNUMBER(K11),K11,$K$42),-1))</f>
        <v>870</v>
      </c>
      <c r="AK11" s="588">
        <v>1</v>
      </c>
      <c r="AL11" s="594">
        <v>1</v>
      </c>
      <c r="AM11" s="1001">
        <f>IF(CHEM_!AD10="","",+CHEM_!AD10)</f>
        <v>43</v>
      </c>
      <c r="AN11" s="658"/>
      <c r="AO11" s="658"/>
      <c r="AP11" s="599"/>
      <c r="AQ11" s="599"/>
      <c r="AR11" s="796"/>
      <c r="AS11" s="599"/>
      <c r="AT11" s="599" t="s">
        <v>480</v>
      </c>
      <c r="AU11" s="594">
        <v>1</v>
      </c>
      <c r="AV11" s="994"/>
      <c r="AW11" s="588" t="s">
        <v>726</v>
      </c>
      <c r="AX11" s="591"/>
      <c r="AY11" s="591"/>
      <c r="AZ11" s="591"/>
      <c r="BA11" s="591"/>
      <c r="BB11" s="591"/>
      <c r="BC11" s="591"/>
      <c r="BD11" s="988"/>
      <c r="BI11" s="290"/>
      <c r="BJ11" s="290"/>
      <c r="BK11" s="290"/>
      <c r="BL11" s="290"/>
      <c r="BM11" s="290"/>
      <c r="BN11" s="290"/>
      <c r="BO11" s="290"/>
      <c r="BP11" s="290"/>
      <c r="BQ11" s="290"/>
      <c r="BR11" s="290"/>
      <c r="BS11" s="290"/>
    </row>
    <row r="12" spans="1:256" ht="17.100000000000001" customHeight="1">
      <c r="B12" s="610">
        <v>2</v>
      </c>
      <c r="C12" s="690">
        <f>IF(CLA_!DI12="","",+CLA_!DI12)</f>
        <v>1.7</v>
      </c>
      <c r="D12" s="678">
        <f>IF(CLA_!DJ12="","",+CLA_!DJ12)</f>
        <v>73.5</v>
      </c>
      <c r="E12" s="678">
        <f>IF(CLA_!DK12="","",+CLA_!DK12)</f>
        <v>22.2</v>
      </c>
      <c r="F12" s="678">
        <f>IF(CLA_!DL12="","",+CLA_!DL12)</f>
        <v>74.5</v>
      </c>
      <c r="G12" s="1855">
        <f t="shared" ref="G12:G41" si="5">IF(ISNUMBER(Q12),ROUND(Q12/P12/60,0),"")</f>
        <v>177</v>
      </c>
      <c r="H12" s="1856">
        <f t="shared" si="3"/>
        <v>0.76037429999999984</v>
      </c>
      <c r="I12" s="677">
        <f>IF(CLA_!DO12="","",+CLA_!DO12)</f>
        <v>3120</v>
      </c>
      <c r="J12" s="678" t="str">
        <f>IF(CLA_!DP12="","",+CLA_!DP12)</f>
        <v/>
      </c>
      <c r="K12" s="747">
        <f>IF(CLA_!DQ12="","",+CLA_!DQ12)</f>
        <v>242</v>
      </c>
      <c r="L12" s="747" t="str">
        <f>IF(CLA_!DR12="","",+CLA_!DR12)</f>
        <v/>
      </c>
      <c r="M12" s="610">
        <v>2</v>
      </c>
      <c r="N12" s="610">
        <v>2</v>
      </c>
      <c r="O12" s="685">
        <f>IF(PT_!AN12="","",+PT_!AN12)</f>
        <v>2</v>
      </c>
      <c r="P12" s="677">
        <f>IF(PT_!AO12="","",+PT_!AO12)</f>
        <v>39</v>
      </c>
      <c r="Q12" s="689">
        <f>IF(PT_!AP12="","",+PT_!AP12)</f>
        <v>413361</v>
      </c>
      <c r="R12" s="680">
        <f t="shared" si="4"/>
        <v>55262.165775401067</v>
      </c>
      <c r="S12" s="678">
        <f>IF(R12="","",IF(ISNUMBER(C12),ROUND(R12*0.63*C12/2000,1),ROUND(+R12*0.63*$C$42/2000,1)))</f>
        <v>29.6</v>
      </c>
      <c r="T12" s="1740"/>
      <c r="U12" s="1745">
        <f t="shared" ref="U12:U41" si="6">IF(ISNUMBER(Q12),+Q12*0.95,"")</f>
        <v>392692.94999999995</v>
      </c>
      <c r="V12" s="759">
        <f>IF(CHEM_!S11&gt;0,+CHEM_!S11,"")</f>
        <v>270</v>
      </c>
      <c r="W12" s="676">
        <f>IF(X12="","",+X12/P12/60)</f>
        <v>22.088461538461541</v>
      </c>
      <c r="X12" s="1388">
        <f>IF(PT_!AR12="","",+PT_!AR12)</f>
        <v>51687</v>
      </c>
      <c r="Y12" s="1002">
        <f>IF(W12="","",IF(V12=0,"",+V12*$W$6*$W$7))</f>
        <v>959.76899999999989</v>
      </c>
      <c r="Z12" s="1002">
        <f>IF(W12="","",IF(Y12=0,"",+Y12/S12))</f>
        <v>32.424628378378372</v>
      </c>
      <c r="AA12" s="1003">
        <f>IF(W12="","",IF(V12=0,"",ROUND(+X12*$AA$7*$W$7/S12,1)))</f>
        <v>70</v>
      </c>
      <c r="AB12" s="1004">
        <f>IF(ISNUMBER(C12),((C12*10000-I12)/(C12*10000)*100),"")</f>
        <v>81.64705882352942</v>
      </c>
      <c r="AC12" s="747">
        <f>IF(PT_!AU12="","",+PT_!AU12)</f>
        <v>5</v>
      </c>
      <c r="AD12" s="678">
        <f>IF(PT_!AV12="","",+PT_!AV12)</f>
        <v>115.21</v>
      </c>
      <c r="AE12" s="1005">
        <f>IF(AD12="","",+AD12*IF(ISNUMBER(E12),E12/100,$E$42/100))</f>
        <v>25.576619999999998</v>
      </c>
      <c r="AF12" s="1002">
        <f>IF(AD12="","",ROUND(+AD12*2000/53,-2))</f>
        <v>4300</v>
      </c>
      <c r="AG12" s="1006">
        <f>IF(Q12="","",(0.95*Q12/1000000))</f>
        <v>0.39269294999999993</v>
      </c>
      <c r="AH12" s="1004"/>
      <c r="AI12" s="1002">
        <f>IF($Q12="","",ROUND(+$AG12*8.34*IF(I12=0,$I$42,I12),-1))</f>
        <v>10220</v>
      </c>
      <c r="AJ12" s="1002">
        <f>IF($Q12="","",ROUND(+$AG12*8.34*IF(ISNUMBER(K12),K12,$K$42),-1))</f>
        <v>790</v>
      </c>
      <c r="AK12" s="610">
        <v>2</v>
      </c>
      <c r="AL12" s="648">
        <v>2</v>
      </c>
      <c r="AM12" s="1007">
        <f>IF(CHEM_!AD11="","",+CHEM_!AD11)</f>
        <v>87</v>
      </c>
      <c r="AN12" s="677"/>
      <c r="AO12" s="677"/>
      <c r="AP12" s="615"/>
      <c r="AQ12" s="615"/>
      <c r="AR12" s="630"/>
      <c r="AS12" s="615"/>
      <c r="AT12" s="615"/>
      <c r="AU12" s="648">
        <v>2</v>
      </c>
      <c r="AV12" s="994"/>
      <c r="AW12" s="610"/>
      <c r="AX12" s="611"/>
      <c r="AY12" s="611"/>
      <c r="AZ12" s="611"/>
      <c r="BA12" s="611"/>
      <c r="BB12" s="611"/>
      <c r="BC12" s="611"/>
      <c r="BD12" s="988"/>
      <c r="BI12" s="290"/>
      <c r="BJ12" s="290"/>
      <c r="BK12" s="290"/>
      <c r="BL12" s="290"/>
      <c r="BM12" s="290"/>
      <c r="BN12" s="290"/>
      <c r="BO12" s="290"/>
      <c r="BP12" s="290"/>
      <c r="BQ12" s="290"/>
      <c r="BR12" s="290"/>
      <c r="BS12" s="290"/>
      <c r="CL12" s="1008"/>
    </row>
    <row r="13" spans="1:256" ht="17.100000000000001" customHeight="1">
      <c r="B13" s="610">
        <v>3</v>
      </c>
      <c r="C13" s="690">
        <f>IF(CLA_!DI13="","",+CLA_!DI13)</f>
        <v>1.8</v>
      </c>
      <c r="D13" s="678">
        <f>IF(CLA_!DJ13="","",+CLA_!DJ13)</f>
        <v>70.7</v>
      </c>
      <c r="E13" s="678">
        <f>IF(CLA_!DK13="","",+CLA_!DK13)</f>
        <v>23.9</v>
      </c>
      <c r="F13" s="678">
        <f>IF(CLA_!DL13="","",+CLA_!DL13)</f>
        <v>74.7</v>
      </c>
      <c r="G13" s="1855">
        <f t="shared" si="5"/>
        <v>80</v>
      </c>
      <c r="H13" s="1856">
        <f t="shared" si="3"/>
        <v>0.36388799999999999</v>
      </c>
      <c r="I13" s="677">
        <f>IF(CLA_!DO13="","",+CLA_!DO13)</f>
        <v>3320</v>
      </c>
      <c r="J13" s="678" t="str">
        <f>IF(CLA_!DP13="","",+CLA_!DP13)</f>
        <v/>
      </c>
      <c r="K13" s="747">
        <f>IF(CLA_!DQ13="","",+CLA_!DQ13)</f>
        <v>164</v>
      </c>
      <c r="L13" s="747" t="str">
        <f>IF(CLA_!DR13="","",+CLA_!DR13)</f>
        <v/>
      </c>
      <c r="M13" s="610">
        <v>3</v>
      </c>
      <c r="N13" s="610">
        <v>3</v>
      </c>
      <c r="O13" s="685">
        <f>IF(PT_!AN13="","",+PT_!AN13)</f>
        <v>4</v>
      </c>
      <c r="P13" s="677">
        <f>IF(PT_!AO13="","",+PT_!AO13)</f>
        <v>56</v>
      </c>
      <c r="Q13" s="689">
        <f>IF(PT_!AP13="","",+PT_!AP13)</f>
        <v>268537</v>
      </c>
      <c r="R13" s="680">
        <f t="shared" si="4"/>
        <v>35900.668449197859</v>
      </c>
      <c r="S13" s="678">
        <f>IF(R13="","",IF(ISNUMBER(C13),ROUND(R13*0.63*C13/2000,1),ROUND(+R13*0.63*$C$42/2000,1)))</f>
        <v>20.399999999999999</v>
      </c>
      <c r="T13" s="1740"/>
      <c r="U13" s="1745">
        <f t="shared" si="6"/>
        <v>255110.15</v>
      </c>
      <c r="V13" s="759">
        <f>IF(CHEM_!S12&gt;0,+CHEM_!S12,"")</f>
        <v>170</v>
      </c>
      <c r="W13" s="676">
        <f>IF(X13="","",+X13/P13/60)</f>
        <v>20.937797619047618</v>
      </c>
      <c r="X13" s="1388">
        <f>IF(PT_!AR13="","",+PT_!AR13)</f>
        <v>70351</v>
      </c>
      <c r="Y13" s="1002">
        <f>IF(W13="","",IF(V13=0,"",+V13*$W$6*$W$7))</f>
        <v>604.29899999999998</v>
      </c>
      <c r="Z13" s="1002">
        <f>IF(W13="","",IF(Y13=0,"",+Y13/S13))</f>
        <v>29.622500000000002</v>
      </c>
      <c r="AA13" s="1003">
        <f>IF(W13="","",IF(V13=0,"",ROUND(+X13*$AA$7*$W$7/S13,1)))</f>
        <v>138.19999999999999</v>
      </c>
      <c r="AB13" s="1004">
        <f>IF(ISNUMBER(C13),((C13*10000-I13)/(C13*10000)*100),"")</f>
        <v>81.555555555555557</v>
      </c>
      <c r="AC13" s="747">
        <f>IF(PT_!AU13="","",+PT_!AU13)</f>
        <v>4</v>
      </c>
      <c r="AD13" s="678">
        <f>IF(PT_!AV13="","",+PT_!AV13)</f>
        <v>91.27000000000001</v>
      </c>
      <c r="AE13" s="1005">
        <f>IF(AD13="","",+AD13*IF(ISNUMBER(E13),E13/100,$E$42/100))</f>
        <v>21.81353</v>
      </c>
      <c r="AF13" s="1002">
        <f>IF(AD13="","",ROUND(+AD13*2000/53,-2))</f>
        <v>3400</v>
      </c>
      <c r="AG13" s="1006">
        <f>IF(Q13="","",(0.95*Q13/1000000))</f>
        <v>0.25511014999999998</v>
      </c>
      <c r="AH13" s="1004"/>
      <c r="AI13" s="1002">
        <f>IF($Q13="","",ROUND(+$AG13*8.34*IF(I13=0,$I$42,I13),-1))</f>
        <v>7060</v>
      </c>
      <c r="AJ13" s="1002">
        <f>IF($Q13="","",ROUND(+$AG13*8.34*IF(ISNUMBER(K13),K13,$K$42),-1))</f>
        <v>350</v>
      </c>
      <c r="AK13" s="610">
        <v>3</v>
      </c>
      <c r="AL13" s="648">
        <v>3</v>
      </c>
      <c r="AM13" s="1007">
        <f>IF(CHEM_!AD12="","",+CHEM_!AD12)</f>
        <v>106</v>
      </c>
      <c r="AN13" s="677"/>
      <c r="AO13" s="677"/>
      <c r="AP13" s="615"/>
      <c r="AQ13" s="615"/>
      <c r="AR13" s="630"/>
      <c r="AS13" s="615"/>
      <c r="AT13" s="615" t="s">
        <v>479</v>
      </c>
      <c r="AU13" s="648">
        <v>3</v>
      </c>
      <c r="AV13" s="994"/>
      <c r="AW13" s="777" t="s">
        <v>727</v>
      </c>
      <c r="AX13" s="740"/>
      <c r="AY13" s="740"/>
      <c r="AZ13" s="740"/>
      <c r="BA13" s="740"/>
      <c r="BB13" s="740" t="s">
        <v>735</v>
      </c>
      <c r="BC13" s="740">
        <v>0</v>
      </c>
      <c r="BD13" s="988"/>
      <c r="BI13" s="290"/>
      <c r="BJ13" s="290"/>
      <c r="BK13" s="290"/>
      <c r="BL13" s="290"/>
      <c r="BM13" s="290"/>
      <c r="BN13" s="290"/>
      <c r="BO13" s="290"/>
      <c r="BP13" s="290"/>
      <c r="BQ13" s="290"/>
      <c r="BR13" s="290"/>
      <c r="BS13" s="290"/>
      <c r="CL13" s="1008"/>
    </row>
    <row r="14" spans="1:256" ht="17.100000000000001" customHeight="1">
      <c r="B14" s="610">
        <v>4</v>
      </c>
      <c r="C14" s="690" t="str">
        <f>IF(CLA_!DI14="","",+CLA_!DI14)</f>
        <v/>
      </c>
      <c r="D14" s="678" t="str">
        <f>IF(CLA_!DJ14="","",+CLA_!DJ14)</f>
        <v/>
      </c>
      <c r="E14" s="678" t="str">
        <f>IF(CLA_!DK14="","",+CLA_!DK14)</f>
        <v/>
      </c>
      <c r="F14" s="678" t="str">
        <f>IF(CLA_!DL14="","",+CLA_!DL14)</f>
        <v/>
      </c>
      <c r="G14" s="1855"/>
      <c r="H14" s="1856" t="str">
        <f t="shared" si="3"/>
        <v/>
      </c>
      <c r="I14" s="677" t="str">
        <f>IF(CLA_!DO14="","",+CLA_!DO14)</f>
        <v/>
      </c>
      <c r="J14" s="678" t="str">
        <f>IF(CLA_!DP14="","",+CLA_!DP14)</f>
        <v/>
      </c>
      <c r="K14" s="747" t="str">
        <f>IF(CLA_!DQ14="","",+CLA_!DQ14)</f>
        <v/>
      </c>
      <c r="L14" s="747" t="str">
        <f>IF(CLA_!DR14="","",+CLA_!DR14)</f>
        <v/>
      </c>
      <c r="M14" s="610">
        <v>4</v>
      </c>
      <c r="N14" s="610">
        <v>4</v>
      </c>
      <c r="O14" s="685" t="str">
        <f>IF(PT_!AN14="","",+PT_!AN14)</f>
        <v xml:space="preserve">Shut </v>
      </c>
      <c r="P14" s="677" t="str">
        <f>IF(PT_!AO14="","",+PT_!AO14)</f>
        <v>Down</v>
      </c>
      <c r="Q14" s="689" t="str">
        <f>IF(PT_!AP14="","",+PT_!AP14)</f>
        <v/>
      </c>
      <c r="R14" s="680" t="str">
        <f t="shared" si="4"/>
        <v/>
      </c>
      <c r="S14" s="678" t="str">
        <f t="shared" ref="S14:S39" si="7">IF(R14="","",IF(ISNUMBER(C14),ROUND(R14*0.63*C14/2000,1),ROUND(+R14*0.63*$C$42/2000,1)))</f>
        <v/>
      </c>
      <c r="T14" s="1740"/>
      <c r="U14" s="1745" t="str">
        <f>IF(ISNUMBER(Q14),+Q14*0.95,"")</f>
        <v/>
      </c>
      <c r="V14" s="759" t="str">
        <f>IF(CHEM_!S13&gt;0,+CHEM_!S13,"")</f>
        <v/>
      </c>
      <c r="W14" s="676"/>
      <c r="X14" s="1388"/>
      <c r="Y14" s="1002"/>
      <c r="Z14" s="1002"/>
      <c r="AA14" s="1003"/>
      <c r="AB14" s="1004" t="str">
        <f t="shared" ref="AB14:AB41" si="8">IF(ISNUMBER(C14),((C14*10000-I14)/(C14*10000)*100),"")</f>
        <v/>
      </c>
      <c r="AC14" s="747">
        <f>IF(PT_!AU14="","",+PT_!AU14)</f>
        <v>2</v>
      </c>
      <c r="AD14" s="678">
        <f>IF(PT_!AV14="","",+PT_!AV14)</f>
        <v>41.56</v>
      </c>
      <c r="AE14" s="1005">
        <f t="shared" ref="AE14:AE39" si="9">IF(AD14="","",+AD14*IF(ISNUMBER(E14),E14/100,$E$42/100))</f>
        <v>9.6419200000000007</v>
      </c>
      <c r="AF14" s="1002">
        <f t="shared" ref="AF14:AF39" si="10">IF(AD14="","",ROUND(+AD14*2000/53,-2))</f>
        <v>1600</v>
      </c>
      <c r="AG14" s="1006" t="str">
        <f t="shared" ref="AG14:AG39" si="11">IF(Q14="","",(0.95*Q14/1000000))</f>
        <v/>
      </c>
      <c r="AH14" s="1004"/>
      <c r="AI14" s="1002" t="str">
        <f t="shared" ref="AI14:AI39" si="12">IF($Q14="","",ROUND(+$AG14*8.34*IF(I14=0,$I$42,I14),-1))</f>
        <v/>
      </c>
      <c r="AJ14" s="1002" t="str">
        <f t="shared" ref="AJ14:AJ39" si="13">IF($Q14="","",ROUND(+$AG14*8.34*IF(ISNUMBER(K14),K14,$K$42),-1))</f>
        <v/>
      </c>
      <c r="AK14" s="610">
        <v>4</v>
      </c>
      <c r="AL14" s="648">
        <v>4</v>
      </c>
      <c r="AM14" s="1007">
        <f>IF(CHEM_!AD13="","",+CHEM_!AD13)</f>
        <v>0</v>
      </c>
      <c r="AN14" s="677"/>
      <c r="AO14" s="677"/>
      <c r="AP14" s="615"/>
      <c r="AQ14" s="615"/>
      <c r="AR14" s="630"/>
      <c r="AS14" s="615"/>
      <c r="AT14" s="615"/>
      <c r="AU14" s="648">
        <v>4</v>
      </c>
      <c r="AV14" s="994"/>
      <c r="AW14" s="777" t="s">
        <v>728</v>
      </c>
      <c r="AX14" s="740"/>
      <c r="AY14" s="740"/>
      <c r="AZ14" s="740"/>
      <c r="BA14" s="740"/>
      <c r="BB14" s="740" t="s">
        <v>735</v>
      </c>
      <c r="BC14" s="740">
        <v>0</v>
      </c>
      <c r="BD14" s="988"/>
      <c r="BI14" s="290"/>
      <c r="BJ14" s="290"/>
      <c r="BK14" s="290"/>
      <c r="BL14" s="290"/>
      <c r="BM14" s="290"/>
      <c r="BN14" s="290"/>
      <c r="BO14" s="290"/>
      <c r="BP14" s="290"/>
      <c r="BQ14" s="290"/>
      <c r="BR14" s="290"/>
      <c r="BS14" s="290"/>
      <c r="BZ14" s="1009"/>
    </row>
    <row r="15" spans="1:256" ht="17.100000000000001" customHeight="1">
      <c r="B15" s="610">
        <v>5</v>
      </c>
      <c r="C15" s="690" t="str">
        <f>IF(CLA_!DI15="","",+CLA_!DI15)</f>
        <v/>
      </c>
      <c r="D15" s="678" t="str">
        <f>IF(CLA_!DJ15="","",+CLA_!DJ15)</f>
        <v/>
      </c>
      <c r="E15" s="678" t="str">
        <f>IF(CLA_!DK15="","",+CLA_!DK15)</f>
        <v/>
      </c>
      <c r="F15" s="678" t="str">
        <f>IF(CLA_!DL15="","",+CLA_!DL15)</f>
        <v/>
      </c>
      <c r="G15" s="1855" t="str">
        <f t="shared" si="5"/>
        <v/>
      </c>
      <c r="H15" s="1856" t="str">
        <f t="shared" si="3"/>
        <v/>
      </c>
      <c r="I15" s="677" t="str">
        <f>IF(CLA_!DO15="","",+CLA_!DO15)</f>
        <v/>
      </c>
      <c r="J15" s="678" t="str">
        <f>IF(CLA_!DP15="","",+CLA_!DP15)</f>
        <v/>
      </c>
      <c r="K15" s="747" t="str">
        <f>IF(CLA_!DQ15="","",+CLA_!DQ15)</f>
        <v/>
      </c>
      <c r="L15" s="747" t="str">
        <f>IF(CLA_!DR15="","",+CLA_!DR15)</f>
        <v/>
      </c>
      <c r="M15" s="610">
        <v>5</v>
      </c>
      <c r="N15" s="610">
        <v>5</v>
      </c>
      <c r="O15" s="685" t="str">
        <f>IF(PT_!AN15="","",+PT_!AN15)</f>
        <v/>
      </c>
      <c r="P15" s="677" t="str">
        <f>IF(PT_!AO15="","",+PT_!AO15)</f>
        <v/>
      </c>
      <c r="Q15" s="689" t="str">
        <f>IF(PT_!AP15="","",+PT_!AP15)</f>
        <v/>
      </c>
      <c r="R15" s="680" t="str">
        <f t="shared" si="4"/>
        <v/>
      </c>
      <c r="S15" s="678" t="str">
        <f t="shared" si="7"/>
        <v/>
      </c>
      <c r="T15" s="1740"/>
      <c r="U15" s="1745" t="str">
        <f t="shared" si="6"/>
        <v/>
      </c>
      <c r="V15" s="759" t="str">
        <f>IF(CHEM_!S14&gt;0,+CHEM_!S14,"")</f>
        <v/>
      </c>
      <c r="W15" s="676" t="str">
        <f t="shared" ref="W15:W39" si="14">IF(X15="","",+X15/P15/60)</f>
        <v/>
      </c>
      <c r="X15" s="1388" t="str">
        <f>IF(PT_!AR15="","",+PT_!AR15)</f>
        <v/>
      </c>
      <c r="Y15" s="1002" t="str">
        <f t="shared" ref="Y15:Y39" si="15">IF(W15="","",IF(V15=0,"",+V15*$W$6*$W$7))</f>
        <v/>
      </c>
      <c r="Z15" s="1002" t="str">
        <f t="shared" ref="Z15:Z39" si="16">IF(W15="","",IF(Y15=0,"",+Y15/S15))</f>
        <v/>
      </c>
      <c r="AA15" s="1003" t="str">
        <f t="shared" ref="AA15:AA25" si="17">IF(W15="","",IF(V15=0,"",ROUND(+X15*$AA$7*$W$7/S15,1)))</f>
        <v/>
      </c>
      <c r="AB15" s="1004" t="str">
        <f>IF(ISNUMBER(C15),((C15*10000-I15)/(C15*10000)*100),"")</f>
        <v/>
      </c>
      <c r="AC15" s="747" t="str">
        <f>IF(PT_!AU15="","",+PT_!AU15)</f>
        <v/>
      </c>
      <c r="AD15" s="678" t="str">
        <f>IF(PT_!AV15="","",+PT_!AV15)</f>
        <v/>
      </c>
      <c r="AE15" s="1005" t="str">
        <f t="shared" si="9"/>
        <v/>
      </c>
      <c r="AF15" s="1002" t="str">
        <f t="shared" si="10"/>
        <v/>
      </c>
      <c r="AG15" s="1006" t="str">
        <f t="shared" si="11"/>
        <v/>
      </c>
      <c r="AH15" s="1004"/>
      <c r="AI15" s="1002" t="str">
        <f t="shared" si="12"/>
        <v/>
      </c>
      <c r="AJ15" s="1002" t="str">
        <f t="shared" si="13"/>
        <v/>
      </c>
      <c r="AK15" s="610">
        <v>5</v>
      </c>
      <c r="AL15" s="648">
        <v>5</v>
      </c>
      <c r="AM15" s="1007">
        <f>IF(CHEM_!AD14="","",+CHEM_!AD14)</f>
        <v>0</v>
      </c>
      <c r="AN15" s="677"/>
      <c r="AO15" s="677"/>
      <c r="AP15" s="615"/>
      <c r="AQ15" s="615"/>
      <c r="AR15" s="630"/>
      <c r="AS15" s="615"/>
      <c r="AT15" s="615"/>
      <c r="AU15" s="648">
        <v>5</v>
      </c>
      <c r="AV15" s="994"/>
      <c r="AW15" s="777" t="s">
        <v>729</v>
      </c>
      <c r="AX15" s="740"/>
      <c r="AY15" s="740"/>
      <c r="AZ15" s="740"/>
      <c r="BA15" s="740"/>
      <c r="BB15" s="740" t="s">
        <v>735</v>
      </c>
      <c r="BC15" s="740">
        <f>AE42</f>
        <v>76.099999999999994</v>
      </c>
      <c r="BD15" s="988"/>
      <c r="BI15" s="290"/>
      <c r="BJ15" s="290"/>
      <c r="BK15" s="290"/>
      <c r="BL15" s="290"/>
      <c r="BM15" s="290"/>
      <c r="BN15" s="290"/>
      <c r="BO15" s="290"/>
      <c r="BP15" s="290"/>
      <c r="BQ15" s="290"/>
      <c r="BR15" s="290"/>
      <c r="BS15" s="290"/>
    </row>
    <row r="16" spans="1:256" ht="17.100000000000001" customHeight="1">
      <c r="B16" s="610">
        <v>6</v>
      </c>
      <c r="C16" s="690" t="str">
        <f>IF(CLA_!DI16="","",+CLA_!DI16)</f>
        <v/>
      </c>
      <c r="D16" s="678" t="str">
        <f>IF(CLA_!DJ16="","",+CLA_!DJ16)</f>
        <v/>
      </c>
      <c r="E16" s="678" t="str">
        <f>IF(CLA_!DK16="","",+CLA_!DK16)</f>
        <v/>
      </c>
      <c r="F16" s="678" t="str">
        <f>IF(CLA_!DL16="","",+CLA_!DL16)</f>
        <v/>
      </c>
      <c r="G16" s="1855" t="str">
        <f t="shared" si="5"/>
        <v/>
      </c>
      <c r="H16" s="1856" t="str">
        <f t="shared" si="3"/>
        <v/>
      </c>
      <c r="I16" s="677" t="str">
        <f>IF(CLA_!DO16="","",+CLA_!DO16)</f>
        <v/>
      </c>
      <c r="J16" s="678" t="str">
        <f>IF(CLA_!DP16="","",+CLA_!DP16)</f>
        <v/>
      </c>
      <c r="K16" s="747" t="str">
        <f>IF(CLA_!DQ16="","",+CLA_!DQ16)</f>
        <v/>
      </c>
      <c r="L16" s="747" t="str">
        <f>IF(CLA_!DR16="","",+CLA_!DR16)</f>
        <v/>
      </c>
      <c r="M16" s="610">
        <v>6</v>
      </c>
      <c r="N16" s="610">
        <v>6</v>
      </c>
      <c r="O16" s="685" t="str">
        <f>IF(PT_!AN16="","",+PT_!AN16)</f>
        <v/>
      </c>
      <c r="P16" s="677" t="str">
        <f>IF(PT_!AO16="","",+PT_!AO16)</f>
        <v/>
      </c>
      <c r="Q16" s="689" t="str">
        <f>IF(PT_!AP16="","",+PT_!AP16)</f>
        <v/>
      </c>
      <c r="R16" s="680" t="str">
        <f t="shared" si="4"/>
        <v/>
      </c>
      <c r="S16" s="678" t="str">
        <f>IF(R16="","",IF(ISNUMBER(C16),ROUND(R16*0.63*C16/2000,1),ROUND(+R16*0.63*$C$42/2000,1)))</f>
        <v/>
      </c>
      <c r="T16" s="1740"/>
      <c r="U16" s="1745" t="str">
        <f t="shared" si="6"/>
        <v/>
      </c>
      <c r="V16" s="759" t="str">
        <f>IF(CHEM_!S15&gt;0,+CHEM_!S15,"")</f>
        <v/>
      </c>
      <c r="W16" s="676" t="str">
        <f t="shared" si="14"/>
        <v/>
      </c>
      <c r="X16" s="1388" t="str">
        <f>IF(PT_!AR16="","",+PT_!AR16)</f>
        <v/>
      </c>
      <c r="Y16" s="1002" t="str">
        <f t="shared" si="15"/>
        <v/>
      </c>
      <c r="Z16" s="1002" t="str">
        <f t="shared" si="16"/>
        <v/>
      </c>
      <c r="AA16" s="1003" t="str">
        <f t="shared" si="17"/>
        <v/>
      </c>
      <c r="AB16" s="1004" t="str">
        <f t="shared" si="8"/>
        <v/>
      </c>
      <c r="AC16" s="747" t="str">
        <f>IF(PT_!AU16="","",+PT_!AU16)</f>
        <v/>
      </c>
      <c r="AD16" s="678" t="str">
        <f>IF(PT_!AV16="","",+PT_!AV16)</f>
        <v/>
      </c>
      <c r="AE16" s="1005" t="str">
        <f t="shared" si="9"/>
        <v/>
      </c>
      <c r="AF16" s="1002" t="str">
        <f t="shared" si="10"/>
        <v/>
      </c>
      <c r="AG16" s="1006" t="str">
        <f t="shared" si="11"/>
        <v/>
      </c>
      <c r="AH16" s="1004"/>
      <c r="AI16" s="1002" t="str">
        <f t="shared" si="12"/>
        <v/>
      </c>
      <c r="AJ16" s="1002" t="str">
        <f t="shared" si="13"/>
        <v/>
      </c>
      <c r="AK16" s="610">
        <v>6</v>
      </c>
      <c r="AL16" s="648">
        <v>6</v>
      </c>
      <c r="AM16" s="1007">
        <f>IF(CHEM_!AD15="","",+CHEM_!AD15)</f>
        <v>0</v>
      </c>
      <c r="AN16" s="677"/>
      <c r="AO16" s="677"/>
      <c r="AP16" s="615"/>
      <c r="AQ16" s="615"/>
      <c r="AR16" s="630"/>
      <c r="AS16" s="615"/>
      <c r="AT16" s="615" t="s">
        <v>717</v>
      </c>
      <c r="AU16" s="648">
        <v>6</v>
      </c>
      <c r="AV16" s="994"/>
      <c r="AW16" s="777" t="s">
        <v>730</v>
      </c>
      <c r="AX16" s="740"/>
      <c r="AY16" s="740"/>
      <c r="AZ16" s="740"/>
      <c r="BA16" s="740"/>
      <c r="BB16" s="740" t="s">
        <v>735</v>
      </c>
      <c r="BC16" s="740">
        <f>BC14-BC13+BC15</f>
        <v>76.099999999999994</v>
      </c>
      <c r="BD16" s="988"/>
      <c r="BI16" s="290"/>
      <c r="BJ16" s="290"/>
      <c r="BK16" s="290"/>
      <c r="BL16" s="290"/>
      <c r="BM16" s="290"/>
      <c r="BN16" s="290"/>
      <c r="BO16" s="290"/>
      <c r="BP16" s="290"/>
      <c r="BQ16" s="290"/>
      <c r="BR16" s="290"/>
      <c r="BS16" s="290"/>
    </row>
    <row r="17" spans="2:91" ht="17.100000000000001" customHeight="1">
      <c r="B17" s="610">
        <v>7</v>
      </c>
      <c r="C17" s="690" t="str">
        <f>IF(CLA_!DI17="","",+CLA_!DI17)</f>
        <v/>
      </c>
      <c r="D17" s="678" t="str">
        <f>IF(CLA_!DJ17="","",+CLA_!DJ17)</f>
        <v/>
      </c>
      <c r="E17" s="678" t="str">
        <f>IF(CLA_!DK17="","",+CLA_!DK17)</f>
        <v/>
      </c>
      <c r="F17" s="678" t="str">
        <f>IF(CLA_!DL17="","",+CLA_!DL17)</f>
        <v/>
      </c>
      <c r="G17" s="1855" t="str">
        <f t="shared" si="5"/>
        <v/>
      </c>
      <c r="H17" s="1856" t="str">
        <f t="shared" si="3"/>
        <v/>
      </c>
      <c r="I17" s="677" t="str">
        <f>IF(CLA_!DO17="","",+CLA_!DO17)</f>
        <v/>
      </c>
      <c r="J17" s="678" t="str">
        <f>IF(CLA_!DP17="","",+CLA_!DP17)</f>
        <v/>
      </c>
      <c r="K17" s="747" t="str">
        <f>IF(CLA_!DQ17="","",+CLA_!DQ17)</f>
        <v/>
      </c>
      <c r="L17" s="747" t="str">
        <f>IF(CLA_!DR17="","",+CLA_!DR17)</f>
        <v/>
      </c>
      <c r="M17" s="610">
        <v>7</v>
      </c>
      <c r="N17" s="610">
        <v>7</v>
      </c>
      <c r="O17" s="685" t="str">
        <f>IF(PT_!AN17="","",+PT_!AN17)</f>
        <v/>
      </c>
      <c r="P17" s="677" t="str">
        <f>IF(PT_!AO17="","",+PT_!AO17)</f>
        <v/>
      </c>
      <c r="Q17" s="689" t="str">
        <f>IF(PT_!AP17="","",+PT_!AP17)</f>
        <v/>
      </c>
      <c r="R17" s="680" t="str">
        <f t="shared" si="4"/>
        <v/>
      </c>
      <c r="S17" s="678" t="str">
        <f t="shared" si="7"/>
        <v/>
      </c>
      <c r="T17" s="1740"/>
      <c r="U17" s="1745" t="str">
        <f t="shared" si="6"/>
        <v/>
      </c>
      <c r="V17" s="759" t="str">
        <f>IF(CHEM_!S16&gt;0,+CHEM_!S16,"")</f>
        <v/>
      </c>
      <c r="W17" s="676" t="str">
        <f t="shared" si="14"/>
        <v/>
      </c>
      <c r="X17" s="1388" t="str">
        <f>IF(PT_!AR17="","",+PT_!AR17)</f>
        <v/>
      </c>
      <c r="Y17" s="1002" t="str">
        <f t="shared" si="15"/>
        <v/>
      </c>
      <c r="Z17" s="1002" t="str">
        <f t="shared" si="16"/>
        <v/>
      </c>
      <c r="AA17" s="1003" t="str">
        <f t="shared" si="17"/>
        <v/>
      </c>
      <c r="AB17" s="1004" t="str">
        <f t="shared" si="8"/>
        <v/>
      </c>
      <c r="AC17" s="747" t="str">
        <f>IF(PT_!AU17="","",+PT_!AU17)</f>
        <v/>
      </c>
      <c r="AD17" s="678" t="str">
        <f>IF(PT_!AV17="","",+PT_!AV17)</f>
        <v/>
      </c>
      <c r="AE17" s="1005" t="str">
        <f t="shared" si="9"/>
        <v/>
      </c>
      <c r="AF17" s="1002" t="str">
        <f t="shared" si="10"/>
        <v/>
      </c>
      <c r="AG17" s="1006" t="str">
        <f t="shared" si="11"/>
        <v/>
      </c>
      <c r="AH17" s="1004"/>
      <c r="AI17" s="1002" t="str">
        <f t="shared" si="12"/>
        <v/>
      </c>
      <c r="AJ17" s="1002" t="str">
        <f t="shared" si="13"/>
        <v/>
      </c>
      <c r="AK17" s="610">
        <v>7</v>
      </c>
      <c r="AL17" s="648">
        <v>7</v>
      </c>
      <c r="AM17" s="1007">
        <f>IF(CHEM_!AD16="","",+CHEM_!AD16)</f>
        <v>0</v>
      </c>
      <c r="AN17" s="677"/>
      <c r="AO17" s="677"/>
      <c r="AP17" s="615"/>
      <c r="AQ17" s="615"/>
      <c r="AR17" s="630"/>
      <c r="AS17" s="615"/>
      <c r="AT17" s="615"/>
      <c r="AU17" s="648">
        <v>7</v>
      </c>
      <c r="AV17" s="994"/>
      <c r="AW17" s="777" t="s">
        <v>731</v>
      </c>
      <c r="AX17" s="740"/>
      <c r="AY17" s="740"/>
      <c r="AZ17" s="740"/>
      <c r="BA17" s="740"/>
      <c r="BB17" s="740" t="s">
        <v>735</v>
      </c>
      <c r="BC17" s="1010">
        <f>1-(S42-BC16)/S42</f>
        <v>0.81652360515021449</v>
      </c>
      <c r="BD17" s="988"/>
      <c r="BI17" s="290"/>
      <c r="BJ17" s="290"/>
      <c r="BK17" s="290"/>
      <c r="BL17" s="290"/>
      <c r="BM17" s="290"/>
      <c r="BN17" s="290"/>
      <c r="BO17" s="290"/>
      <c r="BP17" s="290"/>
      <c r="BQ17" s="290"/>
      <c r="BR17" s="290"/>
      <c r="BS17" s="290"/>
    </row>
    <row r="18" spans="2:91" ht="17.100000000000001" customHeight="1">
      <c r="B18" s="610">
        <v>8</v>
      </c>
      <c r="C18" s="690" t="str">
        <f>IF(CLA_!DI18="","",+CLA_!DI18)</f>
        <v/>
      </c>
      <c r="D18" s="678" t="str">
        <f>IF(CLA_!DJ18="","",+CLA_!DJ18)</f>
        <v/>
      </c>
      <c r="E18" s="678" t="str">
        <f>IF(CLA_!DK18="","",+CLA_!DK18)</f>
        <v/>
      </c>
      <c r="F18" s="678" t="str">
        <f>IF(CLA_!DL18="","",+CLA_!DL18)</f>
        <v/>
      </c>
      <c r="G18" s="1855" t="str">
        <f t="shared" si="5"/>
        <v/>
      </c>
      <c r="H18" s="1856" t="str">
        <f t="shared" si="3"/>
        <v/>
      </c>
      <c r="I18" s="677" t="str">
        <f>IF(CLA_!DO18="","",+CLA_!DO18)</f>
        <v/>
      </c>
      <c r="J18" s="678" t="str">
        <f>IF(CLA_!DP18="","",+CLA_!DP18)</f>
        <v/>
      </c>
      <c r="K18" s="747" t="str">
        <f>IF(CLA_!DQ18="","",+CLA_!DQ18)</f>
        <v/>
      </c>
      <c r="L18" s="747" t="str">
        <f>IF(CLA_!DR18="","",+CLA_!DR18)</f>
        <v/>
      </c>
      <c r="M18" s="610">
        <v>8</v>
      </c>
      <c r="N18" s="610">
        <v>8</v>
      </c>
      <c r="O18" s="685" t="str">
        <f>IF(PT_!AN18="","",+PT_!AN18)</f>
        <v/>
      </c>
      <c r="P18" s="677" t="str">
        <f>IF(PT_!AO18="","",+PT_!AO18)</f>
        <v/>
      </c>
      <c r="Q18" s="689" t="str">
        <f>IF(PT_!AP18="","",+PT_!AP18)</f>
        <v/>
      </c>
      <c r="R18" s="680" t="str">
        <f t="shared" si="4"/>
        <v/>
      </c>
      <c r="S18" s="678" t="str">
        <f t="shared" si="7"/>
        <v/>
      </c>
      <c r="T18" s="1740"/>
      <c r="U18" s="1745" t="str">
        <f t="shared" si="6"/>
        <v/>
      </c>
      <c r="V18" s="759" t="str">
        <f>IF(CHEM_!S17&gt;0,+CHEM_!S17,"")</f>
        <v/>
      </c>
      <c r="W18" s="676" t="str">
        <f t="shared" si="14"/>
        <v/>
      </c>
      <c r="X18" s="1388" t="str">
        <f>IF(PT_!AR18="","",+PT_!AR18)</f>
        <v/>
      </c>
      <c r="Y18" s="1002" t="str">
        <f t="shared" si="15"/>
        <v/>
      </c>
      <c r="Z18" s="1002" t="str">
        <f t="shared" si="16"/>
        <v/>
      </c>
      <c r="AA18" s="1003" t="str">
        <f t="shared" si="17"/>
        <v/>
      </c>
      <c r="AB18" s="1004" t="str">
        <f t="shared" si="8"/>
        <v/>
      </c>
      <c r="AC18" s="747" t="str">
        <f>IF(PT_!AU18="","",+PT_!AU18)</f>
        <v/>
      </c>
      <c r="AD18" s="678" t="str">
        <f>IF(PT_!AV18="","",+PT_!AV18)</f>
        <v/>
      </c>
      <c r="AE18" s="1005" t="str">
        <f t="shared" si="9"/>
        <v/>
      </c>
      <c r="AF18" s="1002" t="str">
        <f t="shared" si="10"/>
        <v/>
      </c>
      <c r="AG18" s="1006" t="str">
        <f t="shared" si="11"/>
        <v/>
      </c>
      <c r="AH18" s="1004"/>
      <c r="AI18" s="1002" t="str">
        <f t="shared" si="12"/>
        <v/>
      </c>
      <c r="AJ18" s="1002" t="str">
        <f t="shared" si="13"/>
        <v/>
      </c>
      <c r="AK18" s="610">
        <v>8</v>
      </c>
      <c r="AL18" s="648">
        <v>8</v>
      </c>
      <c r="AM18" s="1007">
        <f>IF(CHEM_!AD17="","",+CHEM_!AD17)</f>
        <v>0</v>
      </c>
      <c r="AN18" s="677"/>
      <c r="AO18" s="677"/>
      <c r="AP18" s="615"/>
      <c r="AQ18" s="615"/>
      <c r="AR18" s="630"/>
      <c r="AS18" s="615"/>
      <c r="AT18" s="615" t="s">
        <v>475</v>
      </c>
      <c r="AU18" s="648">
        <v>8</v>
      </c>
      <c r="AV18" s="994"/>
      <c r="AW18" s="777"/>
      <c r="AX18" s="740"/>
      <c r="AY18" s="740"/>
      <c r="AZ18" s="740"/>
      <c r="BA18" s="740"/>
      <c r="BB18" s="740"/>
      <c r="BC18" s="740"/>
      <c r="BD18" s="988"/>
      <c r="BI18" s="290"/>
      <c r="BJ18" s="290"/>
      <c r="BK18" s="290"/>
      <c r="BL18" s="290"/>
      <c r="BM18" s="290"/>
      <c r="BN18" s="290"/>
      <c r="BO18" s="290"/>
      <c r="BP18" s="290"/>
      <c r="BQ18" s="290"/>
      <c r="BR18" s="290"/>
      <c r="BS18" s="290"/>
    </row>
    <row r="19" spans="2:91" ht="17.100000000000001" customHeight="1">
      <c r="B19" s="610">
        <v>9</v>
      </c>
      <c r="C19" s="690" t="str">
        <f>IF(CLA_!DI19="","",+CLA_!DI19)</f>
        <v/>
      </c>
      <c r="D19" s="678" t="str">
        <f>IF(CLA_!DJ19="","",+CLA_!DJ19)</f>
        <v/>
      </c>
      <c r="E19" s="678" t="str">
        <f>IF(CLA_!DK19="","",+CLA_!DK19)</f>
        <v/>
      </c>
      <c r="F19" s="678" t="str">
        <f>IF(CLA_!DL19="","",+CLA_!DL19)</f>
        <v/>
      </c>
      <c r="G19" s="1855" t="str">
        <f t="shared" si="5"/>
        <v/>
      </c>
      <c r="H19" s="1856" t="str">
        <f t="shared" si="3"/>
        <v/>
      </c>
      <c r="I19" s="677" t="str">
        <f>IF(CLA_!DO19="","",+CLA_!DO19)</f>
        <v/>
      </c>
      <c r="J19" s="678" t="str">
        <f>IF(CLA_!DP19="","",+CLA_!DP19)</f>
        <v/>
      </c>
      <c r="K19" s="747" t="str">
        <f>IF(CLA_!DQ19="","",+CLA_!DQ19)</f>
        <v/>
      </c>
      <c r="L19" s="747" t="str">
        <f>IF(CLA_!DR19="","",+CLA_!DR19)</f>
        <v/>
      </c>
      <c r="M19" s="610">
        <v>9</v>
      </c>
      <c r="N19" s="610">
        <v>9</v>
      </c>
      <c r="O19" s="685" t="str">
        <f>IF(PT_!AN19="","",+PT_!AN19)</f>
        <v/>
      </c>
      <c r="P19" s="677" t="str">
        <f>IF(PT_!AO19="","",+PT_!AO19)</f>
        <v/>
      </c>
      <c r="Q19" s="689" t="str">
        <f>IF(PT_!AP19="","",+PT_!AP19)</f>
        <v/>
      </c>
      <c r="R19" s="680" t="str">
        <f t="shared" si="4"/>
        <v/>
      </c>
      <c r="S19" s="678" t="str">
        <f t="shared" si="7"/>
        <v/>
      </c>
      <c r="T19" s="1740"/>
      <c r="U19" s="1745" t="str">
        <f t="shared" si="6"/>
        <v/>
      </c>
      <c r="V19" s="759" t="str">
        <f>IF(CHEM_!S18&gt;0,+CHEM_!S18,"")</f>
        <v/>
      </c>
      <c r="W19" s="676" t="str">
        <f t="shared" si="14"/>
        <v/>
      </c>
      <c r="X19" s="1388" t="str">
        <f>IF(PT_!AR19="","",+PT_!AR19)</f>
        <v/>
      </c>
      <c r="Y19" s="1002" t="str">
        <f t="shared" si="15"/>
        <v/>
      </c>
      <c r="Z19" s="1002" t="str">
        <f t="shared" si="16"/>
        <v/>
      </c>
      <c r="AA19" s="1003" t="str">
        <f t="shared" si="17"/>
        <v/>
      </c>
      <c r="AB19" s="1004" t="str">
        <f t="shared" si="8"/>
        <v/>
      </c>
      <c r="AC19" s="747" t="str">
        <f>IF(PT_!AU19="","",+PT_!AU19)</f>
        <v/>
      </c>
      <c r="AD19" s="678" t="str">
        <f>IF(PT_!AV19="","",+PT_!AV19)</f>
        <v/>
      </c>
      <c r="AE19" s="1005" t="str">
        <f t="shared" si="9"/>
        <v/>
      </c>
      <c r="AF19" s="1002" t="str">
        <f t="shared" si="10"/>
        <v/>
      </c>
      <c r="AG19" s="1006" t="str">
        <f t="shared" si="11"/>
        <v/>
      </c>
      <c r="AH19" s="1004"/>
      <c r="AI19" s="1002" t="str">
        <f t="shared" si="12"/>
        <v/>
      </c>
      <c r="AJ19" s="1002" t="str">
        <f t="shared" si="13"/>
        <v/>
      </c>
      <c r="AK19" s="610">
        <v>9</v>
      </c>
      <c r="AL19" s="648">
        <v>9</v>
      </c>
      <c r="AM19" s="1007">
        <f>IF(CHEM_!AD18="","",+CHEM_!AD18)</f>
        <v>0</v>
      </c>
      <c r="AN19" s="677"/>
      <c r="AO19" s="677"/>
      <c r="AP19" s="615"/>
      <c r="AQ19" s="615"/>
      <c r="AR19" s="630"/>
      <c r="AS19" s="615"/>
      <c r="AT19" s="615"/>
      <c r="AU19" s="648">
        <v>9</v>
      </c>
      <c r="AV19" s="994"/>
      <c r="AW19" s="777" t="s">
        <v>732</v>
      </c>
      <c r="AX19" s="740"/>
      <c r="AY19" s="740"/>
      <c r="AZ19" s="740"/>
      <c r="BA19" s="740"/>
      <c r="BB19" s="740"/>
      <c r="BC19" s="740"/>
      <c r="BD19" s="988"/>
      <c r="BI19" s="290"/>
      <c r="BJ19" s="290"/>
      <c r="BK19" s="290"/>
      <c r="BL19" s="290"/>
      <c r="BM19" s="290"/>
      <c r="BN19" s="290"/>
      <c r="BO19" s="290"/>
      <c r="BP19" s="290"/>
      <c r="BQ19" s="290"/>
      <c r="BR19" s="290"/>
      <c r="BS19" s="290"/>
    </row>
    <row r="20" spans="2:91" ht="17.100000000000001" customHeight="1" thickBot="1">
      <c r="B20" s="610">
        <v>10</v>
      </c>
      <c r="C20" s="690" t="str">
        <f>IF(CLA_!DI20="","",+CLA_!DI20)</f>
        <v/>
      </c>
      <c r="D20" s="678" t="str">
        <f>IF(CLA_!DJ20="","",+CLA_!DJ20)</f>
        <v/>
      </c>
      <c r="E20" s="678" t="str">
        <f>IF(CLA_!DK20="","",+CLA_!DK20)</f>
        <v/>
      </c>
      <c r="F20" s="678" t="str">
        <f>IF(CLA_!DL20="","",+CLA_!DL20)</f>
        <v/>
      </c>
      <c r="G20" s="1855" t="str">
        <f t="shared" si="5"/>
        <v/>
      </c>
      <c r="H20" s="1856" t="str">
        <f t="shared" si="3"/>
        <v/>
      </c>
      <c r="I20" s="677" t="str">
        <f>IF(CLA_!DO20="","",+CLA_!DO20)</f>
        <v/>
      </c>
      <c r="J20" s="678" t="str">
        <f>IF(CLA_!DP20="","",+CLA_!DP20)</f>
        <v/>
      </c>
      <c r="K20" s="747" t="str">
        <f>IF(CLA_!DQ20="","",+CLA_!DQ20)</f>
        <v/>
      </c>
      <c r="L20" s="747" t="str">
        <f>IF(CLA_!DR20="","",+CLA_!DR20)</f>
        <v/>
      </c>
      <c r="M20" s="610">
        <v>10</v>
      </c>
      <c r="N20" s="610">
        <v>10</v>
      </c>
      <c r="O20" s="685" t="str">
        <f>IF(PT_!AN20="","",+PT_!AN20)</f>
        <v/>
      </c>
      <c r="P20" s="677" t="str">
        <f>IF(PT_!AO20="","",+PT_!AO20)</f>
        <v/>
      </c>
      <c r="Q20" s="689" t="str">
        <f>IF(PT_!AP20="","",+PT_!AP20)</f>
        <v/>
      </c>
      <c r="R20" s="680" t="str">
        <f>IF(Q20="","",+Q20/7.48)</f>
        <v/>
      </c>
      <c r="S20" s="678" t="str">
        <f>IF(R20="","",IF(ISNUMBER(C20),ROUND(R20*0.63*C20/2000,1),ROUND(+R20*0.63*$C$42/2000,1)))</f>
        <v/>
      </c>
      <c r="T20" s="1740"/>
      <c r="U20" s="1745" t="str">
        <f t="shared" si="6"/>
        <v/>
      </c>
      <c r="V20" s="759" t="str">
        <f>IF(CHEM_!S19&gt;0,+CHEM_!S19,"")</f>
        <v/>
      </c>
      <c r="W20" s="676" t="str">
        <f t="shared" si="14"/>
        <v/>
      </c>
      <c r="X20" s="1388" t="str">
        <f>IF(PT_!AR20="","",+PT_!AR20)</f>
        <v/>
      </c>
      <c r="Y20" s="1002" t="str">
        <f t="shared" si="15"/>
        <v/>
      </c>
      <c r="Z20" s="1002" t="str">
        <f t="shared" si="16"/>
        <v/>
      </c>
      <c r="AA20" s="1003" t="str">
        <f t="shared" si="17"/>
        <v/>
      </c>
      <c r="AB20" s="1004" t="str">
        <f t="shared" si="8"/>
        <v/>
      </c>
      <c r="AC20" s="747" t="str">
        <f>IF(PT_!AU20="","",+PT_!AU20)</f>
        <v/>
      </c>
      <c r="AD20" s="678" t="str">
        <f>IF(PT_!AV20="","",+PT_!AV20)</f>
        <v/>
      </c>
      <c r="AE20" s="1005" t="str">
        <f t="shared" si="9"/>
        <v/>
      </c>
      <c r="AF20" s="1002" t="str">
        <f t="shared" si="10"/>
        <v/>
      </c>
      <c r="AG20" s="1006" t="str">
        <f t="shared" si="11"/>
        <v/>
      </c>
      <c r="AH20" s="1004"/>
      <c r="AI20" s="1002" t="str">
        <f t="shared" si="12"/>
        <v/>
      </c>
      <c r="AJ20" s="1002" t="str">
        <f t="shared" si="13"/>
        <v/>
      </c>
      <c r="AK20" s="610">
        <v>10</v>
      </c>
      <c r="AL20" s="648">
        <v>10</v>
      </c>
      <c r="AM20" s="1007">
        <f>IF(CHEM_!AD19="","",+CHEM_!AD19)</f>
        <v>0</v>
      </c>
      <c r="AN20" s="677"/>
      <c r="AO20" s="677"/>
      <c r="AP20" s="615"/>
      <c r="AQ20" s="615"/>
      <c r="AR20" s="630"/>
      <c r="AS20" s="615"/>
      <c r="AT20" s="615" t="s">
        <v>474</v>
      </c>
      <c r="AU20" s="648">
        <v>10</v>
      </c>
      <c r="AV20" s="994"/>
      <c r="AW20" s="777" t="s">
        <v>733</v>
      </c>
      <c r="AX20" s="740"/>
      <c r="AY20" s="740"/>
      <c r="AZ20" s="740"/>
      <c r="BA20" s="740"/>
      <c r="BB20" s="740"/>
      <c r="BC20" s="740"/>
      <c r="BD20" s="988"/>
      <c r="BI20" s="290"/>
      <c r="BJ20" s="290"/>
      <c r="BK20" s="290"/>
      <c r="BL20" s="290"/>
      <c r="BM20" s="290"/>
      <c r="BN20" s="290"/>
      <c r="BO20" s="290"/>
      <c r="BP20" s="290"/>
      <c r="BQ20" s="290"/>
      <c r="BR20" s="290"/>
      <c r="BS20" s="290"/>
      <c r="CL20" s="1008"/>
      <c r="CM20" s="1008"/>
    </row>
    <row r="21" spans="2:91" ht="17.100000000000001" customHeight="1">
      <c r="B21" s="610">
        <v>11</v>
      </c>
      <c r="C21" s="690" t="str">
        <f>IF(CLA_!DI21="","",+CLA_!DI21)</f>
        <v/>
      </c>
      <c r="D21" s="678" t="str">
        <f>IF(CLA_!DJ21="","",+CLA_!DJ21)</f>
        <v/>
      </c>
      <c r="E21" s="678" t="str">
        <f>IF(CLA_!DK21="","",+CLA_!DK21)</f>
        <v/>
      </c>
      <c r="F21" s="678" t="str">
        <f>IF(CLA_!DL21="","",+CLA_!DL21)</f>
        <v/>
      </c>
      <c r="G21" s="1855" t="str">
        <f t="shared" si="5"/>
        <v/>
      </c>
      <c r="H21" s="1856" t="str">
        <f t="shared" si="3"/>
        <v/>
      </c>
      <c r="I21" s="677" t="str">
        <f>IF(CLA_!DO21="","",+CLA_!DO21)</f>
        <v/>
      </c>
      <c r="J21" s="678" t="str">
        <f>IF(CLA_!DP21="","",+CLA_!DP21)</f>
        <v/>
      </c>
      <c r="K21" s="747" t="str">
        <f>IF(CLA_!DQ21="","",+CLA_!DQ21)</f>
        <v/>
      </c>
      <c r="L21" s="747" t="str">
        <f>IF(CLA_!DR21="","",+CLA_!DR21)</f>
        <v/>
      </c>
      <c r="M21" s="610">
        <v>11</v>
      </c>
      <c r="N21" s="610">
        <v>11</v>
      </c>
      <c r="O21" s="685" t="str">
        <f>IF(PT_!AN21="","",+PT_!AN21)</f>
        <v/>
      </c>
      <c r="P21" s="677" t="str">
        <f>IF(PT_!AO21="","",+PT_!AO21)</f>
        <v/>
      </c>
      <c r="Q21" s="689" t="str">
        <f>IF(PT_!AP21="","",+PT_!AP21)</f>
        <v/>
      </c>
      <c r="R21" s="680" t="str">
        <f t="shared" si="4"/>
        <v/>
      </c>
      <c r="S21" s="678" t="str">
        <f t="shared" si="7"/>
        <v/>
      </c>
      <c r="T21" s="1740"/>
      <c r="U21" s="1745" t="str">
        <f t="shared" si="6"/>
        <v/>
      </c>
      <c r="V21" s="759" t="str">
        <f>IF(CHEM_!S20&gt;0,+CHEM_!S20,"")</f>
        <v/>
      </c>
      <c r="W21" s="676" t="str">
        <f t="shared" si="14"/>
        <v/>
      </c>
      <c r="X21" s="1388" t="str">
        <f>IF(PT_!AR21="","",+PT_!AR21)</f>
        <v/>
      </c>
      <c r="Y21" s="1002" t="str">
        <f t="shared" si="15"/>
        <v/>
      </c>
      <c r="Z21" s="1002" t="str">
        <f t="shared" si="16"/>
        <v/>
      </c>
      <c r="AA21" s="1003" t="str">
        <f t="shared" si="17"/>
        <v/>
      </c>
      <c r="AB21" s="1004" t="str">
        <f t="shared" si="8"/>
        <v/>
      </c>
      <c r="AC21" s="747" t="str">
        <f>IF(PT_!AU21="","",+PT_!AU21)</f>
        <v/>
      </c>
      <c r="AD21" s="678" t="str">
        <f>IF(PT_!AV21="","",+PT_!AV21)</f>
        <v/>
      </c>
      <c r="AE21" s="1005" t="str">
        <f t="shared" si="9"/>
        <v/>
      </c>
      <c r="AF21" s="1002" t="str">
        <f t="shared" si="10"/>
        <v/>
      </c>
      <c r="AG21" s="1006" t="str">
        <f t="shared" si="11"/>
        <v/>
      </c>
      <c r="AH21" s="1004"/>
      <c r="AI21" s="1002" t="str">
        <f t="shared" si="12"/>
        <v/>
      </c>
      <c r="AJ21" s="1002" t="str">
        <f t="shared" si="13"/>
        <v/>
      </c>
      <c r="AK21" s="610">
        <v>11</v>
      </c>
      <c r="AL21" s="648">
        <v>11</v>
      </c>
      <c r="AM21" s="1007">
        <f>IF(CHEM_!AD20="","",+CHEM_!AD20)</f>
        <v>0</v>
      </c>
      <c r="AN21" s="1011"/>
      <c r="AO21" s="1011"/>
      <c r="AP21" s="615"/>
      <c r="AQ21" s="615"/>
      <c r="AR21" s="630"/>
      <c r="AS21" s="615"/>
      <c r="AT21" s="615"/>
      <c r="AU21" s="648">
        <v>11</v>
      </c>
      <c r="AV21" s="994"/>
      <c r="AW21" s="987"/>
      <c r="AX21" s="987"/>
      <c r="AY21" s="987"/>
      <c r="AZ21" s="987"/>
      <c r="BA21" s="987"/>
      <c r="BB21" s="987"/>
      <c r="BC21" s="987"/>
      <c r="BD21" s="988"/>
      <c r="BI21" s="290"/>
      <c r="BJ21" s="290"/>
      <c r="BK21" s="290"/>
      <c r="BL21" s="290"/>
      <c r="BM21" s="290"/>
      <c r="BN21" s="290"/>
      <c r="BO21" s="290"/>
      <c r="BP21" s="290"/>
      <c r="BQ21" s="290"/>
      <c r="BR21" s="290"/>
      <c r="BS21" s="290"/>
      <c r="CL21" s="1012"/>
      <c r="CM21" s="1012"/>
    </row>
    <row r="22" spans="2:91" ht="17.100000000000001" customHeight="1">
      <c r="B22" s="610">
        <v>12</v>
      </c>
      <c r="C22" s="690" t="str">
        <f>IF(CLA_!DI22="","",+CLA_!DI22)</f>
        <v/>
      </c>
      <c r="D22" s="678" t="str">
        <f>IF(CLA_!DJ22="","",+CLA_!DJ22)</f>
        <v/>
      </c>
      <c r="E22" s="678" t="str">
        <f>IF(CLA_!DK22="","",+CLA_!DK22)</f>
        <v/>
      </c>
      <c r="F22" s="678" t="str">
        <f>IF(CLA_!DL22="","",+CLA_!DL22)</f>
        <v/>
      </c>
      <c r="G22" s="1855" t="str">
        <f t="shared" si="5"/>
        <v/>
      </c>
      <c r="H22" s="1856" t="str">
        <f t="shared" si="3"/>
        <v/>
      </c>
      <c r="I22" s="677" t="str">
        <f>IF(CLA_!DO22="","",+CLA_!DO22)</f>
        <v/>
      </c>
      <c r="J22" s="678" t="str">
        <f>IF(CLA_!DP22="","",+CLA_!DP22)</f>
        <v/>
      </c>
      <c r="K22" s="747" t="str">
        <f>IF(CLA_!DQ22="","",+CLA_!DQ22)</f>
        <v/>
      </c>
      <c r="L22" s="747" t="str">
        <f>IF(CLA_!DR22="","",+CLA_!DR22)</f>
        <v/>
      </c>
      <c r="M22" s="610">
        <v>12</v>
      </c>
      <c r="N22" s="610">
        <v>12</v>
      </c>
      <c r="O22" s="685" t="str">
        <f>IF(PT_!AN22="","",+PT_!AN22)</f>
        <v/>
      </c>
      <c r="P22" s="677" t="str">
        <f>IF(PT_!AO22="","",+PT_!AO22)</f>
        <v/>
      </c>
      <c r="Q22" s="689" t="str">
        <f>IF(PT_!AP22="","",+PT_!AP22)</f>
        <v/>
      </c>
      <c r="R22" s="680" t="str">
        <f t="shared" si="4"/>
        <v/>
      </c>
      <c r="S22" s="678" t="str">
        <f t="shared" si="7"/>
        <v/>
      </c>
      <c r="T22" s="1740"/>
      <c r="U22" s="1745" t="str">
        <f t="shared" si="6"/>
        <v/>
      </c>
      <c r="V22" s="759" t="str">
        <f>IF(CHEM_!S21&gt;0,+CHEM_!S21,"")</f>
        <v/>
      </c>
      <c r="W22" s="676" t="str">
        <f t="shared" si="14"/>
        <v/>
      </c>
      <c r="X22" s="1388" t="str">
        <f>IF(PT_!AR22="","",+PT_!AR22)</f>
        <v/>
      </c>
      <c r="Y22" s="1002" t="str">
        <f t="shared" si="15"/>
        <v/>
      </c>
      <c r="Z22" s="1002" t="str">
        <f t="shared" si="16"/>
        <v/>
      </c>
      <c r="AA22" s="1003" t="str">
        <f t="shared" si="17"/>
        <v/>
      </c>
      <c r="AB22" s="1004" t="str">
        <f t="shared" si="8"/>
        <v/>
      </c>
      <c r="AC22" s="747">
        <f>IF(PT_!AU22="","",+PT_!AU22)</f>
        <v>1</v>
      </c>
      <c r="AD22" s="678">
        <f>IF(PT_!AV22="","",+PT_!AV22)</f>
        <v>17</v>
      </c>
      <c r="AE22" s="1005">
        <f t="shared" si="9"/>
        <v>3.944</v>
      </c>
      <c r="AF22" s="1002">
        <f t="shared" si="10"/>
        <v>600</v>
      </c>
      <c r="AG22" s="1006" t="str">
        <f t="shared" si="11"/>
        <v/>
      </c>
      <c r="AH22" s="1004"/>
      <c r="AI22" s="1002" t="str">
        <f t="shared" si="12"/>
        <v/>
      </c>
      <c r="AJ22" s="1002" t="str">
        <f t="shared" si="13"/>
        <v/>
      </c>
      <c r="AK22" s="610">
        <v>12</v>
      </c>
      <c r="AL22" s="648">
        <v>12</v>
      </c>
      <c r="AM22" s="1007">
        <f>IF(CHEM_!AD21="","",+CHEM_!AD21)</f>
        <v>0</v>
      </c>
      <c r="AN22" s="677"/>
      <c r="AO22" s="677"/>
      <c r="AP22" s="615"/>
      <c r="AQ22" s="615"/>
      <c r="AR22" s="630"/>
      <c r="AS22" s="615"/>
      <c r="AT22" s="615" t="s">
        <v>475</v>
      </c>
      <c r="AU22" s="648">
        <v>12</v>
      </c>
      <c r="AV22" s="994"/>
      <c r="AW22" s="995"/>
      <c r="AX22" s="995"/>
      <c r="AY22" s="995"/>
      <c r="AZ22" s="995"/>
      <c r="BA22" s="995"/>
      <c r="BB22" s="995"/>
      <c r="BC22" s="995"/>
      <c r="BD22" s="988"/>
      <c r="BI22" s="290"/>
      <c r="BJ22" s="290"/>
      <c r="BK22" s="290"/>
      <c r="BL22" s="290"/>
      <c r="BM22" s="290"/>
      <c r="BN22" s="290"/>
      <c r="BO22" s="290"/>
      <c r="BP22" s="290"/>
      <c r="BQ22" s="290"/>
      <c r="BR22" s="290"/>
      <c r="BS22" s="290"/>
      <c r="CM22" s="1008"/>
    </row>
    <row r="23" spans="2:91" ht="17.100000000000001" customHeight="1">
      <c r="B23" s="610">
        <v>13</v>
      </c>
      <c r="C23" s="690" t="str">
        <f>IF(CLA_!DI23="","",+CLA_!DI23)</f>
        <v/>
      </c>
      <c r="D23" s="678" t="str">
        <f>IF(CLA_!DJ23="","",+CLA_!DJ23)</f>
        <v/>
      </c>
      <c r="E23" s="678" t="str">
        <f>IF(CLA_!DK23="","",+CLA_!DK23)</f>
        <v/>
      </c>
      <c r="F23" s="678" t="str">
        <f>IF(CLA_!DL23="","",+CLA_!DL23)</f>
        <v/>
      </c>
      <c r="G23" s="1855" t="str">
        <f t="shared" si="5"/>
        <v/>
      </c>
      <c r="H23" s="1856" t="str">
        <f t="shared" si="3"/>
        <v/>
      </c>
      <c r="I23" s="677" t="str">
        <f>IF(CLA_!DO23="","",+CLA_!DO23)</f>
        <v/>
      </c>
      <c r="J23" s="678" t="str">
        <f>IF(CLA_!DP23="","",+CLA_!DP23)</f>
        <v/>
      </c>
      <c r="K23" s="747" t="str">
        <f>IF(CLA_!DQ23="","",+CLA_!DQ23)</f>
        <v/>
      </c>
      <c r="L23" s="747" t="str">
        <f>IF(CLA_!DR23="","",+CLA_!DR23)</f>
        <v/>
      </c>
      <c r="M23" s="610">
        <v>13</v>
      </c>
      <c r="N23" s="610">
        <v>13</v>
      </c>
      <c r="O23" s="685" t="str">
        <f>IF(PT_!AN23="","",+PT_!AN23)</f>
        <v/>
      </c>
      <c r="P23" s="677" t="str">
        <f>IF(PT_!AO23="","",+PT_!AO23)</f>
        <v/>
      </c>
      <c r="Q23" s="689" t="str">
        <f>IF(PT_!AP23="","",+PT_!AP23)</f>
        <v/>
      </c>
      <c r="R23" s="680" t="str">
        <f t="shared" si="4"/>
        <v/>
      </c>
      <c r="S23" s="678" t="str">
        <f t="shared" si="7"/>
        <v/>
      </c>
      <c r="T23" s="1740"/>
      <c r="U23" s="1745" t="str">
        <f t="shared" si="6"/>
        <v/>
      </c>
      <c r="V23" s="759" t="str">
        <f>IF(CHEM_!S22&gt;0,+CHEM_!S22,"")</f>
        <v/>
      </c>
      <c r="W23" s="676" t="str">
        <f t="shared" si="14"/>
        <v/>
      </c>
      <c r="X23" s="1388" t="str">
        <f>IF(PT_!AR23="","",+PT_!AR23)</f>
        <v/>
      </c>
      <c r="Y23" s="1002" t="str">
        <f t="shared" si="15"/>
        <v/>
      </c>
      <c r="Z23" s="1002" t="str">
        <f t="shared" si="16"/>
        <v/>
      </c>
      <c r="AA23" s="1003" t="str">
        <f t="shared" si="17"/>
        <v/>
      </c>
      <c r="AB23" s="1004" t="str">
        <f t="shared" si="8"/>
        <v/>
      </c>
      <c r="AC23" s="747" t="str">
        <f>IF(PT_!AU23="","",+PT_!AU23)</f>
        <v/>
      </c>
      <c r="AD23" s="678" t="str">
        <f>IF(PT_!AV23="","",+PT_!AV23)</f>
        <v/>
      </c>
      <c r="AE23" s="1005" t="str">
        <f t="shared" si="9"/>
        <v/>
      </c>
      <c r="AF23" s="1002" t="str">
        <f t="shared" si="10"/>
        <v/>
      </c>
      <c r="AG23" s="1006" t="str">
        <f t="shared" si="11"/>
        <v/>
      </c>
      <c r="AH23" s="1004"/>
      <c r="AI23" s="1002" t="str">
        <f t="shared" si="12"/>
        <v/>
      </c>
      <c r="AJ23" s="1002" t="str">
        <f t="shared" si="13"/>
        <v/>
      </c>
      <c r="AK23" s="610">
        <v>13</v>
      </c>
      <c r="AL23" s="648">
        <v>13</v>
      </c>
      <c r="AM23" s="1007">
        <f>IF(CHEM_!AD22="","",+CHEM_!AD22)</f>
        <v>0</v>
      </c>
      <c r="AN23" s="677"/>
      <c r="AO23" s="677"/>
      <c r="AP23" s="615"/>
      <c r="AQ23" s="615"/>
      <c r="AR23" s="630"/>
      <c r="AS23" s="615"/>
      <c r="AT23" s="615"/>
      <c r="AU23" s="648">
        <v>13</v>
      </c>
      <c r="AV23" s="994"/>
      <c r="AW23" s="995"/>
      <c r="AX23" s="995"/>
      <c r="AY23" s="995"/>
      <c r="AZ23" s="995"/>
      <c r="BA23" s="995"/>
      <c r="BB23" s="995"/>
      <c r="BC23" s="995"/>
      <c r="BD23" s="988"/>
      <c r="BI23" s="290"/>
      <c r="BJ23" s="290"/>
      <c r="BK23" s="290"/>
      <c r="BL23" s="290"/>
      <c r="BM23" s="290"/>
      <c r="BN23" s="290"/>
      <c r="BO23" s="290"/>
      <c r="BP23" s="290"/>
      <c r="BQ23" s="290"/>
      <c r="BR23" s="290"/>
      <c r="BS23" s="290"/>
      <c r="CL23" s="1008"/>
      <c r="CM23" s="1008"/>
    </row>
    <row r="24" spans="2:91" ht="17.100000000000001" customHeight="1">
      <c r="B24" s="610">
        <v>14</v>
      </c>
      <c r="C24" s="690" t="str">
        <f>IF(CLA_!DI24="","",+CLA_!DI24)</f>
        <v/>
      </c>
      <c r="D24" s="678" t="str">
        <f>IF(CLA_!DJ24="","",+CLA_!DJ24)</f>
        <v/>
      </c>
      <c r="E24" s="678" t="str">
        <f>IF(CLA_!DK24="","",+CLA_!DK24)</f>
        <v/>
      </c>
      <c r="F24" s="678" t="str">
        <f>IF(CLA_!DL24="","",+CLA_!DL24)</f>
        <v/>
      </c>
      <c r="G24" s="1855" t="str">
        <f t="shared" si="5"/>
        <v/>
      </c>
      <c r="H24" s="1856" t="str">
        <f t="shared" si="3"/>
        <v/>
      </c>
      <c r="I24" s="677" t="str">
        <f>IF(CLA_!DO24="","",+CLA_!DO24)</f>
        <v/>
      </c>
      <c r="J24" s="678" t="str">
        <f>IF(CLA_!DP24="","",+CLA_!DP24)</f>
        <v/>
      </c>
      <c r="K24" s="747" t="str">
        <f>IF(CLA_!DQ24="","",+CLA_!DQ24)</f>
        <v/>
      </c>
      <c r="L24" s="747" t="str">
        <f>IF(CLA_!DR24="","",+CLA_!DR24)</f>
        <v/>
      </c>
      <c r="M24" s="610">
        <v>14</v>
      </c>
      <c r="N24" s="610">
        <v>14</v>
      </c>
      <c r="O24" s="685" t="str">
        <f>IF(PT_!AN24="","",+PT_!AN24)</f>
        <v/>
      </c>
      <c r="P24" s="677" t="str">
        <f>IF(PT_!AO24="","",+PT_!AO24)</f>
        <v/>
      </c>
      <c r="Q24" s="689" t="str">
        <f>IF(PT_!AP24="","",+PT_!AP24)</f>
        <v/>
      </c>
      <c r="R24" s="680" t="str">
        <f t="shared" si="4"/>
        <v/>
      </c>
      <c r="S24" s="678" t="str">
        <f t="shared" si="7"/>
        <v/>
      </c>
      <c r="T24" s="1740"/>
      <c r="U24" s="1745" t="str">
        <f t="shared" si="6"/>
        <v/>
      </c>
      <c r="V24" s="759" t="str">
        <f>IF(CHEM_!S23&gt;0,+CHEM_!S23,"")</f>
        <v/>
      </c>
      <c r="W24" s="676" t="str">
        <f>IF(X24="","",+X24/P24/60)</f>
        <v/>
      </c>
      <c r="X24" s="1388" t="str">
        <f>IF(PT_!AR24="","",+PT_!AR24)</f>
        <v/>
      </c>
      <c r="Y24" s="1002" t="str">
        <f>IF(W24="","",IF(V24=0,"",+V24*$W$6*$W$7))</f>
        <v/>
      </c>
      <c r="Z24" s="1002" t="str">
        <f>IF(W24="","",IF(Y24=0,"",+Y24/S24))</f>
        <v/>
      </c>
      <c r="AA24" s="1003" t="str">
        <f t="shared" si="17"/>
        <v/>
      </c>
      <c r="AB24" s="1004" t="str">
        <f t="shared" si="8"/>
        <v/>
      </c>
      <c r="AC24" s="747" t="str">
        <f>IF(PT_!AU24="","",+PT_!AU24)</f>
        <v/>
      </c>
      <c r="AD24" s="678" t="str">
        <f>IF(PT_!AV24="","",+PT_!AV24)</f>
        <v/>
      </c>
      <c r="AE24" s="1005" t="str">
        <f t="shared" si="9"/>
        <v/>
      </c>
      <c r="AF24" s="1002" t="str">
        <f t="shared" si="10"/>
        <v/>
      </c>
      <c r="AG24" s="1006" t="str">
        <f t="shared" si="11"/>
        <v/>
      </c>
      <c r="AH24" s="1004"/>
      <c r="AI24" s="1002" t="str">
        <f t="shared" si="12"/>
        <v/>
      </c>
      <c r="AJ24" s="1002" t="str">
        <f t="shared" si="13"/>
        <v/>
      </c>
      <c r="AK24" s="610">
        <v>14</v>
      </c>
      <c r="AL24" s="648">
        <v>14</v>
      </c>
      <c r="AM24" s="1007">
        <f>IF(CHEM_!AD23="","",+CHEM_!AD23)</f>
        <v>0</v>
      </c>
      <c r="AN24" s="677"/>
      <c r="AO24" s="677"/>
      <c r="AP24" s="615"/>
      <c r="AQ24" s="615"/>
      <c r="AR24" s="630"/>
      <c r="AS24" s="615"/>
      <c r="AT24" s="615" t="s">
        <v>477</v>
      </c>
      <c r="AU24" s="648">
        <v>14</v>
      </c>
      <c r="AV24" s="994"/>
      <c r="AW24" s="995"/>
      <c r="AX24" s="995"/>
      <c r="AY24" s="995"/>
      <c r="AZ24" s="995"/>
      <c r="BA24" s="995"/>
      <c r="BB24" s="995"/>
      <c r="BC24" s="995"/>
      <c r="BD24" s="988"/>
      <c r="BI24" s="290"/>
      <c r="BJ24" s="290"/>
      <c r="BK24" s="290"/>
      <c r="BL24" s="290"/>
      <c r="BM24" s="290"/>
      <c r="BN24" s="290"/>
      <c r="BO24" s="290"/>
      <c r="BP24" s="290"/>
      <c r="BQ24" s="290"/>
      <c r="BR24" s="290"/>
      <c r="BS24" s="290"/>
      <c r="CL24" s="1008"/>
      <c r="CM24" s="1012"/>
    </row>
    <row r="25" spans="2:91" ht="17.100000000000001" customHeight="1">
      <c r="B25" s="610">
        <v>15</v>
      </c>
      <c r="C25" s="690" t="str">
        <f>IF(CLA_!DI25="","",+CLA_!DI25)</f>
        <v/>
      </c>
      <c r="D25" s="678" t="str">
        <f>IF(CLA_!DJ25="","",+CLA_!DJ25)</f>
        <v/>
      </c>
      <c r="E25" s="678" t="str">
        <f>IF(CLA_!DK25="","",+CLA_!DK25)</f>
        <v/>
      </c>
      <c r="F25" s="678" t="str">
        <f>IF(CLA_!DL25="","",+CLA_!DL25)</f>
        <v/>
      </c>
      <c r="G25" s="1855" t="str">
        <f t="shared" si="5"/>
        <v/>
      </c>
      <c r="H25" s="1856" t="str">
        <f t="shared" si="3"/>
        <v/>
      </c>
      <c r="I25" s="677" t="str">
        <f>IF(CLA_!DO25="","",+CLA_!DO25)</f>
        <v/>
      </c>
      <c r="J25" s="678" t="str">
        <f>IF(CLA_!DP25="","",+CLA_!DP25)</f>
        <v/>
      </c>
      <c r="K25" s="747" t="str">
        <f>IF(CLA_!DQ25="","",+CLA_!DQ25)</f>
        <v/>
      </c>
      <c r="L25" s="747" t="str">
        <f>IF(CLA_!DR25="","",+CLA_!DR25)</f>
        <v/>
      </c>
      <c r="M25" s="610">
        <v>15</v>
      </c>
      <c r="N25" s="610">
        <v>15</v>
      </c>
      <c r="O25" s="685" t="str">
        <f>IF(PT_!AN25="","",+PT_!AN25)</f>
        <v/>
      </c>
      <c r="P25" s="677" t="str">
        <f>IF(PT_!AO25="","",+PT_!AO25)</f>
        <v/>
      </c>
      <c r="Q25" s="689" t="str">
        <f>IF(PT_!AP25="","",+PT_!AP25)</f>
        <v/>
      </c>
      <c r="R25" s="680" t="str">
        <f t="shared" si="4"/>
        <v/>
      </c>
      <c r="S25" s="678" t="str">
        <f t="shared" si="7"/>
        <v/>
      </c>
      <c r="T25" s="1740"/>
      <c r="U25" s="1745" t="str">
        <f t="shared" si="6"/>
        <v/>
      </c>
      <c r="V25" s="759" t="str">
        <f>IF(CHEM_!S24&gt;0,+CHEM_!S24,"")</f>
        <v/>
      </c>
      <c r="W25" s="676" t="str">
        <f t="shared" si="14"/>
        <v/>
      </c>
      <c r="X25" s="1388" t="str">
        <f>IF(PT_!AR25="","",+PT_!AR25)</f>
        <v/>
      </c>
      <c r="Y25" s="1002" t="str">
        <f t="shared" si="15"/>
        <v/>
      </c>
      <c r="Z25" s="1002" t="str">
        <f t="shared" si="16"/>
        <v/>
      </c>
      <c r="AA25" s="1003" t="str">
        <f t="shared" si="17"/>
        <v/>
      </c>
      <c r="AB25" s="1004" t="str">
        <f t="shared" si="8"/>
        <v/>
      </c>
      <c r="AC25" s="747" t="str">
        <f>IF(PT_!AU25="","",+PT_!AU25)</f>
        <v/>
      </c>
      <c r="AD25" s="678" t="str">
        <f>IF(PT_!AV25="","",+PT_!AV25)</f>
        <v/>
      </c>
      <c r="AE25" s="1005" t="str">
        <f t="shared" si="9"/>
        <v/>
      </c>
      <c r="AF25" s="1002" t="str">
        <f t="shared" si="10"/>
        <v/>
      </c>
      <c r="AG25" s="1006" t="str">
        <f t="shared" si="11"/>
        <v/>
      </c>
      <c r="AH25" s="1004"/>
      <c r="AI25" s="1002" t="str">
        <f t="shared" si="12"/>
        <v/>
      </c>
      <c r="AJ25" s="1002" t="str">
        <f t="shared" si="13"/>
        <v/>
      </c>
      <c r="AK25" s="610">
        <v>15</v>
      </c>
      <c r="AL25" s="648">
        <v>15</v>
      </c>
      <c r="AM25" s="1007">
        <f>IF(CHEM_!AD24="","",+CHEM_!AD24)</f>
        <v>0</v>
      </c>
      <c r="AN25" s="677"/>
      <c r="AO25" s="677"/>
      <c r="AP25" s="615"/>
      <c r="AQ25" s="615"/>
      <c r="AR25" s="630"/>
      <c r="AS25" s="615"/>
      <c r="AT25" s="615"/>
      <c r="AU25" s="648">
        <v>15</v>
      </c>
      <c r="AV25" s="994"/>
      <c r="AW25" s="995"/>
      <c r="AX25" s="995"/>
      <c r="AY25" s="995"/>
      <c r="AZ25" s="995"/>
      <c r="BA25" s="995"/>
      <c r="BB25" s="995"/>
      <c r="BC25" s="995"/>
      <c r="BD25" s="988"/>
      <c r="BI25" s="290"/>
      <c r="BJ25" s="290"/>
      <c r="BK25" s="290"/>
      <c r="BL25" s="290"/>
      <c r="BM25" s="290"/>
      <c r="BN25" s="290"/>
      <c r="BO25" s="290"/>
      <c r="BP25" s="290"/>
      <c r="BQ25" s="290"/>
      <c r="BR25" s="290"/>
      <c r="BS25" s="290"/>
      <c r="CL25" s="1012"/>
      <c r="CM25" s="1012"/>
    </row>
    <row r="26" spans="2:91" ht="17.100000000000001" customHeight="1">
      <c r="B26" s="610">
        <v>16</v>
      </c>
      <c r="C26" s="690" t="str">
        <f>IF(CLA_!DI26="","",+CLA_!DI26)</f>
        <v/>
      </c>
      <c r="D26" s="678" t="str">
        <f>IF(CLA_!DJ26="","",+CLA_!DJ26)</f>
        <v/>
      </c>
      <c r="E26" s="678" t="str">
        <f>IF(CLA_!DK26="","",+CLA_!DK26)</f>
        <v/>
      </c>
      <c r="F26" s="678" t="str">
        <f>IF(CLA_!DL26="","",+CLA_!DL26)</f>
        <v/>
      </c>
      <c r="G26" s="1855" t="str">
        <f t="shared" si="5"/>
        <v/>
      </c>
      <c r="H26" s="1856" t="str">
        <f t="shared" si="3"/>
        <v/>
      </c>
      <c r="I26" s="677" t="str">
        <f>IF(CLA_!DO26="","",+CLA_!DO26)</f>
        <v/>
      </c>
      <c r="J26" s="678" t="str">
        <f>IF(CLA_!DP26="","",+CLA_!DP26)</f>
        <v/>
      </c>
      <c r="K26" s="747" t="str">
        <f>IF(CLA_!DQ26="","",+CLA_!DQ26)</f>
        <v/>
      </c>
      <c r="L26" s="747" t="str">
        <f>IF(CLA_!DR26="","",+CLA_!DR26)</f>
        <v/>
      </c>
      <c r="M26" s="610">
        <v>16</v>
      </c>
      <c r="N26" s="610">
        <v>16</v>
      </c>
      <c r="O26" s="685" t="str">
        <f>IF(PT_!AN26="","",+PT_!AN26)</f>
        <v/>
      </c>
      <c r="P26" s="677" t="str">
        <f>IF(PT_!AO26="","",+PT_!AO26)</f>
        <v/>
      </c>
      <c r="Q26" s="689" t="str">
        <f>IF(PT_!AP26="","",+PT_!AP26)</f>
        <v/>
      </c>
      <c r="R26" s="680" t="str">
        <f t="shared" si="4"/>
        <v/>
      </c>
      <c r="S26" s="678" t="str">
        <f t="shared" si="7"/>
        <v/>
      </c>
      <c r="T26" s="1740"/>
      <c r="U26" s="1745" t="str">
        <f t="shared" si="6"/>
        <v/>
      </c>
      <c r="V26" s="759" t="str">
        <f>IF(CHEM_!S25&gt;0,+CHEM_!S25,"")</f>
        <v/>
      </c>
      <c r="W26" s="676" t="str">
        <f>IF(X26="","",+X26/P26/60)</f>
        <v/>
      </c>
      <c r="X26" s="1388" t="str">
        <f>IF(PT_!AR26="","",+PT_!AR26)</f>
        <v/>
      </c>
      <c r="Y26" s="1002" t="str">
        <f t="shared" si="15"/>
        <v/>
      </c>
      <c r="Z26" s="1002" t="str">
        <f t="shared" si="16"/>
        <v/>
      </c>
      <c r="AA26" s="1003" t="str">
        <f t="shared" ref="AA26:AA39" si="18">IF(W26="","",IF(V26=0,"",ROUND(+X26*$AA$7*$W$7/S26,1)))</f>
        <v/>
      </c>
      <c r="AB26" s="1004" t="str">
        <f t="shared" si="8"/>
        <v/>
      </c>
      <c r="AC26" s="747" t="str">
        <f>IF(PT_!AU26="","",+PT_!AU26)</f>
        <v/>
      </c>
      <c r="AD26" s="678" t="str">
        <f>IF(PT_!AV26="","",+PT_!AV26)</f>
        <v/>
      </c>
      <c r="AE26" s="1005" t="str">
        <f t="shared" si="9"/>
        <v/>
      </c>
      <c r="AF26" s="1002" t="str">
        <f t="shared" si="10"/>
        <v/>
      </c>
      <c r="AG26" s="1006" t="str">
        <f t="shared" si="11"/>
        <v/>
      </c>
      <c r="AH26" s="1004"/>
      <c r="AI26" s="1002" t="str">
        <f t="shared" si="12"/>
        <v/>
      </c>
      <c r="AJ26" s="1002" t="str">
        <f t="shared" si="13"/>
        <v/>
      </c>
      <c r="AK26" s="610">
        <v>16</v>
      </c>
      <c r="AL26" s="648">
        <v>16</v>
      </c>
      <c r="AM26" s="1007">
        <f>IF(CHEM_!AD25="","",+CHEM_!AD25)</f>
        <v>0</v>
      </c>
      <c r="AN26" s="677"/>
      <c r="AO26" s="677"/>
      <c r="AP26" s="615"/>
      <c r="AQ26" s="615"/>
      <c r="AR26" s="630"/>
      <c r="AS26" s="615"/>
      <c r="AT26" s="615" t="s">
        <v>473</v>
      </c>
      <c r="AU26" s="648">
        <v>16</v>
      </c>
      <c r="AV26" s="994"/>
      <c r="AW26" s="995"/>
      <c r="AX26" s="995"/>
      <c r="AY26" s="995"/>
      <c r="AZ26" s="995"/>
      <c r="BA26" s="995"/>
      <c r="BB26" s="995"/>
      <c r="BC26" s="995"/>
      <c r="BD26" s="988"/>
      <c r="BI26" s="290"/>
      <c r="BJ26" s="290"/>
      <c r="BK26" s="290"/>
      <c r="BL26" s="290"/>
      <c r="BM26" s="290"/>
      <c r="BN26" s="290"/>
      <c r="BO26" s="290"/>
      <c r="BP26" s="290"/>
      <c r="BQ26" s="290"/>
      <c r="BR26" s="290"/>
      <c r="BS26" s="290"/>
      <c r="CL26" s="1012"/>
      <c r="CM26" s="1012"/>
    </row>
    <row r="27" spans="2:91" ht="17.100000000000001" customHeight="1">
      <c r="B27" s="610">
        <v>17</v>
      </c>
      <c r="C27" s="690" t="str">
        <f>IF(CLA_!DI27="","",+CLA_!DI27)</f>
        <v/>
      </c>
      <c r="D27" s="678" t="str">
        <f>IF(CLA_!DJ27="","",+CLA_!DJ27)</f>
        <v/>
      </c>
      <c r="E27" s="678" t="str">
        <f>IF(CLA_!DK27="","",+CLA_!DK27)</f>
        <v/>
      </c>
      <c r="F27" s="678" t="str">
        <f>IF(CLA_!DL27="","",+CLA_!DL27)</f>
        <v/>
      </c>
      <c r="G27" s="1855" t="str">
        <f t="shared" si="5"/>
        <v/>
      </c>
      <c r="H27" s="1856" t="str">
        <f t="shared" si="3"/>
        <v/>
      </c>
      <c r="I27" s="677" t="str">
        <f>IF(CLA_!DO27="","",+CLA_!DO27)</f>
        <v/>
      </c>
      <c r="J27" s="678" t="str">
        <f>IF(CLA_!DP27="","",+CLA_!DP27)</f>
        <v/>
      </c>
      <c r="K27" s="747" t="str">
        <f>IF(CLA_!DQ27="","",+CLA_!DQ27)</f>
        <v/>
      </c>
      <c r="L27" s="747" t="str">
        <f>IF(CLA_!DR27="","",+CLA_!DR27)</f>
        <v/>
      </c>
      <c r="M27" s="610">
        <v>17</v>
      </c>
      <c r="N27" s="610">
        <v>17</v>
      </c>
      <c r="O27" s="685" t="str">
        <f>IF(PT_!AN27="","",+PT_!AN27)</f>
        <v/>
      </c>
      <c r="P27" s="677" t="str">
        <f>IF(PT_!AO27="","",+PT_!AO27)</f>
        <v/>
      </c>
      <c r="Q27" s="689" t="str">
        <f>IF(PT_!AP27="","",+PT_!AP27)</f>
        <v/>
      </c>
      <c r="R27" s="680" t="str">
        <f t="shared" si="4"/>
        <v/>
      </c>
      <c r="S27" s="678" t="str">
        <f t="shared" si="7"/>
        <v/>
      </c>
      <c r="T27" s="1740"/>
      <c r="U27" s="1745" t="str">
        <f t="shared" si="6"/>
        <v/>
      </c>
      <c r="V27" s="759" t="str">
        <f>IF(CHEM_!S26&gt;0,+CHEM_!S26,"")</f>
        <v/>
      </c>
      <c r="W27" s="676" t="str">
        <f t="shared" si="14"/>
        <v/>
      </c>
      <c r="X27" s="1388" t="str">
        <f>IF(PT_!AR27="","",+PT_!AR27)</f>
        <v/>
      </c>
      <c r="Y27" s="1002" t="str">
        <f t="shared" si="15"/>
        <v/>
      </c>
      <c r="Z27" s="1002" t="str">
        <f t="shared" si="16"/>
        <v/>
      </c>
      <c r="AA27" s="1003" t="str">
        <f>IF(W27="","",IF(V27=0,"",ROUND(+X27*$AA$7*$W$7/S27,1)))</f>
        <v/>
      </c>
      <c r="AB27" s="1004" t="str">
        <f t="shared" si="8"/>
        <v/>
      </c>
      <c r="AC27" s="747" t="str">
        <f>IF(PT_!AU27="","",+PT_!AU27)</f>
        <v/>
      </c>
      <c r="AD27" s="678" t="str">
        <f>IF(PT_!AV27="","",+PT_!AV27)</f>
        <v/>
      </c>
      <c r="AE27" s="1005" t="str">
        <f t="shared" si="9"/>
        <v/>
      </c>
      <c r="AF27" s="1002" t="str">
        <f t="shared" si="10"/>
        <v/>
      </c>
      <c r="AG27" s="1006" t="str">
        <f t="shared" si="11"/>
        <v/>
      </c>
      <c r="AH27" s="1004"/>
      <c r="AI27" s="1002" t="str">
        <f t="shared" si="12"/>
        <v/>
      </c>
      <c r="AJ27" s="1002" t="str">
        <f t="shared" si="13"/>
        <v/>
      </c>
      <c r="AK27" s="610">
        <v>17</v>
      </c>
      <c r="AL27" s="648">
        <v>17</v>
      </c>
      <c r="AM27" s="1007">
        <f>IF(CHEM_!AD26="","",+CHEM_!AD26)</f>
        <v>0</v>
      </c>
      <c r="AN27" s="677"/>
      <c r="AO27" s="677"/>
      <c r="AP27" s="615"/>
      <c r="AQ27" s="615"/>
      <c r="AR27" s="630"/>
      <c r="AS27" s="615"/>
      <c r="AT27" s="615"/>
      <c r="AU27" s="648">
        <v>17</v>
      </c>
      <c r="AV27" s="994"/>
      <c r="AW27" s="995"/>
      <c r="AX27" s="995"/>
      <c r="AY27" s="995"/>
      <c r="AZ27" s="995"/>
      <c r="BA27" s="995"/>
      <c r="BB27" s="995"/>
      <c r="BC27" s="995"/>
      <c r="BD27" s="988"/>
      <c r="BI27" s="290"/>
      <c r="BJ27" s="290"/>
      <c r="BK27" s="290"/>
      <c r="BL27" s="290"/>
      <c r="BM27" s="290"/>
      <c r="BN27" s="290"/>
      <c r="BO27" s="290"/>
      <c r="BP27" s="290"/>
      <c r="BQ27" s="290"/>
      <c r="BR27" s="290"/>
      <c r="BS27" s="290"/>
      <c r="CL27" s="1012"/>
      <c r="CM27" s="1008"/>
    </row>
    <row r="28" spans="2:91" ht="17.100000000000001" customHeight="1">
      <c r="B28" s="610">
        <v>18</v>
      </c>
      <c r="C28" s="690" t="str">
        <f>IF(CLA_!DI28="","",+CLA_!DI28)</f>
        <v/>
      </c>
      <c r="D28" s="678" t="str">
        <f>IF(CLA_!DJ28="","",+CLA_!DJ28)</f>
        <v/>
      </c>
      <c r="E28" s="678" t="str">
        <f>IF(CLA_!DK28="","",+CLA_!DK28)</f>
        <v/>
      </c>
      <c r="F28" s="678" t="str">
        <f>IF(CLA_!DL28="","",+CLA_!DL28)</f>
        <v/>
      </c>
      <c r="G28" s="1855" t="str">
        <f t="shared" si="5"/>
        <v/>
      </c>
      <c r="H28" s="1856" t="str">
        <f t="shared" si="3"/>
        <v/>
      </c>
      <c r="I28" s="677" t="str">
        <f>IF(CLA_!DO28="","",+CLA_!DO28)</f>
        <v/>
      </c>
      <c r="J28" s="678" t="str">
        <f>IF(CLA_!DP28="","",+CLA_!DP28)</f>
        <v/>
      </c>
      <c r="K28" s="747" t="str">
        <f>IF(CLA_!DQ28="","",+CLA_!DQ28)</f>
        <v/>
      </c>
      <c r="L28" s="747" t="str">
        <f>IF(CLA_!DR28="","",+CLA_!DR28)</f>
        <v/>
      </c>
      <c r="M28" s="610">
        <v>18</v>
      </c>
      <c r="N28" s="610">
        <v>18</v>
      </c>
      <c r="O28" s="685" t="str">
        <f>IF(PT_!AN28="","",+PT_!AN28)</f>
        <v/>
      </c>
      <c r="P28" s="677" t="str">
        <f>IF(PT_!AO28="","",+PT_!AO28)</f>
        <v/>
      </c>
      <c r="Q28" s="689" t="str">
        <f>IF(PT_!AP28="","",+PT_!AP28)</f>
        <v/>
      </c>
      <c r="R28" s="680" t="str">
        <f t="shared" si="4"/>
        <v/>
      </c>
      <c r="S28" s="678" t="str">
        <f t="shared" si="7"/>
        <v/>
      </c>
      <c r="T28" s="1740"/>
      <c r="U28" s="1745" t="str">
        <f t="shared" si="6"/>
        <v/>
      </c>
      <c r="V28" s="759" t="str">
        <f>IF(CHEM_!S27&gt;0,+CHEM_!S27,"")</f>
        <v/>
      </c>
      <c r="W28" s="676" t="str">
        <f t="shared" si="14"/>
        <v/>
      </c>
      <c r="X28" s="1388" t="str">
        <f>IF(PT_!AR28="","",+PT_!AR28)</f>
        <v/>
      </c>
      <c r="Y28" s="1002" t="str">
        <f t="shared" si="15"/>
        <v/>
      </c>
      <c r="Z28" s="1002" t="str">
        <f t="shared" si="16"/>
        <v/>
      </c>
      <c r="AA28" s="1003" t="str">
        <f t="shared" si="18"/>
        <v/>
      </c>
      <c r="AB28" s="1004" t="str">
        <f t="shared" si="8"/>
        <v/>
      </c>
      <c r="AC28" s="747" t="str">
        <f>IF(PT_!AU28="","",+PT_!AU28)</f>
        <v/>
      </c>
      <c r="AD28" s="678" t="str">
        <f>IF(PT_!AV28="","",+PT_!AV28)</f>
        <v/>
      </c>
      <c r="AE28" s="1005" t="str">
        <f t="shared" si="9"/>
        <v/>
      </c>
      <c r="AF28" s="1002" t="str">
        <f t="shared" si="10"/>
        <v/>
      </c>
      <c r="AG28" s="1006" t="str">
        <f t="shared" si="11"/>
        <v/>
      </c>
      <c r="AH28" s="1004"/>
      <c r="AI28" s="1002" t="str">
        <f t="shared" si="12"/>
        <v/>
      </c>
      <c r="AJ28" s="1002" t="str">
        <f t="shared" si="13"/>
        <v/>
      </c>
      <c r="AK28" s="610">
        <v>18</v>
      </c>
      <c r="AL28" s="648">
        <v>18</v>
      </c>
      <c r="AM28" s="1007">
        <f>IF(CHEM_!AD27="","",+CHEM_!AD27)</f>
        <v>0</v>
      </c>
      <c r="AN28" s="677"/>
      <c r="AO28" s="677"/>
      <c r="AP28" s="615"/>
      <c r="AQ28" s="615"/>
      <c r="AR28" s="630"/>
      <c r="AS28" s="615"/>
      <c r="AT28" s="615"/>
      <c r="AU28" s="648">
        <v>18</v>
      </c>
      <c r="AV28" s="994"/>
      <c r="AW28" s="995"/>
      <c r="AX28" s="995"/>
      <c r="AY28" s="995"/>
      <c r="AZ28" s="995"/>
      <c r="BA28" s="995"/>
      <c r="BB28" s="995"/>
      <c r="BC28" s="995"/>
      <c r="BD28" s="988"/>
      <c r="BI28" s="290"/>
      <c r="BJ28" s="290"/>
      <c r="BK28" s="290"/>
      <c r="BL28" s="290"/>
      <c r="BM28" s="290"/>
      <c r="BN28" s="290"/>
      <c r="BO28" s="290"/>
      <c r="BP28" s="290"/>
      <c r="BQ28" s="290"/>
      <c r="BR28" s="290"/>
      <c r="BS28" s="290"/>
      <c r="CL28" s="1012"/>
      <c r="CM28" s="1012"/>
    </row>
    <row r="29" spans="2:91" ht="17.100000000000001" customHeight="1">
      <c r="B29" s="610">
        <v>19</v>
      </c>
      <c r="C29" s="690" t="str">
        <f>IF(CLA_!DI29="","",+CLA_!DI29)</f>
        <v/>
      </c>
      <c r="D29" s="678" t="str">
        <f>IF(CLA_!DJ29="","",+CLA_!DJ29)</f>
        <v/>
      </c>
      <c r="E29" s="678" t="str">
        <f>IF(CLA_!DK29="","",+CLA_!DK29)</f>
        <v/>
      </c>
      <c r="F29" s="678" t="str">
        <f>IF(CLA_!DL29="","",+CLA_!DL29)</f>
        <v/>
      </c>
      <c r="G29" s="1855" t="str">
        <f t="shared" si="5"/>
        <v/>
      </c>
      <c r="H29" s="1856" t="str">
        <f t="shared" si="3"/>
        <v/>
      </c>
      <c r="I29" s="677" t="str">
        <f>IF(CLA_!DO29="","",+CLA_!DO29)</f>
        <v/>
      </c>
      <c r="J29" s="678" t="str">
        <f>IF(CLA_!DP29="","",+CLA_!DP29)</f>
        <v/>
      </c>
      <c r="K29" s="747" t="str">
        <f>IF(CLA_!DQ29="","",+CLA_!DQ29)</f>
        <v/>
      </c>
      <c r="L29" s="747" t="str">
        <f>IF(CLA_!DR29="","",+CLA_!DR29)</f>
        <v/>
      </c>
      <c r="M29" s="610">
        <v>19</v>
      </c>
      <c r="N29" s="610">
        <v>19</v>
      </c>
      <c r="O29" s="685" t="str">
        <f>IF(PT_!AN29="","",+PT_!AN29)</f>
        <v/>
      </c>
      <c r="P29" s="677" t="str">
        <f>IF(PT_!AO29="","",+PT_!AO29)</f>
        <v/>
      </c>
      <c r="Q29" s="689" t="str">
        <f>IF(PT_!AP29="","",+PT_!AP29)</f>
        <v/>
      </c>
      <c r="R29" s="680" t="str">
        <f t="shared" si="4"/>
        <v/>
      </c>
      <c r="S29" s="678" t="str">
        <f t="shared" si="7"/>
        <v/>
      </c>
      <c r="T29" s="1740"/>
      <c r="U29" s="1745" t="str">
        <f t="shared" si="6"/>
        <v/>
      </c>
      <c r="V29" s="759" t="str">
        <f>IF(CHEM_!S28&gt;0,+CHEM_!S28,"")</f>
        <v/>
      </c>
      <c r="W29" s="676" t="str">
        <f t="shared" si="14"/>
        <v/>
      </c>
      <c r="X29" s="1388" t="str">
        <f>IF(PT_!AR29="","",+PT_!AR29)</f>
        <v/>
      </c>
      <c r="Y29" s="1002" t="str">
        <f t="shared" si="15"/>
        <v/>
      </c>
      <c r="Z29" s="1002" t="str">
        <f t="shared" si="16"/>
        <v/>
      </c>
      <c r="AA29" s="1003" t="str">
        <f t="shared" si="18"/>
        <v/>
      </c>
      <c r="AB29" s="1004" t="str">
        <f t="shared" si="8"/>
        <v/>
      </c>
      <c r="AC29" s="747" t="str">
        <f>IF(PT_!AU29="","",+PT_!AU29)</f>
        <v/>
      </c>
      <c r="AD29" s="678" t="str">
        <f>IF(PT_!AV29="","",+PT_!AV29)</f>
        <v/>
      </c>
      <c r="AE29" s="1005" t="str">
        <f t="shared" si="9"/>
        <v/>
      </c>
      <c r="AF29" s="1002" t="str">
        <f t="shared" si="10"/>
        <v/>
      </c>
      <c r="AG29" s="1006" t="str">
        <f t="shared" si="11"/>
        <v/>
      </c>
      <c r="AH29" s="1004"/>
      <c r="AI29" s="1002" t="str">
        <f t="shared" si="12"/>
        <v/>
      </c>
      <c r="AJ29" s="1002" t="str">
        <f t="shared" si="13"/>
        <v/>
      </c>
      <c r="AK29" s="610">
        <v>19</v>
      </c>
      <c r="AL29" s="648">
        <v>19</v>
      </c>
      <c r="AM29" s="1007">
        <f>IF(CHEM_!AD28="","",+CHEM_!AD28)</f>
        <v>0</v>
      </c>
      <c r="AN29" s="677"/>
      <c r="AO29" s="677"/>
      <c r="AP29" s="615"/>
      <c r="AQ29" s="615"/>
      <c r="AR29" s="630"/>
      <c r="AS29" s="615"/>
      <c r="AT29" s="615"/>
      <c r="AU29" s="648">
        <v>19</v>
      </c>
      <c r="AV29" s="994"/>
      <c r="AW29" s="995"/>
      <c r="AX29" s="995"/>
      <c r="AY29" s="995"/>
      <c r="AZ29" s="995"/>
      <c r="BA29" s="995"/>
      <c r="BB29" s="995"/>
      <c r="BC29" s="995"/>
      <c r="BD29" s="988"/>
      <c r="BI29" s="290"/>
      <c r="BJ29" s="290"/>
      <c r="BK29" s="290"/>
      <c r="BL29" s="290"/>
      <c r="BM29" s="290"/>
      <c r="BN29" s="290"/>
      <c r="BO29" s="290"/>
      <c r="BP29" s="290"/>
      <c r="BQ29" s="290"/>
      <c r="BR29" s="290"/>
      <c r="BS29" s="290"/>
    </row>
    <row r="30" spans="2:91" ht="17.100000000000001" customHeight="1">
      <c r="B30" s="610">
        <v>20</v>
      </c>
      <c r="C30" s="690" t="str">
        <f>IF(CLA_!DI30="","",+CLA_!DI30)</f>
        <v/>
      </c>
      <c r="D30" s="678" t="str">
        <f>IF(CLA_!DJ30="","",+CLA_!DJ30)</f>
        <v/>
      </c>
      <c r="E30" s="678" t="str">
        <f>IF(CLA_!DK30="","",+CLA_!DK30)</f>
        <v/>
      </c>
      <c r="F30" s="678" t="str">
        <f>IF(CLA_!DL30="","",+CLA_!DL30)</f>
        <v/>
      </c>
      <c r="G30" s="1855" t="str">
        <f t="shared" si="5"/>
        <v/>
      </c>
      <c r="H30" s="1856" t="str">
        <f t="shared" si="3"/>
        <v/>
      </c>
      <c r="I30" s="677" t="str">
        <f>IF(CLA_!DO30="","",+CLA_!DO30)</f>
        <v/>
      </c>
      <c r="J30" s="678" t="str">
        <f>IF(CLA_!DP30="","",+CLA_!DP30)</f>
        <v/>
      </c>
      <c r="K30" s="747" t="str">
        <f>IF(CLA_!DQ30="","",+CLA_!DQ30)</f>
        <v/>
      </c>
      <c r="L30" s="747" t="str">
        <f>IF(CLA_!DR30="","",+CLA_!DR30)</f>
        <v/>
      </c>
      <c r="M30" s="610">
        <v>20</v>
      </c>
      <c r="N30" s="610">
        <v>20</v>
      </c>
      <c r="O30" s="685" t="str">
        <f>IF(PT_!AN30="","",+PT_!AN30)</f>
        <v/>
      </c>
      <c r="P30" s="677" t="str">
        <f>IF(PT_!AO30="","",+PT_!AO30)</f>
        <v/>
      </c>
      <c r="Q30" s="689" t="str">
        <f>IF(PT_!AP30="","",+PT_!AP30)</f>
        <v/>
      </c>
      <c r="R30" s="680" t="str">
        <f t="shared" si="4"/>
        <v/>
      </c>
      <c r="S30" s="678" t="str">
        <f t="shared" si="7"/>
        <v/>
      </c>
      <c r="T30" s="1740"/>
      <c r="U30" s="1745" t="str">
        <f t="shared" si="6"/>
        <v/>
      </c>
      <c r="V30" s="759" t="str">
        <f>IF(CHEM_!S29&gt;0,+CHEM_!S29,"")</f>
        <v/>
      </c>
      <c r="W30" s="676" t="str">
        <f t="shared" si="14"/>
        <v/>
      </c>
      <c r="X30" s="1388" t="str">
        <f>IF(PT_!AR30="","",+PT_!AR30)</f>
        <v/>
      </c>
      <c r="Y30" s="1002" t="str">
        <f t="shared" si="15"/>
        <v/>
      </c>
      <c r="Z30" s="1002" t="str">
        <f t="shared" si="16"/>
        <v/>
      </c>
      <c r="AA30" s="1003" t="str">
        <f t="shared" si="18"/>
        <v/>
      </c>
      <c r="AB30" s="1004" t="str">
        <f t="shared" si="8"/>
        <v/>
      </c>
      <c r="AC30" s="747" t="str">
        <f>IF(PT_!AU30="","",+PT_!AU30)</f>
        <v/>
      </c>
      <c r="AD30" s="678" t="str">
        <f>IF(PT_!AV30="","",+PT_!AV30)</f>
        <v/>
      </c>
      <c r="AE30" s="1005" t="str">
        <f t="shared" si="9"/>
        <v/>
      </c>
      <c r="AF30" s="1002" t="str">
        <f t="shared" si="10"/>
        <v/>
      </c>
      <c r="AG30" s="1006" t="str">
        <f t="shared" si="11"/>
        <v/>
      </c>
      <c r="AH30" s="1004"/>
      <c r="AI30" s="1002" t="str">
        <f t="shared" si="12"/>
        <v/>
      </c>
      <c r="AJ30" s="1002" t="str">
        <f t="shared" si="13"/>
        <v/>
      </c>
      <c r="AK30" s="610">
        <v>20</v>
      </c>
      <c r="AL30" s="648">
        <v>20</v>
      </c>
      <c r="AM30" s="1007">
        <f>IF(CHEM_!AD29="","",+CHEM_!AD29)</f>
        <v>0</v>
      </c>
      <c r="AN30" s="677"/>
      <c r="AO30" s="677"/>
      <c r="AP30" s="615"/>
      <c r="AQ30" s="615"/>
      <c r="AR30" s="630"/>
      <c r="AS30" s="615"/>
      <c r="AT30" s="615"/>
      <c r="AU30" s="648">
        <v>20</v>
      </c>
      <c r="AV30" s="994"/>
      <c r="AW30" s="995"/>
      <c r="AX30" s="995"/>
      <c r="AY30" s="995"/>
      <c r="AZ30" s="995"/>
      <c r="BA30" s="995"/>
      <c r="BB30" s="995"/>
      <c r="BC30" s="995"/>
      <c r="BD30" s="988"/>
      <c r="BI30" s="290"/>
      <c r="BJ30" s="290"/>
      <c r="BK30" s="290"/>
      <c r="BL30" s="290"/>
      <c r="BM30" s="290"/>
      <c r="BN30" s="290"/>
      <c r="BO30" s="290"/>
      <c r="BP30" s="290"/>
      <c r="BQ30" s="290"/>
      <c r="BR30" s="290"/>
      <c r="BS30" s="290"/>
    </row>
    <row r="31" spans="2:91" ht="17.100000000000001" customHeight="1">
      <c r="B31" s="610">
        <v>21</v>
      </c>
      <c r="C31" s="690" t="str">
        <f>IF(CLA_!DI31="","",+CLA_!DI31)</f>
        <v/>
      </c>
      <c r="D31" s="678" t="str">
        <f>IF(CLA_!DJ31="","",+CLA_!DJ31)</f>
        <v/>
      </c>
      <c r="E31" s="678" t="str">
        <f>IF(CLA_!DK31="","",+CLA_!DK31)</f>
        <v/>
      </c>
      <c r="F31" s="678" t="str">
        <f>IF(CLA_!DL31="","",+CLA_!DL31)</f>
        <v/>
      </c>
      <c r="G31" s="1855" t="str">
        <f t="shared" si="5"/>
        <v/>
      </c>
      <c r="H31" s="1856" t="str">
        <f t="shared" si="3"/>
        <v/>
      </c>
      <c r="I31" s="677" t="str">
        <f>IF(CLA_!DO31="","",+CLA_!DO31)</f>
        <v/>
      </c>
      <c r="J31" s="678" t="str">
        <f>IF(CLA_!DP31="","",+CLA_!DP31)</f>
        <v/>
      </c>
      <c r="K31" s="747" t="str">
        <f>IF(CLA_!DQ31="","",+CLA_!DQ31)</f>
        <v/>
      </c>
      <c r="L31" s="747" t="str">
        <f>IF(CLA_!DR31="","",+CLA_!DR31)</f>
        <v/>
      </c>
      <c r="M31" s="610">
        <v>21</v>
      </c>
      <c r="N31" s="610">
        <v>21</v>
      </c>
      <c r="O31" s="685" t="str">
        <f>IF(PT_!AN31="","",+PT_!AN31)</f>
        <v/>
      </c>
      <c r="P31" s="677" t="str">
        <f>IF(PT_!AO31="","",+PT_!AO31)</f>
        <v/>
      </c>
      <c r="Q31" s="689" t="str">
        <f>IF(PT_!AP31="","",+PT_!AP31)</f>
        <v/>
      </c>
      <c r="R31" s="680" t="str">
        <f t="shared" si="4"/>
        <v/>
      </c>
      <c r="S31" s="678" t="str">
        <f t="shared" si="7"/>
        <v/>
      </c>
      <c r="T31" s="1740"/>
      <c r="U31" s="1745" t="str">
        <f t="shared" si="6"/>
        <v/>
      </c>
      <c r="V31" s="759" t="str">
        <f>IF(CHEM_!S30&gt;0,+CHEM_!S30,"")</f>
        <v/>
      </c>
      <c r="W31" s="676" t="str">
        <f t="shared" si="14"/>
        <v/>
      </c>
      <c r="X31" s="1388" t="str">
        <f>IF(PT_!AR31="","",+PT_!AR31)</f>
        <v/>
      </c>
      <c r="Y31" s="1002" t="str">
        <f t="shared" si="15"/>
        <v/>
      </c>
      <c r="Z31" s="1002" t="str">
        <f t="shared" si="16"/>
        <v/>
      </c>
      <c r="AA31" s="1003" t="str">
        <f t="shared" si="18"/>
        <v/>
      </c>
      <c r="AB31" s="1004" t="str">
        <f t="shared" si="8"/>
        <v/>
      </c>
      <c r="AC31" s="747" t="str">
        <f>IF(PT_!AU31="","",+PT_!AU31)</f>
        <v/>
      </c>
      <c r="AD31" s="678" t="str">
        <f>IF(PT_!AV31="","",+PT_!AV31)</f>
        <v/>
      </c>
      <c r="AE31" s="1005" t="str">
        <f t="shared" si="9"/>
        <v/>
      </c>
      <c r="AF31" s="1002" t="str">
        <f t="shared" si="10"/>
        <v/>
      </c>
      <c r="AG31" s="1006" t="str">
        <f t="shared" si="11"/>
        <v/>
      </c>
      <c r="AH31" s="1004"/>
      <c r="AI31" s="1002" t="str">
        <f t="shared" si="12"/>
        <v/>
      </c>
      <c r="AJ31" s="1002" t="str">
        <f t="shared" si="13"/>
        <v/>
      </c>
      <c r="AK31" s="610">
        <v>21</v>
      </c>
      <c r="AL31" s="648">
        <v>21</v>
      </c>
      <c r="AM31" s="1007">
        <f>IF(CHEM_!AD30="","",+CHEM_!AD30)</f>
        <v>0</v>
      </c>
      <c r="AN31" s="677"/>
      <c r="AO31" s="677"/>
      <c r="AP31" s="615"/>
      <c r="AQ31" s="615"/>
      <c r="AR31" s="630"/>
      <c r="AS31" s="615"/>
      <c r="AT31" s="615"/>
      <c r="AU31" s="648">
        <v>21</v>
      </c>
      <c r="AV31" s="994"/>
      <c r="AW31" s="995"/>
      <c r="AX31" s="995"/>
      <c r="AY31" s="995"/>
      <c r="AZ31" s="995"/>
      <c r="BA31" s="995"/>
      <c r="BB31" s="995"/>
      <c r="BC31" s="995"/>
      <c r="BD31" s="988"/>
      <c r="BI31" s="290"/>
      <c r="BJ31" s="290"/>
      <c r="BK31" s="290"/>
      <c r="BL31" s="290"/>
      <c r="BM31" s="290"/>
      <c r="BN31" s="290"/>
      <c r="BO31" s="290"/>
      <c r="BP31" s="290"/>
      <c r="BQ31" s="290"/>
      <c r="BR31" s="290"/>
      <c r="BS31" s="290"/>
    </row>
    <row r="32" spans="2:91" ht="17.100000000000001" customHeight="1">
      <c r="B32" s="610">
        <v>22</v>
      </c>
      <c r="C32" s="690" t="str">
        <f>IF(CLA_!DI32="","",+CLA_!DI32)</f>
        <v/>
      </c>
      <c r="D32" s="678" t="str">
        <f>IF(CLA_!DJ32="","",+CLA_!DJ32)</f>
        <v/>
      </c>
      <c r="E32" s="678" t="str">
        <f>IF(CLA_!DK32="","",+CLA_!DK32)</f>
        <v/>
      </c>
      <c r="F32" s="678" t="str">
        <f>IF(CLA_!DL32="","",+CLA_!DL32)</f>
        <v/>
      </c>
      <c r="G32" s="1855" t="str">
        <f t="shared" si="5"/>
        <v/>
      </c>
      <c r="H32" s="1856" t="str">
        <f t="shared" si="3"/>
        <v/>
      </c>
      <c r="I32" s="677" t="str">
        <f>IF(CLA_!DO32="","",+CLA_!DO32)</f>
        <v/>
      </c>
      <c r="J32" s="678" t="str">
        <f>IF(CLA_!DP32="","",+CLA_!DP32)</f>
        <v/>
      </c>
      <c r="K32" s="747" t="str">
        <f>IF(CLA_!DQ32="","",+CLA_!DQ32)</f>
        <v/>
      </c>
      <c r="L32" s="747" t="str">
        <f>IF(CLA_!DR32="","",+CLA_!DR32)</f>
        <v/>
      </c>
      <c r="M32" s="610">
        <v>22</v>
      </c>
      <c r="N32" s="610">
        <v>22</v>
      </c>
      <c r="O32" s="685" t="str">
        <f>IF(PT_!AN32="","",+PT_!AN32)</f>
        <v/>
      </c>
      <c r="P32" s="677" t="str">
        <f>IF(PT_!AO32="","",+PT_!AO32)</f>
        <v/>
      </c>
      <c r="Q32" s="689" t="str">
        <f>IF(PT_!AP32="","",+PT_!AP32)</f>
        <v/>
      </c>
      <c r="R32" s="680" t="str">
        <f t="shared" si="4"/>
        <v/>
      </c>
      <c r="S32" s="678" t="str">
        <f t="shared" si="7"/>
        <v/>
      </c>
      <c r="T32" s="1740"/>
      <c r="U32" s="1745" t="str">
        <f t="shared" si="6"/>
        <v/>
      </c>
      <c r="V32" s="759" t="str">
        <f>IF(CHEM_!S31&gt;0,+CHEM_!S31,"")</f>
        <v/>
      </c>
      <c r="W32" s="676" t="str">
        <f t="shared" si="14"/>
        <v/>
      </c>
      <c r="X32" s="1388" t="str">
        <f>IF(PT_!AR32="","",+PT_!AR32)</f>
        <v/>
      </c>
      <c r="Y32" s="1002" t="str">
        <f t="shared" si="15"/>
        <v/>
      </c>
      <c r="Z32" s="1002" t="str">
        <f t="shared" si="16"/>
        <v/>
      </c>
      <c r="AA32" s="1003" t="str">
        <f t="shared" si="18"/>
        <v/>
      </c>
      <c r="AB32" s="1004" t="str">
        <f t="shared" si="8"/>
        <v/>
      </c>
      <c r="AC32" s="747" t="str">
        <f>IF(PT_!AU32="","",+PT_!AU32)</f>
        <v/>
      </c>
      <c r="AD32" s="678" t="str">
        <f>IF(PT_!AV32="","",+PT_!AV32)</f>
        <v/>
      </c>
      <c r="AE32" s="1005" t="str">
        <f t="shared" si="9"/>
        <v/>
      </c>
      <c r="AF32" s="1002" t="str">
        <f t="shared" si="10"/>
        <v/>
      </c>
      <c r="AG32" s="1006" t="str">
        <f t="shared" si="11"/>
        <v/>
      </c>
      <c r="AH32" s="1004"/>
      <c r="AI32" s="1002" t="str">
        <f t="shared" si="12"/>
        <v/>
      </c>
      <c r="AJ32" s="1002" t="str">
        <f t="shared" si="13"/>
        <v/>
      </c>
      <c r="AK32" s="610">
        <v>22</v>
      </c>
      <c r="AL32" s="648">
        <v>22</v>
      </c>
      <c r="AM32" s="1007">
        <f>IF(CHEM_!AD31="","",+CHEM_!AD31)</f>
        <v>0</v>
      </c>
      <c r="AN32" s="677"/>
      <c r="AO32" s="677"/>
      <c r="AP32" s="615"/>
      <c r="AQ32" s="615"/>
      <c r="AR32" s="630"/>
      <c r="AS32" s="615"/>
      <c r="AT32" s="615"/>
      <c r="AU32" s="648">
        <v>22</v>
      </c>
      <c r="AV32" s="994"/>
      <c r="AW32" s="995"/>
      <c r="AX32" s="995"/>
      <c r="AY32" s="995"/>
      <c r="AZ32" s="995"/>
      <c r="BA32" s="995"/>
      <c r="BB32" s="995"/>
      <c r="BC32" s="995"/>
      <c r="BD32" s="988"/>
      <c r="BI32" s="290"/>
      <c r="BJ32" s="290"/>
      <c r="BK32" s="290"/>
      <c r="BL32" s="290"/>
      <c r="BM32" s="290"/>
      <c r="BN32" s="290"/>
      <c r="BO32" s="290"/>
      <c r="BP32" s="290"/>
      <c r="BQ32" s="290"/>
      <c r="BR32" s="290"/>
      <c r="BS32" s="290"/>
    </row>
    <row r="33" spans="2:71" ht="17.100000000000001" customHeight="1">
      <c r="B33" s="610">
        <v>23</v>
      </c>
      <c r="C33" s="690" t="str">
        <f>IF(CLA_!DI33="","",+CLA_!DI33)</f>
        <v/>
      </c>
      <c r="D33" s="678" t="str">
        <f>IF(CLA_!DJ33="","",+CLA_!DJ33)</f>
        <v/>
      </c>
      <c r="E33" s="678" t="str">
        <f>IF(CLA_!DK33="","",+CLA_!DK33)</f>
        <v/>
      </c>
      <c r="F33" s="678" t="str">
        <f>IF(CLA_!DL33="","",+CLA_!DL33)</f>
        <v/>
      </c>
      <c r="G33" s="1855" t="str">
        <f t="shared" si="5"/>
        <v/>
      </c>
      <c r="H33" s="1856" t="str">
        <f t="shared" si="3"/>
        <v/>
      </c>
      <c r="I33" s="677" t="str">
        <f>IF(CLA_!DO33="","",+CLA_!DO33)</f>
        <v/>
      </c>
      <c r="J33" s="678" t="str">
        <f>IF(CLA_!DP33="","",+CLA_!DP33)</f>
        <v/>
      </c>
      <c r="K33" s="747" t="str">
        <f>IF(CLA_!DQ33="","",+CLA_!DQ33)</f>
        <v/>
      </c>
      <c r="L33" s="747" t="str">
        <f>IF(CLA_!DR33="","",+CLA_!DR33)</f>
        <v/>
      </c>
      <c r="M33" s="610">
        <v>23</v>
      </c>
      <c r="N33" s="610">
        <v>23</v>
      </c>
      <c r="O33" s="685" t="str">
        <f>IF(PT_!AN33="","",+PT_!AN33)</f>
        <v/>
      </c>
      <c r="P33" s="677" t="str">
        <f>IF(PT_!AO33="","",+PT_!AO33)</f>
        <v/>
      </c>
      <c r="Q33" s="689" t="str">
        <f>IF(PT_!AP33="","",+PT_!AP33)</f>
        <v/>
      </c>
      <c r="R33" s="680" t="str">
        <f t="shared" si="4"/>
        <v/>
      </c>
      <c r="S33" s="678" t="str">
        <f t="shared" si="7"/>
        <v/>
      </c>
      <c r="T33" s="1740"/>
      <c r="U33" s="1745" t="str">
        <f t="shared" si="6"/>
        <v/>
      </c>
      <c r="V33" s="759" t="str">
        <f>IF(CHEM_!S32&gt;0,+CHEM_!S32,"")</f>
        <v/>
      </c>
      <c r="W33" s="676" t="str">
        <f t="shared" si="14"/>
        <v/>
      </c>
      <c r="X33" s="1388" t="str">
        <f>IF(PT_!AR33="","",+PT_!AR33)</f>
        <v/>
      </c>
      <c r="Y33" s="1002" t="str">
        <f t="shared" si="15"/>
        <v/>
      </c>
      <c r="Z33" s="1002" t="str">
        <f t="shared" si="16"/>
        <v/>
      </c>
      <c r="AA33" s="1003" t="str">
        <f t="shared" si="18"/>
        <v/>
      </c>
      <c r="AB33" s="1004" t="str">
        <f t="shared" si="8"/>
        <v/>
      </c>
      <c r="AC33" s="747" t="str">
        <f>IF(PT_!AU33="","",+PT_!AU33)</f>
        <v/>
      </c>
      <c r="AD33" s="678" t="str">
        <f>IF(PT_!AV33="","",+PT_!AV33)</f>
        <v/>
      </c>
      <c r="AE33" s="1005" t="str">
        <f t="shared" si="9"/>
        <v/>
      </c>
      <c r="AF33" s="1002" t="str">
        <f t="shared" si="10"/>
        <v/>
      </c>
      <c r="AG33" s="1006" t="str">
        <f t="shared" si="11"/>
        <v/>
      </c>
      <c r="AH33" s="1004"/>
      <c r="AI33" s="1002" t="str">
        <f t="shared" si="12"/>
        <v/>
      </c>
      <c r="AJ33" s="1002" t="str">
        <f t="shared" si="13"/>
        <v/>
      </c>
      <c r="AK33" s="610">
        <v>23</v>
      </c>
      <c r="AL33" s="648">
        <v>23</v>
      </c>
      <c r="AM33" s="1007">
        <f>IF(CHEM_!AD32="","",+CHEM_!AD32)</f>
        <v>0</v>
      </c>
      <c r="AN33" s="677"/>
      <c r="AO33" s="677"/>
      <c r="AP33" s="615"/>
      <c r="AQ33" s="615"/>
      <c r="AR33" s="630"/>
      <c r="AS33" s="615"/>
      <c r="AT33" s="615"/>
      <c r="AU33" s="648">
        <v>23</v>
      </c>
      <c r="AV33" s="994"/>
      <c r="AW33" s="995"/>
      <c r="AX33" s="995"/>
      <c r="AY33" s="995"/>
      <c r="AZ33" s="995"/>
      <c r="BA33" s="995"/>
      <c r="BB33" s="995"/>
      <c r="BC33" s="995"/>
      <c r="BD33" s="988"/>
      <c r="BI33" s="290"/>
      <c r="BJ33" s="290"/>
      <c r="BK33" s="290"/>
      <c r="BL33" s="290"/>
      <c r="BM33" s="290"/>
      <c r="BN33" s="290"/>
      <c r="BO33" s="290"/>
      <c r="BP33" s="290"/>
      <c r="BQ33" s="290"/>
      <c r="BR33" s="290"/>
      <c r="BS33" s="290"/>
    </row>
    <row r="34" spans="2:71" ht="17.100000000000001" customHeight="1">
      <c r="B34" s="610">
        <v>24</v>
      </c>
      <c r="C34" s="690" t="str">
        <f>IF(CLA_!DI34="","",+CLA_!DI34)</f>
        <v/>
      </c>
      <c r="D34" s="678" t="str">
        <f>IF(CLA_!DJ34="","",+CLA_!DJ34)</f>
        <v/>
      </c>
      <c r="E34" s="678" t="str">
        <f>IF(CLA_!DK34="","",+CLA_!DK34)</f>
        <v/>
      </c>
      <c r="F34" s="678" t="str">
        <f>IF(CLA_!DL34="","",+CLA_!DL34)</f>
        <v/>
      </c>
      <c r="G34" s="1855" t="str">
        <f t="shared" si="5"/>
        <v/>
      </c>
      <c r="H34" s="1856" t="str">
        <f t="shared" si="3"/>
        <v/>
      </c>
      <c r="I34" s="677" t="str">
        <f>IF(CLA_!DO34="","",+CLA_!DO34)</f>
        <v/>
      </c>
      <c r="J34" s="678" t="str">
        <f>IF(CLA_!DP34="","",+CLA_!DP34)</f>
        <v/>
      </c>
      <c r="K34" s="747" t="str">
        <f>IF(CLA_!DQ34="","",+CLA_!DQ34)</f>
        <v/>
      </c>
      <c r="L34" s="747" t="str">
        <f>IF(CLA_!DR34="","",+CLA_!DR34)</f>
        <v/>
      </c>
      <c r="M34" s="610">
        <v>24</v>
      </c>
      <c r="N34" s="610">
        <v>24</v>
      </c>
      <c r="O34" s="685" t="str">
        <f>IF(PT_!AN34="","",+PT_!AN34)</f>
        <v/>
      </c>
      <c r="P34" s="677" t="str">
        <f>IF(PT_!AO34="","",+PT_!AO34)</f>
        <v/>
      </c>
      <c r="Q34" s="689" t="str">
        <f>IF(PT_!AP34="","",+PT_!AP34)</f>
        <v/>
      </c>
      <c r="R34" s="680" t="str">
        <f t="shared" si="4"/>
        <v/>
      </c>
      <c r="S34" s="678" t="str">
        <f t="shared" si="7"/>
        <v/>
      </c>
      <c r="T34" s="1740"/>
      <c r="U34" s="1745" t="str">
        <f t="shared" si="6"/>
        <v/>
      </c>
      <c r="V34" s="759" t="str">
        <f>IF(CHEM_!S33&gt;0,+CHEM_!S33,"")</f>
        <v/>
      </c>
      <c r="W34" s="676" t="str">
        <f t="shared" si="14"/>
        <v/>
      </c>
      <c r="X34" s="1388" t="str">
        <f>IF(PT_!AR34="","",+PT_!AR34)</f>
        <v/>
      </c>
      <c r="Y34" s="1002" t="str">
        <f t="shared" si="15"/>
        <v/>
      </c>
      <c r="Z34" s="1002" t="str">
        <f t="shared" si="16"/>
        <v/>
      </c>
      <c r="AA34" s="1003" t="str">
        <f>IF(W34="","",IF(V34=0,"",ROUND(+X34*$AA$7*$W$7/S34,1)))</f>
        <v/>
      </c>
      <c r="AB34" s="1004" t="str">
        <f t="shared" si="8"/>
        <v/>
      </c>
      <c r="AC34" s="747" t="str">
        <f>IF(PT_!AU34="","",+PT_!AU34)</f>
        <v/>
      </c>
      <c r="AD34" s="678" t="str">
        <f>IF(PT_!AV34="","",+PT_!AV34)</f>
        <v/>
      </c>
      <c r="AE34" s="1005" t="str">
        <f t="shared" si="9"/>
        <v/>
      </c>
      <c r="AF34" s="1002" t="str">
        <f t="shared" si="10"/>
        <v/>
      </c>
      <c r="AG34" s="1006" t="str">
        <f t="shared" si="11"/>
        <v/>
      </c>
      <c r="AH34" s="1004"/>
      <c r="AI34" s="1002" t="str">
        <f t="shared" si="12"/>
        <v/>
      </c>
      <c r="AJ34" s="1002" t="str">
        <f t="shared" si="13"/>
        <v/>
      </c>
      <c r="AK34" s="610">
        <v>24</v>
      </c>
      <c r="AL34" s="648">
        <v>24</v>
      </c>
      <c r="AM34" s="1007">
        <f>IF(CHEM_!AD33="","",+CHEM_!AD33)</f>
        <v>0</v>
      </c>
      <c r="AN34" s="677"/>
      <c r="AO34" s="677"/>
      <c r="AP34" s="615"/>
      <c r="AQ34" s="615"/>
      <c r="AR34" s="630"/>
      <c r="AS34" s="615"/>
      <c r="AT34" s="615"/>
      <c r="AU34" s="648">
        <v>24</v>
      </c>
      <c r="AV34" s="994"/>
      <c r="AW34" s="995"/>
      <c r="AX34" s="995"/>
      <c r="AY34" s="995"/>
      <c r="AZ34" s="995"/>
      <c r="BA34" s="995"/>
      <c r="BB34" s="995"/>
      <c r="BC34" s="995"/>
      <c r="BD34" s="988"/>
      <c r="BI34" s="290"/>
      <c r="BJ34" s="290"/>
      <c r="BK34" s="290"/>
      <c r="BL34" s="290"/>
      <c r="BM34" s="290"/>
      <c r="BN34" s="290"/>
      <c r="BO34" s="290"/>
      <c r="BP34" s="290"/>
      <c r="BQ34" s="290"/>
      <c r="BR34" s="290"/>
      <c r="BS34" s="290"/>
    </row>
    <row r="35" spans="2:71" ht="17.100000000000001" customHeight="1">
      <c r="B35" s="610">
        <v>25</v>
      </c>
      <c r="C35" s="690" t="str">
        <f>IF(CLA_!DI35="","",+CLA_!DI35)</f>
        <v/>
      </c>
      <c r="D35" s="678" t="str">
        <f>IF(CLA_!DJ35="","",+CLA_!DJ35)</f>
        <v/>
      </c>
      <c r="E35" s="678" t="str">
        <f>IF(CLA_!DK35="","",+CLA_!DK35)</f>
        <v/>
      </c>
      <c r="F35" s="678" t="str">
        <f>IF(CLA_!DL35="","",+CLA_!DL35)</f>
        <v/>
      </c>
      <c r="G35" s="1855" t="str">
        <f t="shared" si="5"/>
        <v/>
      </c>
      <c r="H35" s="1856" t="str">
        <f t="shared" si="3"/>
        <v/>
      </c>
      <c r="I35" s="677" t="str">
        <f>IF(CLA_!DO35="","",+CLA_!DO35)</f>
        <v/>
      </c>
      <c r="J35" s="678" t="str">
        <f>IF(CLA_!DP35="","",+CLA_!DP35)</f>
        <v/>
      </c>
      <c r="K35" s="747" t="str">
        <f>IF(CLA_!DQ35="","",+CLA_!DQ35)</f>
        <v/>
      </c>
      <c r="L35" s="747" t="str">
        <f>IF(CLA_!DR35="","",+CLA_!DR35)</f>
        <v/>
      </c>
      <c r="M35" s="610">
        <v>25</v>
      </c>
      <c r="N35" s="610">
        <v>25</v>
      </c>
      <c r="O35" s="685" t="str">
        <f>IF(PT_!AN35="","",+PT_!AN35)</f>
        <v/>
      </c>
      <c r="P35" s="677" t="str">
        <f>IF(PT_!AO35="","",+PT_!AO35)</f>
        <v/>
      </c>
      <c r="Q35" s="689" t="str">
        <f>IF(PT_!AP35="","",+PT_!AP35)</f>
        <v/>
      </c>
      <c r="R35" s="680" t="str">
        <f t="shared" si="4"/>
        <v/>
      </c>
      <c r="S35" s="678" t="str">
        <f t="shared" si="7"/>
        <v/>
      </c>
      <c r="T35" s="1740"/>
      <c r="U35" s="1745" t="str">
        <f t="shared" si="6"/>
        <v/>
      </c>
      <c r="V35" s="759" t="str">
        <f>IF(CHEM_!S34&gt;0,+CHEM_!S34,"")</f>
        <v/>
      </c>
      <c r="W35" s="676" t="str">
        <f t="shared" si="14"/>
        <v/>
      </c>
      <c r="X35" s="1388" t="str">
        <f>IF(PT_!AR35="","",+PT_!AR35)</f>
        <v/>
      </c>
      <c r="Y35" s="1002" t="str">
        <f t="shared" si="15"/>
        <v/>
      </c>
      <c r="Z35" s="1002" t="str">
        <f t="shared" si="16"/>
        <v/>
      </c>
      <c r="AA35" s="1003" t="str">
        <f t="shared" si="18"/>
        <v/>
      </c>
      <c r="AB35" s="1004" t="str">
        <f t="shared" si="8"/>
        <v/>
      </c>
      <c r="AC35" s="747" t="str">
        <f>IF(PT_!AU35="","",+PT_!AU35)</f>
        <v/>
      </c>
      <c r="AD35" s="678" t="str">
        <f>IF(PT_!AV35="","",+PT_!AV35)</f>
        <v/>
      </c>
      <c r="AE35" s="1005" t="str">
        <f t="shared" si="9"/>
        <v/>
      </c>
      <c r="AF35" s="1002" t="str">
        <f t="shared" si="10"/>
        <v/>
      </c>
      <c r="AG35" s="1006" t="str">
        <f t="shared" si="11"/>
        <v/>
      </c>
      <c r="AH35" s="1004"/>
      <c r="AI35" s="1002" t="str">
        <f t="shared" si="12"/>
        <v/>
      </c>
      <c r="AJ35" s="1002" t="str">
        <f t="shared" si="13"/>
        <v/>
      </c>
      <c r="AK35" s="610">
        <v>25</v>
      </c>
      <c r="AL35" s="648">
        <v>25</v>
      </c>
      <c r="AM35" s="1007">
        <f>IF(CHEM_!AD34="","",+CHEM_!AD34)</f>
        <v>0</v>
      </c>
      <c r="AN35" s="677"/>
      <c r="AO35" s="677"/>
      <c r="AP35" s="615"/>
      <c r="AQ35" s="615"/>
      <c r="AR35" s="630"/>
      <c r="AS35" s="615"/>
      <c r="AT35" s="615"/>
      <c r="AU35" s="648">
        <v>25</v>
      </c>
      <c r="AV35" s="994"/>
      <c r="AW35" s="995"/>
      <c r="AX35" s="995"/>
      <c r="AY35" s="995"/>
      <c r="AZ35" s="995"/>
      <c r="BA35" s="995"/>
      <c r="BB35" s="995"/>
      <c r="BC35" s="995"/>
      <c r="BD35" s="988"/>
      <c r="BI35" s="290"/>
      <c r="BJ35" s="290"/>
      <c r="BK35" s="290"/>
      <c r="BL35" s="290"/>
      <c r="BM35" s="290"/>
      <c r="BN35" s="290"/>
      <c r="BO35" s="290"/>
      <c r="BP35" s="290"/>
      <c r="BQ35" s="290"/>
      <c r="BR35" s="290"/>
      <c r="BS35" s="290"/>
    </row>
    <row r="36" spans="2:71" ht="17.100000000000001" customHeight="1">
      <c r="B36" s="610">
        <v>26</v>
      </c>
      <c r="C36" s="690" t="str">
        <f>IF(CLA_!DI36="","",+CLA_!DI36)</f>
        <v/>
      </c>
      <c r="D36" s="678" t="str">
        <f>IF(CLA_!DJ36="","",+CLA_!DJ36)</f>
        <v/>
      </c>
      <c r="E36" s="678" t="str">
        <f>IF(CLA_!DK36="","",+CLA_!DK36)</f>
        <v/>
      </c>
      <c r="F36" s="678" t="str">
        <f>IF(CLA_!DL36="","",+CLA_!DL36)</f>
        <v/>
      </c>
      <c r="G36" s="1855" t="str">
        <f t="shared" si="5"/>
        <v/>
      </c>
      <c r="H36" s="1856" t="str">
        <f t="shared" si="3"/>
        <v/>
      </c>
      <c r="I36" s="677" t="str">
        <f>IF(CLA_!DO36="","",+CLA_!DO36)</f>
        <v/>
      </c>
      <c r="J36" s="678" t="str">
        <f>IF(CLA_!DP36="","",+CLA_!DP36)</f>
        <v/>
      </c>
      <c r="K36" s="747" t="str">
        <f>IF(CLA_!DQ36="","",+CLA_!DQ36)</f>
        <v/>
      </c>
      <c r="L36" s="747" t="str">
        <f>IF(CLA_!DR36="","",+CLA_!DR36)</f>
        <v/>
      </c>
      <c r="M36" s="610">
        <v>26</v>
      </c>
      <c r="N36" s="610">
        <v>26</v>
      </c>
      <c r="O36" s="685" t="str">
        <f>IF(PT_!AN36="","",+PT_!AN36)</f>
        <v/>
      </c>
      <c r="P36" s="677" t="str">
        <f>IF(PT_!AO36="","",+PT_!AO36)</f>
        <v/>
      </c>
      <c r="Q36" s="689" t="str">
        <f>IF(PT_!AP36="","",+PT_!AP36)</f>
        <v/>
      </c>
      <c r="R36" s="680" t="str">
        <f t="shared" si="4"/>
        <v/>
      </c>
      <c r="S36" s="678" t="str">
        <f t="shared" si="7"/>
        <v/>
      </c>
      <c r="T36" s="1740"/>
      <c r="U36" s="1745" t="str">
        <f t="shared" si="6"/>
        <v/>
      </c>
      <c r="V36" s="759" t="str">
        <f>IF(CHEM_!S35&gt;0,+CHEM_!S35,"")</f>
        <v/>
      </c>
      <c r="W36" s="676" t="str">
        <f t="shared" si="14"/>
        <v/>
      </c>
      <c r="X36" s="1388" t="str">
        <f>IF(PT_!AR36="","",+PT_!AR36)</f>
        <v/>
      </c>
      <c r="Y36" s="1002" t="str">
        <f t="shared" si="15"/>
        <v/>
      </c>
      <c r="Z36" s="1002" t="str">
        <f t="shared" si="16"/>
        <v/>
      </c>
      <c r="AA36" s="1003" t="str">
        <f t="shared" si="18"/>
        <v/>
      </c>
      <c r="AB36" s="1004" t="str">
        <f t="shared" si="8"/>
        <v/>
      </c>
      <c r="AC36" s="747" t="str">
        <f>IF(PT_!AU36="","",+PT_!AU36)</f>
        <v/>
      </c>
      <c r="AD36" s="678" t="str">
        <f>IF(PT_!AV36="","",+PT_!AV36)</f>
        <v/>
      </c>
      <c r="AE36" s="1005" t="str">
        <f t="shared" si="9"/>
        <v/>
      </c>
      <c r="AF36" s="1002" t="str">
        <f t="shared" si="10"/>
        <v/>
      </c>
      <c r="AG36" s="1006" t="str">
        <f t="shared" si="11"/>
        <v/>
      </c>
      <c r="AH36" s="1004"/>
      <c r="AI36" s="1002" t="str">
        <f t="shared" si="12"/>
        <v/>
      </c>
      <c r="AJ36" s="1002" t="str">
        <f t="shared" si="13"/>
        <v/>
      </c>
      <c r="AK36" s="610">
        <v>26</v>
      </c>
      <c r="AL36" s="648">
        <v>26</v>
      </c>
      <c r="AM36" s="1007">
        <f>IF(CHEM_!AD35="","",+CHEM_!AD35)</f>
        <v>0</v>
      </c>
      <c r="AN36" s="677"/>
      <c r="AO36" s="677"/>
      <c r="AP36" s="615"/>
      <c r="AQ36" s="615"/>
      <c r="AR36" s="630"/>
      <c r="AS36" s="615"/>
      <c r="AT36" s="615"/>
      <c r="AU36" s="648">
        <v>26</v>
      </c>
      <c r="AV36" s="994"/>
      <c r="AW36" s="995"/>
      <c r="AX36" s="995"/>
      <c r="AY36" s="995"/>
      <c r="AZ36" s="995"/>
      <c r="BA36" s="995"/>
      <c r="BB36" s="995"/>
      <c r="BC36" s="995"/>
      <c r="BD36" s="988"/>
      <c r="BI36" s="290"/>
      <c r="BJ36" s="290"/>
      <c r="BK36" s="290"/>
      <c r="BL36" s="290"/>
      <c r="BM36" s="290"/>
      <c r="BN36" s="290"/>
      <c r="BO36" s="290"/>
      <c r="BP36" s="290"/>
      <c r="BQ36" s="290"/>
      <c r="BR36" s="290"/>
      <c r="BS36" s="290"/>
    </row>
    <row r="37" spans="2:71" ht="17.100000000000001" customHeight="1">
      <c r="B37" s="610">
        <v>27</v>
      </c>
      <c r="C37" s="690" t="str">
        <f>IF(CLA_!DI37="","",+CLA_!DI37)</f>
        <v/>
      </c>
      <c r="D37" s="678" t="str">
        <f>IF(CLA_!DJ37="","",+CLA_!DJ37)</f>
        <v/>
      </c>
      <c r="E37" s="678" t="str">
        <f>IF(CLA_!DK37="","",+CLA_!DK37)</f>
        <v/>
      </c>
      <c r="F37" s="678" t="str">
        <f>IF(CLA_!DL37="","",+CLA_!DL37)</f>
        <v/>
      </c>
      <c r="G37" s="1855" t="str">
        <f t="shared" si="5"/>
        <v/>
      </c>
      <c r="H37" s="1856" t="str">
        <f t="shared" si="3"/>
        <v/>
      </c>
      <c r="I37" s="677" t="str">
        <f>IF(CLA_!DO37="","",+CLA_!DO37)</f>
        <v/>
      </c>
      <c r="J37" s="678" t="str">
        <f>IF(CLA_!DP37="","",+CLA_!DP37)</f>
        <v/>
      </c>
      <c r="K37" s="747" t="str">
        <f>IF(CLA_!DQ37="","",+CLA_!DQ37)</f>
        <v/>
      </c>
      <c r="L37" s="747" t="str">
        <f>IF(CLA_!DR37="","",+CLA_!DR37)</f>
        <v/>
      </c>
      <c r="M37" s="610">
        <v>27</v>
      </c>
      <c r="N37" s="610">
        <v>27</v>
      </c>
      <c r="O37" s="685" t="str">
        <f>IF(PT_!AN37="","",+PT_!AN37)</f>
        <v/>
      </c>
      <c r="P37" s="677" t="str">
        <f>IF(PT_!AO37="","",+PT_!AO37)</f>
        <v/>
      </c>
      <c r="Q37" s="689" t="str">
        <f>IF(PT_!AP37="","",+PT_!AP37)</f>
        <v/>
      </c>
      <c r="R37" s="680" t="str">
        <f t="shared" si="4"/>
        <v/>
      </c>
      <c r="S37" s="678" t="str">
        <f t="shared" si="7"/>
        <v/>
      </c>
      <c r="T37" s="1740" t="str">
        <f>IF(ISNUMBER(Q37),+PT_!AS38-PT_!AS37,"")</f>
        <v/>
      </c>
      <c r="U37" s="1745" t="str">
        <f t="shared" si="6"/>
        <v/>
      </c>
      <c r="V37" s="759" t="str">
        <f>IF(CHEM_!S36&gt;0,+CHEM_!S36,"")</f>
        <v/>
      </c>
      <c r="W37" s="676" t="str">
        <f t="shared" si="14"/>
        <v/>
      </c>
      <c r="X37" s="1388" t="str">
        <f>IF(PT_!AR37="","",+PT_!AR37)</f>
        <v/>
      </c>
      <c r="Y37" s="1002" t="str">
        <f t="shared" si="15"/>
        <v/>
      </c>
      <c r="Z37" s="1002" t="str">
        <f t="shared" si="16"/>
        <v/>
      </c>
      <c r="AA37" s="1003" t="str">
        <f t="shared" si="18"/>
        <v/>
      </c>
      <c r="AB37" s="1004" t="str">
        <f t="shared" si="8"/>
        <v/>
      </c>
      <c r="AC37" s="747" t="str">
        <f>IF(PT_!AU37="","",+PT_!AU37)</f>
        <v/>
      </c>
      <c r="AD37" s="678" t="str">
        <f>IF(PT_!AV37="","",+PT_!AV37)</f>
        <v/>
      </c>
      <c r="AE37" s="1005" t="str">
        <f t="shared" si="9"/>
        <v/>
      </c>
      <c r="AF37" s="1002" t="str">
        <f t="shared" si="10"/>
        <v/>
      </c>
      <c r="AG37" s="1006" t="str">
        <f t="shared" si="11"/>
        <v/>
      </c>
      <c r="AH37" s="1004"/>
      <c r="AI37" s="1002" t="str">
        <f t="shared" si="12"/>
        <v/>
      </c>
      <c r="AJ37" s="1002" t="str">
        <f t="shared" si="13"/>
        <v/>
      </c>
      <c r="AK37" s="610">
        <v>27</v>
      </c>
      <c r="AL37" s="648">
        <v>27</v>
      </c>
      <c r="AM37" s="1007">
        <f>IF(CHEM_!AD36="","",+CHEM_!AD36)</f>
        <v>0</v>
      </c>
      <c r="AN37" s="677"/>
      <c r="AO37" s="677"/>
      <c r="AP37" s="615"/>
      <c r="AQ37" s="615"/>
      <c r="AR37" s="630"/>
      <c r="AS37" s="615"/>
      <c r="AT37" s="615"/>
      <c r="AU37" s="648">
        <v>27</v>
      </c>
      <c r="AV37" s="994"/>
      <c r="AW37" s="995"/>
      <c r="AX37" s="995"/>
      <c r="AY37" s="995"/>
      <c r="AZ37" s="995"/>
      <c r="BA37" s="995"/>
      <c r="BB37" s="995"/>
      <c r="BC37" s="995"/>
      <c r="BD37" s="988"/>
      <c r="BI37" s="290"/>
      <c r="BJ37" s="290"/>
      <c r="BK37" s="290"/>
      <c r="BL37" s="290"/>
      <c r="BM37" s="290"/>
      <c r="BN37" s="290"/>
      <c r="BO37" s="290"/>
      <c r="BP37" s="290"/>
      <c r="BQ37" s="290"/>
      <c r="BR37" s="290"/>
      <c r="BS37" s="290"/>
    </row>
    <row r="38" spans="2:71" ht="17.100000000000001" customHeight="1">
      <c r="B38" s="610">
        <v>28</v>
      </c>
      <c r="C38" s="690" t="str">
        <f>IF(CLA_!DI38="","",+CLA_!DI38)</f>
        <v/>
      </c>
      <c r="D38" s="678" t="str">
        <f>IF(CLA_!DJ38="","",+CLA_!DJ38)</f>
        <v/>
      </c>
      <c r="E38" s="678" t="str">
        <f>IF(CLA_!DK38="","",+CLA_!DK38)</f>
        <v/>
      </c>
      <c r="F38" s="678" t="str">
        <f>IF(CLA_!DL38="","",+CLA_!DL38)</f>
        <v/>
      </c>
      <c r="G38" s="1855" t="str">
        <f t="shared" si="5"/>
        <v/>
      </c>
      <c r="H38" s="1856" t="str">
        <f t="shared" si="3"/>
        <v/>
      </c>
      <c r="I38" s="677" t="str">
        <f>IF(CLA_!DO38="","",+CLA_!DO38)</f>
        <v/>
      </c>
      <c r="J38" s="678" t="str">
        <f>IF(CLA_!DP38="","",+CLA_!DP38)</f>
        <v/>
      </c>
      <c r="K38" s="747" t="str">
        <f>IF(CLA_!DQ38="","",+CLA_!DQ38)</f>
        <v/>
      </c>
      <c r="L38" s="747" t="str">
        <f>IF(CLA_!DR38="","",+CLA_!DR38)</f>
        <v/>
      </c>
      <c r="M38" s="610">
        <v>28</v>
      </c>
      <c r="N38" s="610">
        <v>28</v>
      </c>
      <c r="O38" s="685" t="str">
        <f>IF(PT_!AN38="","",+PT_!AN38)</f>
        <v/>
      </c>
      <c r="P38" s="677" t="str">
        <f>IF(PT_!AO38="","",+PT_!AO38)</f>
        <v/>
      </c>
      <c r="Q38" s="689" t="str">
        <f>IF(PT_!AP38="","",+PT_!AP38)</f>
        <v/>
      </c>
      <c r="R38" s="680" t="str">
        <f t="shared" si="4"/>
        <v/>
      </c>
      <c r="S38" s="678" t="str">
        <f t="shared" si="7"/>
        <v/>
      </c>
      <c r="T38" s="1740" t="str">
        <f>IF(ISNUMBER(Q38),+PT_!AS39-PT_!AS38,"")</f>
        <v/>
      </c>
      <c r="U38" s="1745" t="str">
        <f t="shared" si="6"/>
        <v/>
      </c>
      <c r="V38" s="759" t="str">
        <f>IF(CHEM_!S37&gt;0,+CHEM_!S37,"")</f>
        <v/>
      </c>
      <c r="W38" s="676" t="str">
        <f t="shared" si="14"/>
        <v/>
      </c>
      <c r="X38" s="1388" t="str">
        <f>IF(PT_!AR38="","",+PT_!AR38)</f>
        <v/>
      </c>
      <c r="Y38" s="1002" t="str">
        <f t="shared" si="15"/>
        <v/>
      </c>
      <c r="Z38" s="1002" t="str">
        <f t="shared" si="16"/>
        <v/>
      </c>
      <c r="AA38" s="1003" t="str">
        <f t="shared" si="18"/>
        <v/>
      </c>
      <c r="AB38" s="1004" t="str">
        <f t="shared" si="8"/>
        <v/>
      </c>
      <c r="AC38" s="747" t="str">
        <f>IF(PT_!AU38="","",+PT_!AU38)</f>
        <v/>
      </c>
      <c r="AD38" s="678" t="str">
        <f>IF(PT_!AV38="","",+PT_!AV38)</f>
        <v/>
      </c>
      <c r="AE38" s="1005" t="str">
        <f t="shared" si="9"/>
        <v/>
      </c>
      <c r="AF38" s="1002" t="str">
        <f t="shared" si="10"/>
        <v/>
      </c>
      <c r="AG38" s="1006" t="str">
        <f t="shared" si="11"/>
        <v/>
      </c>
      <c r="AH38" s="1004"/>
      <c r="AI38" s="1002" t="str">
        <f t="shared" si="12"/>
        <v/>
      </c>
      <c r="AJ38" s="1002" t="str">
        <f t="shared" si="13"/>
        <v/>
      </c>
      <c r="AK38" s="610">
        <v>28</v>
      </c>
      <c r="AL38" s="648">
        <v>28</v>
      </c>
      <c r="AM38" s="1007">
        <f>IF(CHEM_!AD37="","",+CHEM_!AD37)</f>
        <v>0</v>
      </c>
      <c r="AN38" s="677"/>
      <c r="AO38" s="677"/>
      <c r="AP38" s="615"/>
      <c r="AQ38" s="615"/>
      <c r="AR38" s="630"/>
      <c r="AS38" s="615"/>
      <c r="AT38" s="615"/>
      <c r="AU38" s="648">
        <v>28</v>
      </c>
      <c r="AV38" s="994"/>
      <c r="AW38" s="995"/>
      <c r="AX38" s="995"/>
      <c r="AY38" s="995"/>
      <c r="AZ38" s="995"/>
      <c r="BA38" s="995"/>
      <c r="BB38" s="995"/>
      <c r="BC38" s="995"/>
      <c r="BD38" s="988"/>
      <c r="BI38" s="290"/>
      <c r="BJ38" s="290"/>
      <c r="BK38" s="290"/>
      <c r="BL38" s="290"/>
      <c r="BM38" s="290"/>
      <c r="BN38" s="290"/>
      <c r="BO38" s="290"/>
      <c r="BP38" s="290"/>
      <c r="BQ38" s="290"/>
      <c r="BR38" s="290"/>
      <c r="BS38" s="290"/>
    </row>
    <row r="39" spans="2:71" ht="17.100000000000001" customHeight="1">
      <c r="B39" s="610">
        <v>29</v>
      </c>
      <c r="C39" s="690" t="str">
        <f>IF(CLA_!DI39="","",+CLA_!DI39)</f>
        <v/>
      </c>
      <c r="D39" s="678" t="str">
        <f>IF(CLA_!DJ39="","",+CLA_!DJ39)</f>
        <v/>
      </c>
      <c r="E39" s="678" t="str">
        <f>IF(CLA_!DK39="","",+CLA_!DK39)</f>
        <v/>
      </c>
      <c r="F39" s="678" t="str">
        <f>IF(CLA_!DL39="","",+CLA_!DL39)</f>
        <v/>
      </c>
      <c r="G39" s="1855" t="str">
        <f t="shared" si="5"/>
        <v/>
      </c>
      <c r="H39" s="1856" t="str">
        <f t="shared" si="3"/>
        <v/>
      </c>
      <c r="I39" s="677" t="str">
        <f>IF(CLA_!DO39="","",+CLA_!DO39)</f>
        <v/>
      </c>
      <c r="J39" s="678" t="str">
        <f>IF(CLA_!DP39="","",+CLA_!DP39)</f>
        <v/>
      </c>
      <c r="K39" s="747" t="str">
        <f>IF(CLA_!DQ39="","",+CLA_!DQ39)</f>
        <v/>
      </c>
      <c r="L39" s="747" t="str">
        <f>IF(CLA_!DR39="","",+CLA_!DR39)</f>
        <v/>
      </c>
      <c r="M39" s="610">
        <v>29</v>
      </c>
      <c r="N39" s="610">
        <v>29</v>
      </c>
      <c r="O39" s="685" t="str">
        <f>IF(PT_!AN39="","",+PT_!AN39)</f>
        <v/>
      </c>
      <c r="P39" s="677" t="str">
        <f>IF(PT_!AO39="","",+PT_!AO39)</f>
        <v/>
      </c>
      <c r="Q39" s="689" t="str">
        <f>IF(PT_!AP39="","",+PT_!AP39)</f>
        <v/>
      </c>
      <c r="R39" s="680" t="str">
        <f t="shared" si="4"/>
        <v/>
      </c>
      <c r="S39" s="678" t="str">
        <f t="shared" si="7"/>
        <v/>
      </c>
      <c r="T39" s="1740" t="str">
        <f>IF(ISNUMBER(Q39),+PT_!AS40-PT_!AS39,"")</f>
        <v/>
      </c>
      <c r="U39" s="1745" t="str">
        <f t="shared" si="6"/>
        <v/>
      </c>
      <c r="V39" s="759" t="str">
        <f>IF(CHEM_!S38&gt;0,+CHEM_!S38,"")</f>
        <v/>
      </c>
      <c r="W39" s="676" t="str">
        <f t="shared" si="14"/>
        <v/>
      </c>
      <c r="X39" s="1388" t="str">
        <f>IF(PT_!AR39="","",+PT_!AR39)</f>
        <v/>
      </c>
      <c r="Y39" s="1002" t="str">
        <f t="shared" si="15"/>
        <v/>
      </c>
      <c r="Z39" s="1002" t="str">
        <f t="shared" si="16"/>
        <v/>
      </c>
      <c r="AA39" s="1003" t="str">
        <f t="shared" si="18"/>
        <v/>
      </c>
      <c r="AB39" s="1004" t="str">
        <f t="shared" si="8"/>
        <v/>
      </c>
      <c r="AC39" s="747" t="str">
        <f>IF(PT_!AU39="","",+PT_!AU39)</f>
        <v/>
      </c>
      <c r="AD39" s="678" t="str">
        <f>IF(PT_!AV39="","",+PT_!AV39)</f>
        <v/>
      </c>
      <c r="AE39" s="1005" t="str">
        <f t="shared" si="9"/>
        <v/>
      </c>
      <c r="AF39" s="1002" t="str">
        <f t="shared" si="10"/>
        <v/>
      </c>
      <c r="AG39" s="1006" t="str">
        <f t="shared" si="11"/>
        <v/>
      </c>
      <c r="AH39" s="1004"/>
      <c r="AI39" s="1002" t="str">
        <f t="shared" si="12"/>
        <v/>
      </c>
      <c r="AJ39" s="1002" t="str">
        <f t="shared" si="13"/>
        <v/>
      </c>
      <c r="AK39" s="610">
        <v>29</v>
      </c>
      <c r="AL39" s="648">
        <v>29</v>
      </c>
      <c r="AM39" s="1007">
        <f>IF(CHEM_!AD38="","",+CHEM_!AD38)</f>
        <v>0</v>
      </c>
      <c r="AN39" s="677"/>
      <c r="AO39" s="677"/>
      <c r="AP39" s="615"/>
      <c r="AQ39" s="615"/>
      <c r="AR39" s="630"/>
      <c r="AS39" s="615"/>
      <c r="AT39" s="615"/>
      <c r="AU39" s="648">
        <v>29</v>
      </c>
      <c r="AV39" s="994"/>
      <c r="AW39" s="995"/>
      <c r="AX39" s="995"/>
      <c r="AY39" s="995"/>
      <c r="AZ39" s="995"/>
      <c r="BA39" s="995"/>
      <c r="BB39" s="995"/>
      <c r="BC39" s="995"/>
      <c r="BD39" s="988"/>
      <c r="BI39" s="290"/>
      <c r="BJ39" s="290"/>
      <c r="BK39" s="290"/>
      <c r="BL39" s="290"/>
      <c r="BM39" s="290"/>
      <c r="BN39" s="290"/>
      <c r="BO39" s="290"/>
      <c r="BP39" s="290"/>
      <c r="BQ39" s="290"/>
      <c r="BR39" s="290"/>
      <c r="BS39" s="290"/>
    </row>
    <row r="40" spans="2:71" ht="17.100000000000001" customHeight="1">
      <c r="B40" s="610">
        <v>30</v>
      </c>
      <c r="C40" s="690" t="str">
        <f>IF(CLA_!DI40="","",+CLA_!DI40)</f>
        <v/>
      </c>
      <c r="D40" s="678" t="str">
        <f>IF(CLA_!DJ40="","",+CLA_!DJ40)</f>
        <v/>
      </c>
      <c r="E40" s="678" t="str">
        <f>IF(CLA_!DK40="","",+CLA_!DK40)</f>
        <v/>
      </c>
      <c r="F40" s="678" t="str">
        <f>IF(CLA_!DL40="","",+CLA_!DL40)</f>
        <v/>
      </c>
      <c r="G40" s="1855" t="str">
        <f t="shared" si="5"/>
        <v/>
      </c>
      <c r="H40" s="1856" t="str">
        <f t="shared" si="3"/>
        <v/>
      </c>
      <c r="I40" s="677" t="str">
        <f>IF(CLA_!DO40="","",+CLA_!DO40)</f>
        <v/>
      </c>
      <c r="J40" s="678" t="str">
        <f>IF(CLA_!DP40="","",+CLA_!DP40)</f>
        <v/>
      </c>
      <c r="K40" s="747" t="str">
        <f>IF(CLA_!DQ40="","",+CLA_!DQ40)</f>
        <v/>
      </c>
      <c r="L40" s="747" t="str">
        <f>IF(CLA_!DR40="","",+CLA_!DR40)</f>
        <v/>
      </c>
      <c r="M40" s="610">
        <v>30</v>
      </c>
      <c r="N40" s="610">
        <v>30</v>
      </c>
      <c r="O40" s="685" t="str">
        <f>IF(PT_!AN40="","",+PT_!AN40)</f>
        <v/>
      </c>
      <c r="P40" s="677" t="str">
        <f>IF(PT_!AO40="","",+PT_!AO40)</f>
        <v/>
      </c>
      <c r="Q40" s="689" t="str">
        <f>IF(PT_!AP40="","",+PT_!AP40)</f>
        <v/>
      </c>
      <c r="R40" s="680" t="str">
        <f t="shared" si="4"/>
        <v/>
      </c>
      <c r="S40" s="678" t="str">
        <f>IF(R40="","",IF(ISNUMBER(C40),ROUND(R40*0.63*C40/2000,1),ROUND(+R40*0.63*$C$42/2000,1)))</f>
        <v/>
      </c>
      <c r="T40" s="1740" t="str">
        <f>IF(ISNUMBER(Q40),+PT_!AS41-PT_!AS40,"")</f>
        <v/>
      </c>
      <c r="U40" s="1745" t="str">
        <f t="shared" si="6"/>
        <v/>
      </c>
      <c r="V40" s="759" t="str">
        <f>IF(CHEM_!S39&gt;0,+CHEM_!S39,"")</f>
        <v/>
      </c>
      <c r="W40" s="676" t="str">
        <f>IF(X40="","",+X40/P40/60)</f>
        <v/>
      </c>
      <c r="X40" s="1388" t="str">
        <f>IF(PT_!AR40="","",+PT_!AR40)</f>
        <v/>
      </c>
      <c r="Y40" s="1002" t="str">
        <f>IF(W40="","",IF(V40=0,"",+V40*$W$6*$W$7))</f>
        <v/>
      </c>
      <c r="Z40" s="1002" t="str">
        <f>IF(W40="","",IF(Y40=0,"",+Y40/S40))</f>
        <v/>
      </c>
      <c r="AA40" s="1003" t="str">
        <f>IF(W40="","",IF(V40=0,"",ROUND(+X40*$AA$7*$W$7/S40,1)))</f>
        <v/>
      </c>
      <c r="AB40" s="1004" t="str">
        <f t="shared" si="8"/>
        <v/>
      </c>
      <c r="AC40" s="747" t="str">
        <f>IF(PT_!AU40="","",+PT_!AU40)</f>
        <v/>
      </c>
      <c r="AD40" s="678" t="str">
        <f>IF(PT_!AV40="","",+PT_!AV40)</f>
        <v/>
      </c>
      <c r="AE40" s="1005" t="str">
        <f>IF(AD40="","",+AD40*IF(ISNUMBER(E40),E40/100,$E$42/100))</f>
        <v/>
      </c>
      <c r="AF40" s="1002" t="str">
        <f>IF(AD40="","",ROUND(+AD40*2000/53,-2))</f>
        <v/>
      </c>
      <c r="AG40" s="1006" t="str">
        <f>IF(Q40="","",(0.95*Q40/1000000))</f>
        <v/>
      </c>
      <c r="AH40" s="1004"/>
      <c r="AI40" s="1002" t="str">
        <f>IF($Q40="","",ROUND(+$AG40*8.34*IF(I40=0,$I$42,I40),-1))</f>
        <v/>
      </c>
      <c r="AJ40" s="1002" t="str">
        <f>IF($Q40="","",ROUND(+$AG40*8.34*IF(ISNUMBER(K40),K40,$K$42),-1))</f>
        <v/>
      </c>
      <c r="AK40" s="610">
        <v>30</v>
      </c>
      <c r="AL40" s="648">
        <v>30</v>
      </c>
      <c r="AM40" s="1007">
        <f>IF(CHEM_!AD39="","",+CHEM_!AD39)</f>
        <v>0</v>
      </c>
      <c r="AN40" s="677"/>
      <c r="AO40" s="677"/>
      <c r="AP40" s="615"/>
      <c r="AQ40" s="615"/>
      <c r="AR40" s="630"/>
      <c r="AS40" s="615"/>
      <c r="AT40" s="615"/>
      <c r="AU40" s="648">
        <v>30</v>
      </c>
      <c r="AV40" s="994"/>
      <c r="AW40" s="995"/>
      <c r="AX40" s="995"/>
      <c r="AY40" s="995"/>
      <c r="AZ40" s="995"/>
      <c r="BA40" s="995"/>
      <c r="BB40" s="995"/>
      <c r="BC40" s="995"/>
      <c r="BD40" s="988"/>
      <c r="BI40" s="290"/>
      <c r="BJ40" s="290"/>
      <c r="BK40" s="290"/>
      <c r="BL40" s="290"/>
      <c r="BM40" s="290"/>
      <c r="BN40" s="290"/>
      <c r="BO40" s="290"/>
      <c r="BP40" s="290"/>
      <c r="BQ40" s="290"/>
      <c r="BR40" s="290"/>
      <c r="BS40" s="290"/>
    </row>
    <row r="41" spans="2:71" ht="17.100000000000001" customHeight="1" thickBot="1">
      <c r="B41" s="610">
        <v>31</v>
      </c>
      <c r="C41" s="690" t="str">
        <f>IF(CLA_!DI41="","",+CLA_!DI41)</f>
        <v/>
      </c>
      <c r="D41" s="678" t="str">
        <f>IF(CLA_!DJ41="","",+CLA_!DJ41)</f>
        <v/>
      </c>
      <c r="E41" s="678" t="str">
        <f>IF(CLA_!DK41="","",+CLA_!DK41)</f>
        <v/>
      </c>
      <c r="F41" s="678" t="str">
        <f>IF(CLA_!DL41="","",+CLA_!DL41)</f>
        <v/>
      </c>
      <c r="G41" s="1855" t="str">
        <f t="shared" si="5"/>
        <v/>
      </c>
      <c r="H41" s="1856" t="str">
        <f t="shared" si="3"/>
        <v/>
      </c>
      <c r="I41" s="677" t="str">
        <f>IF(CLA_!DO41="","",+CLA_!DO41)</f>
        <v/>
      </c>
      <c r="J41" s="678" t="str">
        <f>IF(CLA_!DP41="","",+CLA_!DP41)</f>
        <v/>
      </c>
      <c r="K41" s="747" t="str">
        <f>IF(CLA_!DQ41="","",+CLA_!DQ41)</f>
        <v/>
      </c>
      <c r="L41" s="747" t="str">
        <f>IF(CLA_!DR41="","",+CLA_!DR41)</f>
        <v/>
      </c>
      <c r="M41" s="610">
        <v>31</v>
      </c>
      <c r="N41" s="610">
        <v>31</v>
      </c>
      <c r="O41" s="685" t="str">
        <f>IF(PT_!AN41="","",+PT_!AN41)</f>
        <v/>
      </c>
      <c r="P41" s="677" t="str">
        <f>IF(PT_!AO41="","",+PT_!AO41)</f>
        <v/>
      </c>
      <c r="Q41" s="689" t="str">
        <f>IF(PT_!AP41="","",+PT_!AP41)</f>
        <v/>
      </c>
      <c r="R41" s="680" t="str">
        <f t="shared" si="4"/>
        <v/>
      </c>
      <c r="S41" s="678" t="str">
        <f>IF(R41="","",IF(ISNUMBER(C41),ROUND(R41*0.63*C41/2000,1),ROUND(+R41*0.63*$C$42/2000,1)))</f>
        <v/>
      </c>
      <c r="T41" s="1740"/>
      <c r="U41" s="1745" t="str">
        <f t="shared" si="6"/>
        <v/>
      </c>
      <c r="V41" s="759" t="str">
        <f>IF(CHEM_!S40&gt;0,+CHEM_!S40,"")</f>
        <v/>
      </c>
      <c r="W41" s="676" t="str">
        <f>IF(X41="","",+X41/P41/60)</f>
        <v/>
      </c>
      <c r="X41" s="1388" t="str">
        <f>IF(PT_!AR41="","",+PT_!AR41)</f>
        <v/>
      </c>
      <c r="Y41" s="1002" t="str">
        <f>IF(W41="","",IF(V41=0,"",+V41*$W$6*$W$7))</f>
        <v/>
      </c>
      <c r="Z41" s="1002" t="str">
        <f>IF(W41="","",IF(Y41=0,"",+Y41/S41))</f>
        <v/>
      </c>
      <c r="AA41" s="1003" t="str">
        <f>IF(W41="","",IF(V41=0,"",ROUND(+X41*$AA$7*$W$7/S41,1)))</f>
        <v/>
      </c>
      <c r="AB41" s="1004" t="str">
        <f t="shared" si="8"/>
        <v/>
      </c>
      <c r="AC41" s="747" t="str">
        <f>IF(PT_!AU41="","",+PT_!AU41)</f>
        <v/>
      </c>
      <c r="AD41" s="678" t="str">
        <f>IF(PT_!AV41="","",+PT_!AV41)</f>
        <v/>
      </c>
      <c r="AE41" s="1005" t="str">
        <f>IF(AD41="","",+AD41*IF(ISNUMBER(E41),E41/100,$E$42/100))</f>
        <v/>
      </c>
      <c r="AF41" s="1002" t="str">
        <f>IF(AD41="","",ROUND(+AD41*2000/53,-2))</f>
        <v/>
      </c>
      <c r="AG41" s="1006" t="str">
        <f>IF(Q41="","",(0.95*Q41/1000000))</f>
        <v/>
      </c>
      <c r="AH41" s="1004"/>
      <c r="AI41" s="1002" t="str">
        <f>IF($Q41="","",ROUND(+$AG41*8.34*IF(I41=0,$I$42,I41),-1))</f>
        <v/>
      </c>
      <c r="AJ41" s="1002" t="str">
        <f>IF($Q41="","",ROUND(+$AG41*8.34*IF(ISNUMBER(K41),K41,$K$42),-1))</f>
        <v/>
      </c>
      <c r="AK41" s="610">
        <v>31</v>
      </c>
      <c r="AL41" s="648">
        <v>31</v>
      </c>
      <c r="AM41" s="1007">
        <f>IF(CHEM_!AD40="","",+CHEM_!AD40)</f>
        <v>0</v>
      </c>
      <c r="AN41" s="677"/>
      <c r="AO41" s="677"/>
      <c r="AP41" s="615"/>
      <c r="AQ41" s="615"/>
      <c r="AR41" s="630"/>
      <c r="AS41" s="615"/>
      <c r="AT41" s="615"/>
      <c r="AU41" s="648">
        <v>31</v>
      </c>
      <c r="AV41" s="994"/>
      <c r="AW41" s="995"/>
      <c r="AX41" s="995"/>
      <c r="AY41" s="995"/>
      <c r="AZ41" s="995"/>
      <c r="BA41" s="995"/>
      <c r="BB41" s="995"/>
      <c r="BC41" s="995"/>
      <c r="BD41" s="988"/>
      <c r="BI41" s="290"/>
      <c r="BJ41" s="290"/>
      <c r="BK41" s="290"/>
      <c r="BL41" s="290"/>
      <c r="BM41" s="290"/>
      <c r="BN41" s="290"/>
      <c r="BO41" s="290"/>
      <c r="BP41" s="290"/>
      <c r="BQ41" s="290"/>
      <c r="BR41" s="290"/>
      <c r="BS41" s="290"/>
    </row>
    <row r="42" spans="2:71" ht="17.100000000000001" customHeight="1" thickTop="1" thickBot="1">
      <c r="B42" s="1013" t="s">
        <v>369</v>
      </c>
      <c r="C42" s="784">
        <f>IF(SUM(C11:C41)=0,"",ROUND(AVERAGE(C11:C41),1))</f>
        <v>1.7</v>
      </c>
      <c r="D42" s="785">
        <f>IF(SUM(D11:D41)=0,"",ROUND(AVERAGE(D11:D41),1))</f>
        <v>73.099999999999994</v>
      </c>
      <c r="E42" s="785">
        <f>IF(SUM(E11:E41)=0,"",ROUND(AVERAGE(E11:E41),1))</f>
        <v>23.2</v>
      </c>
      <c r="F42" s="785">
        <f>IF(SUM(F11:F41)=0,"",ROUND(AVERAGE(F11:F41),1))</f>
        <v>74.5</v>
      </c>
      <c r="G42" s="1014">
        <f>IF(SUM(G11:G41)=0,"",ROUND(AVERAGE(G11:G41),0))</f>
        <v>152</v>
      </c>
      <c r="H42" s="785">
        <f>IF(SUM(H11:H41)=0,"",ROUND(AVERAGE(H11:H41),1))</f>
        <v>0.7</v>
      </c>
      <c r="I42" s="1014">
        <f>IF(SUM(I11:I41)=0,"",ROUND(AVERAGE(I11:I41),-1))</f>
        <v>3140</v>
      </c>
      <c r="J42" s="785" t="str">
        <f>IF(SUM(J11:J41)=0,"",ROUND(AVERAGE(J11:J41),0))</f>
        <v/>
      </c>
      <c r="K42" s="1014">
        <f>IF(SUM(K11:K41)=0,"",ROUND(AVERAGE(K11:K41),0))</f>
        <v>195</v>
      </c>
      <c r="L42" s="1014" t="str">
        <f>IF(SUM(L11:L41)=0,"",ROUND(AVERAGE(L11:L41),0))</f>
        <v/>
      </c>
      <c r="M42" s="1013" t="s">
        <v>369</v>
      </c>
      <c r="N42" s="1013" t="s">
        <v>1051</v>
      </c>
      <c r="O42" s="783">
        <f>SUM(O11:O41)</f>
        <v>9</v>
      </c>
      <c r="P42" s="1014">
        <f>SUM(P11:P41)</f>
        <v>146</v>
      </c>
      <c r="Q42" s="1015">
        <f>ROUND(SUM(Q11:Q41),0)</f>
        <v>1288785</v>
      </c>
      <c r="R42" s="1015">
        <f>ROUND(SUM(R11:R41),0)</f>
        <v>172297</v>
      </c>
      <c r="S42" s="1016">
        <f>ROUND(SUM(S11:S41),1)</f>
        <v>93.2</v>
      </c>
      <c r="T42" s="1015">
        <f>ROUND(SUM(T11:T41),0)</f>
        <v>0</v>
      </c>
      <c r="U42" s="1795">
        <f>ROUND(SUM(U11:U41),0)</f>
        <v>1224346</v>
      </c>
      <c r="V42" s="1732">
        <f t="shared" ref="V42:AC42" si="19">ROUND(SUM(V11:V41),0)</f>
        <v>909</v>
      </c>
      <c r="W42" s="1015">
        <f t="shared" si="19"/>
        <v>67</v>
      </c>
      <c r="X42" s="1015">
        <f t="shared" si="19"/>
        <v>196730</v>
      </c>
      <c r="Y42" s="1015">
        <f t="shared" si="19"/>
        <v>3231</v>
      </c>
      <c r="Z42" s="1015">
        <f t="shared" si="19"/>
        <v>101</v>
      </c>
      <c r="AA42" s="1015">
        <f t="shared" si="19"/>
        <v>278</v>
      </c>
      <c r="AB42" s="1015">
        <f t="shared" si="19"/>
        <v>246</v>
      </c>
      <c r="AC42" s="1015">
        <f t="shared" si="19"/>
        <v>15</v>
      </c>
      <c r="AD42" s="785">
        <f>ROUND(SUM(AD11:AD41),1)</f>
        <v>329.6</v>
      </c>
      <c r="AE42" s="785">
        <f>ROUND(SUM(AE11:AE41),1)</f>
        <v>76.099999999999994</v>
      </c>
      <c r="AF42" s="1015">
        <f>ROUND(SUM(AF11:AF41),0)</f>
        <v>12300</v>
      </c>
      <c r="AG42" s="785">
        <f>ROUND(SUM(AG11:AG41),1)</f>
        <v>1.2</v>
      </c>
      <c r="AH42" s="1793" t="s">
        <v>972</v>
      </c>
      <c r="AI42" s="1015">
        <f>ROUND(SUM(AI11:AI41),0)</f>
        <v>31610</v>
      </c>
      <c r="AJ42" s="1015">
        <f>ROUND(SUM(AJ11:AJ41),0)</f>
        <v>2010</v>
      </c>
      <c r="AK42" s="1013" t="s">
        <v>1051</v>
      </c>
      <c r="AL42" s="693" t="s">
        <v>1051</v>
      </c>
      <c r="AM42" s="1017">
        <f t="shared" ref="AM42:AT42" si="20">IF(SUM(AM11:AM41)=0,"",ROUND(SUM(AM11:AM41),0))</f>
        <v>236</v>
      </c>
      <c r="AN42" s="1015" t="str">
        <f t="shared" si="20"/>
        <v/>
      </c>
      <c r="AO42" s="1015" t="str">
        <f t="shared" si="20"/>
        <v/>
      </c>
      <c r="AP42" s="1015" t="str">
        <f t="shared" si="20"/>
        <v/>
      </c>
      <c r="AQ42" s="1015" t="str">
        <f t="shared" si="20"/>
        <v/>
      </c>
      <c r="AR42" s="1015" t="str">
        <f t="shared" si="20"/>
        <v/>
      </c>
      <c r="AS42" s="1015" t="str">
        <f t="shared" si="20"/>
        <v/>
      </c>
      <c r="AT42" s="1015" t="str">
        <f t="shared" si="20"/>
        <v/>
      </c>
      <c r="AU42" s="1013" t="s">
        <v>725</v>
      </c>
      <c r="AV42" s="994" t="s">
        <v>999</v>
      </c>
      <c r="AW42" s="995"/>
      <c r="AX42" s="995"/>
      <c r="AY42" s="995"/>
      <c r="AZ42" s="995"/>
      <c r="BA42" s="995"/>
      <c r="BB42" s="995"/>
      <c r="BC42" s="995"/>
      <c r="BD42" s="988"/>
      <c r="BI42" s="290"/>
      <c r="BJ42" s="290"/>
      <c r="BK42" s="290"/>
      <c r="BL42" s="290"/>
      <c r="BM42" s="290"/>
      <c r="BN42" s="290"/>
      <c r="BO42" s="290"/>
      <c r="BP42" s="290"/>
      <c r="BQ42" s="290"/>
      <c r="BR42" s="290"/>
      <c r="BS42" s="290"/>
    </row>
    <row r="43" spans="2:71" ht="17.100000000000001" customHeight="1" thickBot="1">
      <c r="B43" s="1018"/>
      <c r="C43" s="1019"/>
      <c r="D43" s="1019"/>
      <c r="E43" s="1019"/>
      <c r="F43" s="1019"/>
      <c r="G43" s="1020"/>
      <c r="H43" s="1019"/>
      <c r="I43" s="1021"/>
      <c r="J43" s="1022"/>
      <c r="K43" s="1023"/>
      <c r="L43" s="1023"/>
      <c r="M43" s="1023"/>
      <c r="N43" s="610" t="s">
        <v>131</v>
      </c>
      <c r="O43" s="636">
        <f>IF(SUM(O11:O41)=0,"",ROUND(AVERAGE(O11:O41),0))</f>
        <v>3</v>
      </c>
      <c r="P43" s="612">
        <f>IF(SUM(P11:P41)=0,"",ROUND(AVERAGE(P11:P41),0))</f>
        <v>49</v>
      </c>
      <c r="Q43" s="1024">
        <f>IF(SUM(Q11:Q41)=0,"",ROUND(AVERAGE(Q11:Q41),0))</f>
        <v>429595</v>
      </c>
      <c r="R43" s="1024">
        <f>IF(SUM(R11:R41)=0,"",ROUND(AVERAGE(R11:R41),0))</f>
        <v>57432</v>
      </c>
      <c r="S43" s="623">
        <f>IF(SUM(S11:S41)=0,"",ROUND(AVERAGE(S11:S41),1))</f>
        <v>31.1</v>
      </c>
      <c r="T43" s="1738" t="str">
        <f>IF(SUM(T11:T41)=0,"",ROUND(AVERAGE(T11:T41),1))</f>
        <v/>
      </c>
      <c r="U43" s="1746">
        <f>IF(SUM(U11:U41)=0,"",ROUND(AVERAGE(U11:U41),1))</f>
        <v>408115.3</v>
      </c>
      <c r="V43" s="1539">
        <f>IF(SUM(V11:V41)=0,"",ROUND(AVERAGE(V11:V41),0))</f>
        <v>303</v>
      </c>
      <c r="W43" s="1024">
        <f>IF(SUM(W11:W41)=0,"",ROUND(AVERAGE(W11:W41),0))</f>
        <v>22</v>
      </c>
      <c r="X43" s="1024">
        <f>IF(SUM(X11:X41)=0,"",ROUND(AVERAGE(X11:X41),0))</f>
        <v>65577</v>
      </c>
      <c r="Y43" s="1024">
        <f>IF(SUM(Y11:Y41)=0,"",ROUND(AVERAGE(Y11:Y41),0))</f>
        <v>1077</v>
      </c>
      <c r="Z43" s="1024">
        <f>IF(SUM(Z11:Z41)=0,"",ROUND(AVERAGE(Z11:Z41),0))</f>
        <v>34</v>
      </c>
      <c r="AA43" s="1025">
        <f>IF(SUM(AA11:AA41)=0,"",ROUND(AVERAGE(AA11:AA41),1))</f>
        <v>92.5</v>
      </c>
      <c r="AB43" s="1024">
        <f>IF(SUM(AB11:AB41)=0,"",ROUND(AVERAGE(AB11:AB41),0))</f>
        <v>82</v>
      </c>
      <c r="AC43" s="1024">
        <f>IF(SUM(AC11:AC41)=0,"",ROUND(AVERAGE(AC11:AC41),0))</f>
        <v>3</v>
      </c>
      <c r="AD43" s="623">
        <f>IF(SUM(AD11:AD41)=0,"",ROUND(AVERAGE(AD11:AD41),1))</f>
        <v>65.900000000000006</v>
      </c>
      <c r="AE43" s="623">
        <f>IF(SUM(AE11:AE41)=0,"",ROUND(AVERAGE(AE11:AE41),1))</f>
        <v>15.2</v>
      </c>
      <c r="AF43" s="1024">
        <f>IF(SUM(AF11:AF41)=0,"",ROUND(AVERAGE(AF11:AF41),0))</f>
        <v>2460</v>
      </c>
      <c r="AG43" s="649">
        <f>IF(SUM(AG11:AG41)=0,"",ROUND(AVERAGE(AG11:AG41),2))</f>
        <v>0.41</v>
      </c>
      <c r="AH43" s="1794" t="s">
        <v>972</v>
      </c>
      <c r="AI43" s="1024">
        <f>IF(SUM(AI11:AI41)=0,"",ROUND(AVERAGE(AI11:AI41),0))</f>
        <v>10537</v>
      </c>
      <c r="AJ43" s="1024">
        <f>IF(SUM(AJ11:AJ41)=0,"",ROUND(AVERAGE(AJ11:AJ41),0))</f>
        <v>670</v>
      </c>
      <c r="AK43" s="610" t="s">
        <v>131</v>
      </c>
      <c r="AL43" s="648" t="s">
        <v>131</v>
      </c>
      <c r="AM43" s="1026">
        <f t="shared" ref="AM43:AT43" si="21">IF(SUM(AM11:AM41)=0,"",ROUND(AVERAGE(AM11:AM41),0))</f>
        <v>8</v>
      </c>
      <c r="AN43" s="1024" t="str">
        <f t="shared" si="21"/>
        <v/>
      </c>
      <c r="AO43" s="1024" t="str">
        <f t="shared" si="21"/>
        <v/>
      </c>
      <c r="AP43" s="1024" t="str">
        <f t="shared" si="21"/>
        <v/>
      </c>
      <c r="AQ43" s="1024" t="str">
        <f t="shared" si="21"/>
        <v/>
      </c>
      <c r="AR43" s="1024" t="str">
        <f t="shared" si="21"/>
        <v/>
      </c>
      <c r="AS43" s="1024" t="str">
        <f t="shared" si="21"/>
        <v/>
      </c>
      <c r="AT43" s="1024" t="str">
        <f t="shared" si="21"/>
        <v/>
      </c>
      <c r="AU43" s="610" t="s">
        <v>369</v>
      </c>
      <c r="AV43" s="994" t="s">
        <v>999</v>
      </c>
      <c r="AW43" s="995"/>
      <c r="AX43" s="995"/>
      <c r="AY43" s="995"/>
      <c r="AZ43" s="995"/>
      <c r="BA43" s="995"/>
      <c r="BB43" s="995"/>
      <c r="BC43" s="995"/>
      <c r="BD43" s="988"/>
      <c r="BI43" s="290"/>
      <c r="BJ43" s="290"/>
      <c r="BK43" s="290"/>
      <c r="BL43" s="290"/>
      <c r="BM43" s="290"/>
      <c r="BN43" s="290"/>
      <c r="BO43" s="290"/>
      <c r="BP43" s="290"/>
      <c r="BQ43" s="290"/>
      <c r="BR43" s="290"/>
      <c r="BS43" s="290"/>
    </row>
    <row r="44" spans="2:71" ht="17.100000000000001" customHeight="1" thickBot="1">
      <c r="B44" s="1027"/>
      <c r="C44" s="1028"/>
      <c r="D44" s="1028"/>
      <c r="E44" s="1028"/>
      <c r="F44" s="1028"/>
      <c r="G44" s="1029"/>
      <c r="H44" s="1028"/>
      <c r="I44" s="1030"/>
      <c r="J44" s="290"/>
      <c r="K44" s="1031"/>
      <c r="L44" s="1031"/>
      <c r="M44" s="1031"/>
      <c r="N44" s="1018"/>
      <c r="O44" s="1032"/>
      <c r="P44" s="1032"/>
      <c r="Q44" s="1032"/>
      <c r="R44" s="1035"/>
      <c r="S44" s="1033"/>
      <c r="T44" s="1733"/>
      <c r="U44" s="1739" t="s">
        <v>972</v>
      </c>
      <c r="V44" s="1034"/>
      <c r="W44" s="1033"/>
      <c r="X44" s="1033"/>
      <c r="Y44" s="1033"/>
      <c r="Z44" s="1033"/>
      <c r="AA44" s="1033"/>
      <c r="AB44" s="1033"/>
      <c r="AC44" s="1034"/>
      <c r="AD44" s="1034"/>
      <c r="AE44" s="1033"/>
      <c r="AF44" s="1034"/>
      <c r="AG44" s="1035"/>
      <c r="AH44" s="1032"/>
      <c r="AI44" s="1032"/>
      <c r="AJ44" s="1032"/>
      <c r="AK44" s="1034"/>
      <c r="AL44" s="1760" t="s">
        <v>972</v>
      </c>
      <c r="AM44" s="1034"/>
      <c r="AN44" s="1034"/>
      <c r="AO44" s="1034"/>
      <c r="AP44" s="1034"/>
      <c r="AQ44" s="1034"/>
      <c r="AR44" s="1034"/>
      <c r="AS44" s="1034"/>
      <c r="AT44" s="1034"/>
      <c r="AU44" s="1034"/>
      <c r="AV44" s="1031"/>
      <c r="AW44" s="290"/>
      <c r="AX44" s="290"/>
      <c r="AY44" s="290"/>
      <c r="AZ44" s="290"/>
      <c r="BA44" s="290"/>
      <c r="BB44" s="290"/>
      <c r="BC44" s="290"/>
      <c r="BD44" s="988"/>
      <c r="BI44" s="290"/>
      <c r="BJ44" s="290"/>
      <c r="BK44" s="290"/>
      <c r="BL44" s="290"/>
      <c r="BM44" s="290"/>
      <c r="BN44" s="290"/>
      <c r="BO44" s="290"/>
      <c r="BP44" s="290"/>
      <c r="BQ44" s="290"/>
      <c r="BR44" s="290"/>
      <c r="BS44" s="290"/>
    </row>
    <row r="45" spans="2:71">
      <c r="B45" s="1027"/>
      <c r="C45" s="2574" t="s">
        <v>1381</v>
      </c>
      <c r="D45" s="2571"/>
      <c r="E45" s="2571"/>
      <c r="F45" s="2571"/>
      <c r="G45" s="2572"/>
      <c r="H45" s="2571"/>
      <c r="I45" s="2573"/>
      <c r="J45" s="290"/>
      <c r="K45" s="1031"/>
      <c r="L45" s="1031"/>
      <c r="M45" s="1031"/>
      <c r="N45" s="1027"/>
      <c r="O45" s="1030"/>
      <c r="P45" s="1030"/>
      <c r="Q45" s="1030"/>
      <c r="R45" s="1028"/>
      <c r="S45" s="1028"/>
      <c r="T45" s="1028"/>
      <c r="U45" s="1028"/>
      <c r="V45" s="1028"/>
      <c r="W45" s="1028"/>
      <c r="X45" s="1028"/>
      <c r="Y45" s="1036" t="s">
        <v>696</v>
      </c>
      <c r="Z45" s="1037"/>
      <c r="AA45" s="1037"/>
      <c r="AB45" s="1037"/>
      <c r="AC45" s="1037"/>
      <c r="AD45" s="1027" t="s">
        <v>972</v>
      </c>
      <c r="AE45" s="1028"/>
      <c r="AF45" s="1031"/>
      <c r="AG45" s="1038"/>
      <c r="AH45" s="1030"/>
      <c r="AI45" s="1030"/>
      <c r="AJ45" s="1030"/>
      <c r="AK45" s="1031"/>
      <c r="AL45" s="1253" t="s">
        <v>972</v>
      </c>
      <c r="AM45" s="1031"/>
      <c r="AN45" s="1031"/>
      <c r="AO45" s="1031"/>
      <c r="AP45" s="1031"/>
      <c r="AQ45" s="1031"/>
      <c r="AR45" s="1031"/>
      <c r="AS45" s="1031"/>
      <c r="AT45" s="1031"/>
      <c r="AU45" s="1031"/>
      <c r="AV45" s="1031"/>
      <c r="AW45" s="290"/>
      <c r="AX45" s="290"/>
      <c r="AY45" s="290"/>
      <c r="AZ45" s="290"/>
      <c r="BA45" s="290"/>
      <c r="BB45" s="290"/>
      <c r="BC45" s="290"/>
      <c r="BD45" s="988"/>
      <c r="BI45" s="290"/>
      <c r="BJ45" s="290"/>
      <c r="BK45" s="290"/>
      <c r="BL45" s="290"/>
      <c r="BM45" s="290"/>
      <c r="BN45" s="290"/>
      <c r="BO45" s="290"/>
      <c r="BP45" s="290"/>
      <c r="BQ45" s="290"/>
      <c r="BR45" s="290"/>
      <c r="BS45" s="290"/>
    </row>
    <row r="46" spans="2:71" ht="17.100000000000001" customHeight="1">
      <c r="B46" s="988"/>
      <c r="C46" s="1039"/>
      <c r="D46" s="1039"/>
      <c r="E46" s="1039"/>
      <c r="F46" s="1039"/>
      <c r="G46" s="1040"/>
      <c r="H46" s="1039"/>
      <c r="I46" s="1041"/>
      <c r="J46" s="290"/>
      <c r="K46" s="290"/>
      <c r="L46" s="290"/>
      <c r="M46" s="290"/>
      <c r="N46" s="988"/>
      <c r="O46" s="1041"/>
      <c r="P46" s="1041"/>
      <c r="Q46" s="1041"/>
      <c r="R46" s="1028"/>
      <c r="S46" s="1028"/>
      <c r="T46" s="1028"/>
      <c r="U46" s="1028"/>
      <c r="V46" s="1028"/>
      <c r="W46" s="1028"/>
      <c r="X46" s="1039"/>
      <c r="Y46" s="1042"/>
      <c r="Z46" s="1043"/>
      <c r="AA46" s="1044" t="s">
        <v>702</v>
      </c>
      <c r="AB46" s="1044" t="s">
        <v>705</v>
      </c>
      <c r="AC46" s="1044" t="s">
        <v>707</v>
      </c>
      <c r="AD46" s="988"/>
      <c r="AE46" s="1039"/>
      <c r="AF46" s="290"/>
      <c r="AG46" s="1045"/>
      <c r="AH46" s="1041"/>
      <c r="AI46" s="1041"/>
      <c r="AJ46" s="1041"/>
      <c r="AK46" s="290"/>
      <c r="AL46" s="988"/>
      <c r="AM46" s="290"/>
      <c r="AN46" s="290"/>
      <c r="AO46" s="290"/>
      <c r="AP46" s="290"/>
      <c r="AQ46" s="290"/>
      <c r="AR46" s="290"/>
      <c r="AS46" s="290"/>
      <c r="AT46" s="290"/>
      <c r="AU46" s="290"/>
      <c r="AV46" s="290"/>
      <c r="AW46" s="290"/>
      <c r="AX46" s="290"/>
      <c r="AY46" s="290"/>
      <c r="AZ46" s="290"/>
      <c r="BA46" s="290"/>
      <c r="BB46" s="290"/>
      <c r="BC46" s="290"/>
      <c r="BD46" s="988"/>
      <c r="BI46" s="290"/>
      <c r="BJ46" s="290"/>
      <c r="BK46" s="290"/>
      <c r="BL46" s="290"/>
      <c r="BM46" s="290"/>
      <c r="BN46" s="290"/>
      <c r="BO46" s="290"/>
      <c r="BP46" s="290"/>
      <c r="BQ46" s="290"/>
      <c r="BR46" s="290"/>
      <c r="BS46" s="290"/>
    </row>
    <row r="47" spans="2:71" ht="17.100000000000001" customHeight="1">
      <c r="B47" s="988"/>
      <c r="C47" s="1039"/>
      <c r="D47" s="1039"/>
      <c r="E47" s="1039"/>
      <c r="F47" s="1039"/>
      <c r="G47" s="1040"/>
      <c r="H47" s="1039"/>
      <c r="I47" s="1041"/>
      <c r="J47" s="290"/>
      <c r="K47" s="290"/>
      <c r="L47" s="290"/>
      <c r="M47" s="290"/>
      <c r="N47" s="988"/>
      <c r="O47" s="1041"/>
      <c r="P47" s="1041"/>
      <c r="Q47" s="1041"/>
      <c r="R47" s="1028"/>
      <c r="S47" s="1028"/>
      <c r="T47" s="1028"/>
      <c r="U47" s="1028"/>
      <c r="V47" s="1028"/>
      <c r="W47" s="1028"/>
      <c r="X47" s="1039"/>
      <c r="Y47" s="1046" t="s">
        <v>697</v>
      </c>
      <c r="Z47" s="1047"/>
      <c r="AA47" s="1048">
        <f>(V42*W7)/S42</f>
        <v>84.56040772532188</v>
      </c>
      <c r="AB47" s="1048">
        <v>61.18</v>
      </c>
      <c r="AC47" s="1044" t="str">
        <f>IF(AA47&gt;AB47*1.2,"NO","YES")</f>
        <v>NO</v>
      </c>
      <c r="AD47" s="988"/>
      <c r="AE47" s="1039"/>
      <c r="AF47" s="290"/>
      <c r="AG47" s="1045"/>
      <c r="AH47" s="1041"/>
      <c r="AI47" s="1041"/>
      <c r="AJ47" s="1041"/>
      <c r="AK47" s="290"/>
      <c r="AL47" s="988"/>
      <c r="AM47" s="290"/>
      <c r="AN47" s="290"/>
      <c r="AO47" s="290"/>
      <c r="AP47" s="290"/>
      <c r="AQ47" s="290"/>
      <c r="AR47" s="290"/>
      <c r="AS47" s="290"/>
      <c r="AT47" s="290"/>
      <c r="AU47" s="290"/>
      <c r="AV47" s="290"/>
      <c r="AW47" s="290"/>
      <c r="AX47" s="290"/>
      <c r="AY47" s="290"/>
      <c r="AZ47" s="290"/>
      <c r="BA47" s="290"/>
      <c r="BB47" s="290"/>
      <c r="BC47" s="290"/>
      <c r="BD47" s="988"/>
      <c r="BI47" s="290"/>
      <c r="BJ47" s="290"/>
      <c r="BK47" s="290"/>
      <c r="BL47" s="290"/>
      <c r="BM47" s="290"/>
      <c r="BN47" s="290"/>
      <c r="BO47" s="290"/>
      <c r="BP47" s="290"/>
      <c r="BQ47" s="290"/>
      <c r="BR47" s="290"/>
      <c r="BS47" s="290"/>
    </row>
    <row r="48" spans="2:71" ht="17.100000000000001" customHeight="1">
      <c r="B48" s="988"/>
      <c r="C48" s="1039"/>
      <c r="D48" s="1039"/>
      <c r="E48" s="1039"/>
      <c r="F48" s="1039"/>
      <c r="G48" s="1040"/>
      <c r="H48" s="1039"/>
      <c r="I48" s="1041"/>
      <c r="J48" s="290"/>
      <c r="K48" s="290"/>
      <c r="L48" s="290"/>
      <c r="M48" s="290"/>
      <c r="N48" s="988"/>
      <c r="O48" s="290"/>
      <c r="P48" s="290"/>
      <c r="Q48" s="290"/>
      <c r="R48" s="1028"/>
      <c r="S48" s="1028"/>
      <c r="T48" s="1028"/>
      <c r="U48" s="1028"/>
      <c r="V48" s="1028"/>
      <c r="W48" s="1028"/>
      <c r="X48" s="290"/>
      <c r="Y48" s="1046" t="s">
        <v>555</v>
      </c>
      <c r="Z48" s="1047"/>
      <c r="AA48" s="1049">
        <f>I42</f>
        <v>3140</v>
      </c>
      <c r="AB48" s="1049">
        <v>1200</v>
      </c>
      <c r="AC48" s="1044" t="str">
        <f>IF(AA48&gt;AB48,"NO","YES")</f>
        <v>NO</v>
      </c>
      <c r="AD48" s="988"/>
      <c r="AE48" s="1039"/>
      <c r="AF48" s="290"/>
      <c r="AG48" s="290"/>
      <c r="AH48" s="1041"/>
      <c r="AI48" s="1041"/>
      <c r="AJ48" s="1041"/>
      <c r="AK48" s="290"/>
      <c r="AL48" s="988"/>
      <c r="AM48" s="290"/>
      <c r="AN48" s="290"/>
      <c r="AO48" s="290"/>
      <c r="AP48" s="290"/>
      <c r="AQ48" s="290"/>
      <c r="AR48" s="290"/>
      <c r="AS48" s="290"/>
      <c r="AT48" s="290"/>
      <c r="AU48" s="290"/>
      <c r="AV48" s="290"/>
      <c r="AW48" s="290"/>
      <c r="AX48" s="290"/>
      <c r="AY48" s="290"/>
      <c r="AZ48" s="290"/>
      <c r="BA48" s="290"/>
      <c r="BB48" s="290"/>
      <c r="BC48" s="290"/>
      <c r="BD48" s="988"/>
      <c r="BI48" s="290"/>
      <c r="BJ48" s="290"/>
      <c r="BK48" s="290"/>
      <c r="BL48" s="290"/>
      <c r="BM48" s="290"/>
      <c r="BN48" s="290"/>
      <c r="BO48" s="290"/>
      <c r="BP48" s="290"/>
      <c r="BQ48" s="290"/>
      <c r="BR48" s="290"/>
      <c r="BS48" s="290"/>
    </row>
    <row r="49" spans="2:78" ht="17.100000000000001" customHeight="1" thickBot="1">
      <c r="B49" s="988"/>
      <c r="C49" s="1039"/>
      <c r="D49" s="1039"/>
      <c r="E49" s="1039"/>
      <c r="F49" s="1039"/>
      <c r="G49" s="1040"/>
      <c r="H49" s="1039"/>
      <c r="I49" s="1041"/>
      <c r="J49" s="290"/>
      <c r="K49" s="290"/>
      <c r="L49" s="290"/>
      <c r="M49" s="290"/>
      <c r="N49" s="988"/>
      <c r="O49" s="290"/>
      <c r="P49" s="290"/>
      <c r="Q49" s="290"/>
      <c r="R49" s="290"/>
      <c r="S49" s="290"/>
      <c r="T49" s="290"/>
      <c r="U49" s="290"/>
      <c r="V49" s="290"/>
      <c r="W49" s="290"/>
      <c r="X49" s="1039"/>
      <c r="Y49" s="1046" t="s">
        <v>698</v>
      </c>
      <c r="Z49" s="1047"/>
      <c r="AA49" s="1050">
        <f>E42/100</f>
        <v>0.23199999999999998</v>
      </c>
      <c r="AB49" s="1050">
        <v>0.25</v>
      </c>
      <c r="AC49" s="1044" t="str">
        <f>IF(AA49&lt;AB49,"NO","YES")</f>
        <v>NO</v>
      </c>
      <c r="AD49" s="988"/>
      <c r="AE49" s="290"/>
      <c r="AF49" s="290"/>
      <c r="AG49" s="290"/>
      <c r="AH49" s="290"/>
      <c r="AI49" s="1039"/>
      <c r="AJ49" s="290"/>
      <c r="AK49" s="290"/>
      <c r="AL49" s="1051"/>
      <c r="AM49" s="1041"/>
      <c r="AN49" s="290"/>
      <c r="AO49" s="290"/>
      <c r="AP49" s="290"/>
      <c r="AQ49" s="290"/>
      <c r="AR49" s="290"/>
      <c r="AS49" s="290"/>
      <c r="AT49" s="290"/>
      <c r="AU49" s="290"/>
      <c r="AV49" s="290"/>
      <c r="AW49" s="290"/>
      <c r="AX49" s="290"/>
      <c r="AY49" s="290"/>
      <c r="AZ49" s="290"/>
      <c r="BA49" s="290"/>
      <c r="BB49" s="290"/>
      <c r="BC49" s="290"/>
      <c r="BD49" s="988"/>
      <c r="BE49" s="290"/>
      <c r="BF49" s="290"/>
      <c r="BG49" s="290"/>
      <c r="BH49" s="290"/>
      <c r="BI49" s="290"/>
      <c r="BJ49" s="290"/>
      <c r="BK49" s="290"/>
      <c r="BL49" s="290"/>
      <c r="BM49" s="290"/>
      <c r="BN49" s="290"/>
      <c r="BO49" s="290"/>
      <c r="BP49" s="290"/>
      <c r="BQ49" s="290"/>
      <c r="BR49" s="290"/>
      <c r="BS49" s="290"/>
    </row>
    <row r="50" spans="2:78" ht="17.100000000000001" customHeight="1" thickBot="1">
      <c r="B50" s="988"/>
      <c r="C50" s="1039"/>
      <c r="D50" s="586" t="s">
        <v>356</v>
      </c>
      <c r="E50" s="607"/>
      <c r="F50" s="578"/>
      <c r="G50" s="793">
        <f ca="1">NOW()</f>
        <v>42454.589864814814</v>
      </c>
      <c r="H50" s="794">
        <f ca="1">NOW()</f>
        <v>42454.589864814814</v>
      </c>
      <c r="I50" s="1041"/>
      <c r="J50" s="290"/>
      <c r="K50" s="290" t="s">
        <v>683</v>
      </c>
      <c r="L50" s="290"/>
      <c r="M50" s="290"/>
      <c r="N50" s="988"/>
      <c r="O50" s="290"/>
      <c r="P50" s="290"/>
      <c r="Q50" s="290"/>
      <c r="R50" s="290"/>
      <c r="S50" s="290"/>
      <c r="T50" s="290"/>
      <c r="U50" s="290"/>
      <c r="V50" s="290"/>
      <c r="W50" s="290"/>
      <c r="X50" s="1039"/>
      <c r="Y50" s="1052"/>
      <c r="Z50" s="1022"/>
      <c r="AA50" s="1022"/>
      <c r="AB50" s="1022"/>
      <c r="AC50" s="1022"/>
      <c r="AD50" s="290"/>
      <c r="AE50" s="290"/>
      <c r="AF50" s="290"/>
      <c r="AG50" s="290"/>
      <c r="AH50" s="290"/>
      <c r="AI50" s="1039" t="s">
        <v>709</v>
      </c>
      <c r="AJ50" s="290"/>
      <c r="AK50" s="290"/>
      <c r="AL50" s="1051"/>
      <c r="AM50" s="1041"/>
      <c r="AN50" s="290"/>
      <c r="AO50" s="290"/>
      <c r="AP50" s="290"/>
      <c r="AQ50" s="290"/>
      <c r="AR50" s="290"/>
      <c r="AS50" s="1039"/>
      <c r="AT50" s="290"/>
      <c r="AU50" s="290"/>
      <c r="AV50" s="290"/>
      <c r="AW50" s="290"/>
      <c r="AX50" s="290"/>
      <c r="AY50" s="290"/>
      <c r="AZ50" s="290"/>
      <c r="BA50" s="290" t="s">
        <v>734</v>
      </c>
      <c r="BB50" s="290"/>
      <c r="BC50" s="290"/>
      <c r="BD50" s="988"/>
      <c r="BE50" s="290"/>
      <c r="BF50" s="290"/>
      <c r="BG50" s="290"/>
      <c r="BH50" s="290"/>
      <c r="BI50" s="290"/>
      <c r="BJ50" s="290"/>
      <c r="BK50" s="290"/>
      <c r="BL50" s="290"/>
      <c r="BM50" s="290"/>
      <c r="BN50" s="290"/>
      <c r="BO50" s="290"/>
      <c r="BP50" s="290"/>
      <c r="BQ50" s="290"/>
      <c r="BR50" s="290"/>
      <c r="BS50" s="290"/>
    </row>
    <row r="51" spans="2:78" ht="17.100000000000001" customHeight="1">
      <c r="B51" s="1022"/>
      <c r="C51" s="1052"/>
      <c r="D51" s="1052"/>
      <c r="E51" s="1052"/>
      <c r="F51" s="1052"/>
      <c r="G51" s="1053"/>
      <c r="H51" s="1052"/>
      <c r="I51" s="1054"/>
      <c r="J51" s="1022"/>
      <c r="K51" s="1022"/>
      <c r="L51" s="1022"/>
      <c r="M51" s="1022"/>
      <c r="N51" s="1022"/>
      <c r="O51" s="1022"/>
      <c r="P51" s="1022"/>
      <c r="Q51" s="1022"/>
      <c r="R51" s="1022"/>
      <c r="S51" s="1022"/>
      <c r="T51" s="1022" t="s">
        <v>1355</v>
      </c>
      <c r="U51" s="1022"/>
      <c r="V51" s="1022"/>
      <c r="W51" s="1022"/>
      <c r="X51" s="1052"/>
      <c r="Y51" s="1052"/>
      <c r="Z51" s="1022"/>
      <c r="AA51" s="1022"/>
      <c r="AB51" s="1022"/>
      <c r="AC51" s="1022"/>
      <c r="AD51" s="1022"/>
      <c r="AE51" s="1022"/>
      <c r="AF51" s="1022"/>
      <c r="AG51" s="1022"/>
      <c r="AH51" s="1022"/>
      <c r="AI51" s="1052"/>
      <c r="AJ51" s="1022"/>
      <c r="AK51" s="1022"/>
      <c r="AL51" s="1054"/>
      <c r="AM51" s="1054"/>
      <c r="AN51" s="1022"/>
      <c r="AO51" s="1022"/>
      <c r="AP51" s="1022"/>
      <c r="AQ51" s="1022"/>
      <c r="AR51" s="1022"/>
      <c r="AS51" s="1022"/>
      <c r="AT51" s="1022"/>
      <c r="AU51" s="1022"/>
      <c r="AV51" s="1022"/>
      <c r="AW51" s="1022"/>
      <c r="AX51" s="1022"/>
      <c r="AY51" s="1022"/>
      <c r="AZ51" s="1022"/>
      <c r="BA51" s="1022"/>
      <c r="BB51" s="1022"/>
      <c r="BC51" s="1022"/>
      <c r="BD51" s="290"/>
      <c r="BE51" s="290"/>
      <c r="BF51" s="290"/>
      <c r="BG51" s="290"/>
      <c r="BH51" s="290"/>
      <c r="BI51" s="290"/>
      <c r="BJ51" s="290"/>
      <c r="BK51" s="290"/>
      <c r="BL51" s="290"/>
      <c r="BM51" s="290"/>
      <c r="BN51" s="290"/>
      <c r="BO51" s="290"/>
      <c r="BP51" s="290"/>
      <c r="BQ51" s="290"/>
      <c r="BR51" s="290"/>
      <c r="BS51" s="290"/>
    </row>
    <row r="52" spans="2:78" ht="17.100000000000001" customHeight="1">
      <c r="B52" s="290"/>
      <c r="C52" s="1039"/>
      <c r="D52" s="1039"/>
      <c r="E52" s="1039"/>
      <c r="F52" s="1039"/>
      <c r="G52" s="1040"/>
      <c r="H52" s="1039"/>
      <c r="I52" s="1041"/>
      <c r="J52" s="290"/>
      <c r="K52" s="290"/>
      <c r="L52" s="290"/>
      <c r="M52" s="290"/>
      <c r="N52" s="290"/>
      <c r="O52" s="290"/>
      <c r="P52" s="290"/>
      <c r="Q52" s="290"/>
      <c r="R52" s="290"/>
      <c r="S52" s="290"/>
      <c r="T52" s="290" t="s">
        <v>1357</v>
      </c>
      <c r="U52" s="290"/>
      <c r="V52" s="290"/>
      <c r="W52" s="290"/>
      <c r="X52" s="1039"/>
      <c r="Y52" s="1039"/>
      <c r="Z52" s="290"/>
      <c r="AA52" s="290"/>
      <c r="AB52" s="290"/>
      <c r="AC52" s="290"/>
      <c r="AD52" s="290"/>
      <c r="AE52" s="290"/>
      <c r="AF52" s="290"/>
      <c r="AG52" s="290"/>
      <c r="AH52" s="290"/>
      <c r="AI52" s="1039"/>
      <c r="AJ52" s="290"/>
      <c r="AK52" s="290"/>
      <c r="AL52" s="1041"/>
      <c r="AM52" s="1041"/>
      <c r="AN52" s="290"/>
      <c r="AO52" s="290"/>
      <c r="AP52" s="290"/>
      <c r="AQ52" s="290"/>
      <c r="AR52" s="290"/>
      <c r="AS52" s="290"/>
      <c r="AT52" s="290"/>
      <c r="AU52" s="290"/>
      <c r="AV52" s="290"/>
      <c r="AW52" s="290"/>
      <c r="AX52" s="290"/>
      <c r="AY52" s="290"/>
      <c r="AZ52" s="290"/>
      <c r="BA52" s="290"/>
      <c r="BB52" s="290"/>
      <c r="BC52" s="290"/>
      <c r="BD52" s="290"/>
      <c r="BE52" s="290"/>
      <c r="BF52" s="290"/>
      <c r="BG52" s="290"/>
      <c r="BH52" s="290"/>
      <c r="BI52" s="290"/>
      <c r="BJ52" s="290"/>
      <c r="BK52" s="290"/>
      <c r="BL52" s="290"/>
      <c r="BM52" s="290"/>
      <c r="BN52" s="290"/>
      <c r="BO52" s="290"/>
      <c r="BP52" s="290"/>
      <c r="BQ52" s="290"/>
      <c r="BR52" s="290"/>
      <c r="BS52" s="290"/>
      <c r="BZ52" s="1009"/>
    </row>
    <row r="53" spans="2:78" ht="17.100000000000001" customHeight="1">
      <c r="B53" s="290"/>
      <c r="C53" s="1039"/>
      <c r="D53" s="1039"/>
      <c r="E53" s="1039"/>
      <c r="F53" s="1039"/>
      <c r="G53" s="1039"/>
      <c r="H53" s="1039"/>
      <c r="I53" s="1039"/>
      <c r="J53" s="290"/>
      <c r="K53" s="1039"/>
      <c r="L53" s="1041"/>
      <c r="M53" s="1041"/>
      <c r="N53" s="290"/>
      <c r="O53" s="290"/>
      <c r="P53" s="290"/>
      <c r="Q53" s="290"/>
      <c r="R53" s="290"/>
      <c r="S53" s="290"/>
      <c r="T53" s="290"/>
      <c r="U53" s="290"/>
      <c r="V53" s="290"/>
      <c r="W53" s="290"/>
      <c r="X53" s="290"/>
      <c r="Y53" s="290"/>
      <c r="Z53" s="290"/>
      <c r="AA53" s="290"/>
      <c r="AB53" s="290"/>
      <c r="AC53" s="1039"/>
      <c r="AD53" s="1039"/>
      <c r="AE53" s="290"/>
      <c r="AF53" s="290"/>
      <c r="AG53" s="290"/>
      <c r="AH53" s="290"/>
      <c r="AI53" s="290"/>
      <c r="AJ53" s="290"/>
      <c r="AK53" s="290"/>
      <c r="AL53" s="1039"/>
      <c r="AM53" s="290"/>
      <c r="AN53" s="290"/>
      <c r="AO53" s="1041"/>
      <c r="AP53" s="1041"/>
      <c r="AQ53" s="1041"/>
      <c r="AR53" s="290"/>
      <c r="AS53" s="290"/>
      <c r="AT53" s="290"/>
      <c r="AU53" s="290"/>
      <c r="AV53" s="290"/>
      <c r="AW53" s="290"/>
      <c r="AX53" s="290"/>
      <c r="AY53" s="290"/>
      <c r="AZ53" s="290"/>
      <c r="BA53" s="290"/>
      <c r="BB53" s="290"/>
      <c r="BC53" s="290"/>
      <c r="BD53" s="290"/>
      <c r="BE53" s="290"/>
      <c r="BF53" s="290"/>
      <c r="BG53" s="290"/>
      <c r="BH53" s="290"/>
      <c r="BI53" s="290"/>
      <c r="BJ53" s="290"/>
      <c r="BK53" s="290"/>
      <c r="BL53" s="290"/>
      <c r="BM53" s="290"/>
      <c r="BN53" s="290"/>
      <c r="BO53" s="290"/>
      <c r="BP53" s="290"/>
      <c r="BQ53" s="290"/>
      <c r="BR53" s="290"/>
      <c r="BS53" s="290"/>
    </row>
    <row r="54" spans="2:78" ht="17.100000000000001" customHeight="1">
      <c r="B54" s="290"/>
      <c r="C54" s="290"/>
      <c r="D54" s="290"/>
      <c r="E54" s="290"/>
      <c r="F54" s="290"/>
      <c r="G54" s="290"/>
      <c r="H54" s="290"/>
      <c r="I54" s="290"/>
      <c r="J54" s="290"/>
      <c r="K54" s="290"/>
      <c r="L54" s="290"/>
      <c r="M54" s="290"/>
      <c r="N54" s="290"/>
      <c r="O54" s="290"/>
      <c r="P54" s="290"/>
      <c r="Q54" s="290"/>
      <c r="R54" s="290"/>
      <c r="S54" s="290"/>
      <c r="T54" s="290"/>
      <c r="U54" s="290"/>
      <c r="V54" s="290"/>
      <c r="W54" s="290"/>
      <c r="X54" s="290"/>
      <c r="Y54" s="290"/>
      <c r="Z54" s="290"/>
      <c r="AA54" s="290"/>
      <c r="AB54" s="290"/>
      <c r="AC54" s="1039"/>
      <c r="AD54" s="1039"/>
      <c r="AE54" s="290"/>
      <c r="AF54" s="290"/>
      <c r="AG54" s="290"/>
      <c r="AH54" s="290"/>
      <c r="AI54" s="290"/>
      <c r="AJ54" s="290"/>
      <c r="AK54" s="290"/>
      <c r="AL54" s="1039"/>
      <c r="AM54" s="290"/>
      <c r="AN54" s="290"/>
      <c r="AO54" s="1041"/>
      <c r="AP54" s="1041"/>
      <c r="AQ54" s="1041"/>
      <c r="AR54" s="290"/>
      <c r="AS54" s="290"/>
      <c r="AT54" s="290"/>
      <c r="AU54" s="290"/>
      <c r="AV54" s="290"/>
      <c r="AW54" s="290"/>
      <c r="AX54" s="290"/>
      <c r="AY54" s="290"/>
      <c r="AZ54" s="290"/>
      <c r="BA54" s="290"/>
      <c r="BB54" s="290"/>
      <c r="BC54" s="290"/>
      <c r="BD54" s="290"/>
      <c r="BE54" s="290"/>
      <c r="BF54" s="290"/>
      <c r="BG54" s="290"/>
      <c r="BH54" s="290"/>
      <c r="BI54" s="290"/>
      <c r="BJ54" s="290"/>
      <c r="BK54" s="290"/>
      <c r="BL54" s="290"/>
      <c r="BM54" s="290"/>
      <c r="BN54" s="290"/>
      <c r="BO54" s="290"/>
      <c r="BP54" s="290"/>
      <c r="BQ54" s="290"/>
      <c r="BR54" s="290"/>
      <c r="BS54" s="290"/>
    </row>
    <row r="55" spans="2:78" ht="17.100000000000001" customHeight="1">
      <c r="B55" s="290"/>
      <c r="C55" s="290"/>
      <c r="D55" s="290"/>
      <c r="E55" s="290"/>
      <c r="F55" s="290"/>
      <c r="G55" s="290"/>
      <c r="H55" s="290"/>
      <c r="I55" s="290"/>
      <c r="J55" s="290"/>
      <c r="K55" s="290"/>
      <c r="L55" s="290"/>
      <c r="M55" s="290"/>
      <c r="N55" s="290"/>
      <c r="O55" s="290"/>
      <c r="P55" s="290"/>
      <c r="Q55" s="290"/>
      <c r="R55" s="290"/>
      <c r="S55" s="290"/>
      <c r="T55" s="290"/>
      <c r="U55" s="290"/>
      <c r="V55" s="290"/>
      <c r="W55" s="290"/>
      <c r="X55" s="290"/>
      <c r="Y55" s="290"/>
      <c r="Z55" s="290"/>
      <c r="AA55" s="290"/>
      <c r="AB55" s="290"/>
      <c r="AC55" s="1039"/>
      <c r="AD55" s="1039"/>
      <c r="AE55" s="290"/>
      <c r="AF55" s="290"/>
      <c r="AG55" s="290"/>
      <c r="AH55" s="290"/>
      <c r="AI55" s="290"/>
      <c r="AJ55" s="290"/>
      <c r="AK55" s="290"/>
      <c r="AL55" s="1039"/>
      <c r="AM55" s="290"/>
      <c r="AN55" s="290"/>
      <c r="AO55" s="1041"/>
      <c r="AP55" s="1041"/>
      <c r="AQ55" s="1041"/>
      <c r="AR55" s="290"/>
      <c r="AS55" s="290"/>
      <c r="AT55" s="290"/>
      <c r="AU55" s="290"/>
      <c r="AV55" s="290"/>
      <c r="AW55" s="290"/>
      <c r="AX55" s="290"/>
      <c r="AY55" s="290"/>
      <c r="AZ55" s="290"/>
      <c r="BA55" s="290"/>
      <c r="BB55" s="290"/>
      <c r="BC55" s="290"/>
      <c r="BD55" s="290"/>
      <c r="BE55" s="290"/>
      <c r="BF55" s="290"/>
      <c r="BG55" s="290"/>
      <c r="BH55" s="290"/>
      <c r="BI55" s="290"/>
      <c r="BJ55" s="290"/>
      <c r="BK55" s="290"/>
      <c r="BL55" s="290"/>
      <c r="BM55" s="290"/>
      <c r="BN55" s="290"/>
      <c r="BO55" s="290"/>
      <c r="BP55" s="290"/>
      <c r="BQ55" s="290"/>
      <c r="BR55" s="290"/>
      <c r="BS55" s="290"/>
    </row>
    <row r="56" spans="2:78" ht="17.100000000000001" customHeight="1">
      <c r="B56" s="290"/>
      <c r="C56" s="290"/>
      <c r="D56" s="290"/>
      <c r="E56" s="290"/>
      <c r="F56" s="290"/>
      <c r="G56" s="290"/>
      <c r="H56" s="290"/>
      <c r="I56" s="290"/>
      <c r="J56" s="290"/>
      <c r="K56" s="290"/>
      <c r="L56" s="290"/>
      <c r="M56" s="290"/>
      <c r="N56" s="290"/>
      <c r="O56" s="290"/>
      <c r="P56" s="290"/>
      <c r="Q56" s="290"/>
      <c r="R56" s="290"/>
      <c r="S56" s="290"/>
      <c r="T56" s="290"/>
      <c r="U56" s="290"/>
      <c r="V56" s="290"/>
      <c r="W56" s="290"/>
      <c r="X56" s="290"/>
      <c r="Y56" s="290"/>
      <c r="Z56" s="290"/>
      <c r="AA56" s="290"/>
      <c r="AB56" s="290"/>
      <c r="AC56" s="1039"/>
      <c r="AD56" s="1039"/>
      <c r="AE56" s="290"/>
      <c r="AF56" s="290"/>
      <c r="AG56" s="290"/>
      <c r="AH56" s="290"/>
      <c r="AI56" s="290"/>
      <c r="AJ56" s="290"/>
      <c r="AK56" s="290"/>
      <c r="AL56" s="1039"/>
      <c r="AM56" s="290"/>
      <c r="AN56" s="290"/>
      <c r="AO56" s="1041"/>
      <c r="AP56" s="1041"/>
      <c r="AQ56" s="1041"/>
      <c r="AR56" s="290"/>
      <c r="AS56" s="290"/>
      <c r="AT56" s="290"/>
      <c r="AU56" s="290"/>
      <c r="AV56" s="290"/>
      <c r="AW56" s="290"/>
      <c r="AX56" s="290"/>
      <c r="AY56" s="290"/>
      <c r="AZ56" s="290"/>
      <c r="BA56" s="290"/>
      <c r="BB56" s="290"/>
      <c r="BC56" s="290"/>
      <c r="BD56" s="290"/>
      <c r="BE56" s="290"/>
      <c r="BF56" s="290"/>
      <c r="BG56" s="290"/>
      <c r="BH56" s="290"/>
      <c r="BI56" s="290"/>
      <c r="BJ56" s="290"/>
      <c r="BK56" s="290"/>
      <c r="BL56" s="290"/>
      <c r="BM56" s="290"/>
      <c r="BN56" s="290"/>
      <c r="BO56" s="290"/>
      <c r="BP56" s="290"/>
      <c r="BQ56" s="290"/>
      <c r="BR56" s="290"/>
      <c r="BS56" s="290"/>
    </row>
    <row r="57" spans="2:78" ht="17.100000000000001" customHeight="1">
      <c r="V57" s="290"/>
      <c r="AC57" s="1009"/>
      <c r="AD57" s="1009"/>
      <c r="AL57" s="1009"/>
      <c r="AO57" s="1055"/>
      <c r="AP57" s="1055"/>
      <c r="AQ57" s="1055"/>
    </row>
    <row r="58" spans="2:78" ht="17.100000000000001" customHeight="1">
      <c r="V58" s="290"/>
      <c r="AC58" s="1009"/>
      <c r="AD58" s="1009"/>
      <c r="AL58" s="1009"/>
      <c r="AO58" s="1055"/>
      <c r="AP58" s="1055"/>
      <c r="AQ58" s="1055"/>
    </row>
    <row r="59" spans="2:78" ht="17.100000000000001" customHeight="1">
      <c r="V59" s="290"/>
      <c r="AC59" s="1009"/>
      <c r="AD59" s="1009"/>
      <c r="AL59" s="1009"/>
      <c r="AO59" s="1055"/>
      <c r="AP59" s="1055"/>
      <c r="AQ59" s="1055"/>
    </row>
    <row r="60" spans="2:78" ht="17.100000000000001" customHeight="1">
      <c r="V60" s="290"/>
    </row>
    <row r="61" spans="2:78" ht="17.100000000000001" customHeight="1">
      <c r="V61" s="290"/>
    </row>
    <row r="62" spans="2:78" ht="17.100000000000001" customHeight="1">
      <c r="V62" s="290"/>
    </row>
    <row r="63" spans="2:78" ht="17.100000000000001" customHeight="1">
      <c r="V63" s="290"/>
    </row>
    <row r="64" spans="2:78" ht="17.100000000000001" customHeight="1">
      <c r="V64" s="290"/>
    </row>
    <row r="65" spans="22:22" ht="17.100000000000001" customHeight="1">
      <c r="V65" s="290"/>
    </row>
    <row r="66" spans="22:22" ht="17.100000000000001" customHeight="1">
      <c r="V66" s="290"/>
    </row>
    <row r="67" spans="22:22" ht="17.100000000000001" customHeight="1">
      <c r="V67" s="290"/>
    </row>
    <row r="68" spans="22:22" ht="17.100000000000001" customHeight="1">
      <c r="V68" s="290"/>
    </row>
    <row r="69" spans="22:22" ht="17.100000000000001" customHeight="1">
      <c r="V69" s="290"/>
    </row>
    <row r="70" spans="22:22" ht="17.100000000000001" customHeight="1">
      <c r="V70" s="290"/>
    </row>
    <row r="71" spans="22:22" ht="17.100000000000001" customHeight="1">
      <c r="V71" s="290"/>
    </row>
    <row r="72" spans="22:22" ht="17.100000000000001" customHeight="1">
      <c r="V72" s="290"/>
    </row>
    <row r="73" spans="22:22" ht="17.100000000000001" customHeight="1">
      <c r="V73" s="290"/>
    </row>
    <row r="74" spans="22:22" ht="17.100000000000001" customHeight="1">
      <c r="V74" s="290"/>
    </row>
    <row r="75" spans="22:22" ht="17.100000000000001" customHeight="1">
      <c r="V75" s="290"/>
    </row>
    <row r="76" spans="22:22" ht="17.100000000000001" customHeight="1">
      <c r="V76" s="290"/>
    </row>
    <row r="77" spans="22:22" ht="17.100000000000001" customHeight="1">
      <c r="V77" s="290"/>
    </row>
    <row r="78" spans="22:22" ht="17.100000000000001" customHeight="1">
      <c r="V78" s="290"/>
    </row>
    <row r="79" spans="22:22" ht="17.100000000000001" customHeight="1">
      <c r="V79" s="290"/>
    </row>
    <row r="80" spans="22:22" ht="17.100000000000001" customHeight="1">
      <c r="V80" s="290"/>
    </row>
    <row r="81" spans="22:22" ht="17.100000000000001" customHeight="1">
      <c r="V81" s="290"/>
    </row>
    <row r="82" spans="22:22" ht="17.100000000000001" customHeight="1">
      <c r="V82" s="290"/>
    </row>
    <row r="83" spans="22:22" ht="17.100000000000001" customHeight="1">
      <c r="V83" s="290"/>
    </row>
    <row r="84" spans="22:22" ht="17.100000000000001" customHeight="1">
      <c r="V84" s="290"/>
    </row>
    <row r="85" spans="22:22" ht="17.100000000000001" customHeight="1">
      <c r="V85" s="290"/>
    </row>
    <row r="86" spans="22:22" ht="17.100000000000001" customHeight="1"/>
    <row r="87" spans="22:22" ht="17.100000000000001" customHeight="1"/>
    <row r="88" spans="22:22" ht="17.100000000000001" customHeight="1"/>
    <row r="89" spans="22:22" ht="17.100000000000001" customHeight="1"/>
    <row r="90" spans="22:22" ht="17.100000000000001" customHeight="1"/>
    <row r="91" spans="22:22" ht="17.100000000000001" customHeight="1"/>
    <row r="92" spans="22:22" ht="17.100000000000001" customHeight="1"/>
    <row r="93" spans="22:22" ht="17.100000000000001" customHeight="1"/>
    <row r="94" spans="22:22" ht="17.100000000000001" customHeight="1"/>
    <row r="95" spans="22:22" ht="17.100000000000001" customHeight="1"/>
    <row r="96" spans="22:22" ht="17.100000000000001" customHeight="1"/>
    <row r="97" ht="17.100000000000001" customHeight="1"/>
    <row r="98" ht="17.100000000000001" customHeight="1"/>
    <row r="99" ht="17.100000000000001" customHeight="1"/>
    <row r="100" ht="17.100000000000001" customHeight="1"/>
  </sheetData>
  <mergeCells count="8">
    <mergeCell ref="AZ4:BA4"/>
    <mergeCell ref="T7:T9"/>
    <mergeCell ref="U7:U9"/>
    <mergeCell ref="G6:H6"/>
    <mergeCell ref="G7:G9"/>
    <mergeCell ref="H7:H9"/>
    <mergeCell ref="J4:K4"/>
    <mergeCell ref="AH4:AI4"/>
  </mergeCells>
  <phoneticPr fontId="41" type="noConversion"/>
  <printOptions horizontalCentered="1" verticalCentered="1"/>
  <pageMargins left="0.5" right="0.33333333333333331" top="0.5" bottom="0.45" header="0" footer="0"/>
  <pageSetup scale="52"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6EF11666BEA444844699DD8AFF17AC" ma:contentTypeVersion="10" ma:contentTypeDescription="Create a new document." ma:contentTypeScope="" ma:versionID="d64262a8544e93eef1cb3388a2dff787">
  <xsd:schema xmlns:xsd="http://www.w3.org/2001/XMLSchema" xmlns:xs="http://www.w3.org/2001/XMLSchema" xmlns:p="http://schemas.microsoft.com/office/2006/metadata/properties" xmlns:ns2="88073907-8172-4aca-ade6-d711cca0600a" xmlns:ns3="5ef45709-f4da-41f9-9442-f23dd1ec9ef2" targetNamespace="http://schemas.microsoft.com/office/2006/metadata/properties" ma:root="true" ma:fieldsID="98949577f3ae0a281102b39008da4d02" ns2:_="" ns3:_="">
    <xsd:import namespace="88073907-8172-4aca-ade6-d711cca0600a"/>
    <xsd:import namespace="5ef45709-f4da-41f9-9442-f23dd1ec9ef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073907-8172-4aca-ade6-d711cca060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f45709-f4da-41f9-9442-f23dd1ec9ef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02CF5F-3465-42BD-8B92-DE3272C6878C}"/>
</file>

<file path=customXml/itemProps2.xml><?xml version="1.0" encoding="utf-8"?>
<ds:datastoreItem xmlns:ds="http://schemas.openxmlformats.org/officeDocument/2006/customXml" ds:itemID="{353EDBA1-A05B-43FB-970D-909EE06D6A15}"/>
</file>

<file path=customXml/itemProps3.xml><?xml version="1.0" encoding="utf-8"?>
<ds:datastoreItem xmlns:ds="http://schemas.openxmlformats.org/officeDocument/2006/customXml" ds:itemID="{CB394607-E2B3-4CFC-AE21-937A7468502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DMREZ</vt:lpstr>
      <vt:lpstr>DMR</vt:lpstr>
      <vt:lpstr>dmr NC</vt:lpstr>
      <vt:lpstr>AT_</vt:lpstr>
      <vt:lpstr>CLA_</vt:lpstr>
      <vt:lpstr>LA_</vt:lpstr>
      <vt:lpstr>PT_</vt:lpstr>
      <vt:lpstr>DF_</vt:lpstr>
      <vt:lpstr>DW_</vt:lpstr>
      <vt:lpstr>MASS</vt:lpstr>
      <vt:lpstr>Grit</vt:lpstr>
      <vt:lpstr>CHEM_</vt:lpstr>
      <vt:lpstr>FER</vt:lpstr>
      <vt:lpstr>GRAPHS</vt:lpstr>
      <vt:lpstr>Energy Report</vt:lpstr>
      <vt:lpstr>Sheet1</vt:lpstr>
      <vt:lpstr>\C</vt:lpstr>
      <vt:lpstr>DF_!Print_Area</vt:lpstr>
      <vt:lpstr>'Energy Report'!Print_Area</vt:lpstr>
      <vt:lpstr>FER!Print_Area</vt:lpstr>
      <vt:lpstr>MASS!Print_Area</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Bowery Bay Process Engr ( J. Xia )</dc:creator>
  <cp:lastModifiedBy>Deb, Sudeep</cp:lastModifiedBy>
  <cp:lastPrinted>2016-03-25T18:09:40Z</cp:lastPrinted>
  <dcterms:created xsi:type="dcterms:W3CDTF">2006-08-25T18:27:15Z</dcterms:created>
  <dcterms:modified xsi:type="dcterms:W3CDTF">2016-03-25T18:09:46Z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0x010100AF6EF11666BEA444844699DD8AFF17AC</vt:lpwstr>
  </property>
</Properties>
</file>