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<sst xmlns="http://schemas.openxmlformats.org/spreadsheetml/2006/main" count="5" uniqueCount="5">
  <si>
    <t>choose stock</t>
  </si>
  <si>
    <t>NASDAQ:GOOG</t>
  </si>
  <si>
    <t>returns</t>
  </si>
  <si>
    <t>begin date</t>
  </si>
  <si>
    <t>end 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</si>
</sst>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m/d/yyyy h:mm:ss"/>
    <numFmt numFmtId="166" formatCode="yyyy&quot;-&quot;mm&quot;-&quot;d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rgb="FF1155CC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165" xfId="0" applyFont="1" applyNumberFormat="1"/>
    <xf borderId="0" fillId="0" fontId="1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0"/>
  </cols>
  <sheetData>
    <row r="1">
      <c r="A1" s="1" t="s">
        <v>0</v>
      </c>
      <c r="B1" s="2" t="s">
        <v>1</v>
      </c>
      <c r="D1" s="3" t="str">
        <f>IFERROR(__xludf.DUMMYFUNCTION("GOOGLEFINANCE(B1,""price"",B2, B3, ""DAILY"")"),"Date")</f>
        <v>Date</v>
      </c>
      <c r="E1" s="3" t="str">
        <f>IFERROR(__xludf.DUMMYFUNCTION("""COMPUTED_VALUE"""),"Close")</f>
        <v>Close</v>
      </c>
      <c r="F1" s="1" t="s">
        <v>2</v>
      </c>
    </row>
    <row r="2">
      <c r="A2" s="1" t="s">
        <v>3</v>
      </c>
      <c r="B2" s="4">
        <v>35796.0</v>
      </c>
      <c r="D2" s="5">
        <f>IFERROR(__xludf.DUMMYFUNCTION("""COMPUTED_VALUE"""),41725.666666666664)</f>
        <v>41725.66667</v>
      </c>
      <c r="E2" s="3">
        <f>IFERROR(__xludf.DUMMYFUNCTION("""COMPUTED_VALUE"""),27.85)</f>
        <v>27.85</v>
      </c>
    </row>
    <row r="3">
      <c r="A3" s="1" t="s">
        <v>4</v>
      </c>
      <c r="B3" s="4">
        <v>45587.0</v>
      </c>
      <c r="D3" s="5">
        <f>IFERROR(__xludf.DUMMYFUNCTION("""COMPUTED_VALUE"""),41726.666666666664)</f>
        <v>41726.66667</v>
      </c>
      <c r="E3" s="3">
        <f>IFERROR(__xludf.DUMMYFUNCTION("""COMPUTED_VALUE"""),27.92)</f>
        <v>27.92</v>
      </c>
      <c r="F3" s="3">
        <f t="shared" ref="F3:F2662" si="1">LN(E3/E2)</f>
        <v>0.002510311521</v>
      </c>
    </row>
    <row r="4">
      <c r="A4" s="6"/>
      <c r="D4" s="5">
        <f>IFERROR(__xludf.DUMMYFUNCTION("""COMPUTED_VALUE"""),41729.666666666664)</f>
        <v>41729.66667</v>
      </c>
      <c r="E4" s="3">
        <f>IFERROR(__xludf.DUMMYFUNCTION("""COMPUTED_VALUE"""),27.77)</f>
        <v>27.77</v>
      </c>
      <c r="F4" s="3">
        <f t="shared" si="1"/>
        <v>-0.005386976575</v>
      </c>
    </row>
    <row r="5">
      <c r="A5" s="6"/>
      <c r="D5" s="5">
        <f>IFERROR(__xludf.DUMMYFUNCTION("""COMPUTED_VALUE"""),41730.666666666664)</f>
        <v>41730.66667</v>
      </c>
      <c r="E5" s="3">
        <f>IFERROR(__xludf.DUMMYFUNCTION("""COMPUTED_VALUE"""),28.28)</f>
        <v>28.28</v>
      </c>
      <c r="F5" s="3">
        <f t="shared" si="1"/>
        <v>0.01819853971</v>
      </c>
    </row>
    <row r="6">
      <c r="A6" s="6"/>
      <c r="D6" s="5">
        <f>IFERROR(__xludf.DUMMYFUNCTION("""COMPUTED_VALUE"""),41731.666666666664)</f>
        <v>41731.66667</v>
      </c>
      <c r="E6" s="3">
        <f>IFERROR(__xludf.DUMMYFUNCTION("""COMPUTED_VALUE"""),28.27)</f>
        <v>28.27</v>
      </c>
      <c r="F6" s="3">
        <f t="shared" si="1"/>
        <v>-0.0003536693229</v>
      </c>
    </row>
    <row r="7">
      <c r="A7" s="6"/>
      <c r="D7" s="5">
        <f>IFERROR(__xludf.DUMMYFUNCTION("""COMPUTED_VALUE"""),41732.666666666664)</f>
        <v>41732.66667</v>
      </c>
      <c r="E7" s="3">
        <f>IFERROR(__xludf.DUMMYFUNCTION("""COMPUTED_VALUE"""),28.41)</f>
        <v>28.41</v>
      </c>
      <c r="F7" s="3">
        <f t="shared" si="1"/>
        <v>0.004940024161</v>
      </c>
    </row>
    <row r="8">
      <c r="A8" s="6"/>
      <c r="D8" s="5">
        <f>IFERROR(__xludf.DUMMYFUNCTION("""COMPUTED_VALUE"""),41733.666666666664)</f>
        <v>41733.66667</v>
      </c>
      <c r="E8" s="3">
        <f>IFERROR(__xludf.DUMMYFUNCTION("""COMPUTED_VALUE"""),27.08)</f>
        <v>27.08</v>
      </c>
      <c r="F8" s="3">
        <f t="shared" si="1"/>
        <v>-0.04794574782</v>
      </c>
    </row>
    <row r="9">
      <c r="A9" s="6"/>
      <c r="D9" s="5">
        <f>IFERROR(__xludf.DUMMYFUNCTION("""COMPUTED_VALUE"""),41736.666666666664)</f>
        <v>41736.66667</v>
      </c>
      <c r="E9" s="3">
        <f>IFERROR(__xludf.DUMMYFUNCTION("""COMPUTED_VALUE"""),26.83)</f>
        <v>26.83</v>
      </c>
      <c r="F9" s="3">
        <f t="shared" si="1"/>
        <v>-0.009274783607</v>
      </c>
    </row>
    <row r="10">
      <c r="A10" s="6"/>
      <c r="D10" s="5">
        <f>IFERROR(__xludf.DUMMYFUNCTION("""COMPUTED_VALUE"""),41737.666666666664)</f>
        <v>41737.66667</v>
      </c>
      <c r="E10" s="3">
        <f>IFERROR(__xludf.DUMMYFUNCTION("""COMPUTED_VALUE"""),27.67)</f>
        <v>27.67</v>
      </c>
      <c r="F10" s="3">
        <f t="shared" si="1"/>
        <v>0.03082812936</v>
      </c>
    </row>
    <row r="11">
      <c r="A11" s="6"/>
      <c r="D11" s="5">
        <f>IFERROR(__xludf.DUMMYFUNCTION("""COMPUTED_VALUE"""),41738.666666666664)</f>
        <v>41738.66667</v>
      </c>
      <c r="E11" s="3">
        <f>IFERROR(__xludf.DUMMYFUNCTION("""COMPUTED_VALUE"""),28.13)</f>
        <v>28.13</v>
      </c>
      <c r="F11" s="3">
        <f t="shared" si="1"/>
        <v>0.0164878287</v>
      </c>
    </row>
    <row r="12">
      <c r="A12" s="6"/>
      <c r="D12" s="5">
        <f>IFERROR(__xludf.DUMMYFUNCTION("""COMPUTED_VALUE"""),41739.666666666664)</f>
        <v>41739.66667</v>
      </c>
      <c r="E12" s="3">
        <f>IFERROR(__xludf.DUMMYFUNCTION("""COMPUTED_VALUE"""),26.97)</f>
        <v>26.97</v>
      </c>
      <c r="F12" s="3">
        <f t="shared" si="1"/>
        <v>-0.04211148535</v>
      </c>
    </row>
    <row r="13">
      <c r="A13" s="6"/>
      <c r="D13" s="5">
        <f>IFERROR(__xludf.DUMMYFUNCTION("""COMPUTED_VALUE"""),41740.666666666664)</f>
        <v>41740.66667</v>
      </c>
      <c r="E13" s="3">
        <f>IFERROR(__xludf.DUMMYFUNCTION("""COMPUTED_VALUE"""),26.46)</f>
        <v>26.46</v>
      </c>
      <c r="F13" s="3">
        <f t="shared" si="1"/>
        <v>-0.01909097846</v>
      </c>
    </row>
    <row r="14">
      <c r="A14" s="6"/>
      <c r="D14" s="5">
        <f>IFERROR(__xludf.DUMMYFUNCTION("""COMPUTED_VALUE"""),41743.666666666664)</f>
        <v>41743.66667</v>
      </c>
      <c r="E14" s="3">
        <f>IFERROR(__xludf.DUMMYFUNCTION("""COMPUTED_VALUE"""),26.55)</f>
        <v>26.55</v>
      </c>
      <c r="F14" s="3">
        <f t="shared" si="1"/>
        <v>0.003395589001</v>
      </c>
    </row>
    <row r="15">
      <c r="A15" s="6"/>
      <c r="D15" s="5">
        <f>IFERROR(__xludf.DUMMYFUNCTION("""COMPUTED_VALUE"""),41744.666666666664)</f>
        <v>41744.66667</v>
      </c>
      <c r="E15" s="3">
        <f>IFERROR(__xludf.DUMMYFUNCTION("""COMPUTED_VALUE"""),26.75)</f>
        <v>26.75</v>
      </c>
      <c r="F15" s="3">
        <f t="shared" si="1"/>
        <v>0.007504725654</v>
      </c>
    </row>
    <row r="16">
      <c r="A16" s="6"/>
      <c r="D16" s="5">
        <f>IFERROR(__xludf.DUMMYFUNCTION("""COMPUTED_VALUE"""),41745.666666666664)</f>
        <v>41745.66667</v>
      </c>
      <c r="E16" s="3">
        <f>IFERROR(__xludf.DUMMYFUNCTION("""COMPUTED_VALUE"""),27.75)</f>
        <v>27.75</v>
      </c>
      <c r="F16" s="3">
        <f t="shared" si="1"/>
        <v>0.03670136685</v>
      </c>
    </row>
    <row r="17">
      <c r="A17" s="6"/>
      <c r="D17" s="5">
        <f>IFERROR(__xludf.DUMMYFUNCTION("""COMPUTED_VALUE"""),41746.666666666664)</f>
        <v>41746.66667</v>
      </c>
      <c r="E17" s="3">
        <f>IFERROR(__xludf.DUMMYFUNCTION("""COMPUTED_VALUE"""),26.73)</f>
        <v>26.73</v>
      </c>
      <c r="F17" s="3">
        <f t="shared" si="1"/>
        <v>-0.03744931004</v>
      </c>
    </row>
    <row r="18">
      <c r="A18" s="6"/>
      <c r="D18" s="5">
        <f>IFERROR(__xludf.DUMMYFUNCTION("""COMPUTED_VALUE"""),41750.666666666664)</f>
        <v>41750.66667</v>
      </c>
      <c r="E18" s="3">
        <f>IFERROR(__xludf.DUMMYFUNCTION("""COMPUTED_VALUE"""),26.36)</f>
        <v>26.36</v>
      </c>
      <c r="F18" s="3">
        <f t="shared" si="1"/>
        <v>-0.01393882052</v>
      </c>
    </row>
    <row r="19">
      <c r="A19" s="6"/>
      <c r="D19" s="5">
        <f>IFERROR(__xludf.DUMMYFUNCTION("""COMPUTED_VALUE"""),41751.666666666664)</f>
        <v>41751.66667</v>
      </c>
      <c r="E19" s="3">
        <f>IFERROR(__xludf.DUMMYFUNCTION("""COMPUTED_VALUE"""),26.67)</f>
        <v>26.67</v>
      </c>
      <c r="F19" s="3">
        <f t="shared" si="1"/>
        <v>0.01169162856</v>
      </c>
    </row>
    <row r="20">
      <c r="A20" s="6"/>
      <c r="D20" s="5">
        <f>IFERROR(__xludf.DUMMYFUNCTION("""COMPUTED_VALUE"""),41752.666666666664)</f>
        <v>41752.66667</v>
      </c>
      <c r="E20" s="3">
        <f>IFERROR(__xludf.DUMMYFUNCTION("""COMPUTED_VALUE"""),26.27)</f>
        <v>26.27</v>
      </c>
      <c r="F20" s="3">
        <f t="shared" si="1"/>
        <v>-0.0151117345</v>
      </c>
    </row>
    <row r="21">
      <c r="A21" s="6"/>
      <c r="D21" s="5">
        <f>IFERROR(__xludf.DUMMYFUNCTION("""COMPUTED_VALUE"""),41753.666666666664)</f>
        <v>41753.66667</v>
      </c>
      <c r="E21" s="3">
        <f>IFERROR(__xludf.DUMMYFUNCTION("""COMPUTED_VALUE"""),26.19)</f>
        <v>26.19</v>
      </c>
      <c r="F21" s="3">
        <f t="shared" si="1"/>
        <v>-0.003049945178</v>
      </c>
    </row>
    <row r="22">
      <c r="A22" s="6"/>
      <c r="D22" s="5">
        <f>IFERROR(__xludf.DUMMYFUNCTION("""COMPUTED_VALUE"""),41754.666666666664)</f>
        <v>41754.66667</v>
      </c>
      <c r="E22" s="3">
        <f>IFERROR(__xludf.DUMMYFUNCTION("""COMPUTED_VALUE"""),25.74)</f>
        <v>25.74</v>
      </c>
      <c r="F22" s="3">
        <f t="shared" si="1"/>
        <v>-0.01733145635</v>
      </c>
    </row>
    <row r="23">
      <c r="A23" s="6"/>
      <c r="D23" s="5">
        <f>IFERROR(__xludf.DUMMYFUNCTION("""COMPUTED_VALUE"""),41757.666666666664)</f>
        <v>41757.66667</v>
      </c>
      <c r="E23" s="3">
        <f>IFERROR(__xludf.DUMMYFUNCTION("""COMPUTED_VALUE"""),25.79)</f>
        <v>25.79</v>
      </c>
      <c r="F23" s="3">
        <f t="shared" si="1"/>
        <v>0.001940617725</v>
      </c>
    </row>
    <row r="24">
      <c r="A24" s="6"/>
      <c r="D24" s="5">
        <f>IFERROR(__xludf.DUMMYFUNCTION("""COMPUTED_VALUE"""),41758.666666666664)</f>
        <v>41758.66667</v>
      </c>
      <c r="E24" s="3">
        <f>IFERROR(__xludf.DUMMYFUNCTION("""COMPUTED_VALUE"""),26.31)</f>
        <v>26.31</v>
      </c>
      <c r="F24" s="3">
        <f t="shared" si="1"/>
        <v>0.01996227516</v>
      </c>
    </row>
    <row r="25">
      <c r="A25" s="6"/>
      <c r="D25" s="5">
        <f>IFERROR(__xludf.DUMMYFUNCTION("""COMPUTED_VALUE"""),41759.666666666664)</f>
        <v>41759.66667</v>
      </c>
      <c r="E25" s="3">
        <f>IFERROR(__xludf.DUMMYFUNCTION("""COMPUTED_VALUE"""),26.26)</f>
        <v>26.26</v>
      </c>
      <c r="F25" s="3">
        <f t="shared" si="1"/>
        <v>-0.001902226178</v>
      </c>
    </row>
    <row r="26">
      <c r="A26" s="6"/>
      <c r="D26" s="5">
        <f>IFERROR(__xludf.DUMMYFUNCTION("""COMPUTED_VALUE"""),41760.666666666664)</f>
        <v>41760.66667</v>
      </c>
      <c r="E26" s="3">
        <f>IFERROR(__xludf.DUMMYFUNCTION("""COMPUTED_VALUE"""),26.49)</f>
        <v>26.49</v>
      </c>
      <c r="F26" s="3">
        <f t="shared" si="1"/>
        <v>0.008720434409</v>
      </c>
    </row>
    <row r="27">
      <c r="A27" s="6"/>
      <c r="D27" s="5">
        <f>IFERROR(__xludf.DUMMYFUNCTION("""COMPUTED_VALUE"""),41761.666666666664)</f>
        <v>41761.66667</v>
      </c>
      <c r="E27" s="3">
        <f>IFERROR(__xludf.DUMMYFUNCTION("""COMPUTED_VALUE"""),26.32)</f>
        <v>26.32</v>
      </c>
      <c r="F27" s="3">
        <f t="shared" si="1"/>
        <v>-0.006438196827</v>
      </c>
    </row>
    <row r="28">
      <c r="A28" s="6"/>
      <c r="D28" s="5">
        <f>IFERROR(__xludf.DUMMYFUNCTION("""COMPUTED_VALUE"""),41764.666666666664)</f>
        <v>41764.66667</v>
      </c>
      <c r="E28" s="3">
        <f>IFERROR(__xludf.DUMMYFUNCTION("""COMPUTED_VALUE"""),26.32)</f>
        <v>26.32</v>
      </c>
      <c r="F28" s="3">
        <f t="shared" si="1"/>
        <v>0</v>
      </c>
    </row>
    <row r="29">
      <c r="A29" s="6"/>
      <c r="D29" s="5">
        <f>IFERROR(__xludf.DUMMYFUNCTION("""COMPUTED_VALUE"""),41765.666666666664)</f>
        <v>41765.66667</v>
      </c>
      <c r="E29" s="3">
        <f>IFERROR(__xludf.DUMMYFUNCTION("""COMPUTED_VALUE"""),25.69)</f>
        <v>25.69</v>
      </c>
      <c r="F29" s="3">
        <f t="shared" si="1"/>
        <v>-0.02422729534</v>
      </c>
    </row>
    <row r="30">
      <c r="A30" s="6"/>
      <c r="D30" s="5">
        <f>IFERROR(__xludf.DUMMYFUNCTION("""COMPUTED_VALUE"""),41766.666666666664)</f>
        <v>41766.66667</v>
      </c>
      <c r="E30" s="3">
        <f>IFERROR(__xludf.DUMMYFUNCTION("""COMPUTED_VALUE"""),25.43)</f>
        <v>25.43</v>
      </c>
      <c r="F30" s="3">
        <f t="shared" si="1"/>
        <v>-0.01017223169</v>
      </c>
    </row>
    <row r="31">
      <c r="A31" s="6"/>
      <c r="D31" s="5">
        <f>IFERROR(__xludf.DUMMYFUNCTION("""COMPUTED_VALUE"""),41767.666666666664)</f>
        <v>41767.66667</v>
      </c>
      <c r="E31" s="3">
        <f>IFERROR(__xludf.DUMMYFUNCTION("""COMPUTED_VALUE"""),25.48)</f>
        <v>25.48</v>
      </c>
      <c r="F31" s="3">
        <f t="shared" si="1"/>
        <v>0.00196425127</v>
      </c>
    </row>
    <row r="32">
      <c r="A32" s="6"/>
      <c r="D32" s="5">
        <f>IFERROR(__xludf.DUMMYFUNCTION("""COMPUTED_VALUE"""),41768.666666666664)</f>
        <v>41768.66667</v>
      </c>
      <c r="E32" s="3">
        <f>IFERROR(__xludf.DUMMYFUNCTION("""COMPUTED_VALUE"""),25.87)</f>
        <v>25.87</v>
      </c>
      <c r="F32" s="3">
        <f t="shared" si="1"/>
        <v>0.01519016549</v>
      </c>
    </row>
    <row r="33">
      <c r="A33" s="6"/>
      <c r="D33" s="5">
        <f>IFERROR(__xludf.DUMMYFUNCTION("""COMPUTED_VALUE"""),41771.666666666664)</f>
        <v>41771.66667</v>
      </c>
      <c r="E33" s="3">
        <f>IFERROR(__xludf.DUMMYFUNCTION("""COMPUTED_VALUE"""),26.42)</f>
        <v>26.42</v>
      </c>
      <c r="F33" s="3">
        <f t="shared" si="1"/>
        <v>0.0210373029</v>
      </c>
    </row>
    <row r="34">
      <c r="A34" s="6"/>
      <c r="D34" s="5">
        <f>IFERROR(__xludf.DUMMYFUNCTION("""COMPUTED_VALUE"""),41772.666666666664)</f>
        <v>41772.66667</v>
      </c>
      <c r="E34" s="3">
        <f>IFERROR(__xludf.DUMMYFUNCTION("""COMPUTED_VALUE"""),26.58)</f>
        <v>26.58</v>
      </c>
      <c r="F34" s="3">
        <f t="shared" si="1"/>
        <v>0.006037754191</v>
      </c>
    </row>
    <row r="35">
      <c r="A35" s="6"/>
      <c r="D35" s="5">
        <f>IFERROR(__xludf.DUMMYFUNCTION("""COMPUTED_VALUE"""),41773.666666666664)</f>
        <v>41773.66667</v>
      </c>
      <c r="E35" s="3">
        <f>IFERROR(__xludf.DUMMYFUNCTION("""COMPUTED_VALUE"""),26.26)</f>
        <v>26.26</v>
      </c>
      <c r="F35" s="3">
        <f t="shared" si="1"/>
        <v>-0.01211218441</v>
      </c>
    </row>
    <row r="36">
      <c r="A36" s="6"/>
      <c r="D36" s="5">
        <f>IFERROR(__xludf.DUMMYFUNCTION("""COMPUTED_VALUE"""),41774.666666666664)</f>
        <v>41774.66667</v>
      </c>
      <c r="E36" s="3">
        <f>IFERROR(__xludf.DUMMYFUNCTION("""COMPUTED_VALUE"""),25.93)</f>
        <v>25.93</v>
      </c>
      <c r="F36" s="3">
        <f t="shared" si="1"/>
        <v>-0.01264626932</v>
      </c>
    </row>
    <row r="37">
      <c r="A37" s="6"/>
      <c r="D37" s="5">
        <f>IFERROR(__xludf.DUMMYFUNCTION("""COMPUTED_VALUE"""),41775.666666666664)</f>
        <v>41775.66667</v>
      </c>
      <c r="E37" s="3">
        <f>IFERROR(__xludf.DUMMYFUNCTION("""COMPUTED_VALUE"""),25.96)</f>
        <v>25.96</v>
      </c>
      <c r="F37" s="3">
        <f t="shared" si="1"/>
        <v>0.001156292285</v>
      </c>
    </row>
    <row r="38">
      <c r="A38" s="6"/>
      <c r="D38" s="5">
        <f>IFERROR(__xludf.DUMMYFUNCTION("""COMPUTED_VALUE"""),41778.666666666664)</f>
        <v>41778.66667</v>
      </c>
      <c r="E38" s="3">
        <f>IFERROR(__xludf.DUMMYFUNCTION("""COMPUTED_VALUE"""),26.37)</f>
        <v>26.37</v>
      </c>
      <c r="F38" s="3">
        <f t="shared" si="1"/>
        <v>0.01567010853</v>
      </c>
    </row>
    <row r="39">
      <c r="A39" s="6"/>
      <c r="D39" s="5">
        <f>IFERROR(__xludf.DUMMYFUNCTION("""COMPUTED_VALUE"""),41779.666666666664)</f>
        <v>41779.66667</v>
      </c>
      <c r="E39" s="3">
        <f>IFERROR(__xludf.DUMMYFUNCTION("""COMPUTED_VALUE"""),26.42)</f>
        <v>26.42</v>
      </c>
      <c r="F39" s="3">
        <f t="shared" si="1"/>
        <v>0.001894298729</v>
      </c>
    </row>
    <row r="40">
      <c r="A40" s="6"/>
      <c r="D40" s="5">
        <f>IFERROR(__xludf.DUMMYFUNCTION("""COMPUTED_VALUE"""),41780.666666666664)</f>
        <v>41780.66667</v>
      </c>
      <c r="E40" s="3">
        <f>IFERROR(__xludf.DUMMYFUNCTION("""COMPUTED_VALUE"""),26.87)</f>
        <v>26.87</v>
      </c>
      <c r="F40" s="3">
        <f t="shared" si="1"/>
        <v>0.01688912353</v>
      </c>
    </row>
    <row r="41">
      <c r="A41" s="6"/>
      <c r="D41" s="5">
        <f>IFERROR(__xludf.DUMMYFUNCTION("""COMPUTED_VALUE"""),41781.666666666664)</f>
        <v>41781.66667</v>
      </c>
      <c r="E41" s="3">
        <f>IFERROR(__xludf.DUMMYFUNCTION("""COMPUTED_VALUE"""),27.18)</f>
        <v>27.18</v>
      </c>
      <c r="F41" s="3">
        <f t="shared" si="1"/>
        <v>0.0114709861</v>
      </c>
    </row>
    <row r="42">
      <c r="A42" s="6"/>
      <c r="D42" s="5">
        <f>IFERROR(__xludf.DUMMYFUNCTION("""COMPUTED_VALUE"""),41782.666666666664)</f>
        <v>41782.66667</v>
      </c>
      <c r="E42" s="3">
        <f>IFERROR(__xludf.DUMMYFUNCTION("""COMPUTED_VALUE"""),27.56)</f>
        <v>27.56</v>
      </c>
      <c r="F42" s="3">
        <f t="shared" si="1"/>
        <v>0.01388403742</v>
      </c>
    </row>
    <row r="43">
      <c r="A43" s="6"/>
      <c r="D43" s="5">
        <f>IFERROR(__xludf.DUMMYFUNCTION("""COMPUTED_VALUE"""),41786.666666666664)</f>
        <v>41786.66667</v>
      </c>
      <c r="E43" s="3">
        <f>IFERROR(__xludf.DUMMYFUNCTION("""COMPUTED_VALUE"""),28.22)</f>
        <v>28.22</v>
      </c>
      <c r="F43" s="3">
        <f t="shared" si="1"/>
        <v>0.02366550028</v>
      </c>
    </row>
    <row r="44">
      <c r="A44" s="6"/>
      <c r="D44" s="5">
        <f>IFERROR(__xludf.DUMMYFUNCTION("""COMPUTED_VALUE"""),41787.666666666664)</f>
        <v>41787.66667</v>
      </c>
      <c r="E44" s="3">
        <f>IFERROR(__xludf.DUMMYFUNCTION("""COMPUTED_VALUE"""),28.01)</f>
        <v>28.01</v>
      </c>
      <c r="F44" s="3">
        <f t="shared" si="1"/>
        <v>-0.007469357153</v>
      </c>
    </row>
    <row r="45">
      <c r="A45" s="6"/>
      <c r="D45" s="5">
        <f>IFERROR(__xludf.DUMMYFUNCTION("""COMPUTED_VALUE"""),41788.666666666664)</f>
        <v>41788.66667</v>
      </c>
      <c r="E45" s="3">
        <f>IFERROR(__xludf.DUMMYFUNCTION("""COMPUTED_VALUE"""),27.93)</f>
        <v>27.93</v>
      </c>
      <c r="F45" s="3">
        <f t="shared" si="1"/>
        <v>-0.002860209315</v>
      </c>
    </row>
    <row r="46">
      <c r="A46" s="6"/>
      <c r="D46" s="5">
        <f>IFERROR(__xludf.DUMMYFUNCTION("""COMPUTED_VALUE"""),41789.666666666664)</f>
        <v>41789.66667</v>
      </c>
      <c r="E46" s="3">
        <f>IFERROR(__xludf.DUMMYFUNCTION("""COMPUTED_VALUE"""),27.92)</f>
        <v>27.92</v>
      </c>
      <c r="F46" s="3">
        <f t="shared" si="1"/>
        <v>-0.0003581020629</v>
      </c>
    </row>
    <row r="47">
      <c r="A47" s="6"/>
      <c r="D47" s="5">
        <f>IFERROR(__xludf.DUMMYFUNCTION("""COMPUTED_VALUE"""),41792.666666666664)</f>
        <v>41792.66667</v>
      </c>
      <c r="E47" s="3">
        <f>IFERROR(__xludf.DUMMYFUNCTION("""COMPUTED_VALUE"""),27.62)</f>
        <v>27.62</v>
      </c>
      <c r="F47" s="3">
        <f t="shared" si="1"/>
        <v>-0.01080312991</v>
      </c>
    </row>
    <row r="48">
      <c r="A48" s="6"/>
      <c r="D48" s="5">
        <f>IFERROR(__xludf.DUMMYFUNCTION("""COMPUTED_VALUE"""),41793.666666666664)</f>
        <v>41793.66667</v>
      </c>
      <c r="E48" s="3">
        <f>IFERROR(__xludf.DUMMYFUNCTION("""COMPUTED_VALUE"""),27.17)</f>
        <v>27.17</v>
      </c>
      <c r="F48" s="3">
        <f t="shared" si="1"/>
        <v>-0.01642672454</v>
      </c>
    </row>
    <row r="49">
      <c r="A49" s="6"/>
      <c r="D49" s="5">
        <f>IFERROR(__xludf.DUMMYFUNCTION("""COMPUTED_VALUE"""),41794.666666666664)</f>
        <v>41794.66667</v>
      </c>
      <c r="E49" s="3">
        <f>IFERROR(__xludf.DUMMYFUNCTION("""COMPUTED_VALUE"""),27.16)</f>
        <v>27.16</v>
      </c>
      <c r="F49" s="3">
        <f t="shared" si="1"/>
        <v>-0.0003681207478</v>
      </c>
    </row>
    <row r="50">
      <c r="A50" s="6"/>
      <c r="D50" s="5">
        <f>IFERROR(__xludf.DUMMYFUNCTION("""COMPUTED_VALUE"""),41795.666666666664)</f>
        <v>41795.66667</v>
      </c>
      <c r="E50" s="3">
        <f>IFERROR(__xludf.DUMMYFUNCTION("""COMPUTED_VALUE"""),27.62)</f>
        <v>27.62</v>
      </c>
      <c r="F50" s="3">
        <f t="shared" si="1"/>
        <v>0.01679484529</v>
      </c>
    </row>
    <row r="51">
      <c r="A51" s="6"/>
      <c r="D51" s="5">
        <f>IFERROR(__xludf.DUMMYFUNCTION("""COMPUTED_VALUE"""),41796.666666666664)</f>
        <v>41796.66667</v>
      </c>
      <c r="E51" s="3">
        <f>IFERROR(__xludf.DUMMYFUNCTION("""COMPUTED_VALUE"""),27.74)</f>
        <v>27.74</v>
      </c>
      <c r="F51" s="3">
        <f t="shared" si="1"/>
        <v>0.004335266906</v>
      </c>
    </row>
    <row r="52">
      <c r="A52" s="6"/>
      <c r="D52" s="5">
        <f>IFERROR(__xludf.DUMMYFUNCTION("""COMPUTED_VALUE"""),41799.666666666664)</f>
        <v>41799.66667</v>
      </c>
      <c r="E52" s="3">
        <f>IFERROR(__xludf.DUMMYFUNCTION("""COMPUTED_VALUE"""),28.03)</f>
        <v>28.03</v>
      </c>
      <c r="F52" s="3">
        <f t="shared" si="1"/>
        <v>0.01039995029</v>
      </c>
    </row>
    <row r="53">
      <c r="A53" s="6"/>
      <c r="D53" s="5">
        <f>IFERROR(__xludf.DUMMYFUNCTION("""COMPUTED_VALUE"""),41800.666666666664)</f>
        <v>41800.66667</v>
      </c>
      <c r="E53" s="3">
        <f>IFERROR(__xludf.DUMMYFUNCTION("""COMPUTED_VALUE"""),27.95)</f>
        <v>27.95</v>
      </c>
      <c r="F53" s="3">
        <f t="shared" si="1"/>
        <v>-0.002858165576</v>
      </c>
    </row>
    <row r="54">
      <c r="A54" s="6"/>
      <c r="D54" s="5">
        <f>IFERROR(__xludf.DUMMYFUNCTION("""COMPUTED_VALUE"""),41801.666666666664)</f>
        <v>41801.66667</v>
      </c>
      <c r="E54" s="3">
        <f>IFERROR(__xludf.DUMMYFUNCTION("""COMPUTED_VALUE"""),27.87)</f>
        <v>27.87</v>
      </c>
      <c r="F54" s="3">
        <f t="shared" si="1"/>
        <v>-0.002866358107</v>
      </c>
    </row>
    <row r="55">
      <c r="A55" s="6"/>
      <c r="D55" s="5">
        <f>IFERROR(__xludf.DUMMYFUNCTION("""COMPUTED_VALUE"""),41802.666666666664)</f>
        <v>41802.66667</v>
      </c>
      <c r="E55" s="3">
        <f>IFERROR(__xludf.DUMMYFUNCTION("""COMPUTED_VALUE"""),27.49)</f>
        <v>27.49</v>
      </c>
      <c r="F55" s="3">
        <f t="shared" si="1"/>
        <v>-0.01372853932</v>
      </c>
    </row>
    <row r="56">
      <c r="A56" s="6"/>
      <c r="D56" s="5">
        <f>IFERROR(__xludf.DUMMYFUNCTION("""COMPUTED_VALUE"""),41803.666666666664)</f>
        <v>41803.66667</v>
      </c>
      <c r="E56" s="3">
        <f>IFERROR(__xludf.DUMMYFUNCTION("""COMPUTED_VALUE"""),27.51)</f>
        <v>27.51</v>
      </c>
      <c r="F56" s="3">
        <f t="shared" si="1"/>
        <v>0.0007272727593</v>
      </c>
    </row>
    <row r="57">
      <c r="A57" s="6"/>
      <c r="D57" s="5">
        <f>IFERROR(__xludf.DUMMYFUNCTION("""COMPUTED_VALUE"""),41806.666666666664)</f>
        <v>41806.66667</v>
      </c>
      <c r="E57" s="3">
        <f>IFERROR(__xludf.DUMMYFUNCTION("""COMPUTED_VALUE"""),27.14)</f>
        <v>27.14</v>
      </c>
      <c r="F57" s="3">
        <f t="shared" si="1"/>
        <v>-0.01354092053</v>
      </c>
    </row>
    <row r="58">
      <c r="A58" s="6"/>
      <c r="D58" s="5">
        <f>IFERROR(__xludf.DUMMYFUNCTION("""COMPUTED_VALUE"""),41807.666666666664)</f>
        <v>41807.66667</v>
      </c>
      <c r="E58" s="3">
        <f>IFERROR(__xludf.DUMMYFUNCTION("""COMPUTED_VALUE"""),27.08)</f>
        <v>27.08</v>
      </c>
      <c r="F58" s="3">
        <f t="shared" si="1"/>
        <v>-0.002213206363</v>
      </c>
    </row>
    <row r="59">
      <c r="A59" s="6"/>
      <c r="D59" s="5">
        <f>IFERROR(__xludf.DUMMYFUNCTION("""COMPUTED_VALUE"""),41808.666666666664)</f>
        <v>41808.66667</v>
      </c>
      <c r="E59" s="3">
        <f>IFERROR(__xludf.DUMMYFUNCTION("""COMPUTED_VALUE"""),27.59)</f>
        <v>27.59</v>
      </c>
      <c r="F59" s="3">
        <f t="shared" si="1"/>
        <v>0.01865794019</v>
      </c>
    </row>
    <row r="60">
      <c r="A60" s="6"/>
      <c r="D60" s="5">
        <f>IFERROR(__xludf.DUMMYFUNCTION("""COMPUTED_VALUE"""),41809.666666666664)</f>
        <v>41809.66667</v>
      </c>
      <c r="E60" s="3">
        <f>IFERROR(__xludf.DUMMYFUNCTION("""COMPUTED_VALUE"""),27.67)</f>
        <v>27.67</v>
      </c>
      <c r="F60" s="3">
        <f t="shared" si="1"/>
        <v>0.00289540557</v>
      </c>
    </row>
    <row r="61">
      <c r="A61" s="6"/>
      <c r="D61" s="5">
        <f>IFERROR(__xludf.DUMMYFUNCTION("""COMPUTED_VALUE"""),41810.666666666664)</f>
        <v>41810.66667</v>
      </c>
      <c r="E61" s="3">
        <f>IFERROR(__xludf.DUMMYFUNCTION("""COMPUTED_VALUE"""),27.74)</f>
        <v>27.74</v>
      </c>
      <c r="F61" s="3">
        <f t="shared" si="1"/>
        <v>0.002526621088</v>
      </c>
    </row>
    <row r="62">
      <c r="A62" s="6"/>
      <c r="D62" s="5">
        <f>IFERROR(__xludf.DUMMYFUNCTION("""COMPUTED_VALUE"""),41813.666666666664)</f>
        <v>41813.66667</v>
      </c>
      <c r="E62" s="3">
        <f>IFERROR(__xludf.DUMMYFUNCTION("""COMPUTED_VALUE"""),28.17)</f>
        <v>28.17</v>
      </c>
      <c r="F62" s="3">
        <f t="shared" si="1"/>
        <v>0.015382167</v>
      </c>
    </row>
    <row r="63">
      <c r="A63" s="6"/>
      <c r="D63" s="5">
        <f>IFERROR(__xludf.DUMMYFUNCTION("""COMPUTED_VALUE"""),41814.666666666664)</f>
        <v>41814.66667</v>
      </c>
      <c r="E63" s="3">
        <f>IFERROR(__xludf.DUMMYFUNCTION("""COMPUTED_VALUE"""),28.15)</f>
        <v>28.15</v>
      </c>
      <c r="F63" s="3">
        <f t="shared" si="1"/>
        <v>-0.0007102273026</v>
      </c>
    </row>
    <row r="64">
      <c r="A64" s="6"/>
      <c r="D64" s="5">
        <f>IFERROR(__xludf.DUMMYFUNCTION("""COMPUTED_VALUE"""),41815.666666666664)</f>
        <v>41815.66667</v>
      </c>
      <c r="E64" s="3">
        <f>IFERROR(__xludf.DUMMYFUNCTION("""COMPUTED_VALUE"""),28.85)</f>
        <v>28.85</v>
      </c>
      <c r="F64" s="3">
        <f t="shared" si="1"/>
        <v>0.02456263837</v>
      </c>
    </row>
    <row r="65">
      <c r="A65" s="6"/>
      <c r="D65" s="5">
        <f>IFERROR(__xludf.DUMMYFUNCTION("""COMPUTED_VALUE"""),41816.666666666664)</f>
        <v>41816.66667</v>
      </c>
      <c r="E65" s="3">
        <f>IFERROR(__xludf.DUMMYFUNCTION("""COMPUTED_VALUE"""),28.72)</f>
        <v>28.72</v>
      </c>
      <c r="F65" s="3">
        <f t="shared" si="1"/>
        <v>-0.004516248774</v>
      </c>
    </row>
    <row r="66">
      <c r="A66" s="6"/>
      <c r="D66" s="5">
        <f>IFERROR(__xludf.DUMMYFUNCTION("""COMPUTED_VALUE"""),41817.666666666664)</f>
        <v>41817.66667</v>
      </c>
      <c r="E66" s="3">
        <f>IFERROR(__xludf.DUMMYFUNCTION("""COMPUTED_VALUE"""),28.78)</f>
        <v>28.78</v>
      </c>
      <c r="F66" s="3">
        <f t="shared" si="1"/>
        <v>0.002086957279</v>
      </c>
    </row>
    <row r="67">
      <c r="A67" s="6"/>
      <c r="D67" s="5">
        <f>IFERROR(__xludf.DUMMYFUNCTION("""COMPUTED_VALUE"""),41820.666666666664)</f>
        <v>41820.66667</v>
      </c>
      <c r="E67" s="3">
        <f>IFERROR(__xludf.DUMMYFUNCTION("""COMPUTED_VALUE"""),28.69)</f>
        <v>28.69</v>
      </c>
      <c r="F67" s="3">
        <f t="shared" si="1"/>
        <v>-0.003132071466</v>
      </c>
    </row>
    <row r="68">
      <c r="A68" s="6"/>
      <c r="D68" s="5">
        <f>IFERROR(__xludf.DUMMYFUNCTION("""COMPUTED_VALUE"""),41821.666666666664)</f>
        <v>41821.66667</v>
      </c>
      <c r="E68" s="3">
        <f>IFERROR(__xludf.DUMMYFUNCTION("""COMPUTED_VALUE"""),29.05)</f>
        <v>29.05</v>
      </c>
      <c r="F68" s="3">
        <f t="shared" si="1"/>
        <v>0.0124698533</v>
      </c>
    </row>
    <row r="69">
      <c r="A69" s="6"/>
      <c r="D69" s="5">
        <f>IFERROR(__xludf.DUMMYFUNCTION("""COMPUTED_VALUE"""),41822.666666666664)</f>
        <v>41822.66667</v>
      </c>
      <c r="E69" s="3">
        <f>IFERROR(__xludf.DUMMYFUNCTION("""COMPUTED_VALUE"""),29.04)</f>
        <v>29.04</v>
      </c>
      <c r="F69" s="3">
        <f t="shared" si="1"/>
        <v>-0.0003442933413</v>
      </c>
    </row>
    <row r="70">
      <c r="A70" s="6"/>
      <c r="D70" s="5">
        <f>IFERROR(__xludf.DUMMYFUNCTION("""COMPUTED_VALUE"""),41823.666666666664)</f>
        <v>41823.66667</v>
      </c>
      <c r="E70" s="3">
        <f>IFERROR(__xludf.DUMMYFUNCTION("""COMPUTED_VALUE"""),29.16)</f>
        <v>29.16</v>
      </c>
      <c r="F70" s="3">
        <f t="shared" si="1"/>
        <v>0.004123717184</v>
      </c>
    </row>
    <row r="71">
      <c r="A71" s="6"/>
      <c r="D71" s="5">
        <f>IFERROR(__xludf.DUMMYFUNCTION("""COMPUTED_VALUE"""),41827.666666666664)</f>
        <v>41827.66667</v>
      </c>
      <c r="E71" s="3">
        <f>IFERROR(__xludf.DUMMYFUNCTION("""COMPUTED_VALUE"""),29.03)</f>
        <v>29.03</v>
      </c>
      <c r="F71" s="3">
        <f t="shared" si="1"/>
        <v>-0.004468129104</v>
      </c>
    </row>
    <row r="72">
      <c r="A72" s="6"/>
      <c r="D72" s="5">
        <f>IFERROR(__xludf.DUMMYFUNCTION("""COMPUTED_VALUE"""),41828.666666666664)</f>
        <v>41828.66667</v>
      </c>
      <c r="E72" s="3">
        <f>IFERROR(__xludf.DUMMYFUNCTION("""COMPUTED_VALUE"""),28.48)</f>
        <v>28.48</v>
      </c>
      <c r="F72" s="3">
        <f t="shared" si="1"/>
        <v>-0.01912769149</v>
      </c>
    </row>
    <row r="73">
      <c r="A73" s="6"/>
      <c r="D73" s="5">
        <f>IFERROR(__xludf.DUMMYFUNCTION("""COMPUTED_VALUE"""),41829.666666666664)</f>
        <v>41829.66667</v>
      </c>
      <c r="E73" s="3">
        <f>IFERROR(__xludf.DUMMYFUNCTION("""COMPUTED_VALUE"""),28.73)</f>
        <v>28.73</v>
      </c>
      <c r="F73" s="3">
        <f t="shared" si="1"/>
        <v>0.008739786447</v>
      </c>
    </row>
    <row r="74">
      <c r="A74" s="6"/>
      <c r="D74" s="5">
        <f>IFERROR(__xludf.DUMMYFUNCTION("""COMPUTED_VALUE"""),41830.666666666664)</f>
        <v>41830.66667</v>
      </c>
      <c r="E74" s="3">
        <f>IFERROR(__xludf.DUMMYFUNCTION("""COMPUTED_VALUE"""),28.48)</f>
        <v>28.48</v>
      </c>
      <c r="F74" s="3">
        <f t="shared" si="1"/>
        <v>-0.008739786447</v>
      </c>
    </row>
    <row r="75">
      <c r="A75" s="6"/>
      <c r="D75" s="5">
        <f>IFERROR(__xludf.DUMMYFUNCTION("""COMPUTED_VALUE"""),41831.666666666664)</f>
        <v>41831.66667</v>
      </c>
      <c r="E75" s="3">
        <f>IFERROR(__xludf.DUMMYFUNCTION("""COMPUTED_VALUE"""),28.88)</f>
        <v>28.88</v>
      </c>
      <c r="F75" s="3">
        <f t="shared" si="1"/>
        <v>0.01394722748</v>
      </c>
    </row>
    <row r="76">
      <c r="A76" s="6"/>
      <c r="D76" s="5">
        <f>IFERROR(__xludf.DUMMYFUNCTION("""COMPUTED_VALUE"""),41834.666666666664)</f>
        <v>41834.66667</v>
      </c>
      <c r="E76" s="3">
        <f>IFERROR(__xludf.DUMMYFUNCTION("""COMPUTED_VALUE"""),29.16)</f>
        <v>29.16</v>
      </c>
      <c r="F76" s="3">
        <f t="shared" si="1"/>
        <v>0.009648593116</v>
      </c>
    </row>
    <row r="77">
      <c r="A77" s="6"/>
      <c r="D77" s="5">
        <f>IFERROR(__xludf.DUMMYFUNCTION("""COMPUTED_VALUE"""),41835.666666666664)</f>
        <v>41835.66667</v>
      </c>
      <c r="E77" s="3">
        <f>IFERROR(__xludf.DUMMYFUNCTION("""COMPUTED_VALUE"""),29.16)</f>
        <v>29.16</v>
      </c>
      <c r="F77" s="3">
        <f t="shared" si="1"/>
        <v>0</v>
      </c>
    </row>
    <row r="78">
      <c r="A78" s="6"/>
      <c r="D78" s="5">
        <f>IFERROR(__xludf.DUMMYFUNCTION("""COMPUTED_VALUE"""),41836.666666666664)</f>
        <v>41836.66667</v>
      </c>
      <c r="E78" s="3">
        <f>IFERROR(__xludf.DUMMYFUNCTION("""COMPUTED_VALUE"""),29.05)</f>
        <v>29.05</v>
      </c>
      <c r="F78" s="3">
        <f t="shared" si="1"/>
        <v>-0.003779423843</v>
      </c>
    </row>
    <row r="79">
      <c r="A79" s="6"/>
      <c r="D79" s="5">
        <f>IFERROR(__xludf.DUMMYFUNCTION("""COMPUTED_VALUE"""),41837.666666666664)</f>
        <v>41837.66667</v>
      </c>
      <c r="E79" s="3">
        <f>IFERROR(__xludf.DUMMYFUNCTION("""COMPUTED_VALUE"""),28.61)</f>
        <v>28.61</v>
      </c>
      <c r="F79" s="3">
        <f t="shared" si="1"/>
        <v>-0.01526217624</v>
      </c>
    </row>
    <row r="80">
      <c r="A80" s="6"/>
      <c r="D80" s="5">
        <f>IFERROR(__xludf.DUMMYFUNCTION("""COMPUTED_VALUE"""),41838.666666666664)</f>
        <v>41838.66667</v>
      </c>
      <c r="E80" s="3">
        <f>IFERROR(__xludf.DUMMYFUNCTION("""COMPUTED_VALUE"""),29.67)</f>
        <v>29.67</v>
      </c>
      <c r="F80" s="3">
        <f t="shared" si="1"/>
        <v>0.03638012724</v>
      </c>
    </row>
    <row r="81">
      <c r="A81" s="6"/>
      <c r="D81" s="5">
        <f>IFERROR(__xludf.DUMMYFUNCTION("""COMPUTED_VALUE"""),41841.666666666664)</f>
        <v>41841.66667</v>
      </c>
      <c r="E81" s="3">
        <f>IFERROR(__xludf.DUMMYFUNCTION("""COMPUTED_VALUE"""),29.39)</f>
        <v>29.39</v>
      </c>
      <c r="F81" s="3">
        <f t="shared" si="1"/>
        <v>-0.009481953872</v>
      </c>
    </row>
    <row r="82">
      <c r="A82" s="6"/>
      <c r="D82" s="5">
        <f>IFERROR(__xludf.DUMMYFUNCTION("""COMPUTED_VALUE"""),41842.666666666664)</f>
        <v>41842.66667</v>
      </c>
      <c r="E82" s="3">
        <f>IFERROR(__xludf.DUMMYFUNCTION("""COMPUTED_VALUE"""),29.66)</f>
        <v>29.66</v>
      </c>
      <c r="F82" s="3">
        <f t="shared" si="1"/>
        <v>0.009144856279</v>
      </c>
    </row>
    <row r="83">
      <c r="A83" s="6"/>
      <c r="D83" s="5">
        <f>IFERROR(__xludf.DUMMYFUNCTION("""COMPUTED_VALUE"""),41843.666666666664)</f>
        <v>41843.66667</v>
      </c>
      <c r="E83" s="3">
        <f>IFERROR(__xludf.DUMMYFUNCTION("""COMPUTED_VALUE"""),29.72)</f>
        <v>29.72</v>
      </c>
      <c r="F83" s="3">
        <f t="shared" si="1"/>
        <v>0.00202088314</v>
      </c>
    </row>
    <row r="84">
      <c r="A84" s="6"/>
      <c r="D84" s="5">
        <f>IFERROR(__xludf.DUMMYFUNCTION("""COMPUTED_VALUE"""),41844.666666666664)</f>
        <v>41844.66667</v>
      </c>
      <c r="E84" s="3">
        <f>IFERROR(__xludf.DUMMYFUNCTION("""COMPUTED_VALUE"""),29.59)</f>
        <v>29.59</v>
      </c>
      <c r="F84" s="3">
        <f t="shared" si="1"/>
        <v>-0.004383753437</v>
      </c>
    </row>
    <row r="85">
      <c r="A85" s="6"/>
      <c r="D85" s="5">
        <f>IFERROR(__xludf.DUMMYFUNCTION("""COMPUTED_VALUE"""),41845.666666666664)</f>
        <v>41845.66667</v>
      </c>
      <c r="E85" s="3">
        <f>IFERROR(__xludf.DUMMYFUNCTION("""COMPUTED_VALUE"""),29.37)</f>
        <v>29.37</v>
      </c>
      <c r="F85" s="3">
        <f t="shared" si="1"/>
        <v>-0.007462721202</v>
      </c>
    </row>
    <row r="86">
      <c r="A86" s="6"/>
      <c r="D86" s="5">
        <f>IFERROR(__xludf.DUMMYFUNCTION("""COMPUTED_VALUE"""),41848.666666666664)</f>
        <v>41848.66667</v>
      </c>
      <c r="E86" s="3">
        <f>IFERROR(__xludf.DUMMYFUNCTION("""COMPUTED_VALUE"""),29.45)</f>
        <v>29.45</v>
      </c>
      <c r="F86" s="3">
        <f t="shared" si="1"/>
        <v>0.002720164887</v>
      </c>
    </row>
    <row r="87">
      <c r="A87" s="6"/>
      <c r="D87" s="5">
        <f>IFERROR(__xludf.DUMMYFUNCTION("""COMPUTED_VALUE"""),41849.666666666664)</f>
        <v>41849.66667</v>
      </c>
      <c r="E87" s="3">
        <f>IFERROR(__xludf.DUMMYFUNCTION("""COMPUTED_VALUE"""),29.2)</f>
        <v>29.2</v>
      </c>
      <c r="F87" s="3">
        <f t="shared" si="1"/>
        <v>-0.008525200823</v>
      </c>
    </row>
    <row r="88">
      <c r="A88" s="6"/>
      <c r="D88" s="5">
        <f>IFERROR(__xludf.DUMMYFUNCTION("""COMPUTED_VALUE"""),41850.666666666664)</f>
        <v>41850.66667</v>
      </c>
      <c r="E88" s="3">
        <f>IFERROR(__xludf.DUMMYFUNCTION("""COMPUTED_VALUE"""),29.29)</f>
        <v>29.29</v>
      </c>
      <c r="F88" s="3">
        <f t="shared" si="1"/>
        <v>0.003077451565</v>
      </c>
    </row>
    <row r="89">
      <c r="A89" s="6"/>
      <c r="D89" s="5">
        <f>IFERROR(__xludf.DUMMYFUNCTION("""COMPUTED_VALUE"""),41851.666666666664)</f>
        <v>41851.66667</v>
      </c>
      <c r="E89" s="3">
        <f>IFERROR(__xludf.DUMMYFUNCTION("""COMPUTED_VALUE"""),28.5)</f>
        <v>28.5</v>
      </c>
      <c r="F89" s="3">
        <f t="shared" si="1"/>
        <v>-0.02734207357</v>
      </c>
    </row>
    <row r="90">
      <c r="A90" s="6"/>
      <c r="D90" s="5">
        <f>IFERROR(__xludf.DUMMYFUNCTION("""COMPUTED_VALUE"""),41852.666666666664)</f>
        <v>41852.66667</v>
      </c>
      <c r="E90" s="3">
        <f>IFERROR(__xludf.DUMMYFUNCTION("""COMPUTED_VALUE"""),28.23)</f>
        <v>28.23</v>
      </c>
      <c r="F90" s="3">
        <f t="shared" si="1"/>
        <v>-0.009518845009</v>
      </c>
    </row>
    <row r="91">
      <c r="A91" s="6"/>
      <c r="D91" s="5">
        <f>IFERROR(__xludf.DUMMYFUNCTION("""COMPUTED_VALUE"""),41855.666666666664)</f>
        <v>41855.66667</v>
      </c>
      <c r="E91" s="3">
        <f>IFERROR(__xludf.DUMMYFUNCTION("""COMPUTED_VALUE"""),28.58)</f>
        <v>28.58</v>
      </c>
      <c r="F91" s="3">
        <f t="shared" si="1"/>
        <v>0.01232193024</v>
      </c>
    </row>
    <row r="92">
      <c r="A92" s="6"/>
      <c r="D92" s="5">
        <f>IFERROR(__xludf.DUMMYFUNCTION("""COMPUTED_VALUE"""),41856.666666666664)</f>
        <v>41856.66667</v>
      </c>
      <c r="E92" s="3">
        <f>IFERROR(__xludf.DUMMYFUNCTION("""COMPUTED_VALUE"""),28.18)</f>
        <v>28.18</v>
      </c>
      <c r="F92" s="3">
        <f t="shared" si="1"/>
        <v>-0.01409466603</v>
      </c>
    </row>
    <row r="93">
      <c r="A93" s="6"/>
      <c r="D93" s="5">
        <f>IFERROR(__xludf.DUMMYFUNCTION("""COMPUTED_VALUE"""),41857.666666666664)</f>
        <v>41857.66667</v>
      </c>
      <c r="E93" s="3">
        <f>IFERROR(__xludf.DUMMYFUNCTION("""COMPUTED_VALUE"""),28.24)</f>
        <v>28.24</v>
      </c>
      <c r="F93" s="3">
        <f t="shared" si="1"/>
        <v>0.002126906155</v>
      </c>
    </row>
    <row r="94">
      <c r="A94" s="6"/>
      <c r="D94" s="5">
        <f>IFERROR(__xludf.DUMMYFUNCTION("""COMPUTED_VALUE"""),41858.666666666664)</f>
        <v>41858.66667</v>
      </c>
      <c r="E94" s="3">
        <f>IFERROR(__xludf.DUMMYFUNCTION("""COMPUTED_VALUE"""),28.09)</f>
        <v>28.09</v>
      </c>
      <c r="F94" s="3">
        <f t="shared" si="1"/>
        <v>-0.005325771509</v>
      </c>
    </row>
    <row r="95">
      <c r="A95" s="6"/>
      <c r="D95" s="5">
        <f>IFERROR(__xludf.DUMMYFUNCTION("""COMPUTED_VALUE"""),41859.666666666664)</f>
        <v>41859.66667</v>
      </c>
      <c r="E95" s="3">
        <f>IFERROR(__xludf.DUMMYFUNCTION("""COMPUTED_VALUE"""),28.36)</f>
        <v>28.36</v>
      </c>
      <c r="F95" s="3">
        <f t="shared" si="1"/>
        <v>0.009566060548</v>
      </c>
    </row>
    <row r="96">
      <c r="A96" s="6"/>
      <c r="D96" s="5">
        <f>IFERROR(__xludf.DUMMYFUNCTION("""COMPUTED_VALUE"""),41862.666666666664)</f>
        <v>41862.66667</v>
      </c>
      <c r="E96" s="3">
        <f>IFERROR(__xludf.DUMMYFUNCTION("""COMPUTED_VALUE"""),28.32)</f>
        <v>28.32</v>
      </c>
      <c r="F96" s="3">
        <f t="shared" si="1"/>
        <v>-0.001411432838</v>
      </c>
    </row>
    <row r="97">
      <c r="A97" s="6"/>
      <c r="D97" s="5">
        <f>IFERROR(__xludf.DUMMYFUNCTION("""COMPUTED_VALUE"""),41863.666666666664)</f>
        <v>41863.66667</v>
      </c>
      <c r="E97" s="3">
        <f>IFERROR(__xludf.DUMMYFUNCTION("""COMPUTED_VALUE"""),28.06)</f>
        <v>28.06</v>
      </c>
      <c r="F97" s="3">
        <f t="shared" si="1"/>
        <v>-0.009223194151</v>
      </c>
    </row>
    <row r="98">
      <c r="A98" s="6"/>
      <c r="D98" s="5">
        <f>IFERROR(__xludf.DUMMYFUNCTION("""COMPUTED_VALUE"""),41864.666666666664)</f>
        <v>41864.66667</v>
      </c>
      <c r="E98" s="3">
        <f>IFERROR(__xludf.DUMMYFUNCTION("""COMPUTED_VALUE"""),28.66)</f>
        <v>28.66</v>
      </c>
      <c r="F98" s="3">
        <f t="shared" si="1"/>
        <v>0.02115734773</v>
      </c>
    </row>
    <row r="99">
      <c r="A99" s="6"/>
      <c r="D99" s="5">
        <f>IFERROR(__xludf.DUMMYFUNCTION("""COMPUTED_VALUE"""),41865.666666666664)</f>
        <v>41865.66667</v>
      </c>
      <c r="E99" s="3">
        <f>IFERROR(__xludf.DUMMYFUNCTION("""COMPUTED_VALUE"""),28.65)</f>
        <v>28.65</v>
      </c>
      <c r="F99" s="3">
        <f t="shared" si="1"/>
        <v>-0.0003489792393</v>
      </c>
    </row>
    <row r="100">
      <c r="A100" s="6"/>
      <c r="D100" s="5">
        <f>IFERROR(__xludf.DUMMYFUNCTION("""COMPUTED_VALUE"""),41866.666666666664)</f>
        <v>41866.66667</v>
      </c>
      <c r="E100" s="3">
        <f>IFERROR(__xludf.DUMMYFUNCTION("""COMPUTED_VALUE"""),28.6)</f>
        <v>28.6</v>
      </c>
      <c r="F100" s="3">
        <f t="shared" si="1"/>
        <v>-0.001746725335</v>
      </c>
    </row>
    <row r="101">
      <c r="A101" s="6"/>
      <c r="D101" s="5">
        <f>IFERROR(__xludf.DUMMYFUNCTION("""COMPUTED_VALUE"""),41869.666666666664)</f>
        <v>41869.66667</v>
      </c>
      <c r="E101" s="3">
        <f>IFERROR(__xludf.DUMMYFUNCTION("""COMPUTED_VALUE"""),29.03)</f>
        <v>29.03</v>
      </c>
      <c r="F101" s="3">
        <f t="shared" si="1"/>
        <v>0.01492306021</v>
      </c>
    </row>
    <row r="102">
      <c r="A102" s="6"/>
      <c r="D102" s="5">
        <f>IFERROR(__xludf.DUMMYFUNCTION("""COMPUTED_VALUE"""),41870.666666666664)</f>
        <v>41870.66667</v>
      </c>
      <c r="E102" s="3">
        <f>IFERROR(__xludf.DUMMYFUNCTION("""COMPUTED_VALUE"""),29.26)</f>
        <v>29.26</v>
      </c>
      <c r="F102" s="3">
        <f t="shared" si="1"/>
        <v>0.007891617555</v>
      </c>
    </row>
    <row r="103">
      <c r="A103" s="6"/>
      <c r="D103" s="5">
        <f>IFERROR(__xludf.DUMMYFUNCTION("""COMPUTED_VALUE"""),41871.666666666664)</f>
        <v>41871.66667</v>
      </c>
      <c r="E103" s="3">
        <f>IFERROR(__xludf.DUMMYFUNCTION("""COMPUTED_VALUE"""),29.14)</f>
        <v>29.14</v>
      </c>
      <c r="F103" s="3">
        <f t="shared" si="1"/>
        <v>-0.004109594825</v>
      </c>
    </row>
    <row r="104">
      <c r="A104" s="6"/>
      <c r="D104" s="5">
        <f>IFERROR(__xludf.DUMMYFUNCTION("""COMPUTED_VALUE"""),41872.666666666664)</f>
        <v>41872.66667</v>
      </c>
      <c r="E104" s="3">
        <f>IFERROR(__xludf.DUMMYFUNCTION("""COMPUTED_VALUE"""),29.09)</f>
        <v>29.09</v>
      </c>
      <c r="F104" s="3">
        <f t="shared" si="1"/>
        <v>-0.00171732826</v>
      </c>
    </row>
    <row r="105">
      <c r="A105" s="6"/>
      <c r="D105" s="5">
        <f>IFERROR(__xludf.DUMMYFUNCTION("""COMPUTED_VALUE"""),41873.666666666664)</f>
        <v>41873.66667</v>
      </c>
      <c r="E105" s="3">
        <f>IFERROR(__xludf.DUMMYFUNCTION("""COMPUTED_VALUE"""),29.05)</f>
        <v>29.05</v>
      </c>
      <c r="F105" s="3">
        <f t="shared" si="1"/>
        <v>-0.001375989209</v>
      </c>
    </row>
    <row r="106">
      <c r="A106" s="6"/>
      <c r="D106" s="5">
        <f>IFERROR(__xludf.DUMMYFUNCTION("""COMPUTED_VALUE"""),41876.666666666664)</f>
        <v>41876.66667</v>
      </c>
      <c r="E106" s="3">
        <f>IFERROR(__xludf.DUMMYFUNCTION("""COMPUTED_VALUE"""),28.93)</f>
        <v>28.93</v>
      </c>
      <c r="F106" s="3">
        <f t="shared" si="1"/>
        <v>-0.00413936431</v>
      </c>
    </row>
    <row r="107">
      <c r="A107" s="6"/>
      <c r="D107" s="5">
        <f>IFERROR(__xludf.DUMMYFUNCTION("""COMPUTED_VALUE"""),41877.666666666664)</f>
        <v>41877.66667</v>
      </c>
      <c r="E107" s="3">
        <f>IFERROR(__xludf.DUMMYFUNCTION("""COMPUTED_VALUE"""),28.81)</f>
        <v>28.81</v>
      </c>
      <c r="F107" s="3">
        <f t="shared" si="1"/>
        <v>-0.004156569892</v>
      </c>
    </row>
    <row r="108">
      <c r="A108" s="6"/>
      <c r="D108" s="5">
        <f>IFERROR(__xludf.DUMMYFUNCTION("""COMPUTED_VALUE"""),41878.666666666664)</f>
        <v>41878.66667</v>
      </c>
      <c r="E108" s="3">
        <f>IFERROR(__xludf.DUMMYFUNCTION("""COMPUTED_VALUE"""),28.47)</f>
        <v>28.47</v>
      </c>
      <c r="F108" s="3">
        <f t="shared" si="1"/>
        <v>-0.01187164781</v>
      </c>
    </row>
    <row r="109">
      <c r="A109" s="6"/>
      <c r="D109" s="5">
        <f>IFERROR(__xludf.DUMMYFUNCTION("""COMPUTED_VALUE"""),41879.666666666664)</f>
        <v>41879.66667</v>
      </c>
      <c r="E109" s="3">
        <f>IFERROR(__xludf.DUMMYFUNCTION("""COMPUTED_VALUE"""),28.38)</f>
        <v>28.38</v>
      </c>
      <c r="F109" s="3">
        <f t="shared" si="1"/>
        <v>-0.003166229558</v>
      </c>
    </row>
    <row r="110">
      <c r="A110" s="6"/>
      <c r="D110" s="5">
        <f>IFERROR(__xludf.DUMMYFUNCTION("""COMPUTED_VALUE"""),41880.666666666664)</f>
        <v>41880.66667</v>
      </c>
      <c r="E110" s="3">
        <f>IFERROR(__xludf.DUMMYFUNCTION("""COMPUTED_VALUE"""),28.5)</f>
        <v>28.5</v>
      </c>
      <c r="F110" s="3">
        <f t="shared" si="1"/>
        <v>0.004219415543</v>
      </c>
    </row>
    <row r="111">
      <c r="A111" s="6"/>
      <c r="D111" s="5">
        <f>IFERROR(__xludf.DUMMYFUNCTION("""COMPUTED_VALUE"""),41884.666666666664)</f>
        <v>41884.66667</v>
      </c>
      <c r="E111" s="3">
        <f>IFERROR(__xludf.DUMMYFUNCTION("""COMPUTED_VALUE"""),28.79)</f>
        <v>28.79</v>
      </c>
      <c r="F111" s="3">
        <f t="shared" si="1"/>
        <v>0.01012401735</v>
      </c>
    </row>
    <row r="112">
      <c r="A112" s="6"/>
      <c r="D112" s="5">
        <f>IFERROR(__xludf.DUMMYFUNCTION("""COMPUTED_VALUE"""),41885.666666666664)</f>
        <v>41885.66667</v>
      </c>
      <c r="E112" s="3">
        <f>IFERROR(__xludf.DUMMYFUNCTION("""COMPUTED_VALUE"""),28.82)</f>
        <v>28.82</v>
      </c>
      <c r="F112" s="3">
        <f t="shared" si="1"/>
        <v>0.001041485947</v>
      </c>
    </row>
    <row r="113">
      <c r="A113" s="6"/>
      <c r="D113" s="5">
        <f>IFERROR(__xludf.DUMMYFUNCTION("""COMPUTED_VALUE"""),41886.666666666664)</f>
        <v>41886.66667</v>
      </c>
      <c r="E113" s="3">
        <f>IFERROR(__xludf.DUMMYFUNCTION("""COMPUTED_VALUE"""),29.02)</f>
        <v>29.02</v>
      </c>
      <c r="F113" s="3">
        <f t="shared" si="1"/>
        <v>0.006915656885</v>
      </c>
    </row>
    <row r="114">
      <c r="A114" s="6"/>
      <c r="D114" s="5">
        <f>IFERROR(__xludf.DUMMYFUNCTION("""COMPUTED_VALUE"""),41887.666666666664)</f>
        <v>41887.66667</v>
      </c>
      <c r="E114" s="3">
        <f>IFERROR(__xludf.DUMMYFUNCTION("""COMPUTED_VALUE"""),29.22)</f>
        <v>29.22</v>
      </c>
      <c r="F114" s="3">
        <f t="shared" si="1"/>
        <v>0.006868158867</v>
      </c>
    </row>
    <row r="115">
      <c r="A115" s="6"/>
      <c r="D115" s="5">
        <f>IFERROR(__xludf.DUMMYFUNCTION("""COMPUTED_VALUE"""),41890.666666666664)</f>
        <v>41890.66667</v>
      </c>
      <c r="E115" s="3">
        <f>IFERROR(__xludf.DUMMYFUNCTION("""COMPUTED_VALUE"""),29.41)</f>
        <v>29.41</v>
      </c>
      <c r="F115" s="3">
        <f t="shared" si="1"/>
        <v>0.006481346243</v>
      </c>
    </row>
    <row r="116">
      <c r="A116" s="6"/>
      <c r="D116" s="5">
        <f>IFERROR(__xludf.DUMMYFUNCTION("""COMPUTED_VALUE"""),41891.666666666664)</f>
        <v>41891.66667</v>
      </c>
      <c r="E116" s="3">
        <f>IFERROR(__xludf.DUMMYFUNCTION("""COMPUTED_VALUE"""),28.97)</f>
        <v>28.97</v>
      </c>
      <c r="F116" s="3">
        <f t="shared" si="1"/>
        <v>-0.01507394078</v>
      </c>
    </row>
    <row r="117">
      <c r="A117" s="6"/>
      <c r="D117" s="5">
        <f>IFERROR(__xludf.DUMMYFUNCTION("""COMPUTED_VALUE"""),41892.666666666664)</f>
        <v>41892.66667</v>
      </c>
      <c r="E117" s="3">
        <f>IFERROR(__xludf.DUMMYFUNCTION("""COMPUTED_VALUE"""),29.08)</f>
        <v>29.08</v>
      </c>
      <c r="F117" s="3">
        <f t="shared" si="1"/>
        <v>0.003789840884</v>
      </c>
    </row>
    <row r="118">
      <c r="A118" s="6"/>
      <c r="D118" s="5">
        <f>IFERROR(__xludf.DUMMYFUNCTION("""COMPUTED_VALUE"""),41893.666666666664)</f>
        <v>41893.66667</v>
      </c>
      <c r="E118" s="3">
        <f>IFERROR(__xludf.DUMMYFUNCTION("""COMPUTED_VALUE"""),28.99)</f>
        <v>28.99</v>
      </c>
      <c r="F118" s="3">
        <f t="shared" si="1"/>
        <v>-0.003099709732</v>
      </c>
    </row>
    <row r="119">
      <c r="A119" s="6"/>
      <c r="D119" s="5">
        <f>IFERROR(__xludf.DUMMYFUNCTION("""COMPUTED_VALUE"""),41894.666666666664)</f>
        <v>41894.66667</v>
      </c>
      <c r="E119" s="3">
        <f>IFERROR(__xludf.DUMMYFUNCTION("""COMPUTED_VALUE"""),28.7)</f>
        <v>28.7</v>
      </c>
      <c r="F119" s="3">
        <f t="shared" si="1"/>
        <v>-0.01005382017</v>
      </c>
    </row>
    <row r="120">
      <c r="A120" s="6"/>
      <c r="D120" s="5">
        <f>IFERROR(__xludf.DUMMYFUNCTION("""COMPUTED_VALUE"""),41897.666666666664)</f>
        <v>41897.66667</v>
      </c>
      <c r="E120" s="3">
        <f>IFERROR(__xludf.DUMMYFUNCTION("""COMPUTED_VALUE"""),28.58)</f>
        <v>28.58</v>
      </c>
      <c r="F120" s="3">
        <f t="shared" si="1"/>
        <v>-0.004189950264</v>
      </c>
    </row>
    <row r="121">
      <c r="A121" s="6"/>
      <c r="D121" s="5">
        <f>IFERROR(__xludf.DUMMYFUNCTION("""COMPUTED_VALUE"""),41898.666666666664)</f>
        <v>41898.66667</v>
      </c>
      <c r="E121" s="3">
        <f>IFERROR(__xludf.DUMMYFUNCTION("""COMPUTED_VALUE"""),28.92)</f>
        <v>28.92</v>
      </c>
      <c r="F121" s="3">
        <f t="shared" si="1"/>
        <v>0.01182622479</v>
      </c>
    </row>
    <row r="122">
      <c r="A122" s="6"/>
      <c r="D122" s="5">
        <f>IFERROR(__xludf.DUMMYFUNCTION("""COMPUTED_VALUE"""),41899.666666666664)</f>
        <v>41899.66667</v>
      </c>
      <c r="E122" s="3">
        <f>IFERROR(__xludf.DUMMYFUNCTION("""COMPUTED_VALUE"""),29.16)</f>
        <v>29.16</v>
      </c>
      <c r="F122" s="3">
        <f t="shared" si="1"/>
        <v>0.00826450985</v>
      </c>
    </row>
    <row r="123">
      <c r="A123" s="6"/>
      <c r="D123" s="5">
        <f>IFERROR(__xludf.DUMMYFUNCTION("""COMPUTED_VALUE"""),41900.666666666664)</f>
        <v>41900.66667</v>
      </c>
      <c r="E123" s="3">
        <f>IFERROR(__xludf.DUMMYFUNCTION("""COMPUTED_VALUE"""),29.38)</f>
        <v>29.38</v>
      </c>
      <c r="F123" s="3">
        <f t="shared" si="1"/>
        <v>0.007516263605</v>
      </c>
    </row>
    <row r="124">
      <c r="A124" s="6"/>
      <c r="D124" s="5">
        <f>IFERROR(__xludf.DUMMYFUNCTION("""COMPUTED_VALUE"""),41901.666666666664)</f>
        <v>41901.66667</v>
      </c>
      <c r="E124" s="3">
        <f>IFERROR(__xludf.DUMMYFUNCTION("""COMPUTED_VALUE"""),29.72)</f>
        <v>29.72</v>
      </c>
      <c r="F124" s="3">
        <f t="shared" si="1"/>
        <v>0.0115060491</v>
      </c>
    </row>
    <row r="125">
      <c r="A125" s="6"/>
      <c r="D125" s="5">
        <f>IFERROR(__xludf.DUMMYFUNCTION("""COMPUTED_VALUE"""),41904.666666666664)</f>
        <v>41904.66667</v>
      </c>
      <c r="E125" s="3">
        <f>IFERROR(__xludf.DUMMYFUNCTION("""COMPUTED_VALUE"""),29.29)</f>
        <v>29.29</v>
      </c>
      <c r="F125" s="3">
        <f t="shared" si="1"/>
        <v>-0.01457405901</v>
      </c>
    </row>
    <row r="126">
      <c r="A126" s="6"/>
      <c r="D126" s="5">
        <f>IFERROR(__xludf.DUMMYFUNCTION("""COMPUTED_VALUE"""),41905.666666666664)</f>
        <v>41905.66667</v>
      </c>
      <c r="E126" s="3">
        <f>IFERROR(__xludf.DUMMYFUNCTION("""COMPUTED_VALUE"""),28.98)</f>
        <v>28.98</v>
      </c>
      <c r="F126" s="3">
        <f t="shared" si="1"/>
        <v>-0.01064022395</v>
      </c>
    </row>
    <row r="127">
      <c r="A127" s="6"/>
      <c r="D127" s="5">
        <f>IFERROR(__xludf.DUMMYFUNCTION("""COMPUTED_VALUE"""),41906.666666666664)</f>
        <v>41906.66667</v>
      </c>
      <c r="E127" s="3">
        <f>IFERROR(__xludf.DUMMYFUNCTION("""COMPUTED_VALUE"""),29.32)</f>
        <v>29.32</v>
      </c>
      <c r="F127" s="3">
        <f t="shared" si="1"/>
        <v>0.01166394013</v>
      </c>
    </row>
    <row r="128">
      <c r="A128" s="6"/>
      <c r="D128" s="5">
        <f>IFERROR(__xludf.DUMMYFUNCTION("""COMPUTED_VALUE"""),41907.666666666664)</f>
        <v>41907.66667</v>
      </c>
      <c r="E128" s="3">
        <f>IFERROR(__xludf.DUMMYFUNCTION("""COMPUTED_VALUE"""),28.67)</f>
        <v>28.67</v>
      </c>
      <c r="F128" s="3">
        <f t="shared" si="1"/>
        <v>-0.02241859712</v>
      </c>
    </row>
    <row r="129">
      <c r="A129" s="6"/>
      <c r="D129" s="5">
        <f>IFERROR(__xludf.DUMMYFUNCTION("""COMPUTED_VALUE"""),41908.666666666664)</f>
        <v>41908.66667</v>
      </c>
      <c r="E129" s="3">
        <f>IFERROR(__xludf.DUMMYFUNCTION("""COMPUTED_VALUE"""),28.78)</f>
        <v>28.78</v>
      </c>
      <c r="F129" s="3">
        <f t="shared" si="1"/>
        <v>0.003829421564</v>
      </c>
    </row>
    <row r="130">
      <c r="A130" s="6"/>
      <c r="D130" s="5">
        <f>IFERROR(__xludf.DUMMYFUNCTION("""COMPUTED_VALUE"""),41911.666666666664)</f>
        <v>41911.66667</v>
      </c>
      <c r="E130" s="3">
        <f>IFERROR(__xludf.DUMMYFUNCTION("""COMPUTED_VALUE"""),28.74)</f>
        <v>28.74</v>
      </c>
      <c r="F130" s="3">
        <f t="shared" si="1"/>
        <v>-0.001390820808</v>
      </c>
    </row>
    <row r="131">
      <c r="A131" s="6"/>
      <c r="D131" s="5">
        <f>IFERROR(__xludf.DUMMYFUNCTION("""COMPUTED_VALUE"""),41912.666666666664)</f>
        <v>41912.66667</v>
      </c>
      <c r="E131" s="3">
        <f>IFERROR(__xludf.DUMMYFUNCTION("""COMPUTED_VALUE"""),28.79)</f>
        <v>28.79</v>
      </c>
      <c r="F131" s="3">
        <f t="shared" si="1"/>
        <v>0.001738223973</v>
      </c>
    </row>
    <row r="132">
      <c r="A132" s="6"/>
      <c r="D132" s="5">
        <f>IFERROR(__xludf.DUMMYFUNCTION("""COMPUTED_VALUE"""),41913.666666666664)</f>
        <v>41913.66667</v>
      </c>
      <c r="E132" s="3">
        <f>IFERROR(__xludf.DUMMYFUNCTION("""COMPUTED_VALUE"""),28.34)</f>
        <v>28.34</v>
      </c>
      <c r="F132" s="3">
        <f t="shared" si="1"/>
        <v>-0.01575387036</v>
      </c>
    </row>
    <row r="133">
      <c r="A133" s="6"/>
      <c r="D133" s="5">
        <f>IFERROR(__xludf.DUMMYFUNCTION("""COMPUTED_VALUE"""),41914.666666666664)</f>
        <v>41914.66667</v>
      </c>
      <c r="E133" s="3">
        <f>IFERROR(__xludf.DUMMYFUNCTION("""COMPUTED_VALUE"""),28.43)</f>
        <v>28.43</v>
      </c>
      <c r="F133" s="3">
        <f t="shared" si="1"/>
        <v>0.0031706914</v>
      </c>
    </row>
    <row r="134">
      <c r="A134" s="6"/>
      <c r="D134" s="5">
        <f>IFERROR(__xludf.DUMMYFUNCTION("""COMPUTED_VALUE"""),41915.666666666664)</f>
        <v>41915.66667</v>
      </c>
      <c r="E134" s="3">
        <f>IFERROR(__xludf.DUMMYFUNCTION("""COMPUTED_VALUE"""),28.69)</f>
        <v>28.69</v>
      </c>
      <c r="F134" s="3">
        <f t="shared" si="1"/>
        <v>0.00910370433</v>
      </c>
    </row>
    <row r="135">
      <c r="A135" s="6"/>
      <c r="D135" s="5">
        <f>IFERROR(__xludf.DUMMYFUNCTION("""COMPUTED_VALUE"""),41918.666666666664)</f>
        <v>41918.66667</v>
      </c>
      <c r="E135" s="3">
        <f>IFERROR(__xludf.DUMMYFUNCTION("""COMPUTED_VALUE"""),28.79)</f>
        <v>28.79</v>
      </c>
      <c r="F135" s="3">
        <f t="shared" si="1"/>
        <v>0.003479474631</v>
      </c>
    </row>
    <row r="136">
      <c r="A136" s="6"/>
      <c r="D136" s="5">
        <f>IFERROR(__xludf.DUMMYFUNCTION("""COMPUTED_VALUE"""),41919.666666666664)</f>
        <v>41919.66667</v>
      </c>
      <c r="E136" s="3">
        <f>IFERROR(__xludf.DUMMYFUNCTION("""COMPUTED_VALUE"""),28.11)</f>
        <v>28.11</v>
      </c>
      <c r="F136" s="3">
        <f t="shared" si="1"/>
        <v>-0.02390271971</v>
      </c>
    </row>
    <row r="137">
      <c r="A137" s="6"/>
      <c r="D137" s="5">
        <f>IFERROR(__xludf.DUMMYFUNCTION("""COMPUTED_VALUE"""),41920.666666666664)</f>
        <v>41920.66667</v>
      </c>
      <c r="E137" s="3">
        <f>IFERROR(__xludf.DUMMYFUNCTION("""COMPUTED_VALUE"""),28.55)</f>
        <v>28.55</v>
      </c>
      <c r="F137" s="3">
        <f t="shared" si="1"/>
        <v>0.01553155118</v>
      </c>
    </row>
    <row r="138">
      <c r="A138" s="6"/>
      <c r="D138" s="5">
        <f>IFERROR(__xludf.DUMMYFUNCTION("""COMPUTED_VALUE"""),41921.666666666664)</f>
        <v>41921.66667</v>
      </c>
      <c r="E138" s="3">
        <f>IFERROR(__xludf.DUMMYFUNCTION("""COMPUTED_VALUE"""),27.97)</f>
        <v>27.97</v>
      </c>
      <c r="F138" s="3">
        <f t="shared" si="1"/>
        <v>-0.02052442889</v>
      </c>
    </row>
    <row r="139">
      <c r="A139" s="6"/>
      <c r="D139" s="5">
        <f>IFERROR(__xludf.DUMMYFUNCTION("""COMPUTED_VALUE"""),41922.666666666664)</f>
        <v>41922.66667</v>
      </c>
      <c r="E139" s="3">
        <f>IFERROR(__xludf.DUMMYFUNCTION("""COMPUTED_VALUE"""),27.15)</f>
        <v>27.15</v>
      </c>
      <c r="F139" s="3">
        <f t="shared" si="1"/>
        <v>-0.02975546083</v>
      </c>
    </row>
    <row r="140">
      <c r="A140" s="6"/>
      <c r="D140" s="5">
        <f>IFERROR(__xludf.DUMMYFUNCTION("""COMPUTED_VALUE"""),41925.666666666664)</f>
        <v>41925.66667</v>
      </c>
      <c r="E140" s="3">
        <f>IFERROR(__xludf.DUMMYFUNCTION("""COMPUTED_VALUE"""),26.59)</f>
        <v>26.59</v>
      </c>
      <c r="F140" s="3">
        <f t="shared" si="1"/>
        <v>-0.02084184113</v>
      </c>
    </row>
    <row r="141">
      <c r="A141" s="6"/>
      <c r="D141" s="5">
        <f>IFERROR(__xludf.DUMMYFUNCTION("""COMPUTED_VALUE"""),41926.666666666664)</f>
        <v>41926.66667</v>
      </c>
      <c r="E141" s="3">
        <f>IFERROR(__xludf.DUMMYFUNCTION("""COMPUTED_VALUE"""),26.82)</f>
        <v>26.82</v>
      </c>
      <c r="F141" s="3">
        <f t="shared" si="1"/>
        <v>0.008612672599</v>
      </c>
    </row>
    <row r="142">
      <c r="A142" s="6"/>
      <c r="D142" s="5">
        <f>IFERROR(__xludf.DUMMYFUNCTION("""COMPUTED_VALUE"""),41927.666666666664)</f>
        <v>41927.66667</v>
      </c>
      <c r="E142" s="3">
        <f>IFERROR(__xludf.DUMMYFUNCTION("""COMPUTED_VALUE"""),26.43)</f>
        <v>26.43</v>
      </c>
      <c r="F142" s="3">
        <f t="shared" si="1"/>
        <v>-0.01464814924</v>
      </c>
    </row>
    <row r="143">
      <c r="A143" s="6"/>
      <c r="D143" s="5">
        <f>IFERROR(__xludf.DUMMYFUNCTION("""COMPUTED_VALUE"""),41928.666666666664)</f>
        <v>41928.66667</v>
      </c>
      <c r="E143" s="3">
        <f>IFERROR(__xludf.DUMMYFUNCTION("""COMPUTED_VALUE"""),26.15)</f>
        <v>26.15</v>
      </c>
      <c r="F143" s="3">
        <f t="shared" si="1"/>
        <v>-0.01065053811</v>
      </c>
    </row>
    <row r="144">
      <c r="A144" s="6"/>
      <c r="D144" s="5">
        <f>IFERROR(__xludf.DUMMYFUNCTION("""COMPUTED_VALUE"""),41929.666666666664)</f>
        <v>41929.66667</v>
      </c>
      <c r="E144" s="3">
        <f>IFERROR(__xludf.DUMMYFUNCTION("""COMPUTED_VALUE"""),25.49)</f>
        <v>25.49</v>
      </c>
      <c r="F144" s="3">
        <f t="shared" si="1"/>
        <v>-0.02556297212</v>
      </c>
    </row>
    <row r="145">
      <c r="A145" s="6"/>
      <c r="D145" s="5">
        <f>IFERROR(__xludf.DUMMYFUNCTION("""COMPUTED_VALUE"""),41932.666666666664)</f>
        <v>41932.66667</v>
      </c>
      <c r="E145" s="3">
        <f>IFERROR(__xludf.DUMMYFUNCTION("""COMPUTED_VALUE"""),25.97)</f>
        <v>25.97</v>
      </c>
      <c r="F145" s="3">
        <f t="shared" si="1"/>
        <v>0.01865580729</v>
      </c>
    </row>
    <row r="146">
      <c r="A146" s="6"/>
      <c r="D146" s="5">
        <f>IFERROR(__xludf.DUMMYFUNCTION("""COMPUTED_VALUE"""),41933.666666666664)</f>
        <v>41933.66667</v>
      </c>
      <c r="E146" s="3">
        <f>IFERROR(__xludf.DUMMYFUNCTION("""COMPUTED_VALUE"""),26.25)</f>
        <v>26.25</v>
      </c>
      <c r="F146" s="3">
        <f t="shared" si="1"/>
        <v>0.01072396336</v>
      </c>
    </row>
    <row r="147">
      <c r="A147" s="6"/>
      <c r="D147" s="5">
        <f>IFERROR(__xludf.DUMMYFUNCTION("""COMPUTED_VALUE"""),41934.666666666664)</f>
        <v>41934.66667</v>
      </c>
      <c r="E147" s="3">
        <f>IFERROR(__xludf.DUMMYFUNCTION("""COMPUTED_VALUE"""),26.56)</f>
        <v>26.56</v>
      </c>
      <c r="F147" s="3">
        <f t="shared" si="1"/>
        <v>0.01174033557</v>
      </c>
    </row>
    <row r="148">
      <c r="A148" s="6"/>
      <c r="D148" s="5">
        <f>IFERROR(__xludf.DUMMYFUNCTION("""COMPUTED_VALUE"""),41935.666666666664)</f>
        <v>41935.66667</v>
      </c>
      <c r="E148" s="3">
        <f>IFERROR(__xludf.DUMMYFUNCTION("""COMPUTED_VALUE"""),27.12)</f>
        <v>27.12</v>
      </c>
      <c r="F148" s="3">
        <f t="shared" si="1"/>
        <v>0.02086513846</v>
      </c>
    </row>
    <row r="149">
      <c r="A149" s="6"/>
      <c r="D149" s="5">
        <f>IFERROR(__xludf.DUMMYFUNCTION("""COMPUTED_VALUE"""),41936.666666666664)</f>
        <v>41936.66667</v>
      </c>
      <c r="E149" s="3">
        <f>IFERROR(__xludf.DUMMYFUNCTION("""COMPUTED_VALUE"""),26.92)</f>
        <v>26.92</v>
      </c>
      <c r="F149" s="3">
        <f t="shared" si="1"/>
        <v>-0.007401958296</v>
      </c>
    </row>
    <row r="150">
      <c r="A150" s="6"/>
      <c r="D150" s="5">
        <f>IFERROR(__xludf.DUMMYFUNCTION("""COMPUTED_VALUE"""),41939.666666666664)</f>
        <v>41939.66667</v>
      </c>
      <c r="E150" s="3">
        <f>IFERROR(__xludf.DUMMYFUNCTION("""COMPUTED_VALUE"""),26.96)</f>
        <v>26.96</v>
      </c>
      <c r="F150" s="3">
        <f t="shared" si="1"/>
        <v>0.001484781268</v>
      </c>
    </row>
    <row r="151">
      <c r="A151" s="6"/>
      <c r="D151" s="5">
        <f>IFERROR(__xludf.DUMMYFUNCTION("""COMPUTED_VALUE"""),41940.666666666664)</f>
        <v>41940.66667</v>
      </c>
      <c r="E151" s="3">
        <f>IFERROR(__xludf.DUMMYFUNCTION("""COMPUTED_VALUE"""),27.37)</f>
        <v>27.37</v>
      </c>
      <c r="F151" s="3">
        <f t="shared" si="1"/>
        <v>0.01509323701</v>
      </c>
    </row>
    <row r="152">
      <c r="A152" s="6"/>
      <c r="D152" s="5">
        <f>IFERROR(__xludf.DUMMYFUNCTION("""COMPUTED_VALUE"""),41941.666666666664)</f>
        <v>41941.66667</v>
      </c>
      <c r="E152" s="3">
        <f>IFERROR(__xludf.DUMMYFUNCTION("""COMPUTED_VALUE"""),27.39)</f>
        <v>27.39</v>
      </c>
      <c r="F152" s="3">
        <f t="shared" si="1"/>
        <v>0.0007304602224</v>
      </c>
    </row>
    <row r="153">
      <c r="A153" s="6"/>
      <c r="D153" s="5">
        <f>IFERROR(__xludf.DUMMYFUNCTION("""COMPUTED_VALUE"""),41942.666666666664)</f>
        <v>41942.66667</v>
      </c>
      <c r="E153" s="3">
        <f>IFERROR(__xludf.DUMMYFUNCTION("""COMPUTED_VALUE"""),27.44)</f>
        <v>27.44</v>
      </c>
      <c r="F153" s="3">
        <f t="shared" si="1"/>
        <v>0.001823819583</v>
      </c>
    </row>
    <row r="154">
      <c r="A154" s="6"/>
      <c r="D154" s="5">
        <f>IFERROR(__xludf.DUMMYFUNCTION("""COMPUTED_VALUE"""),41943.666666666664)</f>
        <v>41943.66667</v>
      </c>
      <c r="E154" s="3">
        <f>IFERROR(__xludf.DUMMYFUNCTION("""COMPUTED_VALUE"""),27.88)</f>
        <v>27.88</v>
      </c>
      <c r="F154" s="3">
        <f t="shared" si="1"/>
        <v>0.01590778303</v>
      </c>
    </row>
    <row r="155">
      <c r="A155" s="6"/>
      <c r="D155" s="5">
        <f>IFERROR(__xludf.DUMMYFUNCTION("""COMPUTED_VALUE"""),41946.666666666664)</f>
        <v>41946.66667</v>
      </c>
      <c r="E155" s="3">
        <f>IFERROR(__xludf.DUMMYFUNCTION("""COMPUTED_VALUE"""),27.69)</f>
        <v>27.69</v>
      </c>
      <c r="F155" s="3">
        <f t="shared" si="1"/>
        <v>-0.006838248709</v>
      </c>
    </row>
    <row r="156">
      <c r="A156" s="6"/>
      <c r="D156" s="5">
        <f>IFERROR(__xludf.DUMMYFUNCTION("""COMPUTED_VALUE"""),41947.666666666664)</f>
        <v>41947.66667</v>
      </c>
      <c r="E156" s="3">
        <f>IFERROR(__xludf.DUMMYFUNCTION("""COMPUTED_VALUE"""),27.63)</f>
        <v>27.63</v>
      </c>
      <c r="F156" s="3">
        <f t="shared" si="1"/>
        <v>-0.002169198248</v>
      </c>
    </row>
    <row r="157">
      <c r="A157" s="6"/>
      <c r="D157" s="5">
        <f>IFERROR(__xludf.DUMMYFUNCTION("""COMPUTED_VALUE"""),41948.666666666664)</f>
        <v>41948.66667</v>
      </c>
      <c r="E157" s="3">
        <f>IFERROR(__xludf.DUMMYFUNCTION("""COMPUTED_VALUE"""),27.22)</f>
        <v>27.22</v>
      </c>
      <c r="F157" s="3">
        <f t="shared" si="1"/>
        <v>-0.01495014171</v>
      </c>
    </row>
    <row r="158">
      <c r="A158" s="6"/>
      <c r="D158" s="5">
        <f>IFERROR(__xludf.DUMMYFUNCTION("""COMPUTED_VALUE"""),41949.666666666664)</f>
        <v>41949.66667</v>
      </c>
      <c r="E158" s="3">
        <f>IFERROR(__xludf.DUMMYFUNCTION("""COMPUTED_VALUE"""),27.03)</f>
        <v>27.03</v>
      </c>
      <c r="F158" s="3">
        <f t="shared" si="1"/>
        <v>-0.007004636935</v>
      </c>
    </row>
    <row r="159">
      <c r="A159" s="6"/>
      <c r="D159" s="5">
        <f>IFERROR(__xludf.DUMMYFUNCTION("""COMPUTED_VALUE"""),41950.666666666664)</f>
        <v>41950.66667</v>
      </c>
      <c r="E159" s="3">
        <f>IFERROR(__xludf.DUMMYFUNCTION("""COMPUTED_VALUE"""),26.98)</f>
        <v>26.98</v>
      </c>
      <c r="F159" s="3">
        <f t="shared" si="1"/>
        <v>-0.001851509509</v>
      </c>
    </row>
    <row r="160">
      <c r="A160" s="6"/>
      <c r="D160" s="5">
        <f>IFERROR(__xludf.DUMMYFUNCTION("""COMPUTED_VALUE"""),41953.66666666667)</f>
        <v>41953.66667</v>
      </c>
      <c r="E160" s="3">
        <f>IFERROR(__xludf.DUMMYFUNCTION("""COMPUTED_VALUE"""),27.3)</f>
        <v>27.3</v>
      </c>
      <c r="F160" s="3">
        <f t="shared" si="1"/>
        <v>0.01179085141</v>
      </c>
    </row>
    <row r="161">
      <c r="A161" s="6"/>
      <c r="D161" s="5">
        <f>IFERROR(__xludf.DUMMYFUNCTION("""COMPUTED_VALUE"""),41954.66666666667)</f>
        <v>41954.66667</v>
      </c>
      <c r="E161" s="3">
        <f>IFERROR(__xludf.DUMMYFUNCTION("""COMPUTED_VALUE"""),27.44)</f>
        <v>27.44</v>
      </c>
      <c r="F161" s="3">
        <f t="shared" si="1"/>
        <v>0.005115100667</v>
      </c>
    </row>
    <row r="162">
      <c r="A162" s="6"/>
      <c r="D162" s="5">
        <f>IFERROR(__xludf.DUMMYFUNCTION("""COMPUTED_VALUE"""),41955.66666666667)</f>
        <v>41955.66667</v>
      </c>
      <c r="E162" s="3">
        <f>IFERROR(__xludf.DUMMYFUNCTION("""COMPUTED_VALUE"""),27.29)</f>
        <v>27.29</v>
      </c>
      <c r="F162" s="3">
        <f t="shared" si="1"/>
        <v>-0.005481468137</v>
      </c>
    </row>
    <row r="163">
      <c r="A163" s="6"/>
      <c r="D163" s="5">
        <f>IFERROR(__xludf.DUMMYFUNCTION("""COMPUTED_VALUE"""),41956.66666666667)</f>
        <v>41956.66667</v>
      </c>
      <c r="E163" s="3">
        <f>IFERROR(__xludf.DUMMYFUNCTION("""COMPUTED_VALUE"""),27.19)</f>
        <v>27.19</v>
      </c>
      <c r="F163" s="3">
        <f t="shared" si="1"/>
        <v>-0.003671076076</v>
      </c>
    </row>
    <row r="164">
      <c r="A164" s="6"/>
      <c r="D164" s="5">
        <f>IFERROR(__xludf.DUMMYFUNCTION("""COMPUTED_VALUE"""),41957.66666666667)</f>
        <v>41957.66667</v>
      </c>
      <c r="E164" s="3">
        <f>IFERROR(__xludf.DUMMYFUNCTION("""COMPUTED_VALUE"""),27.15)</f>
        <v>27.15</v>
      </c>
      <c r="F164" s="3">
        <f t="shared" si="1"/>
        <v>-0.001472212264</v>
      </c>
    </row>
    <row r="165">
      <c r="A165" s="6"/>
      <c r="D165" s="5">
        <f>IFERROR(__xludf.DUMMYFUNCTION("""COMPUTED_VALUE"""),41960.66666666667)</f>
        <v>41960.66667</v>
      </c>
      <c r="E165" s="3">
        <f>IFERROR(__xludf.DUMMYFUNCTION("""COMPUTED_VALUE"""),26.75)</f>
        <v>26.75</v>
      </c>
      <c r="F165" s="3">
        <f t="shared" si="1"/>
        <v>-0.01484257304</v>
      </c>
    </row>
    <row r="166">
      <c r="A166" s="6"/>
      <c r="D166" s="5">
        <f>IFERROR(__xludf.DUMMYFUNCTION("""COMPUTED_VALUE"""),41961.66666666667)</f>
        <v>41961.66667</v>
      </c>
      <c r="E166" s="3">
        <f>IFERROR(__xludf.DUMMYFUNCTION("""COMPUTED_VALUE"""),26.68)</f>
        <v>26.68</v>
      </c>
      <c r="F166" s="3">
        <f t="shared" si="1"/>
        <v>-0.002620252295</v>
      </c>
    </row>
    <row r="167">
      <c r="A167" s="6"/>
      <c r="D167" s="5">
        <f>IFERROR(__xludf.DUMMYFUNCTION("""COMPUTED_VALUE"""),41962.66666666667)</f>
        <v>41962.66667</v>
      </c>
      <c r="E167" s="3">
        <f>IFERROR(__xludf.DUMMYFUNCTION("""COMPUTED_VALUE"""),26.78)</f>
        <v>26.78</v>
      </c>
      <c r="F167" s="3">
        <f t="shared" si="1"/>
        <v>0.003741119216</v>
      </c>
    </row>
    <row r="168">
      <c r="A168" s="6"/>
      <c r="D168" s="5">
        <f>IFERROR(__xludf.DUMMYFUNCTION("""COMPUTED_VALUE"""),41963.66666666667)</f>
        <v>41963.66667</v>
      </c>
      <c r="E168" s="3">
        <f>IFERROR(__xludf.DUMMYFUNCTION("""COMPUTED_VALUE"""),26.67)</f>
        <v>26.67</v>
      </c>
      <c r="F168" s="3">
        <f t="shared" si="1"/>
        <v>-0.004116002069</v>
      </c>
    </row>
    <row r="169">
      <c r="A169" s="6"/>
      <c r="D169" s="5">
        <f>IFERROR(__xludf.DUMMYFUNCTION("""COMPUTED_VALUE"""),41964.66666666667)</f>
        <v>41964.66667</v>
      </c>
      <c r="E169" s="3">
        <f>IFERROR(__xludf.DUMMYFUNCTION("""COMPUTED_VALUE"""),26.8)</f>
        <v>26.8</v>
      </c>
      <c r="F169" s="3">
        <f t="shared" si="1"/>
        <v>0.004862549323</v>
      </c>
    </row>
    <row r="170">
      <c r="A170" s="6"/>
      <c r="D170" s="5">
        <f>IFERROR(__xludf.DUMMYFUNCTION("""COMPUTED_VALUE"""),41967.66666666667)</f>
        <v>41967.66667</v>
      </c>
      <c r="E170" s="3">
        <f>IFERROR(__xludf.DUMMYFUNCTION("""COMPUTED_VALUE"""),26.89)</f>
        <v>26.89</v>
      </c>
      <c r="F170" s="3">
        <f t="shared" si="1"/>
        <v>0.003352582764</v>
      </c>
    </row>
    <row r="171">
      <c r="A171" s="6"/>
      <c r="D171" s="5">
        <f>IFERROR(__xludf.DUMMYFUNCTION("""COMPUTED_VALUE"""),41968.66666666667)</f>
        <v>41968.66667</v>
      </c>
      <c r="E171" s="3">
        <f>IFERROR(__xludf.DUMMYFUNCTION("""COMPUTED_VALUE"""),26.98)</f>
        <v>26.98</v>
      </c>
      <c r="F171" s="3">
        <f t="shared" si="1"/>
        <v>0.003341380499</v>
      </c>
    </row>
    <row r="172">
      <c r="A172" s="6"/>
      <c r="D172" s="5">
        <f>IFERROR(__xludf.DUMMYFUNCTION("""COMPUTED_VALUE"""),41969.66666666667)</f>
        <v>41969.66667</v>
      </c>
      <c r="E172" s="3">
        <f>IFERROR(__xludf.DUMMYFUNCTION("""COMPUTED_VALUE"""),26.94)</f>
        <v>26.94</v>
      </c>
      <c r="F172" s="3">
        <f t="shared" si="1"/>
        <v>-0.001483679797</v>
      </c>
    </row>
    <row r="173">
      <c r="A173" s="6"/>
      <c r="D173" s="5">
        <f>IFERROR(__xludf.DUMMYFUNCTION("""COMPUTED_VALUE"""),41971.66666666667)</f>
        <v>41971.66667</v>
      </c>
      <c r="E173" s="3">
        <f>IFERROR(__xludf.DUMMYFUNCTION("""COMPUTED_VALUE"""),27.02)</f>
        <v>27.02</v>
      </c>
      <c r="F173" s="3">
        <f t="shared" si="1"/>
        <v>0.00296516155</v>
      </c>
    </row>
    <row r="174">
      <c r="A174" s="6"/>
      <c r="D174" s="5">
        <f>IFERROR(__xludf.DUMMYFUNCTION("""COMPUTED_VALUE"""),41974.66666666667)</f>
        <v>41974.66667</v>
      </c>
      <c r="E174" s="3">
        <f>IFERROR(__xludf.DUMMYFUNCTION("""COMPUTED_VALUE"""),26.62)</f>
        <v>26.62</v>
      </c>
      <c r="F174" s="3">
        <f t="shared" si="1"/>
        <v>-0.01491451957</v>
      </c>
    </row>
    <row r="175">
      <c r="A175" s="6"/>
      <c r="D175" s="5">
        <f>IFERROR(__xludf.DUMMYFUNCTION("""COMPUTED_VALUE"""),41975.66666666667)</f>
        <v>41975.66667</v>
      </c>
      <c r="E175" s="3">
        <f>IFERROR(__xludf.DUMMYFUNCTION("""COMPUTED_VALUE"""),26.61)</f>
        <v>26.61</v>
      </c>
      <c r="F175" s="3">
        <f t="shared" si="1"/>
        <v>-0.0003757279774</v>
      </c>
    </row>
    <row r="176">
      <c r="A176" s="6"/>
      <c r="D176" s="5">
        <f>IFERROR(__xludf.DUMMYFUNCTION("""COMPUTED_VALUE"""),41976.66666666667)</f>
        <v>41976.66667</v>
      </c>
      <c r="E176" s="3">
        <f>IFERROR(__xludf.DUMMYFUNCTION("""COMPUTED_VALUE"""),26.49)</f>
        <v>26.49</v>
      </c>
      <c r="F176" s="3">
        <f t="shared" si="1"/>
        <v>-0.004519781706</v>
      </c>
    </row>
    <row r="177">
      <c r="A177" s="6"/>
      <c r="D177" s="5">
        <f>IFERROR(__xludf.DUMMYFUNCTION("""COMPUTED_VALUE"""),41977.66666666667)</f>
        <v>41977.66667</v>
      </c>
      <c r="E177" s="3">
        <f>IFERROR(__xludf.DUMMYFUNCTION("""COMPUTED_VALUE"""),26.79)</f>
        <v>26.79</v>
      </c>
      <c r="F177" s="3">
        <f t="shared" si="1"/>
        <v>0.01126138027</v>
      </c>
    </row>
    <row r="178">
      <c r="A178" s="6"/>
      <c r="D178" s="5">
        <f>IFERROR(__xludf.DUMMYFUNCTION("""COMPUTED_VALUE"""),41978.66666666667)</f>
        <v>41978.66667</v>
      </c>
      <c r="E178" s="3">
        <f>IFERROR(__xludf.DUMMYFUNCTION("""COMPUTED_VALUE"""),26.19)</f>
        <v>26.19</v>
      </c>
      <c r="F178" s="3">
        <f t="shared" si="1"/>
        <v>-0.02265102504</v>
      </c>
    </row>
    <row r="179">
      <c r="A179" s="6"/>
      <c r="D179" s="5">
        <f>IFERROR(__xludf.DUMMYFUNCTION("""COMPUTED_VALUE"""),41981.66666666667)</f>
        <v>41981.66667</v>
      </c>
      <c r="E179" s="3">
        <f>IFERROR(__xludf.DUMMYFUNCTION("""COMPUTED_VALUE"""),26.28)</f>
        <v>26.28</v>
      </c>
      <c r="F179" s="3">
        <f t="shared" si="1"/>
        <v>0.003430535097</v>
      </c>
    </row>
    <row r="180">
      <c r="A180" s="6"/>
      <c r="D180" s="5">
        <f>IFERROR(__xludf.DUMMYFUNCTION("""COMPUTED_VALUE"""),41982.66666666667)</f>
        <v>41982.66667</v>
      </c>
      <c r="E180" s="3">
        <f>IFERROR(__xludf.DUMMYFUNCTION("""COMPUTED_VALUE"""),26.6)</f>
        <v>26.6</v>
      </c>
      <c r="F180" s="3">
        <f t="shared" si="1"/>
        <v>0.01210302217</v>
      </c>
    </row>
    <row r="181">
      <c r="A181" s="6"/>
      <c r="D181" s="5">
        <f>IFERROR(__xludf.DUMMYFUNCTION("""COMPUTED_VALUE"""),41983.66666666667)</f>
        <v>41983.66667</v>
      </c>
      <c r="E181" s="3">
        <f>IFERROR(__xludf.DUMMYFUNCTION("""COMPUTED_VALUE"""),26.23)</f>
        <v>26.23</v>
      </c>
      <c r="F181" s="3">
        <f t="shared" si="1"/>
        <v>-0.01400742191</v>
      </c>
    </row>
    <row r="182">
      <c r="A182" s="6"/>
      <c r="D182" s="5">
        <f>IFERROR(__xludf.DUMMYFUNCTION("""COMPUTED_VALUE"""),41984.66666666667)</f>
        <v>41984.66667</v>
      </c>
      <c r="E182" s="3">
        <f>IFERROR(__xludf.DUMMYFUNCTION("""COMPUTED_VALUE"""),26.34)</f>
        <v>26.34</v>
      </c>
      <c r="F182" s="3">
        <f t="shared" si="1"/>
        <v>0.004184902436</v>
      </c>
    </row>
    <row r="183">
      <c r="A183" s="6"/>
      <c r="D183" s="5">
        <f>IFERROR(__xludf.DUMMYFUNCTION("""COMPUTED_VALUE"""),41985.66666666667)</f>
        <v>41985.66667</v>
      </c>
      <c r="E183" s="3">
        <f>IFERROR(__xludf.DUMMYFUNCTION("""COMPUTED_VALUE"""),25.86)</f>
        <v>25.86</v>
      </c>
      <c r="F183" s="3">
        <f t="shared" si="1"/>
        <v>-0.01839132297</v>
      </c>
    </row>
    <row r="184">
      <c r="A184" s="6"/>
      <c r="D184" s="5">
        <f>IFERROR(__xludf.DUMMYFUNCTION("""COMPUTED_VALUE"""),41988.66666666667)</f>
        <v>41988.66667</v>
      </c>
      <c r="E184" s="3">
        <f>IFERROR(__xludf.DUMMYFUNCTION("""COMPUTED_VALUE"""),25.62)</f>
        <v>25.62</v>
      </c>
      <c r="F184" s="3">
        <f t="shared" si="1"/>
        <v>-0.009324076875</v>
      </c>
    </row>
    <row r="185">
      <c r="A185" s="6"/>
      <c r="D185" s="5">
        <f>IFERROR(__xludf.DUMMYFUNCTION("""COMPUTED_VALUE"""),41989.66666666667)</f>
        <v>41989.66667</v>
      </c>
      <c r="E185" s="3">
        <f>IFERROR(__xludf.DUMMYFUNCTION("""COMPUTED_VALUE"""),24.7)</f>
        <v>24.7</v>
      </c>
      <c r="F185" s="3">
        <f t="shared" si="1"/>
        <v>-0.03657005283</v>
      </c>
    </row>
    <row r="186">
      <c r="A186" s="6"/>
      <c r="D186" s="5">
        <f>IFERROR(__xludf.DUMMYFUNCTION("""COMPUTED_VALUE"""),41990.66666666667)</f>
        <v>41990.66667</v>
      </c>
      <c r="E186" s="3">
        <f>IFERROR(__xludf.DUMMYFUNCTION("""COMPUTED_VALUE"""),25.18)</f>
        <v>25.18</v>
      </c>
      <c r="F186" s="3">
        <f t="shared" si="1"/>
        <v>0.01924678498</v>
      </c>
    </row>
    <row r="187">
      <c r="A187" s="6"/>
      <c r="D187" s="5">
        <f>IFERROR(__xludf.DUMMYFUNCTION("""COMPUTED_VALUE"""),41991.66666666667)</f>
        <v>41991.66667</v>
      </c>
      <c r="E187" s="3">
        <f>IFERROR(__xludf.DUMMYFUNCTION("""COMPUTED_VALUE"""),25.49)</f>
        <v>25.49</v>
      </c>
      <c r="F187" s="3">
        <f t="shared" si="1"/>
        <v>0.01223618977</v>
      </c>
    </row>
    <row r="188">
      <c r="A188" s="6"/>
      <c r="D188" s="5">
        <f>IFERROR(__xludf.DUMMYFUNCTION("""COMPUTED_VALUE"""),41992.66666666667)</f>
        <v>41992.66667</v>
      </c>
      <c r="E188" s="3">
        <f>IFERROR(__xludf.DUMMYFUNCTION("""COMPUTED_VALUE"""),25.75)</f>
        <v>25.75</v>
      </c>
      <c r="F188" s="3">
        <f t="shared" si="1"/>
        <v>0.01014840872</v>
      </c>
    </row>
    <row r="189">
      <c r="A189" s="6"/>
      <c r="D189" s="5">
        <f>IFERROR(__xludf.DUMMYFUNCTION("""COMPUTED_VALUE"""),41995.66666666667)</f>
        <v>41995.66667</v>
      </c>
      <c r="E189" s="3">
        <f>IFERROR(__xludf.DUMMYFUNCTION("""COMPUTED_VALUE"""),26.17)</f>
        <v>26.17</v>
      </c>
      <c r="F189" s="3">
        <f t="shared" si="1"/>
        <v>0.01617908943</v>
      </c>
    </row>
    <row r="190">
      <c r="A190" s="6"/>
      <c r="D190" s="5">
        <f>IFERROR(__xludf.DUMMYFUNCTION("""COMPUTED_VALUE"""),41996.66666666667)</f>
        <v>41996.66667</v>
      </c>
      <c r="E190" s="3">
        <f>IFERROR(__xludf.DUMMYFUNCTION("""COMPUTED_VALUE"""),26.46)</f>
        <v>26.46</v>
      </c>
      <c r="F190" s="3">
        <f t="shared" si="1"/>
        <v>0.01102044214</v>
      </c>
    </row>
    <row r="191">
      <c r="A191" s="6"/>
      <c r="D191" s="5">
        <f>IFERROR(__xludf.DUMMYFUNCTION("""COMPUTED_VALUE"""),41997.66666666667)</f>
        <v>41997.66667</v>
      </c>
      <c r="E191" s="3">
        <f>IFERROR(__xludf.DUMMYFUNCTION("""COMPUTED_VALUE"""),26.37)</f>
        <v>26.37</v>
      </c>
      <c r="F191" s="3">
        <f t="shared" si="1"/>
        <v>-0.003407158322</v>
      </c>
    </row>
    <row r="192">
      <c r="A192" s="6"/>
      <c r="D192" s="5">
        <f>IFERROR(__xludf.DUMMYFUNCTION("""COMPUTED_VALUE"""),41999.66666666667)</f>
        <v>41999.66667</v>
      </c>
      <c r="E192" s="3">
        <f>IFERROR(__xludf.DUMMYFUNCTION("""COMPUTED_VALUE"""),26.63)</f>
        <v>26.63</v>
      </c>
      <c r="F192" s="3">
        <f t="shared" si="1"/>
        <v>0.009811399461</v>
      </c>
    </row>
    <row r="193">
      <c r="A193" s="6"/>
      <c r="D193" s="5">
        <f>IFERROR(__xludf.DUMMYFUNCTION("""COMPUTED_VALUE"""),42002.66666666667)</f>
        <v>42002.66667</v>
      </c>
      <c r="E193" s="3">
        <f>IFERROR(__xludf.DUMMYFUNCTION("""COMPUTED_VALUE"""),26.44)</f>
        <v>26.44</v>
      </c>
      <c r="F193" s="3">
        <f t="shared" si="1"/>
        <v>-0.007160384842</v>
      </c>
    </row>
    <row r="194">
      <c r="A194" s="6"/>
      <c r="D194" s="5">
        <f>IFERROR(__xludf.DUMMYFUNCTION("""COMPUTED_VALUE"""),42003.66666666667)</f>
        <v>42003.66667</v>
      </c>
      <c r="E194" s="3">
        <f>IFERROR(__xludf.DUMMYFUNCTION("""COMPUTED_VALUE"""),26.45)</f>
        <v>26.45</v>
      </c>
      <c r="F194" s="3">
        <f t="shared" si="1"/>
        <v>0.0003781433208</v>
      </c>
    </row>
    <row r="195">
      <c r="A195" s="6"/>
      <c r="D195" s="5">
        <f>IFERROR(__xludf.DUMMYFUNCTION("""COMPUTED_VALUE"""),42004.66666666667)</f>
        <v>42004.66667</v>
      </c>
      <c r="E195" s="3">
        <f>IFERROR(__xludf.DUMMYFUNCTION("""COMPUTED_VALUE"""),26.25)</f>
        <v>26.25</v>
      </c>
      <c r="F195" s="3">
        <f t="shared" si="1"/>
        <v>-0.007590169267</v>
      </c>
    </row>
    <row r="196">
      <c r="A196" s="6"/>
      <c r="D196" s="5">
        <f>IFERROR(__xludf.DUMMYFUNCTION("""COMPUTED_VALUE"""),42006.66666666667)</f>
        <v>42006.66667</v>
      </c>
      <c r="E196" s="3">
        <f>IFERROR(__xludf.DUMMYFUNCTION("""COMPUTED_VALUE"""),26.17)</f>
        <v>26.17</v>
      </c>
      <c r="F196" s="3">
        <f t="shared" si="1"/>
        <v>-0.003052272496</v>
      </c>
    </row>
    <row r="197">
      <c r="A197" s="6"/>
      <c r="D197" s="5">
        <f>IFERROR(__xludf.DUMMYFUNCTION("""COMPUTED_VALUE"""),42009.66666666667)</f>
        <v>42009.66667</v>
      </c>
      <c r="E197" s="3">
        <f>IFERROR(__xludf.DUMMYFUNCTION("""COMPUTED_VALUE"""),25.62)</f>
        <v>25.62</v>
      </c>
      <c r="F197" s="3">
        <f t="shared" si="1"/>
        <v>-0.02124042007</v>
      </c>
    </row>
    <row r="198">
      <c r="A198" s="6"/>
      <c r="D198" s="5">
        <f>IFERROR(__xludf.DUMMYFUNCTION("""COMPUTED_VALUE"""),42010.66666666667)</f>
        <v>42010.66667</v>
      </c>
      <c r="E198" s="3">
        <f>IFERROR(__xludf.DUMMYFUNCTION("""COMPUTED_VALUE"""),25.03)</f>
        <v>25.03</v>
      </c>
      <c r="F198" s="3">
        <f t="shared" si="1"/>
        <v>-0.02329819102</v>
      </c>
    </row>
    <row r="199">
      <c r="A199" s="6"/>
      <c r="D199" s="5">
        <f>IFERROR(__xludf.DUMMYFUNCTION("""COMPUTED_VALUE"""),42011.66666666667)</f>
        <v>42011.66667</v>
      </c>
      <c r="E199" s="3">
        <f>IFERROR(__xludf.DUMMYFUNCTION("""COMPUTED_VALUE"""),24.99)</f>
        <v>24.99</v>
      </c>
      <c r="F199" s="3">
        <f t="shared" si="1"/>
        <v>-0.001599360597</v>
      </c>
    </row>
    <row r="200">
      <c r="A200" s="6"/>
      <c r="D200" s="5">
        <f>IFERROR(__xludf.DUMMYFUNCTION("""COMPUTED_VALUE"""),42012.66666666667)</f>
        <v>42012.66667</v>
      </c>
      <c r="E200" s="3">
        <f>IFERROR(__xludf.DUMMYFUNCTION("""COMPUTED_VALUE"""),25.07)</f>
        <v>25.07</v>
      </c>
      <c r="F200" s="3">
        <f t="shared" si="1"/>
        <v>0.003196167323</v>
      </c>
    </row>
    <row r="201">
      <c r="A201" s="6"/>
      <c r="D201" s="5">
        <f>IFERROR(__xludf.DUMMYFUNCTION("""COMPUTED_VALUE"""),42013.66666666667)</f>
        <v>42013.66667</v>
      </c>
      <c r="E201" s="3">
        <f>IFERROR(__xludf.DUMMYFUNCTION("""COMPUTED_VALUE"""),24.74)</f>
        <v>24.74</v>
      </c>
      <c r="F201" s="3">
        <f t="shared" si="1"/>
        <v>-0.01325054521</v>
      </c>
    </row>
    <row r="202">
      <c r="A202" s="6"/>
      <c r="D202" s="5">
        <f>IFERROR(__xludf.DUMMYFUNCTION("""COMPUTED_VALUE"""),42016.66666666667)</f>
        <v>42016.66667</v>
      </c>
      <c r="E202" s="3">
        <f>IFERROR(__xludf.DUMMYFUNCTION("""COMPUTED_VALUE"""),24.56)</f>
        <v>24.56</v>
      </c>
      <c r="F202" s="3">
        <f t="shared" si="1"/>
        <v>-0.007302263685</v>
      </c>
    </row>
    <row r="203">
      <c r="A203" s="6"/>
      <c r="D203" s="5">
        <f>IFERROR(__xludf.DUMMYFUNCTION("""COMPUTED_VALUE"""),42017.66666666667)</f>
        <v>42017.66667</v>
      </c>
      <c r="E203" s="3">
        <f>IFERROR(__xludf.DUMMYFUNCTION("""COMPUTED_VALUE"""),24.74)</f>
        <v>24.74</v>
      </c>
      <c r="F203" s="3">
        <f t="shared" si="1"/>
        <v>0.007302263685</v>
      </c>
    </row>
    <row r="204">
      <c r="A204" s="6"/>
      <c r="D204" s="5">
        <f>IFERROR(__xludf.DUMMYFUNCTION("""COMPUTED_VALUE"""),42018.66666666667)</f>
        <v>42018.66667</v>
      </c>
      <c r="E204" s="3">
        <f>IFERROR(__xludf.DUMMYFUNCTION("""COMPUTED_VALUE"""),24.97)</f>
        <v>24.97</v>
      </c>
      <c r="F204" s="3">
        <f t="shared" si="1"/>
        <v>0.009253737327</v>
      </c>
    </row>
    <row r="205">
      <c r="A205" s="6"/>
      <c r="D205" s="5">
        <f>IFERROR(__xludf.DUMMYFUNCTION("""COMPUTED_VALUE"""),42019.66666666667)</f>
        <v>42019.66667</v>
      </c>
      <c r="E205" s="3">
        <f>IFERROR(__xludf.DUMMYFUNCTION("""COMPUTED_VALUE"""),25.02)</f>
        <v>25.02</v>
      </c>
      <c r="F205" s="3">
        <f t="shared" si="1"/>
        <v>0.002000400747</v>
      </c>
    </row>
    <row r="206">
      <c r="A206" s="6"/>
      <c r="D206" s="5">
        <f>IFERROR(__xludf.DUMMYFUNCTION("""COMPUTED_VALUE"""),42020.66666666667)</f>
        <v>42020.66667</v>
      </c>
      <c r="E206" s="3">
        <f>IFERROR(__xludf.DUMMYFUNCTION("""COMPUTED_VALUE"""),25.33)</f>
        <v>25.33</v>
      </c>
      <c r="F206" s="3">
        <f t="shared" si="1"/>
        <v>0.01231395897</v>
      </c>
    </row>
    <row r="207">
      <c r="A207" s="6"/>
      <c r="D207" s="5">
        <f>IFERROR(__xludf.DUMMYFUNCTION("""COMPUTED_VALUE"""),42024.66666666667)</f>
        <v>42024.66667</v>
      </c>
      <c r="E207" s="3">
        <f>IFERROR(__xludf.DUMMYFUNCTION("""COMPUTED_VALUE"""),25.28)</f>
        <v>25.28</v>
      </c>
      <c r="F207" s="3">
        <f t="shared" si="1"/>
        <v>-0.001975894735</v>
      </c>
    </row>
    <row r="208">
      <c r="A208" s="6"/>
      <c r="D208" s="5">
        <f>IFERROR(__xludf.DUMMYFUNCTION("""COMPUTED_VALUE"""),42025.66666666667)</f>
        <v>42025.66667</v>
      </c>
      <c r="E208" s="3">
        <f>IFERROR(__xludf.DUMMYFUNCTION("""COMPUTED_VALUE"""),25.83)</f>
        <v>25.83</v>
      </c>
      <c r="F208" s="3">
        <f t="shared" si="1"/>
        <v>0.02152303783</v>
      </c>
    </row>
    <row r="209">
      <c r="A209" s="6"/>
      <c r="D209" s="5">
        <f>IFERROR(__xludf.DUMMYFUNCTION("""COMPUTED_VALUE"""),42026.66666666667)</f>
        <v>42026.66667</v>
      </c>
      <c r="E209" s="3">
        <f>IFERROR(__xludf.DUMMYFUNCTION("""COMPUTED_VALUE"""),26.65)</f>
        <v>26.65</v>
      </c>
      <c r="F209" s="3">
        <f t="shared" si="1"/>
        <v>0.0312525435</v>
      </c>
    </row>
    <row r="210">
      <c r="A210" s="6"/>
      <c r="D210" s="5">
        <f>IFERROR(__xludf.DUMMYFUNCTION("""COMPUTED_VALUE"""),42027.66666666667)</f>
        <v>42027.66667</v>
      </c>
      <c r="E210" s="3">
        <f>IFERROR(__xludf.DUMMYFUNCTION("""COMPUTED_VALUE"""),26.92)</f>
        <v>26.92</v>
      </c>
      <c r="F210" s="3">
        <f t="shared" si="1"/>
        <v>0.01008035416</v>
      </c>
    </row>
    <row r="211">
      <c r="A211" s="6"/>
      <c r="D211" s="5">
        <f>IFERROR(__xludf.DUMMYFUNCTION("""COMPUTED_VALUE"""),42030.66666666667)</f>
        <v>42030.66667</v>
      </c>
      <c r="E211" s="3">
        <f>IFERROR(__xludf.DUMMYFUNCTION("""COMPUTED_VALUE"""),26.69)</f>
        <v>26.69</v>
      </c>
      <c r="F211" s="3">
        <f t="shared" si="1"/>
        <v>-0.00858054136</v>
      </c>
    </row>
    <row r="212">
      <c r="A212" s="6"/>
      <c r="D212" s="5">
        <f>IFERROR(__xludf.DUMMYFUNCTION("""COMPUTED_VALUE"""),42031.66666666667)</f>
        <v>42031.66667</v>
      </c>
      <c r="E212" s="3">
        <f>IFERROR(__xludf.DUMMYFUNCTION("""COMPUTED_VALUE"""),25.86)</f>
        <v>25.86</v>
      </c>
      <c r="F212" s="3">
        <f t="shared" si="1"/>
        <v>-0.03159159007</v>
      </c>
    </row>
    <row r="213">
      <c r="A213" s="6"/>
      <c r="D213" s="5">
        <f>IFERROR(__xludf.DUMMYFUNCTION("""COMPUTED_VALUE"""),42032.66666666667)</f>
        <v>42032.66667</v>
      </c>
      <c r="E213" s="3">
        <f>IFERROR(__xludf.DUMMYFUNCTION("""COMPUTED_VALUE"""),25.43)</f>
        <v>25.43</v>
      </c>
      <c r="F213" s="3">
        <f t="shared" si="1"/>
        <v>-0.01676779391</v>
      </c>
    </row>
    <row r="214">
      <c r="A214" s="6"/>
      <c r="D214" s="5">
        <f>IFERROR(__xludf.DUMMYFUNCTION("""COMPUTED_VALUE"""),42033.66666666667)</f>
        <v>42033.66667</v>
      </c>
      <c r="E214" s="3">
        <f>IFERROR(__xludf.DUMMYFUNCTION("""COMPUTED_VALUE"""),25.46)</f>
        <v>25.46</v>
      </c>
      <c r="F214" s="3">
        <f t="shared" si="1"/>
        <v>0.001179013695</v>
      </c>
    </row>
    <row r="215">
      <c r="A215" s="6"/>
      <c r="D215" s="5">
        <f>IFERROR(__xludf.DUMMYFUNCTION("""COMPUTED_VALUE"""),42034.66666666667)</f>
        <v>42034.66667</v>
      </c>
      <c r="E215" s="3">
        <f>IFERROR(__xludf.DUMMYFUNCTION("""COMPUTED_VALUE"""),26.65)</f>
        <v>26.65</v>
      </c>
      <c r="F215" s="3">
        <f t="shared" si="1"/>
        <v>0.04568055748</v>
      </c>
    </row>
    <row r="216">
      <c r="A216" s="6"/>
      <c r="D216" s="5">
        <f>IFERROR(__xludf.DUMMYFUNCTION("""COMPUTED_VALUE"""),42037.66666666667)</f>
        <v>42037.66667</v>
      </c>
      <c r="E216" s="3">
        <f>IFERROR(__xludf.DUMMYFUNCTION("""COMPUTED_VALUE"""),26.35)</f>
        <v>26.35</v>
      </c>
      <c r="F216" s="3">
        <f t="shared" si="1"/>
        <v>-0.01132087562</v>
      </c>
    </row>
    <row r="217">
      <c r="A217" s="6"/>
      <c r="D217" s="5">
        <f>IFERROR(__xludf.DUMMYFUNCTION("""COMPUTED_VALUE"""),42038.66666666667)</f>
        <v>42038.66667</v>
      </c>
      <c r="E217" s="3">
        <f>IFERROR(__xludf.DUMMYFUNCTION("""COMPUTED_VALUE"""),26.39)</f>
        <v>26.39</v>
      </c>
      <c r="F217" s="3">
        <f t="shared" si="1"/>
        <v>0.001516875528</v>
      </c>
    </row>
    <row r="218">
      <c r="A218" s="6"/>
      <c r="D218" s="5">
        <f>IFERROR(__xludf.DUMMYFUNCTION("""COMPUTED_VALUE"""),42039.66666666667)</f>
        <v>42039.66667</v>
      </c>
      <c r="E218" s="3">
        <f>IFERROR(__xludf.DUMMYFUNCTION("""COMPUTED_VALUE"""),26.07)</f>
        <v>26.07</v>
      </c>
      <c r="F218" s="3">
        <f t="shared" si="1"/>
        <v>-0.01219992257</v>
      </c>
    </row>
    <row r="219">
      <c r="A219" s="6"/>
      <c r="D219" s="5">
        <f>IFERROR(__xludf.DUMMYFUNCTION("""COMPUTED_VALUE"""),42040.66666666667)</f>
        <v>42040.66667</v>
      </c>
      <c r="E219" s="3">
        <f>IFERROR(__xludf.DUMMYFUNCTION("""COMPUTED_VALUE"""),26.31)</f>
        <v>26.31</v>
      </c>
      <c r="F219" s="3">
        <f t="shared" si="1"/>
        <v>0.009163867107</v>
      </c>
    </row>
    <row r="220">
      <c r="A220" s="6"/>
      <c r="D220" s="5">
        <f>IFERROR(__xludf.DUMMYFUNCTION("""COMPUTED_VALUE"""),42041.66666666667)</f>
        <v>42041.66667</v>
      </c>
      <c r="E220" s="3">
        <f>IFERROR(__xludf.DUMMYFUNCTION("""COMPUTED_VALUE"""),26.48)</f>
        <v>26.48</v>
      </c>
      <c r="F220" s="3">
        <f t="shared" si="1"/>
        <v>0.006440636017</v>
      </c>
    </row>
    <row r="221">
      <c r="A221" s="6"/>
      <c r="D221" s="5">
        <f>IFERROR(__xludf.DUMMYFUNCTION("""COMPUTED_VALUE"""),42044.66666666667)</f>
        <v>42044.66667</v>
      </c>
      <c r="E221" s="3">
        <f>IFERROR(__xludf.DUMMYFUNCTION("""COMPUTED_VALUE"""),26.32)</f>
        <v>26.32</v>
      </c>
      <c r="F221" s="3">
        <f t="shared" si="1"/>
        <v>-0.006060624612</v>
      </c>
    </row>
    <row r="222">
      <c r="A222" s="6"/>
      <c r="D222" s="5">
        <f>IFERROR(__xludf.DUMMYFUNCTION("""COMPUTED_VALUE"""),42045.66666666667)</f>
        <v>42045.66667</v>
      </c>
      <c r="E222" s="3">
        <f>IFERROR(__xludf.DUMMYFUNCTION("""COMPUTED_VALUE"""),26.77)</f>
        <v>26.77</v>
      </c>
      <c r="F222" s="3">
        <f t="shared" si="1"/>
        <v>0.01695275108</v>
      </c>
    </row>
    <row r="223">
      <c r="A223" s="6"/>
      <c r="D223" s="5">
        <f>IFERROR(__xludf.DUMMYFUNCTION("""COMPUTED_VALUE"""),42046.66666666667)</f>
        <v>42046.66667</v>
      </c>
      <c r="E223" s="3">
        <f>IFERROR(__xludf.DUMMYFUNCTION("""COMPUTED_VALUE"""),26.73)</f>
        <v>26.73</v>
      </c>
      <c r="F223" s="3">
        <f t="shared" si="1"/>
        <v>-0.001495327381</v>
      </c>
    </row>
    <row r="224">
      <c r="A224" s="6"/>
      <c r="D224" s="5">
        <f>IFERROR(__xludf.DUMMYFUNCTION("""COMPUTED_VALUE"""),42047.66666666667)</f>
        <v>42047.66667</v>
      </c>
      <c r="E224" s="3">
        <f>IFERROR(__xludf.DUMMYFUNCTION("""COMPUTED_VALUE"""),27.07)</f>
        <v>27.07</v>
      </c>
      <c r="F224" s="3">
        <f t="shared" si="1"/>
        <v>0.01263957348</v>
      </c>
    </row>
    <row r="225">
      <c r="A225" s="6"/>
      <c r="D225" s="5">
        <f>IFERROR(__xludf.DUMMYFUNCTION("""COMPUTED_VALUE"""),42048.66666666667)</f>
        <v>42048.66667</v>
      </c>
      <c r="E225" s="3">
        <f>IFERROR(__xludf.DUMMYFUNCTION("""COMPUTED_VALUE"""),27.38)</f>
        <v>27.38</v>
      </c>
      <c r="F225" s="3">
        <f t="shared" si="1"/>
        <v>0.01138671623</v>
      </c>
    </row>
    <row r="226">
      <c r="A226" s="6"/>
      <c r="D226" s="5">
        <f>IFERROR(__xludf.DUMMYFUNCTION("""COMPUTED_VALUE"""),42052.66666666667)</f>
        <v>42052.66667</v>
      </c>
      <c r="E226" s="3">
        <f>IFERROR(__xludf.DUMMYFUNCTION("""COMPUTED_VALUE"""),27.07)</f>
        <v>27.07</v>
      </c>
      <c r="F226" s="3">
        <f t="shared" si="1"/>
        <v>-0.01138671623</v>
      </c>
    </row>
    <row r="227">
      <c r="A227" s="6"/>
      <c r="D227" s="5">
        <f>IFERROR(__xludf.DUMMYFUNCTION("""COMPUTED_VALUE"""),42053.66666666667)</f>
        <v>42053.66667</v>
      </c>
      <c r="E227" s="3">
        <f>IFERROR(__xludf.DUMMYFUNCTION("""COMPUTED_VALUE"""),26.91)</f>
        <v>26.91</v>
      </c>
      <c r="F227" s="3">
        <f t="shared" si="1"/>
        <v>-0.005928138887</v>
      </c>
    </row>
    <row r="228">
      <c r="A228" s="6"/>
      <c r="D228" s="5">
        <f>IFERROR(__xludf.DUMMYFUNCTION("""COMPUTED_VALUE"""),42054.66666666667)</f>
        <v>42054.66667</v>
      </c>
      <c r="E228" s="3">
        <f>IFERROR(__xludf.DUMMYFUNCTION("""COMPUTED_VALUE"""),27.07)</f>
        <v>27.07</v>
      </c>
      <c r="F228" s="3">
        <f t="shared" si="1"/>
        <v>0.005928138887</v>
      </c>
    </row>
    <row r="229">
      <c r="A229" s="6"/>
      <c r="D229" s="5">
        <f>IFERROR(__xludf.DUMMYFUNCTION("""COMPUTED_VALUE"""),42055.66666666667)</f>
        <v>42055.66667</v>
      </c>
      <c r="E229" s="3">
        <f>IFERROR(__xludf.DUMMYFUNCTION("""COMPUTED_VALUE"""),26.87)</f>
        <v>26.87</v>
      </c>
      <c r="F229" s="3">
        <f t="shared" si="1"/>
        <v>-0.007415680999</v>
      </c>
    </row>
    <row r="230">
      <c r="A230" s="6"/>
      <c r="D230" s="5">
        <f>IFERROR(__xludf.DUMMYFUNCTION("""COMPUTED_VALUE"""),42058.66666666667)</f>
        <v>42058.66667</v>
      </c>
      <c r="E230" s="3">
        <f>IFERROR(__xludf.DUMMYFUNCTION("""COMPUTED_VALUE"""),26.52)</f>
        <v>26.52</v>
      </c>
      <c r="F230" s="3">
        <f t="shared" si="1"/>
        <v>-0.01311125731</v>
      </c>
    </row>
    <row r="231">
      <c r="A231" s="6"/>
      <c r="D231" s="5">
        <f>IFERROR(__xludf.DUMMYFUNCTION("""COMPUTED_VALUE"""),42059.66666666667)</f>
        <v>42059.66667</v>
      </c>
      <c r="E231" s="3">
        <f>IFERROR(__xludf.DUMMYFUNCTION("""COMPUTED_VALUE"""),26.73)</f>
        <v>26.73</v>
      </c>
      <c r="F231" s="3">
        <f t="shared" si="1"/>
        <v>0.007887364833</v>
      </c>
    </row>
    <row r="232">
      <c r="A232" s="6"/>
      <c r="D232" s="5">
        <f>IFERROR(__xludf.DUMMYFUNCTION("""COMPUTED_VALUE"""),42060.66666666667)</f>
        <v>42060.66667</v>
      </c>
      <c r="E232" s="3">
        <f>IFERROR(__xludf.DUMMYFUNCTION("""COMPUTED_VALUE"""),27.12)</f>
        <v>27.12</v>
      </c>
      <c r="F232" s="3">
        <f t="shared" si="1"/>
        <v>0.01448493292</v>
      </c>
    </row>
    <row r="233">
      <c r="A233" s="6"/>
      <c r="D233" s="5">
        <f>IFERROR(__xludf.DUMMYFUNCTION("""COMPUTED_VALUE"""),42061.66666666667)</f>
        <v>42061.66667</v>
      </c>
      <c r="E233" s="3">
        <f>IFERROR(__xludf.DUMMYFUNCTION("""COMPUTED_VALUE"""),27.7)</f>
        <v>27.7</v>
      </c>
      <c r="F233" s="3">
        <f t="shared" si="1"/>
        <v>0.02116095012</v>
      </c>
    </row>
    <row r="234">
      <c r="A234" s="6"/>
      <c r="D234" s="5">
        <f>IFERROR(__xludf.DUMMYFUNCTION("""COMPUTED_VALUE"""),42062.66666666667)</f>
        <v>42062.66667</v>
      </c>
      <c r="E234" s="3">
        <f>IFERROR(__xludf.DUMMYFUNCTION("""COMPUTED_VALUE"""),27.84)</f>
        <v>27.84</v>
      </c>
      <c r="F234" s="3">
        <f t="shared" si="1"/>
        <v>0.005041422273</v>
      </c>
    </row>
    <row r="235">
      <c r="A235" s="6"/>
      <c r="D235" s="5">
        <f>IFERROR(__xludf.DUMMYFUNCTION("""COMPUTED_VALUE"""),42065.66666666667)</f>
        <v>42065.66667</v>
      </c>
      <c r="E235" s="3">
        <f>IFERROR(__xludf.DUMMYFUNCTION("""COMPUTED_VALUE"""),28.49)</f>
        <v>28.49</v>
      </c>
      <c r="F235" s="3">
        <f t="shared" si="1"/>
        <v>0.02307931304</v>
      </c>
    </row>
    <row r="236">
      <c r="A236" s="6"/>
      <c r="D236" s="5">
        <f>IFERROR(__xludf.DUMMYFUNCTION("""COMPUTED_VALUE"""),42066.66666666667)</f>
        <v>42066.66667</v>
      </c>
      <c r="E236" s="3">
        <f>IFERROR(__xludf.DUMMYFUNCTION("""COMPUTED_VALUE"""),28.6)</f>
        <v>28.6</v>
      </c>
      <c r="F236" s="3">
        <f t="shared" si="1"/>
        <v>0.003853569316</v>
      </c>
    </row>
    <row r="237">
      <c r="A237" s="6"/>
      <c r="D237" s="5">
        <f>IFERROR(__xludf.DUMMYFUNCTION("""COMPUTED_VALUE"""),42067.66666666667)</f>
        <v>42067.66667</v>
      </c>
      <c r="E237" s="3">
        <f>IFERROR(__xludf.DUMMYFUNCTION("""COMPUTED_VALUE"""),28.59)</f>
        <v>28.59</v>
      </c>
      <c r="F237" s="3">
        <f t="shared" si="1"/>
        <v>-0.0003497114916</v>
      </c>
    </row>
    <row r="238">
      <c r="A238" s="6"/>
      <c r="D238" s="5">
        <f>IFERROR(__xludf.DUMMYFUNCTION("""COMPUTED_VALUE"""),42068.66666666667)</f>
        <v>42068.66667</v>
      </c>
      <c r="E238" s="3">
        <f>IFERROR(__xludf.DUMMYFUNCTION("""COMPUTED_VALUE"""),28.69)</f>
        <v>28.69</v>
      </c>
      <c r="F238" s="3">
        <f t="shared" si="1"/>
        <v>0.003491623659</v>
      </c>
    </row>
    <row r="239">
      <c r="A239" s="6"/>
      <c r="D239" s="5">
        <f>IFERROR(__xludf.DUMMYFUNCTION("""COMPUTED_VALUE"""),42069.66666666667)</f>
        <v>42069.66667</v>
      </c>
      <c r="E239" s="3">
        <f>IFERROR(__xludf.DUMMYFUNCTION("""COMPUTED_VALUE"""),28.31)</f>
        <v>28.31</v>
      </c>
      <c r="F239" s="3">
        <f t="shared" si="1"/>
        <v>-0.01333353087</v>
      </c>
    </row>
    <row r="240">
      <c r="A240" s="6"/>
      <c r="D240" s="5">
        <f>IFERROR(__xludf.DUMMYFUNCTION("""COMPUTED_VALUE"""),42072.66666666667)</f>
        <v>42072.66667</v>
      </c>
      <c r="E240" s="3">
        <f>IFERROR(__xludf.DUMMYFUNCTION("""COMPUTED_VALUE"""),28.36)</f>
        <v>28.36</v>
      </c>
      <c r="F240" s="3">
        <f t="shared" si="1"/>
        <v>0.00176460254</v>
      </c>
    </row>
    <row r="241">
      <c r="A241" s="6"/>
      <c r="D241" s="5">
        <f>IFERROR(__xludf.DUMMYFUNCTION("""COMPUTED_VALUE"""),42073.66666666667)</f>
        <v>42073.66667</v>
      </c>
      <c r="E241" s="3">
        <f>IFERROR(__xludf.DUMMYFUNCTION("""COMPUTED_VALUE"""),27.67)</f>
        <v>27.67</v>
      </c>
      <c r="F241" s="3">
        <f t="shared" si="1"/>
        <v>-0.02463090787</v>
      </c>
    </row>
    <row r="242">
      <c r="A242" s="6"/>
      <c r="D242" s="5">
        <f>IFERROR(__xludf.DUMMYFUNCTION("""COMPUTED_VALUE"""),42074.66666666667)</f>
        <v>42074.66667</v>
      </c>
      <c r="E242" s="3">
        <f>IFERROR(__xludf.DUMMYFUNCTION("""COMPUTED_VALUE"""),27.48)</f>
        <v>27.48</v>
      </c>
      <c r="F242" s="3">
        <f t="shared" si="1"/>
        <v>-0.006890326445</v>
      </c>
    </row>
    <row r="243">
      <c r="A243" s="6"/>
      <c r="D243" s="5">
        <f>IFERROR(__xludf.DUMMYFUNCTION("""COMPUTED_VALUE"""),42075.66666666667)</f>
        <v>42075.66667</v>
      </c>
      <c r="E243" s="3">
        <f>IFERROR(__xludf.DUMMYFUNCTION("""COMPUTED_VALUE"""),27.7)</f>
        <v>27.7</v>
      </c>
      <c r="F243" s="3">
        <f t="shared" si="1"/>
        <v>0.007973945839</v>
      </c>
    </row>
    <row r="244">
      <c r="A244" s="6"/>
      <c r="D244" s="5">
        <f>IFERROR(__xludf.DUMMYFUNCTION("""COMPUTED_VALUE"""),42076.66666666667)</f>
        <v>42076.66667</v>
      </c>
      <c r="E244" s="3">
        <f>IFERROR(__xludf.DUMMYFUNCTION("""COMPUTED_VALUE"""),27.29)</f>
        <v>27.29</v>
      </c>
      <c r="F244" s="3">
        <f t="shared" si="1"/>
        <v>-0.01491207847</v>
      </c>
    </row>
    <row r="245">
      <c r="A245" s="6"/>
      <c r="D245" s="5">
        <f>IFERROR(__xludf.DUMMYFUNCTION("""COMPUTED_VALUE"""),42079.66666666667)</f>
        <v>42079.66667</v>
      </c>
      <c r="E245" s="3">
        <f>IFERROR(__xludf.DUMMYFUNCTION("""COMPUTED_VALUE"""),27.65)</f>
        <v>27.65</v>
      </c>
      <c r="F245" s="3">
        <f t="shared" si="1"/>
        <v>0.01310539325</v>
      </c>
    </row>
    <row r="246">
      <c r="A246" s="6"/>
      <c r="D246" s="5">
        <f>IFERROR(__xludf.DUMMYFUNCTION("""COMPUTED_VALUE"""),42080.66666666667)</f>
        <v>42080.66667</v>
      </c>
      <c r="E246" s="3">
        <f>IFERROR(__xludf.DUMMYFUNCTION("""COMPUTED_VALUE"""),27.47)</f>
        <v>27.47</v>
      </c>
      <c r="F246" s="3">
        <f t="shared" si="1"/>
        <v>-0.006531227861</v>
      </c>
    </row>
    <row r="247">
      <c r="A247" s="6"/>
      <c r="D247" s="5">
        <f>IFERROR(__xludf.DUMMYFUNCTION("""COMPUTED_VALUE"""),42081.66666666667)</f>
        <v>42081.66667</v>
      </c>
      <c r="E247" s="3">
        <f>IFERROR(__xludf.DUMMYFUNCTION("""COMPUTED_VALUE"""),27.9)</f>
        <v>27.9</v>
      </c>
      <c r="F247" s="3">
        <f t="shared" si="1"/>
        <v>0.01553218872</v>
      </c>
    </row>
    <row r="248">
      <c r="A248" s="6"/>
      <c r="D248" s="5">
        <f>IFERROR(__xludf.DUMMYFUNCTION("""COMPUTED_VALUE"""),42082.66666666667)</f>
        <v>42082.66667</v>
      </c>
      <c r="E248" s="3">
        <f>IFERROR(__xludf.DUMMYFUNCTION("""COMPUTED_VALUE"""),27.82)</f>
        <v>27.82</v>
      </c>
      <c r="F248" s="3">
        <f t="shared" si="1"/>
        <v>-0.002871502332</v>
      </c>
    </row>
    <row r="249">
      <c r="A249" s="6"/>
      <c r="D249" s="5">
        <f>IFERROR(__xludf.DUMMYFUNCTION("""COMPUTED_VALUE"""),42083.66666666667)</f>
        <v>42083.66667</v>
      </c>
      <c r="E249" s="3">
        <f>IFERROR(__xludf.DUMMYFUNCTION("""COMPUTED_VALUE"""),27.94)</f>
        <v>27.94</v>
      </c>
      <c r="F249" s="3">
        <f t="shared" si="1"/>
        <v>0.004304167334</v>
      </c>
    </row>
    <row r="250">
      <c r="A250" s="6"/>
      <c r="D250" s="5">
        <f>IFERROR(__xludf.DUMMYFUNCTION("""COMPUTED_VALUE"""),42086.66666666667)</f>
        <v>42086.66667</v>
      </c>
      <c r="E250" s="3">
        <f>IFERROR(__xludf.DUMMYFUNCTION("""COMPUTED_VALUE"""),27.86)</f>
        <v>27.86</v>
      </c>
      <c r="F250" s="3">
        <f t="shared" si="1"/>
        <v>-0.002867385477</v>
      </c>
    </row>
    <row r="251">
      <c r="A251" s="6"/>
      <c r="D251" s="5">
        <f>IFERROR(__xludf.DUMMYFUNCTION("""COMPUTED_VALUE"""),42087.66666666667)</f>
        <v>42087.66667</v>
      </c>
      <c r="E251" s="3">
        <f>IFERROR(__xludf.DUMMYFUNCTION("""COMPUTED_VALUE"""),28.43)</f>
        <v>28.43</v>
      </c>
      <c r="F251" s="3">
        <f t="shared" si="1"/>
        <v>0.02025295731</v>
      </c>
    </row>
    <row r="252">
      <c r="A252" s="6"/>
      <c r="D252" s="5">
        <f>IFERROR(__xludf.DUMMYFUNCTION("""COMPUTED_VALUE"""),42088.66666666667)</f>
        <v>42088.66667</v>
      </c>
      <c r="E252" s="3">
        <f>IFERROR(__xludf.DUMMYFUNCTION("""COMPUTED_VALUE"""),27.86)</f>
        <v>27.86</v>
      </c>
      <c r="F252" s="3">
        <f t="shared" si="1"/>
        <v>-0.02025295731</v>
      </c>
    </row>
    <row r="253">
      <c r="A253" s="6"/>
      <c r="D253" s="5">
        <f>IFERROR(__xludf.DUMMYFUNCTION("""COMPUTED_VALUE"""),42089.66666666667)</f>
        <v>42089.66667</v>
      </c>
      <c r="E253" s="3">
        <f>IFERROR(__xludf.DUMMYFUNCTION("""COMPUTED_VALUE"""),27.68)</f>
        <v>27.68</v>
      </c>
      <c r="F253" s="3">
        <f t="shared" si="1"/>
        <v>-0.006481837602</v>
      </c>
    </row>
    <row r="254">
      <c r="A254" s="6"/>
      <c r="D254" s="5">
        <f>IFERROR(__xludf.DUMMYFUNCTION("""COMPUTED_VALUE"""),42090.66666666667)</f>
        <v>42090.66667</v>
      </c>
      <c r="E254" s="3">
        <f>IFERROR(__xludf.DUMMYFUNCTION("""COMPUTED_VALUE"""),27.34)</f>
        <v>27.34</v>
      </c>
      <c r="F254" s="3">
        <f t="shared" si="1"/>
        <v>-0.01235929945</v>
      </c>
    </row>
    <row r="255">
      <c r="A255" s="6"/>
      <c r="D255" s="5">
        <f>IFERROR(__xludf.DUMMYFUNCTION("""COMPUTED_VALUE"""),42093.66666666667)</f>
        <v>42093.66667</v>
      </c>
      <c r="E255" s="3">
        <f>IFERROR(__xludf.DUMMYFUNCTION("""COMPUTED_VALUE"""),27.53)</f>
        <v>27.53</v>
      </c>
      <c r="F255" s="3">
        <f t="shared" si="1"/>
        <v>0.006925487859</v>
      </c>
    </row>
    <row r="256">
      <c r="A256" s="6"/>
      <c r="D256" s="5">
        <f>IFERROR(__xludf.DUMMYFUNCTION("""COMPUTED_VALUE"""),42094.66666666667)</f>
        <v>42094.66667</v>
      </c>
      <c r="E256" s="3">
        <f>IFERROR(__xludf.DUMMYFUNCTION("""COMPUTED_VALUE"""),27.32)</f>
        <v>27.32</v>
      </c>
      <c r="F256" s="3">
        <f t="shared" si="1"/>
        <v>-0.007657284452</v>
      </c>
    </row>
    <row r="257">
      <c r="A257" s="6"/>
      <c r="D257" s="5">
        <f>IFERROR(__xludf.DUMMYFUNCTION("""COMPUTED_VALUE"""),42095.66666666667)</f>
        <v>42095.66667</v>
      </c>
      <c r="E257" s="3">
        <f>IFERROR(__xludf.DUMMYFUNCTION("""COMPUTED_VALUE"""),27.05)</f>
        <v>27.05</v>
      </c>
      <c r="F257" s="3">
        <f t="shared" si="1"/>
        <v>-0.00993202941</v>
      </c>
    </row>
    <row r="258">
      <c r="A258" s="6"/>
      <c r="D258" s="5">
        <f>IFERROR(__xludf.DUMMYFUNCTION("""COMPUTED_VALUE"""),42096.66666666667)</f>
        <v>42096.66667</v>
      </c>
      <c r="E258" s="3">
        <f>IFERROR(__xludf.DUMMYFUNCTION("""COMPUTED_VALUE"""),26.7)</f>
        <v>26.7</v>
      </c>
      <c r="F258" s="3">
        <f t="shared" si="1"/>
        <v>-0.01302343989</v>
      </c>
    </row>
    <row r="259">
      <c r="A259" s="6"/>
      <c r="D259" s="5">
        <f>IFERROR(__xludf.DUMMYFUNCTION("""COMPUTED_VALUE"""),42100.66666666667)</f>
        <v>42100.66667</v>
      </c>
      <c r="E259" s="3">
        <f>IFERROR(__xludf.DUMMYFUNCTION("""COMPUTED_VALUE"""),26.76)</f>
        <v>26.76</v>
      </c>
      <c r="F259" s="3">
        <f t="shared" si="1"/>
        <v>0.002244669854</v>
      </c>
    </row>
    <row r="260">
      <c r="A260" s="6"/>
      <c r="D260" s="5">
        <f>IFERROR(__xludf.DUMMYFUNCTION("""COMPUTED_VALUE"""),42101.66666666667)</f>
        <v>42101.66667</v>
      </c>
      <c r="E260" s="3">
        <f>IFERROR(__xludf.DUMMYFUNCTION("""COMPUTED_VALUE"""),26.78)</f>
        <v>26.78</v>
      </c>
      <c r="F260" s="3">
        <f t="shared" si="1"/>
        <v>0.000747105003</v>
      </c>
    </row>
    <row r="261">
      <c r="A261" s="6"/>
      <c r="D261" s="5">
        <f>IFERROR(__xludf.DUMMYFUNCTION("""COMPUTED_VALUE"""),42102.66666666667)</f>
        <v>42102.66667</v>
      </c>
      <c r="E261" s="3">
        <f>IFERROR(__xludf.DUMMYFUNCTION("""COMPUTED_VALUE"""),27.01)</f>
        <v>27.01</v>
      </c>
      <c r="F261" s="3">
        <f t="shared" si="1"/>
        <v>0.008551827541</v>
      </c>
    </row>
    <row r="262">
      <c r="A262" s="6"/>
      <c r="D262" s="5">
        <f>IFERROR(__xludf.DUMMYFUNCTION("""COMPUTED_VALUE"""),42103.66666666667)</f>
        <v>42103.66667</v>
      </c>
      <c r="E262" s="3">
        <f>IFERROR(__xludf.DUMMYFUNCTION("""COMPUTED_VALUE"""),26.96)</f>
        <v>26.96</v>
      </c>
      <c r="F262" s="3">
        <f t="shared" si="1"/>
        <v>-0.00185288176</v>
      </c>
    </row>
    <row r="263">
      <c r="A263" s="6"/>
      <c r="D263" s="5">
        <f>IFERROR(__xludf.DUMMYFUNCTION("""COMPUTED_VALUE"""),42104.66666666667)</f>
        <v>42104.66667</v>
      </c>
      <c r="E263" s="3">
        <f>IFERROR(__xludf.DUMMYFUNCTION("""COMPUTED_VALUE"""),26.93)</f>
        <v>26.93</v>
      </c>
      <c r="F263" s="3">
        <f t="shared" si="1"/>
        <v>-0.001113379221</v>
      </c>
    </row>
    <row r="264">
      <c r="A264" s="6"/>
      <c r="D264" s="5">
        <f>IFERROR(__xludf.DUMMYFUNCTION("""COMPUTED_VALUE"""),42107.66666666667)</f>
        <v>42107.66667</v>
      </c>
      <c r="E264" s="3">
        <f>IFERROR(__xludf.DUMMYFUNCTION("""COMPUTED_VALUE"""),26.88)</f>
        <v>26.88</v>
      </c>
      <c r="F264" s="3">
        <f t="shared" si="1"/>
        <v>-0.001858391169</v>
      </c>
    </row>
    <row r="265">
      <c r="A265" s="6"/>
      <c r="D265" s="5">
        <f>IFERROR(__xludf.DUMMYFUNCTION("""COMPUTED_VALUE"""),42108.66666666667)</f>
        <v>42108.66667</v>
      </c>
      <c r="E265" s="3">
        <f>IFERROR(__xludf.DUMMYFUNCTION("""COMPUTED_VALUE"""),26.45)</f>
        <v>26.45</v>
      </c>
      <c r="F265" s="3">
        <f t="shared" si="1"/>
        <v>-0.01612635735</v>
      </c>
    </row>
    <row r="266">
      <c r="A266" s="6"/>
      <c r="D266" s="5">
        <f>IFERROR(__xludf.DUMMYFUNCTION("""COMPUTED_VALUE"""),42109.66666666667)</f>
        <v>42109.66667</v>
      </c>
      <c r="E266" s="3">
        <f>IFERROR(__xludf.DUMMYFUNCTION("""COMPUTED_VALUE"""),26.55)</f>
        <v>26.55</v>
      </c>
      <c r="F266" s="3">
        <f t="shared" si="1"/>
        <v>0.003773589384</v>
      </c>
    </row>
    <row r="267">
      <c r="A267" s="6"/>
      <c r="D267" s="5">
        <f>IFERROR(__xludf.DUMMYFUNCTION("""COMPUTED_VALUE"""),42110.66666666667)</f>
        <v>42110.66667</v>
      </c>
      <c r="E267" s="3">
        <f>IFERROR(__xludf.DUMMYFUNCTION("""COMPUTED_VALUE"""),26.62)</f>
        <v>26.62</v>
      </c>
      <c r="F267" s="3">
        <f t="shared" si="1"/>
        <v>0.002633065279</v>
      </c>
    </row>
    <row r="268">
      <c r="A268" s="6"/>
      <c r="D268" s="5">
        <f>IFERROR(__xludf.DUMMYFUNCTION("""COMPUTED_VALUE"""),42111.66666666667)</f>
        <v>42111.66667</v>
      </c>
      <c r="E268" s="3">
        <f>IFERROR(__xludf.DUMMYFUNCTION("""COMPUTED_VALUE"""),26.13)</f>
        <v>26.13</v>
      </c>
      <c r="F268" s="3">
        <f t="shared" si="1"/>
        <v>-0.01857873343</v>
      </c>
    </row>
    <row r="269">
      <c r="A269" s="6"/>
      <c r="D269" s="5">
        <f>IFERROR(__xludf.DUMMYFUNCTION("""COMPUTED_VALUE"""),42114.66666666667)</f>
        <v>42114.66667</v>
      </c>
      <c r="E269" s="3">
        <f>IFERROR(__xludf.DUMMYFUNCTION("""COMPUTED_VALUE"""),26.7)</f>
        <v>26.7</v>
      </c>
      <c r="F269" s="3">
        <f t="shared" si="1"/>
        <v>0.02157948587</v>
      </c>
    </row>
    <row r="270">
      <c r="A270" s="6"/>
      <c r="D270" s="5">
        <f>IFERROR(__xludf.DUMMYFUNCTION("""COMPUTED_VALUE"""),42115.66666666667)</f>
        <v>42115.66667</v>
      </c>
      <c r="E270" s="3">
        <f>IFERROR(__xludf.DUMMYFUNCTION("""COMPUTED_VALUE"""),26.63)</f>
        <v>26.63</v>
      </c>
      <c r="F270" s="3">
        <f t="shared" si="1"/>
        <v>-0.00262516558</v>
      </c>
    </row>
    <row r="271">
      <c r="A271" s="6"/>
      <c r="D271" s="5">
        <f>IFERROR(__xludf.DUMMYFUNCTION("""COMPUTED_VALUE"""),42116.66666666667)</f>
        <v>42116.66667</v>
      </c>
      <c r="E271" s="3">
        <f>IFERROR(__xludf.DUMMYFUNCTION("""COMPUTED_VALUE"""),26.89)</f>
        <v>26.89</v>
      </c>
      <c r="F271" s="3">
        <f t="shared" si="1"/>
        <v>0.009716070455</v>
      </c>
    </row>
    <row r="272">
      <c r="A272" s="6"/>
      <c r="D272" s="5">
        <f>IFERROR(__xludf.DUMMYFUNCTION("""COMPUTED_VALUE"""),42117.66666666667)</f>
        <v>42117.66667</v>
      </c>
      <c r="E272" s="3">
        <f>IFERROR(__xludf.DUMMYFUNCTION("""COMPUTED_VALUE"""),27.28)</f>
        <v>27.28</v>
      </c>
      <c r="F272" s="3">
        <f t="shared" si="1"/>
        <v>0.01439936269</v>
      </c>
    </row>
    <row r="273">
      <c r="A273" s="6"/>
      <c r="D273" s="5">
        <f>IFERROR(__xludf.DUMMYFUNCTION("""COMPUTED_VALUE"""),42118.66666666667)</f>
        <v>42118.66667</v>
      </c>
      <c r="E273" s="3">
        <f>IFERROR(__xludf.DUMMYFUNCTION("""COMPUTED_VALUE"""),28.18)</f>
        <v>28.18</v>
      </c>
      <c r="F273" s="3">
        <f t="shared" si="1"/>
        <v>0.0324586735</v>
      </c>
    </row>
    <row r="274">
      <c r="A274" s="6"/>
      <c r="D274" s="5">
        <f>IFERROR(__xludf.DUMMYFUNCTION("""COMPUTED_VALUE"""),42121.66666666667)</f>
        <v>42121.66667</v>
      </c>
      <c r="E274" s="3">
        <f>IFERROR(__xludf.DUMMYFUNCTION("""COMPUTED_VALUE"""),27.77)</f>
        <v>27.77</v>
      </c>
      <c r="F274" s="3">
        <f t="shared" si="1"/>
        <v>-0.01465620515</v>
      </c>
    </row>
    <row r="275">
      <c r="A275" s="6"/>
      <c r="D275" s="5">
        <f>IFERROR(__xludf.DUMMYFUNCTION("""COMPUTED_VALUE"""),42122.66666666667)</f>
        <v>42122.66667</v>
      </c>
      <c r="E275" s="3">
        <f>IFERROR(__xludf.DUMMYFUNCTION("""COMPUTED_VALUE"""),27.68)</f>
        <v>27.68</v>
      </c>
      <c r="F275" s="3">
        <f t="shared" si="1"/>
        <v>-0.003246170569</v>
      </c>
    </row>
    <row r="276">
      <c r="A276" s="6"/>
      <c r="D276" s="5">
        <f>IFERROR(__xludf.DUMMYFUNCTION("""COMPUTED_VALUE"""),42123.66666666667)</f>
        <v>42123.66667</v>
      </c>
      <c r="E276" s="3">
        <f>IFERROR(__xludf.DUMMYFUNCTION("""COMPUTED_VALUE"""),27.45)</f>
        <v>27.45</v>
      </c>
      <c r="F276" s="3">
        <f t="shared" si="1"/>
        <v>-0.008343962794</v>
      </c>
    </row>
    <row r="277">
      <c r="A277" s="6"/>
      <c r="D277" s="5">
        <f>IFERROR(__xludf.DUMMYFUNCTION("""COMPUTED_VALUE"""),42124.66666666667)</f>
        <v>42124.66667</v>
      </c>
      <c r="E277" s="3">
        <f>IFERROR(__xludf.DUMMYFUNCTION("""COMPUTED_VALUE"""),26.87)</f>
        <v>26.87</v>
      </c>
      <c r="F277" s="3">
        <f t="shared" si="1"/>
        <v>-0.02135574533</v>
      </c>
    </row>
    <row r="278">
      <c r="A278" s="6"/>
      <c r="D278" s="5">
        <f>IFERROR(__xludf.DUMMYFUNCTION("""COMPUTED_VALUE"""),42125.66666666667)</f>
        <v>42125.66667</v>
      </c>
      <c r="E278" s="3">
        <f>IFERROR(__xludf.DUMMYFUNCTION("""COMPUTED_VALUE"""),26.9)</f>
        <v>26.9</v>
      </c>
      <c r="F278" s="3">
        <f t="shared" si="1"/>
        <v>0.00111586398</v>
      </c>
    </row>
    <row r="279">
      <c r="A279" s="6"/>
      <c r="D279" s="5">
        <f>IFERROR(__xludf.DUMMYFUNCTION("""COMPUTED_VALUE"""),42128.66666666667)</f>
        <v>42128.66667</v>
      </c>
      <c r="E279" s="3">
        <f>IFERROR(__xludf.DUMMYFUNCTION("""COMPUTED_VALUE"""),27.04)</f>
        <v>27.04</v>
      </c>
      <c r="F279" s="3">
        <f t="shared" si="1"/>
        <v>0.005190964567</v>
      </c>
    </row>
    <row r="280">
      <c r="A280" s="6"/>
      <c r="D280" s="5">
        <f>IFERROR(__xludf.DUMMYFUNCTION("""COMPUTED_VALUE"""),42129.66666666667)</f>
        <v>42129.66667</v>
      </c>
      <c r="E280" s="3">
        <f>IFERROR(__xludf.DUMMYFUNCTION("""COMPUTED_VALUE"""),26.54)</f>
        <v>26.54</v>
      </c>
      <c r="F280" s="3">
        <f t="shared" si="1"/>
        <v>-0.01866422227</v>
      </c>
    </row>
    <row r="281">
      <c r="A281" s="6"/>
      <c r="D281" s="5">
        <f>IFERROR(__xludf.DUMMYFUNCTION("""COMPUTED_VALUE"""),42130.66666666667)</f>
        <v>42130.66667</v>
      </c>
      <c r="E281" s="3">
        <f>IFERROR(__xludf.DUMMYFUNCTION("""COMPUTED_VALUE"""),26.21)</f>
        <v>26.21</v>
      </c>
      <c r="F281" s="3">
        <f t="shared" si="1"/>
        <v>-0.01251201157</v>
      </c>
    </row>
    <row r="282">
      <c r="A282" s="6"/>
      <c r="D282" s="5">
        <f>IFERROR(__xludf.DUMMYFUNCTION("""COMPUTED_VALUE"""),42131.66666666667)</f>
        <v>42131.66667</v>
      </c>
      <c r="E282" s="3">
        <f>IFERROR(__xludf.DUMMYFUNCTION("""COMPUTED_VALUE"""),26.54)</f>
        <v>26.54</v>
      </c>
      <c r="F282" s="3">
        <f t="shared" si="1"/>
        <v>0.01251201157</v>
      </c>
    </row>
    <row r="283">
      <c r="A283" s="6"/>
      <c r="D283" s="5">
        <f>IFERROR(__xludf.DUMMYFUNCTION("""COMPUTED_VALUE"""),42132.66666666667)</f>
        <v>42132.66667</v>
      </c>
      <c r="E283" s="3">
        <f>IFERROR(__xludf.DUMMYFUNCTION("""COMPUTED_VALUE"""),26.91)</f>
        <v>26.91</v>
      </c>
      <c r="F283" s="3">
        <f t="shared" si="1"/>
        <v>0.01384493583</v>
      </c>
    </row>
    <row r="284">
      <c r="A284" s="6"/>
      <c r="D284" s="5">
        <f>IFERROR(__xludf.DUMMYFUNCTION("""COMPUTED_VALUE"""),42135.66666666667)</f>
        <v>42135.66667</v>
      </c>
      <c r="E284" s="3">
        <f>IFERROR(__xludf.DUMMYFUNCTION("""COMPUTED_VALUE"""),26.79)</f>
        <v>26.79</v>
      </c>
      <c r="F284" s="3">
        <f t="shared" si="1"/>
        <v>-0.004469281182</v>
      </c>
    </row>
    <row r="285">
      <c r="A285" s="6"/>
      <c r="D285" s="5">
        <f>IFERROR(__xludf.DUMMYFUNCTION("""COMPUTED_VALUE"""),42136.66666666667)</f>
        <v>42136.66667</v>
      </c>
      <c r="E285" s="3">
        <f>IFERROR(__xludf.DUMMYFUNCTION("""COMPUTED_VALUE"""),26.45)</f>
        <v>26.45</v>
      </c>
      <c r="F285" s="3">
        <f t="shared" si="1"/>
        <v>-0.01277252525</v>
      </c>
    </row>
    <row r="286">
      <c r="A286" s="6"/>
      <c r="D286" s="5">
        <f>IFERROR(__xludf.DUMMYFUNCTION("""COMPUTED_VALUE"""),42137.66666666667)</f>
        <v>42137.66667</v>
      </c>
      <c r="E286" s="3">
        <f>IFERROR(__xludf.DUMMYFUNCTION("""COMPUTED_VALUE"""),26.48)</f>
        <v>26.48</v>
      </c>
      <c r="F286" s="3">
        <f t="shared" si="1"/>
        <v>0.001133572764</v>
      </c>
    </row>
    <row r="287">
      <c r="A287" s="6"/>
      <c r="D287" s="5">
        <f>IFERROR(__xludf.DUMMYFUNCTION("""COMPUTED_VALUE"""),42138.66666666667)</f>
        <v>42138.66667</v>
      </c>
      <c r="E287" s="3">
        <f>IFERROR(__xludf.DUMMYFUNCTION("""COMPUTED_VALUE"""),26.92)</f>
        <v>26.92</v>
      </c>
      <c r="F287" s="3">
        <f t="shared" si="1"/>
        <v>0.01647977371</v>
      </c>
    </row>
    <row r="288">
      <c r="A288" s="6"/>
      <c r="D288" s="5">
        <f>IFERROR(__xludf.DUMMYFUNCTION("""COMPUTED_VALUE"""),42139.66666666667)</f>
        <v>42139.66667</v>
      </c>
      <c r="E288" s="3">
        <f>IFERROR(__xludf.DUMMYFUNCTION("""COMPUTED_VALUE"""),26.69)</f>
        <v>26.69</v>
      </c>
      <c r="F288" s="3">
        <f t="shared" si="1"/>
        <v>-0.00858054136</v>
      </c>
    </row>
    <row r="289">
      <c r="A289" s="6"/>
      <c r="D289" s="5">
        <f>IFERROR(__xludf.DUMMYFUNCTION("""COMPUTED_VALUE"""),42142.66666666667)</f>
        <v>42142.66667</v>
      </c>
      <c r="E289" s="3">
        <f>IFERROR(__xludf.DUMMYFUNCTION("""COMPUTED_VALUE"""),26.62)</f>
        <v>26.62</v>
      </c>
      <c r="F289" s="3">
        <f t="shared" si="1"/>
        <v>-0.002626150449</v>
      </c>
    </row>
    <row r="290">
      <c r="A290" s="6"/>
      <c r="D290" s="5">
        <f>IFERROR(__xludf.DUMMYFUNCTION("""COMPUTED_VALUE"""),42143.66666666667)</f>
        <v>42143.66667</v>
      </c>
      <c r="E290" s="3">
        <f>IFERROR(__xludf.DUMMYFUNCTION("""COMPUTED_VALUE"""),26.87)</f>
        <v>26.87</v>
      </c>
      <c r="F290" s="3">
        <f t="shared" si="1"/>
        <v>0.00934760966</v>
      </c>
    </row>
    <row r="291">
      <c r="A291" s="6"/>
      <c r="D291" s="5">
        <f>IFERROR(__xludf.DUMMYFUNCTION("""COMPUTED_VALUE"""),42144.66666666667)</f>
        <v>42144.66667</v>
      </c>
      <c r="E291" s="3">
        <f>IFERROR(__xludf.DUMMYFUNCTION("""COMPUTED_VALUE"""),26.96)</f>
        <v>26.96</v>
      </c>
      <c r="F291" s="3">
        <f t="shared" si="1"/>
        <v>0.003343863417</v>
      </c>
    </row>
    <row r="292">
      <c r="A292" s="6"/>
      <c r="D292" s="5">
        <f>IFERROR(__xludf.DUMMYFUNCTION("""COMPUTED_VALUE"""),42145.66666666667)</f>
        <v>42145.66667</v>
      </c>
      <c r="E292" s="3">
        <f>IFERROR(__xludf.DUMMYFUNCTION("""COMPUTED_VALUE"""),27.13)</f>
        <v>27.13</v>
      </c>
      <c r="F292" s="3">
        <f t="shared" si="1"/>
        <v>0.006285840627</v>
      </c>
    </row>
    <row r="293">
      <c r="A293" s="6"/>
      <c r="D293" s="5">
        <f>IFERROR(__xludf.DUMMYFUNCTION("""COMPUTED_VALUE"""),42146.66666666667)</f>
        <v>42146.66667</v>
      </c>
      <c r="E293" s="3">
        <f>IFERROR(__xludf.DUMMYFUNCTION("""COMPUTED_VALUE"""),27.01)</f>
        <v>27.01</v>
      </c>
      <c r="F293" s="3">
        <f t="shared" si="1"/>
        <v>-0.004432958866</v>
      </c>
    </row>
    <row r="294">
      <c r="A294" s="6"/>
      <c r="D294" s="5">
        <f>IFERROR(__xludf.DUMMYFUNCTION("""COMPUTED_VALUE"""),42150.66666666667)</f>
        <v>42150.66667</v>
      </c>
      <c r="E294" s="3">
        <f>IFERROR(__xludf.DUMMYFUNCTION("""COMPUTED_VALUE"""),26.62)</f>
        <v>26.62</v>
      </c>
      <c r="F294" s="3">
        <f t="shared" si="1"/>
        <v>-0.01454435484</v>
      </c>
    </row>
    <row r="295">
      <c r="A295" s="6"/>
      <c r="D295" s="5">
        <f>IFERROR(__xludf.DUMMYFUNCTION("""COMPUTED_VALUE"""),42151.66666666667)</f>
        <v>42151.66667</v>
      </c>
      <c r="E295" s="3">
        <f>IFERROR(__xludf.DUMMYFUNCTION("""COMPUTED_VALUE"""),26.99)</f>
        <v>26.99</v>
      </c>
      <c r="F295" s="3">
        <f t="shared" si="1"/>
        <v>0.01380361406</v>
      </c>
    </row>
    <row r="296">
      <c r="A296" s="6"/>
      <c r="D296" s="5">
        <f>IFERROR(__xludf.DUMMYFUNCTION("""COMPUTED_VALUE"""),42152.66666666667)</f>
        <v>42152.66667</v>
      </c>
      <c r="E296" s="3">
        <f>IFERROR(__xludf.DUMMYFUNCTION("""COMPUTED_VALUE"""),26.99)</f>
        <v>26.99</v>
      </c>
      <c r="F296" s="3">
        <f t="shared" si="1"/>
        <v>0</v>
      </c>
    </row>
    <row r="297">
      <c r="A297" s="6"/>
      <c r="D297" s="5">
        <f>IFERROR(__xludf.DUMMYFUNCTION("""COMPUTED_VALUE"""),42153.66666666667)</f>
        <v>42153.66667</v>
      </c>
      <c r="E297" s="3">
        <f>IFERROR(__xludf.DUMMYFUNCTION("""COMPUTED_VALUE"""),26.61)</f>
        <v>26.61</v>
      </c>
      <c r="F297" s="3">
        <f t="shared" si="1"/>
        <v>-0.01417934204</v>
      </c>
    </row>
    <row r="298">
      <c r="A298" s="6"/>
      <c r="D298" s="5">
        <f>IFERROR(__xludf.DUMMYFUNCTION("""COMPUTED_VALUE"""),42156.66666666667)</f>
        <v>42156.66667</v>
      </c>
      <c r="E298" s="3">
        <f>IFERROR(__xludf.DUMMYFUNCTION("""COMPUTED_VALUE"""),26.7)</f>
        <v>26.7</v>
      </c>
      <c r="F298" s="3">
        <f t="shared" si="1"/>
        <v>0.003376480417</v>
      </c>
    </row>
    <row r="299">
      <c r="A299" s="6"/>
      <c r="D299" s="5">
        <f>IFERROR(__xludf.DUMMYFUNCTION("""COMPUTED_VALUE"""),42157.66666666667)</f>
        <v>42157.66667</v>
      </c>
      <c r="E299" s="3">
        <f>IFERROR(__xludf.DUMMYFUNCTION("""COMPUTED_VALUE"""),26.96)</f>
        <v>26.96</v>
      </c>
      <c r="F299" s="3">
        <f t="shared" si="1"/>
        <v>0.009690720638</v>
      </c>
    </row>
    <row r="300">
      <c r="A300" s="6"/>
      <c r="D300" s="5">
        <f>IFERROR(__xludf.DUMMYFUNCTION("""COMPUTED_VALUE"""),42158.66666666667)</f>
        <v>42158.66667</v>
      </c>
      <c r="E300" s="3">
        <f>IFERROR(__xludf.DUMMYFUNCTION("""COMPUTED_VALUE"""),27.02)</f>
        <v>27.02</v>
      </c>
      <c r="F300" s="3">
        <f t="shared" si="1"/>
        <v>0.002223046488</v>
      </c>
    </row>
    <row r="301">
      <c r="A301" s="6"/>
      <c r="D301" s="5">
        <f>IFERROR(__xludf.DUMMYFUNCTION("""COMPUTED_VALUE"""),42159.66666666667)</f>
        <v>42159.66667</v>
      </c>
      <c r="E301" s="3">
        <f>IFERROR(__xludf.DUMMYFUNCTION("""COMPUTED_VALUE"""),26.84)</f>
        <v>26.84</v>
      </c>
      <c r="F301" s="3">
        <f t="shared" si="1"/>
        <v>-0.006684020429</v>
      </c>
    </row>
    <row r="302">
      <c r="A302" s="6"/>
      <c r="D302" s="5">
        <f>IFERROR(__xludf.DUMMYFUNCTION("""COMPUTED_VALUE"""),42160.66666666667)</f>
        <v>42160.66667</v>
      </c>
      <c r="E302" s="3">
        <f>IFERROR(__xludf.DUMMYFUNCTION("""COMPUTED_VALUE"""),26.67)</f>
        <v>26.67</v>
      </c>
      <c r="F302" s="3">
        <f t="shared" si="1"/>
        <v>-0.00635397391</v>
      </c>
    </row>
    <row r="303">
      <c r="A303" s="6"/>
      <c r="D303" s="5">
        <f>IFERROR(__xludf.DUMMYFUNCTION("""COMPUTED_VALUE"""),42163.66666666667)</f>
        <v>42163.66667</v>
      </c>
      <c r="E303" s="3">
        <f>IFERROR(__xludf.DUMMYFUNCTION("""COMPUTED_VALUE"""),26.34)</f>
        <v>26.34</v>
      </c>
      <c r="F303" s="3">
        <f t="shared" si="1"/>
        <v>-0.01245064188</v>
      </c>
    </row>
    <row r="304">
      <c r="A304" s="6"/>
      <c r="D304" s="5">
        <f>IFERROR(__xludf.DUMMYFUNCTION("""COMPUTED_VALUE"""),42164.66666666667)</f>
        <v>42164.66667</v>
      </c>
      <c r="E304" s="3">
        <f>IFERROR(__xludf.DUMMYFUNCTION("""COMPUTED_VALUE"""),26.33)</f>
        <v>26.33</v>
      </c>
      <c r="F304" s="3">
        <f t="shared" si="1"/>
        <v>-0.0003797228069</v>
      </c>
    </row>
    <row r="305">
      <c r="A305" s="6"/>
      <c r="D305" s="5">
        <f>IFERROR(__xludf.DUMMYFUNCTION("""COMPUTED_VALUE"""),42165.66666666667)</f>
        <v>42165.66667</v>
      </c>
      <c r="E305" s="3">
        <f>IFERROR(__xludf.DUMMYFUNCTION("""COMPUTED_VALUE"""),26.83)</f>
        <v>26.83</v>
      </c>
      <c r="F305" s="3">
        <f t="shared" si="1"/>
        <v>0.01881169093</v>
      </c>
    </row>
    <row r="306">
      <c r="A306" s="6"/>
      <c r="D306" s="5">
        <f>IFERROR(__xludf.DUMMYFUNCTION("""COMPUTED_VALUE"""),42166.66666666667)</f>
        <v>42166.66667</v>
      </c>
      <c r="E306" s="3">
        <f>IFERROR(__xludf.DUMMYFUNCTION("""COMPUTED_VALUE"""),26.73)</f>
        <v>26.73</v>
      </c>
      <c r="F306" s="3">
        <f t="shared" si="1"/>
        <v>-0.003734134287</v>
      </c>
    </row>
    <row r="307">
      <c r="A307" s="6"/>
      <c r="D307" s="5">
        <f>IFERROR(__xludf.DUMMYFUNCTION("""COMPUTED_VALUE"""),42167.66666666667)</f>
        <v>42167.66667</v>
      </c>
      <c r="E307" s="3">
        <f>IFERROR(__xludf.DUMMYFUNCTION("""COMPUTED_VALUE"""),26.62)</f>
        <v>26.62</v>
      </c>
      <c r="F307" s="3">
        <f t="shared" si="1"/>
        <v>-0.004123717184</v>
      </c>
    </row>
    <row r="308">
      <c r="A308" s="6"/>
      <c r="D308" s="5">
        <f>IFERROR(__xludf.DUMMYFUNCTION("""COMPUTED_VALUE"""),42170.66666666667)</f>
        <v>42170.66667</v>
      </c>
      <c r="E308" s="3">
        <f>IFERROR(__xludf.DUMMYFUNCTION("""COMPUTED_VALUE"""),26.36)</f>
        <v>26.36</v>
      </c>
      <c r="F308" s="3">
        <f t="shared" si="1"/>
        <v>-0.009815103333</v>
      </c>
    </row>
    <row r="309">
      <c r="A309" s="6"/>
      <c r="D309" s="5">
        <f>IFERROR(__xludf.DUMMYFUNCTION("""COMPUTED_VALUE"""),42171.66666666667)</f>
        <v>42171.66667</v>
      </c>
      <c r="E309" s="3">
        <f>IFERROR(__xludf.DUMMYFUNCTION("""COMPUTED_VALUE"""),26.41)</f>
        <v>26.41</v>
      </c>
      <c r="F309" s="3">
        <f t="shared" si="1"/>
        <v>0.001895016675</v>
      </c>
    </row>
    <row r="310">
      <c r="A310" s="6"/>
      <c r="D310" s="5">
        <f>IFERROR(__xludf.DUMMYFUNCTION("""COMPUTED_VALUE"""),42172.66666666667)</f>
        <v>42172.66667</v>
      </c>
      <c r="E310" s="3">
        <f>IFERROR(__xludf.DUMMYFUNCTION("""COMPUTED_VALUE"""),26.46)</f>
        <v>26.46</v>
      </c>
      <c r="F310" s="3">
        <f t="shared" si="1"/>
        <v>0.001891432378</v>
      </c>
    </row>
    <row r="311">
      <c r="A311" s="6"/>
      <c r="D311" s="5">
        <f>IFERROR(__xludf.DUMMYFUNCTION("""COMPUTED_VALUE"""),42173.66666666667)</f>
        <v>42173.66667</v>
      </c>
      <c r="E311" s="3">
        <f>IFERROR(__xludf.DUMMYFUNCTION("""COMPUTED_VALUE"""),26.84)</f>
        <v>26.84</v>
      </c>
      <c r="F311" s="3">
        <f t="shared" si="1"/>
        <v>0.01425915342</v>
      </c>
    </row>
    <row r="312">
      <c r="A312" s="6"/>
      <c r="D312" s="5">
        <f>IFERROR(__xludf.DUMMYFUNCTION("""COMPUTED_VALUE"""),42174.66666666667)</f>
        <v>42174.66667</v>
      </c>
      <c r="E312" s="3">
        <f>IFERROR(__xludf.DUMMYFUNCTION("""COMPUTED_VALUE"""),26.83)</f>
        <v>26.83</v>
      </c>
      <c r="F312" s="3">
        <f t="shared" si="1"/>
        <v>-0.0003726476659</v>
      </c>
    </row>
    <row r="313">
      <c r="A313" s="6"/>
      <c r="D313" s="5">
        <f>IFERROR(__xludf.DUMMYFUNCTION("""COMPUTED_VALUE"""),42177.66666666667)</f>
        <v>42177.66667</v>
      </c>
      <c r="E313" s="3">
        <f>IFERROR(__xludf.DUMMYFUNCTION("""COMPUTED_VALUE"""),26.91)</f>
        <v>26.91</v>
      </c>
      <c r="F313" s="3">
        <f t="shared" si="1"/>
        <v>0.002977300301</v>
      </c>
    </row>
    <row r="314">
      <c r="A314" s="6"/>
      <c r="D314" s="5">
        <f>IFERROR(__xludf.DUMMYFUNCTION("""COMPUTED_VALUE"""),42178.66666666667)</f>
        <v>42178.66667</v>
      </c>
      <c r="E314" s="3">
        <f>IFERROR(__xludf.DUMMYFUNCTION("""COMPUTED_VALUE"""),27.02)</f>
        <v>27.02</v>
      </c>
      <c r="F314" s="3">
        <f t="shared" si="1"/>
        <v>0.004079367793</v>
      </c>
    </row>
    <row r="315">
      <c r="A315" s="6"/>
      <c r="D315" s="5">
        <f>IFERROR(__xludf.DUMMYFUNCTION("""COMPUTED_VALUE"""),42179.66666666667)</f>
        <v>42179.66667</v>
      </c>
      <c r="E315" s="3">
        <f>IFERROR(__xludf.DUMMYFUNCTION("""COMPUTED_VALUE"""),26.89)</f>
        <v>26.89</v>
      </c>
      <c r="F315" s="3">
        <f t="shared" si="1"/>
        <v>-0.004822862251</v>
      </c>
    </row>
    <row r="316">
      <c r="A316" s="6"/>
      <c r="D316" s="5">
        <f>IFERROR(__xludf.DUMMYFUNCTION("""COMPUTED_VALUE"""),42180.66666666667)</f>
        <v>42180.66667</v>
      </c>
      <c r="E316" s="3">
        <f>IFERROR(__xludf.DUMMYFUNCTION("""COMPUTED_VALUE"""),26.76)</f>
        <v>26.76</v>
      </c>
      <c r="F316" s="3">
        <f t="shared" si="1"/>
        <v>-0.004846235021</v>
      </c>
    </row>
    <row r="317">
      <c r="A317" s="6"/>
      <c r="D317" s="5">
        <f>IFERROR(__xludf.DUMMYFUNCTION("""COMPUTED_VALUE"""),42181.66666666667)</f>
        <v>42181.66667</v>
      </c>
      <c r="E317" s="3">
        <f>IFERROR(__xludf.DUMMYFUNCTION("""COMPUTED_VALUE"""),26.58)</f>
        <v>26.58</v>
      </c>
      <c r="F317" s="3">
        <f t="shared" si="1"/>
        <v>-0.006749181975</v>
      </c>
    </row>
    <row r="318">
      <c r="A318" s="6"/>
      <c r="D318" s="5">
        <f>IFERROR(__xludf.DUMMYFUNCTION("""COMPUTED_VALUE"""),42184.66666666667)</f>
        <v>42184.66667</v>
      </c>
      <c r="E318" s="3">
        <f>IFERROR(__xludf.DUMMYFUNCTION("""COMPUTED_VALUE"""),26.08)</f>
        <v>26.08</v>
      </c>
      <c r="F318" s="3">
        <f t="shared" si="1"/>
        <v>-0.01899031623</v>
      </c>
    </row>
    <row r="319">
      <c r="A319" s="6"/>
      <c r="D319" s="5">
        <f>IFERROR(__xludf.DUMMYFUNCTION("""COMPUTED_VALUE"""),42185.66666666667)</f>
        <v>42185.66667</v>
      </c>
      <c r="E319" s="3">
        <f>IFERROR(__xludf.DUMMYFUNCTION("""COMPUTED_VALUE"""),26.03)</f>
        <v>26.03</v>
      </c>
      <c r="F319" s="3">
        <f t="shared" si="1"/>
        <v>-0.001919018052</v>
      </c>
    </row>
    <row r="320">
      <c r="A320" s="6"/>
      <c r="D320" s="5">
        <f>IFERROR(__xludf.DUMMYFUNCTION("""COMPUTED_VALUE"""),42186.66666666667)</f>
        <v>42186.66667</v>
      </c>
      <c r="E320" s="3">
        <f>IFERROR(__xludf.DUMMYFUNCTION("""COMPUTED_VALUE"""),26.09)</f>
        <v>26.09</v>
      </c>
      <c r="F320" s="3">
        <f t="shared" si="1"/>
        <v>0.002302380142</v>
      </c>
    </row>
    <row r="321">
      <c r="A321" s="6"/>
      <c r="D321" s="5">
        <f>IFERROR(__xludf.DUMMYFUNCTION("""COMPUTED_VALUE"""),42187.66666666667)</f>
        <v>42187.66667</v>
      </c>
      <c r="E321" s="3">
        <f>IFERROR(__xludf.DUMMYFUNCTION("""COMPUTED_VALUE"""),26.17)</f>
        <v>26.17</v>
      </c>
      <c r="F321" s="3">
        <f t="shared" si="1"/>
        <v>0.003061617393</v>
      </c>
    </row>
    <row r="322">
      <c r="A322" s="6"/>
      <c r="D322" s="5">
        <f>IFERROR(__xludf.DUMMYFUNCTION("""COMPUTED_VALUE"""),42191.66666666667)</f>
        <v>42191.66667</v>
      </c>
      <c r="E322" s="3">
        <f>IFERROR(__xludf.DUMMYFUNCTION("""COMPUTED_VALUE"""),26.14)</f>
        <v>26.14</v>
      </c>
      <c r="F322" s="3">
        <f t="shared" si="1"/>
        <v>-0.001147008346</v>
      </c>
    </row>
    <row r="323">
      <c r="A323" s="6"/>
      <c r="D323" s="5">
        <f>IFERROR(__xludf.DUMMYFUNCTION("""COMPUTED_VALUE"""),42192.66666666667)</f>
        <v>42192.66667</v>
      </c>
      <c r="E323" s="3">
        <f>IFERROR(__xludf.DUMMYFUNCTION("""COMPUTED_VALUE"""),26.25)</f>
        <v>26.25</v>
      </c>
      <c r="F323" s="3">
        <f t="shared" si="1"/>
        <v>0.004199280842</v>
      </c>
    </row>
    <row r="324">
      <c r="A324" s="6"/>
      <c r="D324" s="5">
        <f>IFERROR(__xludf.DUMMYFUNCTION("""COMPUTED_VALUE"""),42193.66666666667)</f>
        <v>42193.66667</v>
      </c>
      <c r="E324" s="3">
        <f>IFERROR(__xludf.DUMMYFUNCTION("""COMPUTED_VALUE"""),25.84)</f>
        <v>25.84</v>
      </c>
      <c r="F324" s="3">
        <f t="shared" si="1"/>
        <v>-0.01574231012</v>
      </c>
    </row>
    <row r="325">
      <c r="A325" s="6"/>
      <c r="D325" s="5">
        <f>IFERROR(__xludf.DUMMYFUNCTION("""COMPUTED_VALUE"""),42194.66666666667)</f>
        <v>42194.66667</v>
      </c>
      <c r="E325" s="3">
        <f>IFERROR(__xludf.DUMMYFUNCTION("""COMPUTED_VALUE"""),26.03)</f>
        <v>26.03</v>
      </c>
      <c r="F325" s="3">
        <f t="shared" si="1"/>
        <v>0.007326040092</v>
      </c>
    </row>
    <row r="326">
      <c r="A326" s="6"/>
      <c r="D326" s="5">
        <f>IFERROR(__xludf.DUMMYFUNCTION("""COMPUTED_VALUE"""),42195.66666666667)</f>
        <v>42195.66667</v>
      </c>
      <c r="E326" s="3">
        <f>IFERROR(__xludf.DUMMYFUNCTION("""COMPUTED_VALUE"""),26.51)</f>
        <v>26.51</v>
      </c>
      <c r="F326" s="3">
        <f t="shared" si="1"/>
        <v>0.01827230129</v>
      </c>
    </row>
    <row r="327">
      <c r="A327" s="6"/>
      <c r="D327" s="5">
        <f>IFERROR(__xludf.DUMMYFUNCTION("""COMPUTED_VALUE"""),42198.66666666667)</f>
        <v>42198.66667</v>
      </c>
      <c r="E327" s="3">
        <f>IFERROR(__xludf.DUMMYFUNCTION("""COMPUTED_VALUE"""),27.33)</f>
        <v>27.33</v>
      </c>
      <c r="F327" s="3">
        <f t="shared" si="1"/>
        <v>0.03046297964</v>
      </c>
    </row>
    <row r="328">
      <c r="A328" s="6"/>
      <c r="D328" s="5">
        <f>IFERROR(__xludf.DUMMYFUNCTION("""COMPUTED_VALUE"""),42199.66666666667)</f>
        <v>42199.66667</v>
      </c>
      <c r="E328" s="3">
        <f>IFERROR(__xludf.DUMMYFUNCTION("""COMPUTED_VALUE"""),28.06)</f>
        <v>28.06</v>
      </c>
      <c r="F328" s="3">
        <f t="shared" si="1"/>
        <v>0.02636007473</v>
      </c>
    </row>
    <row r="329">
      <c r="A329" s="6"/>
      <c r="D329" s="5">
        <f>IFERROR(__xludf.DUMMYFUNCTION("""COMPUTED_VALUE"""),42200.66666666667)</f>
        <v>42200.66667</v>
      </c>
      <c r="E329" s="3">
        <f>IFERROR(__xludf.DUMMYFUNCTION("""COMPUTED_VALUE"""),28.01)</f>
        <v>28.01</v>
      </c>
      <c r="F329" s="3">
        <f t="shared" si="1"/>
        <v>-0.001783485402</v>
      </c>
    </row>
    <row r="330">
      <c r="A330" s="6"/>
      <c r="D330" s="5">
        <f>IFERROR(__xludf.DUMMYFUNCTION("""COMPUTED_VALUE"""),42201.66666666667)</f>
        <v>42201.66667</v>
      </c>
      <c r="E330" s="3">
        <f>IFERROR(__xludf.DUMMYFUNCTION("""COMPUTED_VALUE"""),28.99)</f>
        <v>28.99</v>
      </c>
      <c r="F330" s="3">
        <f t="shared" si="1"/>
        <v>0.03438935366</v>
      </c>
    </row>
    <row r="331">
      <c r="A331" s="6"/>
      <c r="D331" s="5">
        <f>IFERROR(__xludf.DUMMYFUNCTION("""COMPUTED_VALUE"""),42202.66666666667)</f>
        <v>42202.66667</v>
      </c>
      <c r="E331" s="3">
        <f>IFERROR(__xludf.DUMMYFUNCTION("""COMPUTED_VALUE"""),33.65)</f>
        <v>33.65</v>
      </c>
      <c r="F331" s="3">
        <f t="shared" si="1"/>
        <v>0.1490621132</v>
      </c>
    </row>
    <row r="332">
      <c r="A332" s="6"/>
      <c r="D332" s="5">
        <f>IFERROR(__xludf.DUMMYFUNCTION("""COMPUTED_VALUE"""),42205.66666666667)</f>
        <v>42205.66667</v>
      </c>
      <c r="E332" s="3">
        <f>IFERROR(__xludf.DUMMYFUNCTION("""COMPUTED_VALUE"""),33.15)</f>
        <v>33.15</v>
      </c>
      <c r="F332" s="3">
        <f t="shared" si="1"/>
        <v>-0.01497033946</v>
      </c>
    </row>
    <row r="333">
      <c r="A333" s="6"/>
      <c r="D333" s="5">
        <f>IFERROR(__xludf.DUMMYFUNCTION("""COMPUTED_VALUE"""),42206.66666666667)</f>
        <v>42206.66667</v>
      </c>
      <c r="E333" s="3">
        <f>IFERROR(__xludf.DUMMYFUNCTION("""COMPUTED_VALUE"""),33.12)</f>
        <v>33.12</v>
      </c>
      <c r="F333" s="3">
        <f t="shared" si="1"/>
        <v>-0.0009053871148</v>
      </c>
    </row>
    <row r="334">
      <c r="A334" s="6"/>
      <c r="D334" s="5">
        <f>IFERROR(__xludf.DUMMYFUNCTION("""COMPUTED_VALUE"""),42207.66666666667)</f>
        <v>42207.66667</v>
      </c>
      <c r="E334" s="3">
        <f>IFERROR(__xludf.DUMMYFUNCTION("""COMPUTED_VALUE"""),33.1)</f>
        <v>33.1</v>
      </c>
      <c r="F334" s="3">
        <f t="shared" si="1"/>
        <v>-0.000604047134</v>
      </c>
    </row>
    <row r="335">
      <c r="A335" s="6"/>
      <c r="D335" s="5">
        <f>IFERROR(__xludf.DUMMYFUNCTION("""COMPUTED_VALUE"""),42208.66666666667)</f>
        <v>42208.66667</v>
      </c>
      <c r="E335" s="3">
        <f>IFERROR(__xludf.DUMMYFUNCTION("""COMPUTED_VALUE"""),32.21)</f>
        <v>32.21</v>
      </c>
      <c r="F335" s="3">
        <f t="shared" si="1"/>
        <v>-0.02725631904</v>
      </c>
    </row>
    <row r="336">
      <c r="A336" s="6"/>
      <c r="D336" s="5">
        <f>IFERROR(__xludf.DUMMYFUNCTION("""COMPUTED_VALUE"""),42209.66666666667)</f>
        <v>42209.66667</v>
      </c>
      <c r="E336" s="3">
        <f>IFERROR(__xludf.DUMMYFUNCTION("""COMPUTED_VALUE"""),31.18)</f>
        <v>31.18</v>
      </c>
      <c r="F336" s="3">
        <f t="shared" si="1"/>
        <v>-0.03250009971</v>
      </c>
    </row>
    <row r="337">
      <c r="A337" s="6"/>
      <c r="D337" s="5">
        <f>IFERROR(__xludf.DUMMYFUNCTION("""COMPUTED_VALUE"""),42212.66666666667)</f>
        <v>42212.66667</v>
      </c>
      <c r="E337" s="3">
        <f>IFERROR(__xludf.DUMMYFUNCTION("""COMPUTED_VALUE"""),31.36)</f>
        <v>31.36</v>
      </c>
      <c r="F337" s="3">
        <f t="shared" si="1"/>
        <v>0.005756331853</v>
      </c>
    </row>
    <row r="338">
      <c r="A338" s="6"/>
      <c r="D338" s="5">
        <f>IFERROR(__xludf.DUMMYFUNCTION("""COMPUTED_VALUE"""),42213.66666666667)</f>
        <v>42213.66667</v>
      </c>
      <c r="E338" s="3">
        <f>IFERROR(__xludf.DUMMYFUNCTION("""COMPUTED_VALUE"""),31.4)</f>
        <v>31.4</v>
      </c>
      <c r="F338" s="3">
        <f t="shared" si="1"/>
        <v>0.001274697432</v>
      </c>
    </row>
    <row r="339">
      <c r="A339" s="6"/>
      <c r="D339" s="5">
        <f>IFERROR(__xludf.DUMMYFUNCTION("""COMPUTED_VALUE"""),42214.66666666667)</f>
        <v>42214.66667</v>
      </c>
      <c r="E339" s="3">
        <f>IFERROR(__xludf.DUMMYFUNCTION("""COMPUTED_VALUE"""),31.6)</f>
        <v>31.6</v>
      </c>
      <c r="F339" s="3">
        <f t="shared" si="1"/>
        <v>0.006349227679</v>
      </c>
    </row>
    <row r="340">
      <c r="A340" s="6"/>
      <c r="D340" s="5">
        <f>IFERROR(__xludf.DUMMYFUNCTION("""COMPUTED_VALUE"""),42215.66666666667)</f>
        <v>42215.66667</v>
      </c>
      <c r="E340" s="3">
        <f>IFERROR(__xludf.DUMMYFUNCTION("""COMPUTED_VALUE"""),31.63)</f>
        <v>31.63</v>
      </c>
      <c r="F340" s="3">
        <f t="shared" si="1"/>
        <v>0.0009489167247</v>
      </c>
    </row>
    <row r="341">
      <c r="A341" s="6"/>
      <c r="D341" s="5">
        <f>IFERROR(__xludf.DUMMYFUNCTION("""COMPUTED_VALUE"""),42216.66666666667)</f>
        <v>42216.66667</v>
      </c>
      <c r="E341" s="3">
        <f>IFERROR(__xludf.DUMMYFUNCTION("""COMPUTED_VALUE"""),31.28)</f>
        <v>31.28</v>
      </c>
      <c r="F341" s="3">
        <f t="shared" si="1"/>
        <v>-0.01112712164</v>
      </c>
    </row>
    <row r="342">
      <c r="A342" s="6"/>
      <c r="D342" s="5">
        <f>IFERROR(__xludf.DUMMYFUNCTION("""COMPUTED_VALUE"""),42219.66666666667)</f>
        <v>42219.66667</v>
      </c>
      <c r="E342" s="3">
        <f>IFERROR(__xludf.DUMMYFUNCTION("""COMPUTED_VALUE"""),31.56)</f>
        <v>31.56</v>
      </c>
      <c r="F342" s="3">
        <f t="shared" si="1"/>
        <v>0.008911580301</v>
      </c>
    </row>
    <row r="343">
      <c r="A343" s="6"/>
      <c r="D343" s="5">
        <f>IFERROR(__xludf.DUMMYFUNCTION("""COMPUTED_VALUE"""),42220.66666666667)</f>
        <v>42220.66667</v>
      </c>
      <c r="E343" s="3">
        <f>IFERROR(__xludf.DUMMYFUNCTION("""COMPUTED_VALUE"""),31.46)</f>
        <v>31.46</v>
      </c>
      <c r="F343" s="3">
        <f t="shared" si="1"/>
        <v>-0.003173598348</v>
      </c>
    </row>
    <row r="344">
      <c r="A344" s="6"/>
      <c r="D344" s="5">
        <f>IFERROR(__xludf.DUMMYFUNCTION("""COMPUTED_VALUE"""),42221.66666666667)</f>
        <v>42221.66667</v>
      </c>
      <c r="E344" s="3">
        <f>IFERROR(__xludf.DUMMYFUNCTION("""COMPUTED_VALUE"""),32.19)</f>
        <v>32.19</v>
      </c>
      <c r="F344" s="3">
        <f t="shared" si="1"/>
        <v>0.02293894768</v>
      </c>
    </row>
    <row r="345">
      <c r="A345" s="6"/>
      <c r="D345" s="5">
        <f>IFERROR(__xludf.DUMMYFUNCTION("""COMPUTED_VALUE"""),42222.66666666667)</f>
        <v>42222.66667</v>
      </c>
      <c r="E345" s="3">
        <f>IFERROR(__xludf.DUMMYFUNCTION("""COMPUTED_VALUE"""),32.13)</f>
        <v>32.13</v>
      </c>
      <c r="F345" s="3">
        <f t="shared" si="1"/>
        <v>-0.001865672183</v>
      </c>
    </row>
    <row r="346">
      <c r="A346" s="6"/>
      <c r="D346" s="5">
        <f>IFERROR(__xludf.DUMMYFUNCTION("""COMPUTED_VALUE"""),42223.66666666667)</f>
        <v>42223.66667</v>
      </c>
      <c r="E346" s="3">
        <f>IFERROR(__xludf.DUMMYFUNCTION("""COMPUTED_VALUE"""),31.77)</f>
        <v>31.77</v>
      </c>
      <c r="F346" s="3">
        <f t="shared" si="1"/>
        <v>-0.01126772485</v>
      </c>
    </row>
    <row r="347">
      <c r="A347" s="6"/>
      <c r="D347" s="5">
        <f>IFERROR(__xludf.DUMMYFUNCTION("""COMPUTED_VALUE"""),42226.66666666667)</f>
        <v>42226.66667</v>
      </c>
      <c r="E347" s="3">
        <f>IFERROR(__xludf.DUMMYFUNCTION("""COMPUTED_VALUE"""),31.69)</f>
        <v>31.69</v>
      </c>
      <c r="F347" s="3">
        <f t="shared" si="1"/>
        <v>-0.002521274579</v>
      </c>
    </row>
    <row r="348">
      <c r="A348" s="6"/>
      <c r="D348" s="5">
        <f>IFERROR(__xludf.DUMMYFUNCTION("""COMPUTED_VALUE"""),42227.66666666667)</f>
        <v>42227.66667</v>
      </c>
      <c r="E348" s="3">
        <f>IFERROR(__xludf.DUMMYFUNCTION("""COMPUTED_VALUE"""),33.04)</f>
        <v>33.04</v>
      </c>
      <c r="F348" s="3">
        <f t="shared" si="1"/>
        <v>0.04171777495</v>
      </c>
    </row>
    <row r="349">
      <c r="A349" s="6"/>
      <c r="D349" s="5">
        <f>IFERROR(__xludf.DUMMYFUNCTION("""COMPUTED_VALUE"""),42228.66666666667)</f>
        <v>42228.66667</v>
      </c>
      <c r="E349" s="3">
        <f>IFERROR(__xludf.DUMMYFUNCTION("""COMPUTED_VALUE"""),32.98)</f>
        <v>32.98</v>
      </c>
      <c r="F349" s="3">
        <f t="shared" si="1"/>
        <v>-0.001817631521</v>
      </c>
    </row>
    <row r="350">
      <c r="A350" s="6"/>
      <c r="D350" s="5">
        <f>IFERROR(__xludf.DUMMYFUNCTION("""COMPUTED_VALUE"""),42229.66666666667)</f>
        <v>42229.66667</v>
      </c>
      <c r="E350" s="3">
        <f>IFERROR(__xludf.DUMMYFUNCTION("""COMPUTED_VALUE"""),32.82)</f>
        <v>32.82</v>
      </c>
      <c r="F350" s="3">
        <f t="shared" si="1"/>
        <v>-0.00486323147</v>
      </c>
    </row>
    <row r="351">
      <c r="A351" s="6"/>
      <c r="D351" s="5">
        <f>IFERROR(__xludf.DUMMYFUNCTION("""COMPUTED_VALUE"""),42230.66666666667)</f>
        <v>42230.66667</v>
      </c>
      <c r="E351" s="3">
        <f>IFERROR(__xludf.DUMMYFUNCTION("""COMPUTED_VALUE"""),32.86)</f>
        <v>32.86</v>
      </c>
      <c r="F351" s="3">
        <f t="shared" si="1"/>
        <v>0.001218026947</v>
      </c>
    </row>
    <row r="352">
      <c r="A352" s="6"/>
      <c r="D352" s="5">
        <f>IFERROR(__xludf.DUMMYFUNCTION("""COMPUTED_VALUE"""),42233.66666666667)</f>
        <v>42233.66667</v>
      </c>
      <c r="E352" s="3">
        <f>IFERROR(__xludf.DUMMYFUNCTION("""COMPUTED_VALUE"""),33.04)</f>
        <v>33.04</v>
      </c>
      <c r="F352" s="3">
        <f t="shared" si="1"/>
        <v>0.005462836044</v>
      </c>
    </row>
    <row r="353">
      <c r="A353" s="6"/>
      <c r="D353" s="5">
        <f>IFERROR(__xludf.DUMMYFUNCTION("""COMPUTED_VALUE"""),42234.66666666667)</f>
        <v>42234.66667</v>
      </c>
      <c r="E353" s="3">
        <f>IFERROR(__xludf.DUMMYFUNCTION("""COMPUTED_VALUE"""),32.81)</f>
        <v>32.81</v>
      </c>
      <c r="F353" s="3">
        <f t="shared" si="1"/>
        <v>-0.00698560168</v>
      </c>
    </row>
    <row r="354">
      <c r="A354" s="6"/>
      <c r="D354" s="5">
        <f>IFERROR(__xludf.DUMMYFUNCTION("""COMPUTED_VALUE"""),42235.66666666667)</f>
        <v>42235.66667</v>
      </c>
      <c r="E354" s="3">
        <f>IFERROR(__xludf.DUMMYFUNCTION("""COMPUTED_VALUE"""),33.05)</f>
        <v>33.05</v>
      </c>
      <c r="F354" s="3">
        <f t="shared" si="1"/>
        <v>0.007288219325</v>
      </c>
    </row>
    <row r="355">
      <c r="A355" s="6"/>
      <c r="D355" s="5">
        <f>IFERROR(__xludf.DUMMYFUNCTION("""COMPUTED_VALUE"""),42236.66666666667)</f>
        <v>42236.66667</v>
      </c>
      <c r="E355" s="3">
        <f>IFERROR(__xludf.DUMMYFUNCTION("""COMPUTED_VALUE"""),32.34)</f>
        <v>32.34</v>
      </c>
      <c r="F355" s="3">
        <f t="shared" si="1"/>
        <v>-0.02171671215</v>
      </c>
    </row>
    <row r="356">
      <c r="A356" s="6"/>
      <c r="D356" s="5">
        <f>IFERROR(__xludf.DUMMYFUNCTION("""COMPUTED_VALUE"""),42237.66666666667)</f>
        <v>42237.66667</v>
      </c>
      <c r="E356" s="3">
        <f>IFERROR(__xludf.DUMMYFUNCTION("""COMPUTED_VALUE"""),30.62)</f>
        <v>30.62</v>
      </c>
      <c r="F356" s="3">
        <f t="shared" si="1"/>
        <v>-0.05465146392</v>
      </c>
    </row>
    <row r="357">
      <c r="A357" s="6"/>
      <c r="D357" s="5">
        <f>IFERROR(__xludf.DUMMYFUNCTION("""COMPUTED_VALUE"""),42240.66666666667)</f>
        <v>42240.66667</v>
      </c>
      <c r="E357" s="3">
        <f>IFERROR(__xludf.DUMMYFUNCTION("""COMPUTED_VALUE"""),29.48)</f>
        <v>29.48</v>
      </c>
      <c r="F357" s="3">
        <f t="shared" si="1"/>
        <v>-0.03794132291</v>
      </c>
    </row>
    <row r="358">
      <c r="A358" s="6"/>
      <c r="D358" s="5">
        <f>IFERROR(__xludf.DUMMYFUNCTION("""COMPUTED_VALUE"""),42241.66666666667)</f>
        <v>42241.66667</v>
      </c>
      <c r="E358" s="3">
        <f>IFERROR(__xludf.DUMMYFUNCTION("""COMPUTED_VALUE"""),29.1)</f>
        <v>29.1</v>
      </c>
      <c r="F358" s="3">
        <f t="shared" si="1"/>
        <v>-0.01297389314</v>
      </c>
    </row>
    <row r="359">
      <c r="A359" s="6"/>
      <c r="D359" s="5">
        <f>IFERROR(__xludf.DUMMYFUNCTION("""COMPUTED_VALUE"""),42242.66666666667)</f>
        <v>42242.66667</v>
      </c>
      <c r="E359" s="3">
        <f>IFERROR(__xludf.DUMMYFUNCTION("""COMPUTED_VALUE"""),31.43)</f>
        <v>31.43</v>
      </c>
      <c r="F359" s="3">
        <f t="shared" si="1"/>
        <v>0.07702467663</v>
      </c>
    </row>
    <row r="360">
      <c r="A360" s="6"/>
      <c r="D360" s="5">
        <f>IFERROR(__xludf.DUMMYFUNCTION("""COMPUTED_VALUE"""),42243.66666666667)</f>
        <v>42243.66667</v>
      </c>
      <c r="E360" s="3">
        <f>IFERROR(__xludf.DUMMYFUNCTION("""COMPUTED_VALUE"""),31.88)</f>
        <v>31.88</v>
      </c>
      <c r="F360" s="3">
        <f t="shared" si="1"/>
        <v>0.01421600311</v>
      </c>
    </row>
    <row r="361">
      <c r="A361" s="6"/>
      <c r="D361" s="5">
        <f>IFERROR(__xludf.DUMMYFUNCTION("""COMPUTED_VALUE"""),42244.66666666667)</f>
        <v>42244.66667</v>
      </c>
      <c r="E361" s="3">
        <f>IFERROR(__xludf.DUMMYFUNCTION("""COMPUTED_VALUE"""),31.52)</f>
        <v>31.52</v>
      </c>
      <c r="F361" s="3">
        <f t="shared" si="1"/>
        <v>-0.01135658893</v>
      </c>
    </row>
    <row r="362">
      <c r="A362" s="6"/>
      <c r="D362" s="5">
        <f>IFERROR(__xludf.DUMMYFUNCTION("""COMPUTED_VALUE"""),42247.66666666667)</f>
        <v>42247.66667</v>
      </c>
      <c r="E362" s="3">
        <f>IFERROR(__xludf.DUMMYFUNCTION("""COMPUTED_VALUE"""),30.91)</f>
        <v>30.91</v>
      </c>
      <c r="F362" s="3">
        <f t="shared" si="1"/>
        <v>-0.01954250885</v>
      </c>
    </row>
    <row r="363">
      <c r="A363" s="6"/>
      <c r="D363" s="5">
        <f>IFERROR(__xludf.DUMMYFUNCTION("""COMPUTED_VALUE"""),42248.66666666667)</f>
        <v>42248.66667</v>
      </c>
      <c r="E363" s="3">
        <f>IFERROR(__xludf.DUMMYFUNCTION("""COMPUTED_VALUE"""),29.89)</f>
        <v>29.89</v>
      </c>
      <c r="F363" s="3">
        <f t="shared" si="1"/>
        <v>-0.03355577985</v>
      </c>
    </row>
    <row r="364">
      <c r="A364" s="6"/>
      <c r="D364" s="5">
        <f>IFERROR(__xludf.DUMMYFUNCTION("""COMPUTED_VALUE"""),42249.66666666667)</f>
        <v>42249.66667</v>
      </c>
      <c r="E364" s="3">
        <f>IFERROR(__xludf.DUMMYFUNCTION("""COMPUTED_VALUE"""),30.72)</f>
        <v>30.72</v>
      </c>
      <c r="F364" s="3">
        <f t="shared" si="1"/>
        <v>0.02738993198</v>
      </c>
    </row>
    <row r="365">
      <c r="A365" s="6"/>
      <c r="D365" s="5">
        <f>IFERROR(__xludf.DUMMYFUNCTION("""COMPUTED_VALUE"""),42250.66666666667)</f>
        <v>42250.66667</v>
      </c>
      <c r="E365" s="3">
        <f>IFERROR(__xludf.DUMMYFUNCTION("""COMPUTED_VALUE"""),30.31)</f>
        <v>30.31</v>
      </c>
      <c r="F365" s="3">
        <f t="shared" si="1"/>
        <v>-0.01343621721</v>
      </c>
    </row>
    <row r="366">
      <c r="A366" s="6"/>
      <c r="D366" s="5">
        <f>IFERROR(__xludf.DUMMYFUNCTION("""COMPUTED_VALUE"""),42251.66666666667)</f>
        <v>42251.66667</v>
      </c>
      <c r="E366" s="3">
        <f>IFERROR(__xludf.DUMMYFUNCTION("""COMPUTED_VALUE"""),30.04)</f>
        <v>30.04</v>
      </c>
      <c r="F366" s="3">
        <f t="shared" si="1"/>
        <v>-0.008947864174</v>
      </c>
    </row>
    <row r="367">
      <c r="A367" s="6"/>
      <c r="D367" s="5">
        <f>IFERROR(__xludf.DUMMYFUNCTION("""COMPUTED_VALUE"""),42255.66666666667)</f>
        <v>42255.66667</v>
      </c>
      <c r="E367" s="3">
        <f>IFERROR(__xludf.DUMMYFUNCTION("""COMPUTED_VALUE"""),30.73)</f>
        <v>30.73</v>
      </c>
      <c r="F367" s="3">
        <f t="shared" si="1"/>
        <v>0.02270954925</v>
      </c>
    </row>
    <row r="368">
      <c r="A368" s="6"/>
      <c r="D368" s="5">
        <f>IFERROR(__xludf.DUMMYFUNCTION("""COMPUTED_VALUE"""),42256.66666666667)</f>
        <v>42256.66667</v>
      </c>
      <c r="E368" s="3">
        <f>IFERROR(__xludf.DUMMYFUNCTION("""COMPUTED_VALUE"""),30.64)</f>
        <v>30.64</v>
      </c>
      <c r="F368" s="3">
        <f t="shared" si="1"/>
        <v>-0.00293303127</v>
      </c>
    </row>
    <row r="369">
      <c r="A369" s="6"/>
      <c r="D369" s="5">
        <f>IFERROR(__xludf.DUMMYFUNCTION("""COMPUTED_VALUE"""),42257.66666666667)</f>
        <v>42257.66667</v>
      </c>
      <c r="E369" s="3">
        <f>IFERROR(__xludf.DUMMYFUNCTION("""COMPUTED_VALUE"""),31.07)</f>
        <v>31.07</v>
      </c>
      <c r="F369" s="3">
        <f t="shared" si="1"/>
        <v>0.01393637853</v>
      </c>
    </row>
    <row r="370">
      <c r="A370" s="6"/>
      <c r="D370" s="5">
        <f>IFERROR(__xludf.DUMMYFUNCTION("""COMPUTED_VALUE"""),42258.66666666667)</f>
        <v>42258.66667</v>
      </c>
      <c r="E370" s="3">
        <f>IFERROR(__xludf.DUMMYFUNCTION("""COMPUTED_VALUE"""),31.29)</f>
        <v>31.29</v>
      </c>
      <c r="F370" s="3">
        <f t="shared" si="1"/>
        <v>0.007055834276</v>
      </c>
    </row>
    <row r="371">
      <c r="A371" s="6"/>
      <c r="D371" s="5">
        <f>IFERROR(__xludf.DUMMYFUNCTION("""COMPUTED_VALUE"""),42261.66666666667)</f>
        <v>42261.66667</v>
      </c>
      <c r="E371" s="3">
        <f>IFERROR(__xludf.DUMMYFUNCTION("""COMPUTED_VALUE"""),31.16)</f>
        <v>31.16</v>
      </c>
      <c r="F371" s="3">
        <f t="shared" si="1"/>
        <v>-0.004163336678</v>
      </c>
    </row>
    <row r="372">
      <c r="A372" s="6"/>
      <c r="D372" s="5">
        <f>IFERROR(__xludf.DUMMYFUNCTION("""COMPUTED_VALUE"""),42262.66666666667)</f>
        <v>42262.66667</v>
      </c>
      <c r="E372" s="3">
        <f>IFERROR(__xludf.DUMMYFUNCTION("""COMPUTED_VALUE"""),31.76)</f>
        <v>31.76</v>
      </c>
      <c r="F372" s="3">
        <f t="shared" si="1"/>
        <v>0.01907241538</v>
      </c>
    </row>
    <row r="373">
      <c r="A373" s="6"/>
      <c r="D373" s="5">
        <f>IFERROR(__xludf.DUMMYFUNCTION("""COMPUTED_VALUE"""),42263.66666666667)</f>
        <v>42263.66667</v>
      </c>
      <c r="E373" s="3">
        <f>IFERROR(__xludf.DUMMYFUNCTION("""COMPUTED_VALUE"""),31.8)</f>
        <v>31.8</v>
      </c>
      <c r="F373" s="3">
        <f t="shared" si="1"/>
        <v>0.001258653407</v>
      </c>
    </row>
    <row r="374">
      <c r="A374" s="6"/>
      <c r="D374" s="5">
        <f>IFERROR(__xludf.DUMMYFUNCTION("""COMPUTED_VALUE"""),42264.66666666667)</f>
        <v>42264.66667</v>
      </c>
      <c r="E374" s="3">
        <f>IFERROR(__xludf.DUMMYFUNCTION("""COMPUTED_VALUE"""),32.15)</f>
        <v>32.15</v>
      </c>
      <c r="F374" s="3">
        <f t="shared" si="1"/>
        <v>0.0109461609</v>
      </c>
    </row>
    <row r="375">
      <c r="A375" s="6"/>
      <c r="D375" s="5">
        <f>IFERROR(__xludf.DUMMYFUNCTION("""COMPUTED_VALUE"""),42265.66666666667)</f>
        <v>42265.66667</v>
      </c>
      <c r="E375" s="3">
        <f>IFERROR(__xludf.DUMMYFUNCTION("""COMPUTED_VALUE"""),31.46)</f>
        <v>31.46</v>
      </c>
      <c r="F375" s="3">
        <f t="shared" si="1"/>
        <v>-0.02169555305</v>
      </c>
    </row>
    <row r="376">
      <c r="A376" s="6"/>
      <c r="D376" s="5">
        <f>IFERROR(__xludf.DUMMYFUNCTION("""COMPUTED_VALUE"""),42268.66666666667)</f>
        <v>42268.66667</v>
      </c>
      <c r="E376" s="3">
        <f>IFERROR(__xludf.DUMMYFUNCTION("""COMPUTED_VALUE"""),31.77)</f>
        <v>31.77</v>
      </c>
      <c r="F376" s="3">
        <f t="shared" si="1"/>
        <v>0.009805550651</v>
      </c>
    </row>
    <row r="377">
      <c r="A377" s="6"/>
      <c r="D377" s="5">
        <f>IFERROR(__xludf.DUMMYFUNCTION("""COMPUTED_VALUE"""),42269.66666666667)</f>
        <v>42269.66667</v>
      </c>
      <c r="E377" s="3">
        <f>IFERROR(__xludf.DUMMYFUNCTION("""COMPUTED_VALUE"""),31.13)</f>
        <v>31.13</v>
      </c>
      <c r="F377" s="3">
        <f t="shared" si="1"/>
        <v>-0.02035046383</v>
      </c>
    </row>
    <row r="378">
      <c r="A378" s="6"/>
      <c r="D378" s="5">
        <f>IFERROR(__xludf.DUMMYFUNCTION("""COMPUTED_VALUE"""),42270.66666666667)</f>
        <v>42270.66667</v>
      </c>
      <c r="E378" s="3">
        <f>IFERROR(__xludf.DUMMYFUNCTION("""COMPUTED_VALUE"""),31.12)</f>
        <v>31.12</v>
      </c>
      <c r="F378" s="3">
        <f t="shared" si="1"/>
        <v>-0.0003212851433</v>
      </c>
    </row>
    <row r="379">
      <c r="A379" s="6"/>
      <c r="D379" s="5">
        <f>IFERROR(__xludf.DUMMYFUNCTION("""COMPUTED_VALUE"""),42271.66666666667)</f>
        <v>42271.66667</v>
      </c>
      <c r="E379" s="3">
        <f>IFERROR(__xludf.DUMMYFUNCTION("""COMPUTED_VALUE"""),31.29)</f>
        <v>31.29</v>
      </c>
      <c r="F379" s="3">
        <f t="shared" si="1"/>
        <v>0.005447858371</v>
      </c>
    </row>
    <row r="380">
      <c r="A380" s="6"/>
      <c r="D380" s="5">
        <f>IFERROR(__xludf.DUMMYFUNCTION("""COMPUTED_VALUE"""),42272.66666666667)</f>
        <v>42272.66667</v>
      </c>
      <c r="E380" s="3">
        <f>IFERROR(__xludf.DUMMYFUNCTION("""COMPUTED_VALUE"""),30.6)</f>
        <v>30.6</v>
      </c>
      <c r="F380" s="3">
        <f t="shared" si="1"/>
        <v>-0.02229854872</v>
      </c>
    </row>
    <row r="381">
      <c r="A381" s="6"/>
      <c r="D381" s="5">
        <f>IFERROR(__xludf.DUMMYFUNCTION("""COMPUTED_VALUE"""),42275.66666666667)</f>
        <v>42275.66667</v>
      </c>
      <c r="E381" s="3">
        <f>IFERROR(__xludf.DUMMYFUNCTION("""COMPUTED_VALUE"""),29.74)</f>
        <v>29.74</v>
      </c>
      <c r="F381" s="3">
        <f t="shared" si="1"/>
        <v>-0.02850706793</v>
      </c>
    </row>
    <row r="382">
      <c r="A382" s="6"/>
      <c r="D382" s="5">
        <f>IFERROR(__xludf.DUMMYFUNCTION("""COMPUTED_VALUE"""),42276.66666666667)</f>
        <v>42276.66667</v>
      </c>
      <c r="E382" s="3">
        <f>IFERROR(__xludf.DUMMYFUNCTION("""COMPUTED_VALUE"""),29.75)</f>
        <v>29.75</v>
      </c>
      <c r="F382" s="3">
        <f t="shared" si="1"/>
        <v>0.0003361909596</v>
      </c>
    </row>
    <row r="383">
      <c r="A383" s="6"/>
      <c r="D383" s="5">
        <f>IFERROR(__xludf.DUMMYFUNCTION("""COMPUTED_VALUE"""),42277.66666666667)</f>
        <v>42277.66667</v>
      </c>
      <c r="E383" s="3">
        <f>IFERROR(__xludf.DUMMYFUNCTION("""COMPUTED_VALUE"""),30.42)</f>
        <v>30.42</v>
      </c>
      <c r="F383" s="3">
        <f t="shared" si="1"/>
        <v>0.02227115484</v>
      </c>
    </row>
    <row r="384">
      <c r="A384" s="6"/>
      <c r="D384" s="5">
        <f>IFERROR(__xludf.DUMMYFUNCTION("""COMPUTED_VALUE"""),42278.66666666667)</f>
        <v>42278.66667</v>
      </c>
      <c r="E384" s="3">
        <f>IFERROR(__xludf.DUMMYFUNCTION("""COMPUTED_VALUE"""),30.56)</f>
        <v>30.56</v>
      </c>
      <c r="F384" s="3">
        <f t="shared" si="1"/>
        <v>0.004591677467</v>
      </c>
    </row>
    <row r="385">
      <c r="A385" s="6"/>
      <c r="D385" s="5">
        <f>IFERROR(__xludf.DUMMYFUNCTION("""COMPUTED_VALUE"""),42279.66666666667)</f>
        <v>42279.66667</v>
      </c>
      <c r="E385" s="3">
        <f>IFERROR(__xludf.DUMMYFUNCTION("""COMPUTED_VALUE"""),31.35)</f>
        <v>31.35</v>
      </c>
      <c r="F385" s="3">
        <f t="shared" si="1"/>
        <v>0.02552230278</v>
      </c>
    </row>
    <row r="386">
      <c r="A386" s="6"/>
      <c r="D386" s="5">
        <f>IFERROR(__xludf.DUMMYFUNCTION("""COMPUTED_VALUE"""),42282.66666666667)</f>
        <v>42282.66667</v>
      </c>
      <c r="E386" s="3">
        <f>IFERROR(__xludf.DUMMYFUNCTION("""COMPUTED_VALUE"""),32.07)</f>
        <v>32.07</v>
      </c>
      <c r="F386" s="3">
        <f t="shared" si="1"/>
        <v>0.02270674663</v>
      </c>
    </row>
    <row r="387">
      <c r="A387" s="6"/>
      <c r="D387" s="5">
        <f>IFERROR(__xludf.DUMMYFUNCTION("""COMPUTED_VALUE"""),42283.66666666667)</f>
        <v>42283.66667</v>
      </c>
      <c r="E387" s="3">
        <f>IFERROR(__xludf.DUMMYFUNCTION("""COMPUTED_VALUE"""),32.27)</f>
        <v>32.27</v>
      </c>
      <c r="F387" s="3">
        <f t="shared" si="1"/>
        <v>0.006216992359</v>
      </c>
    </row>
    <row r="388">
      <c r="A388" s="6"/>
      <c r="D388" s="5">
        <f>IFERROR(__xludf.DUMMYFUNCTION("""COMPUTED_VALUE"""),42284.66666666667)</f>
        <v>42284.66667</v>
      </c>
      <c r="E388" s="3">
        <f>IFERROR(__xludf.DUMMYFUNCTION("""COMPUTED_VALUE"""),32.12)</f>
        <v>32.12</v>
      </c>
      <c r="F388" s="3">
        <f t="shared" si="1"/>
        <v>-0.004659116985</v>
      </c>
    </row>
    <row r="389">
      <c r="A389" s="6"/>
      <c r="D389" s="5">
        <f>IFERROR(__xludf.DUMMYFUNCTION("""COMPUTED_VALUE"""),42285.66666666667)</f>
        <v>42285.66667</v>
      </c>
      <c r="E389" s="3">
        <f>IFERROR(__xludf.DUMMYFUNCTION("""COMPUTED_VALUE"""),31.96)</f>
        <v>31.96</v>
      </c>
      <c r="F389" s="3">
        <f t="shared" si="1"/>
        <v>-0.00499376818</v>
      </c>
    </row>
    <row r="390">
      <c r="A390" s="6"/>
      <c r="D390" s="5">
        <f>IFERROR(__xludf.DUMMYFUNCTION("""COMPUTED_VALUE"""),42286.66666666667)</f>
        <v>42286.66667</v>
      </c>
      <c r="E390" s="3">
        <f>IFERROR(__xludf.DUMMYFUNCTION("""COMPUTED_VALUE"""),32.18)</f>
        <v>32.18</v>
      </c>
      <c r="F390" s="3">
        <f t="shared" si="1"/>
        <v>0.006860020666</v>
      </c>
    </row>
    <row r="391">
      <c r="A391" s="6"/>
      <c r="D391" s="5">
        <f>IFERROR(__xludf.DUMMYFUNCTION("""COMPUTED_VALUE"""),42289.66666666667)</f>
        <v>42289.66667</v>
      </c>
      <c r="E391" s="3">
        <f>IFERROR(__xludf.DUMMYFUNCTION("""COMPUTED_VALUE"""),32.33)</f>
        <v>32.33</v>
      </c>
      <c r="F391" s="3">
        <f t="shared" si="1"/>
        <v>0.004650450173</v>
      </c>
    </row>
    <row r="392">
      <c r="A392" s="6"/>
      <c r="D392" s="5">
        <f>IFERROR(__xludf.DUMMYFUNCTION("""COMPUTED_VALUE"""),42290.66666666667)</f>
        <v>42290.66667</v>
      </c>
      <c r="E392" s="3">
        <f>IFERROR(__xludf.DUMMYFUNCTION("""COMPUTED_VALUE"""),32.62)</f>
        <v>32.62</v>
      </c>
      <c r="F392" s="3">
        <f t="shared" si="1"/>
        <v>0.008930005456</v>
      </c>
    </row>
    <row r="393">
      <c r="A393" s="6"/>
      <c r="D393" s="5">
        <f>IFERROR(__xludf.DUMMYFUNCTION("""COMPUTED_VALUE"""),42291.66666666667)</f>
        <v>42291.66667</v>
      </c>
      <c r="E393" s="3">
        <f>IFERROR(__xludf.DUMMYFUNCTION("""COMPUTED_VALUE"""),32.56)</f>
        <v>32.56</v>
      </c>
      <c r="F393" s="3">
        <f t="shared" si="1"/>
        <v>-0.001841056059</v>
      </c>
    </row>
    <row r="394">
      <c r="A394" s="6"/>
      <c r="D394" s="5">
        <f>IFERROR(__xludf.DUMMYFUNCTION("""COMPUTED_VALUE"""),42292.66666666667)</f>
        <v>42292.66667</v>
      </c>
      <c r="E394" s="3">
        <f>IFERROR(__xludf.DUMMYFUNCTION("""COMPUTED_VALUE"""),33.09)</f>
        <v>33.09</v>
      </c>
      <c r="F394" s="3">
        <f t="shared" si="1"/>
        <v>0.0161465808</v>
      </c>
    </row>
    <row r="395">
      <c r="A395" s="6"/>
      <c r="D395" s="5">
        <f>IFERROR(__xludf.DUMMYFUNCTION("""COMPUTED_VALUE"""),42293.66666666667)</f>
        <v>42293.66667</v>
      </c>
      <c r="E395" s="3">
        <f>IFERROR(__xludf.DUMMYFUNCTION("""COMPUTED_VALUE"""),33.11)</f>
        <v>33.11</v>
      </c>
      <c r="F395" s="3">
        <f t="shared" si="1"/>
        <v>0.0006042296256</v>
      </c>
    </row>
    <row r="396">
      <c r="A396" s="6"/>
      <c r="D396" s="5">
        <f>IFERROR(__xludf.DUMMYFUNCTION("""COMPUTED_VALUE"""),42296.66666666667)</f>
        <v>42296.66667</v>
      </c>
      <c r="E396" s="3">
        <f>IFERROR(__xludf.DUMMYFUNCTION("""COMPUTED_VALUE"""),33.31)</f>
        <v>33.31</v>
      </c>
      <c r="F396" s="3">
        <f t="shared" si="1"/>
        <v>0.006022300646</v>
      </c>
    </row>
    <row r="397">
      <c r="A397" s="6"/>
      <c r="D397" s="5">
        <f>IFERROR(__xludf.DUMMYFUNCTION("""COMPUTED_VALUE"""),42297.66666666667)</f>
        <v>42297.66667</v>
      </c>
      <c r="E397" s="3">
        <f>IFERROR(__xludf.DUMMYFUNCTION("""COMPUTED_VALUE"""),32.51)</f>
        <v>32.51</v>
      </c>
      <c r="F397" s="3">
        <f t="shared" si="1"/>
        <v>-0.02430991789</v>
      </c>
    </row>
    <row r="398">
      <c r="A398" s="6"/>
      <c r="D398" s="5">
        <f>IFERROR(__xludf.DUMMYFUNCTION("""COMPUTED_VALUE"""),42298.66666666667)</f>
        <v>42298.66667</v>
      </c>
      <c r="E398" s="3">
        <f>IFERROR(__xludf.DUMMYFUNCTION("""COMPUTED_VALUE"""),32.13)</f>
        <v>32.13</v>
      </c>
      <c r="F398" s="3">
        <f t="shared" si="1"/>
        <v>-0.01175756119</v>
      </c>
    </row>
    <row r="399">
      <c r="A399" s="6"/>
      <c r="D399" s="5">
        <f>IFERROR(__xludf.DUMMYFUNCTION("""COMPUTED_VALUE"""),42299.66666666667)</f>
        <v>42299.66667</v>
      </c>
      <c r="E399" s="3">
        <f>IFERROR(__xludf.DUMMYFUNCTION("""COMPUTED_VALUE"""),32.59)</f>
        <v>32.59</v>
      </c>
      <c r="F399" s="3">
        <f t="shared" si="1"/>
        <v>0.01421531972</v>
      </c>
    </row>
    <row r="400">
      <c r="A400" s="6"/>
      <c r="D400" s="5">
        <f>IFERROR(__xludf.DUMMYFUNCTION("""COMPUTED_VALUE"""),42300.66666666667)</f>
        <v>42300.66667</v>
      </c>
      <c r="E400" s="3">
        <f>IFERROR(__xludf.DUMMYFUNCTION("""COMPUTED_VALUE"""),35.1)</f>
        <v>35.1</v>
      </c>
      <c r="F400" s="3">
        <f t="shared" si="1"/>
        <v>0.07419563762</v>
      </c>
    </row>
    <row r="401">
      <c r="A401" s="6"/>
      <c r="D401" s="5">
        <f>IFERROR(__xludf.DUMMYFUNCTION("""COMPUTED_VALUE"""),42303.66666666667)</f>
        <v>42303.66667</v>
      </c>
      <c r="E401" s="3">
        <f>IFERROR(__xludf.DUMMYFUNCTION("""COMPUTED_VALUE"""),35.64)</f>
        <v>35.64</v>
      </c>
      <c r="F401" s="3">
        <f t="shared" si="1"/>
        <v>0.01526747213</v>
      </c>
    </row>
    <row r="402">
      <c r="A402" s="6"/>
      <c r="D402" s="5">
        <f>IFERROR(__xludf.DUMMYFUNCTION("""COMPUTED_VALUE"""),42304.66666666667)</f>
        <v>42304.66667</v>
      </c>
      <c r="E402" s="3">
        <f>IFERROR(__xludf.DUMMYFUNCTION("""COMPUTED_VALUE"""),35.42)</f>
        <v>35.42</v>
      </c>
      <c r="F402" s="3">
        <f t="shared" si="1"/>
        <v>-0.006191970248</v>
      </c>
    </row>
    <row r="403">
      <c r="A403" s="6"/>
      <c r="D403" s="5">
        <f>IFERROR(__xludf.DUMMYFUNCTION("""COMPUTED_VALUE"""),42305.66666666667)</f>
        <v>42305.66667</v>
      </c>
      <c r="E403" s="3">
        <f>IFERROR(__xludf.DUMMYFUNCTION("""COMPUTED_VALUE"""),35.65)</f>
        <v>35.65</v>
      </c>
      <c r="F403" s="3">
        <f t="shared" si="1"/>
        <v>0.006472514506</v>
      </c>
    </row>
    <row r="404">
      <c r="A404" s="6"/>
      <c r="D404" s="5">
        <f>IFERROR(__xludf.DUMMYFUNCTION("""COMPUTED_VALUE"""),42306.66666666667)</f>
        <v>42306.66667</v>
      </c>
      <c r="E404" s="3">
        <f>IFERROR(__xludf.DUMMYFUNCTION("""COMPUTED_VALUE"""),35.85)</f>
        <v>35.85</v>
      </c>
      <c r="F404" s="3">
        <f t="shared" si="1"/>
        <v>0.005594420185</v>
      </c>
    </row>
    <row r="405">
      <c r="A405" s="6"/>
      <c r="D405" s="5">
        <f>IFERROR(__xludf.DUMMYFUNCTION("""COMPUTED_VALUE"""),42307.66666666667)</f>
        <v>42307.66667</v>
      </c>
      <c r="E405" s="3">
        <f>IFERROR(__xludf.DUMMYFUNCTION("""COMPUTED_VALUE"""),35.54)</f>
        <v>35.54</v>
      </c>
      <c r="F405" s="3">
        <f t="shared" si="1"/>
        <v>-0.008684744319</v>
      </c>
    </row>
    <row r="406">
      <c r="A406" s="6"/>
      <c r="D406" s="5">
        <f>IFERROR(__xludf.DUMMYFUNCTION("""COMPUTED_VALUE"""),42310.66666666667)</f>
        <v>42310.66667</v>
      </c>
      <c r="E406" s="3">
        <f>IFERROR(__xludf.DUMMYFUNCTION("""COMPUTED_VALUE"""),36.06)</f>
        <v>36.06</v>
      </c>
      <c r="F406" s="3">
        <f t="shared" si="1"/>
        <v>0.01452539505</v>
      </c>
    </row>
    <row r="407">
      <c r="A407" s="6"/>
      <c r="D407" s="5">
        <f>IFERROR(__xludf.DUMMYFUNCTION("""COMPUTED_VALUE"""),42311.66666666667)</f>
        <v>42311.66667</v>
      </c>
      <c r="E407" s="3">
        <f>IFERROR(__xludf.DUMMYFUNCTION("""COMPUTED_VALUE"""),36.11)</f>
        <v>36.11</v>
      </c>
      <c r="F407" s="3">
        <f t="shared" si="1"/>
        <v>0.001385617514</v>
      </c>
    </row>
    <row r="408">
      <c r="A408" s="6"/>
      <c r="D408" s="5">
        <f>IFERROR(__xludf.DUMMYFUNCTION("""COMPUTED_VALUE"""),42312.66666666667)</f>
        <v>42312.66667</v>
      </c>
      <c r="E408" s="3">
        <f>IFERROR(__xludf.DUMMYFUNCTION("""COMPUTED_VALUE"""),36.41)</f>
        <v>36.41</v>
      </c>
      <c r="F408" s="3">
        <f t="shared" si="1"/>
        <v>0.008273626898</v>
      </c>
    </row>
    <row r="409">
      <c r="A409" s="6"/>
      <c r="D409" s="5">
        <f>IFERROR(__xludf.DUMMYFUNCTION("""COMPUTED_VALUE"""),42313.66666666667)</f>
        <v>42313.66667</v>
      </c>
      <c r="E409" s="3">
        <f>IFERROR(__xludf.DUMMYFUNCTION("""COMPUTED_VALUE"""),36.56)</f>
        <v>36.56</v>
      </c>
      <c r="F409" s="3">
        <f t="shared" si="1"/>
        <v>0.004111284399</v>
      </c>
    </row>
    <row r="410">
      <c r="A410" s="6"/>
      <c r="D410" s="5">
        <f>IFERROR(__xludf.DUMMYFUNCTION("""COMPUTED_VALUE"""),42314.66666666667)</f>
        <v>42314.66667</v>
      </c>
      <c r="E410" s="3">
        <f>IFERROR(__xludf.DUMMYFUNCTION("""COMPUTED_VALUE"""),36.69)</f>
        <v>36.69</v>
      </c>
      <c r="F410" s="3">
        <f t="shared" si="1"/>
        <v>0.003549491781</v>
      </c>
    </row>
    <row r="411">
      <c r="A411" s="6"/>
      <c r="D411" s="5">
        <f>IFERROR(__xludf.DUMMYFUNCTION("""COMPUTED_VALUE"""),42317.66666666667)</f>
        <v>42317.66667</v>
      </c>
      <c r="E411" s="3">
        <f>IFERROR(__xludf.DUMMYFUNCTION("""COMPUTED_VALUE"""),36.24)</f>
        <v>36.24</v>
      </c>
      <c r="F411" s="3">
        <f t="shared" si="1"/>
        <v>-0.01234075719</v>
      </c>
    </row>
    <row r="412">
      <c r="A412" s="6"/>
      <c r="D412" s="5">
        <f>IFERROR(__xludf.DUMMYFUNCTION("""COMPUTED_VALUE"""),42318.66666666667)</f>
        <v>42318.66667</v>
      </c>
      <c r="E412" s="3">
        <f>IFERROR(__xludf.DUMMYFUNCTION("""COMPUTED_VALUE"""),36.42)</f>
        <v>36.42</v>
      </c>
      <c r="F412" s="3">
        <f t="shared" si="1"/>
        <v>0.004954593125</v>
      </c>
    </row>
    <row r="413">
      <c r="A413" s="6"/>
      <c r="D413" s="5">
        <f>IFERROR(__xludf.DUMMYFUNCTION("""COMPUTED_VALUE"""),42319.66666666667)</f>
        <v>42319.66667</v>
      </c>
      <c r="E413" s="3">
        <f>IFERROR(__xludf.DUMMYFUNCTION("""COMPUTED_VALUE"""),36.77)</f>
        <v>36.77</v>
      </c>
      <c r="F413" s="3">
        <f t="shared" si="1"/>
        <v>0.009564221014</v>
      </c>
    </row>
    <row r="414">
      <c r="A414" s="6"/>
      <c r="D414" s="5">
        <f>IFERROR(__xludf.DUMMYFUNCTION("""COMPUTED_VALUE"""),42320.66666666667)</f>
        <v>42320.66667</v>
      </c>
      <c r="E414" s="3">
        <f>IFERROR(__xludf.DUMMYFUNCTION("""COMPUTED_VALUE"""),36.56)</f>
        <v>36.56</v>
      </c>
      <c r="F414" s="3">
        <f t="shared" si="1"/>
        <v>-0.005727548727</v>
      </c>
    </row>
    <row r="415">
      <c r="A415" s="6"/>
      <c r="D415" s="5">
        <f>IFERROR(__xludf.DUMMYFUNCTION("""COMPUTED_VALUE"""),42321.66666666667)</f>
        <v>42321.66667</v>
      </c>
      <c r="E415" s="3">
        <f>IFERROR(__xludf.DUMMYFUNCTION("""COMPUTED_VALUE"""),35.85)</f>
        <v>35.85</v>
      </c>
      <c r="F415" s="3">
        <f t="shared" si="1"/>
        <v>-0.01961117954</v>
      </c>
    </row>
    <row r="416">
      <c r="A416" s="6"/>
      <c r="D416" s="5">
        <f>IFERROR(__xludf.DUMMYFUNCTION("""COMPUTED_VALUE"""),42324.66666666667)</f>
        <v>42324.66667</v>
      </c>
      <c r="E416" s="3">
        <f>IFERROR(__xludf.DUMMYFUNCTION("""COMPUTED_VALUE"""),36.45)</f>
        <v>36.45</v>
      </c>
      <c r="F416" s="3">
        <f t="shared" si="1"/>
        <v>0.01659789141</v>
      </c>
    </row>
    <row r="417">
      <c r="A417" s="6"/>
      <c r="D417" s="5">
        <f>IFERROR(__xludf.DUMMYFUNCTION("""COMPUTED_VALUE"""),42325.66666666667)</f>
        <v>42325.66667</v>
      </c>
      <c r="E417" s="3">
        <f>IFERROR(__xludf.DUMMYFUNCTION("""COMPUTED_VALUE"""),36.27)</f>
        <v>36.27</v>
      </c>
      <c r="F417" s="3">
        <f t="shared" si="1"/>
        <v>-0.00495050516</v>
      </c>
    </row>
    <row r="418">
      <c r="A418" s="6"/>
      <c r="D418" s="5">
        <f>IFERROR(__xludf.DUMMYFUNCTION("""COMPUTED_VALUE"""),42326.66666666667)</f>
        <v>42326.66667</v>
      </c>
      <c r="E418" s="3">
        <f>IFERROR(__xludf.DUMMYFUNCTION("""COMPUTED_VALUE"""),37.0)</f>
        <v>37</v>
      </c>
      <c r="F418" s="3">
        <f t="shared" si="1"/>
        <v>0.01992695935</v>
      </c>
    </row>
    <row r="419">
      <c r="A419" s="6"/>
      <c r="D419" s="5">
        <f>IFERROR(__xludf.DUMMYFUNCTION("""COMPUTED_VALUE"""),42327.66666666667)</f>
        <v>42327.66667</v>
      </c>
      <c r="E419" s="3">
        <f>IFERROR(__xludf.DUMMYFUNCTION("""COMPUTED_VALUE"""),36.92)</f>
        <v>36.92</v>
      </c>
      <c r="F419" s="3">
        <f t="shared" si="1"/>
        <v>-0.00216450301</v>
      </c>
    </row>
    <row r="420">
      <c r="A420" s="6"/>
      <c r="D420" s="5">
        <f>IFERROR(__xludf.DUMMYFUNCTION("""COMPUTED_VALUE"""),42328.66666666667)</f>
        <v>42328.66667</v>
      </c>
      <c r="E420" s="3">
        <f>IFERROR(__xludf.DUMMYFUNCTION("""COMPUTED_VALUE"""),37.83)</f>
        <v>37.83</v>
      </c>
      <c r="F420" s="3">
        <f t="shared" si="1"/>
        <v>0.02434902901</v>
      </c>
    </row>
    <row r="421">
      <c r="A421" s="6"/>
      <c r="D421" s="5">
        <f>IFERROR(__xludf.DUMMYFUNCTION("""COMPUTED_VALUE"""),42331.66666666667)</f>
        <v>42331.66667</v>
      </c>
      <c r="E421" s="3">
        <f>IFERROR(__xludf.DUMMYFUNCTION("""COMPUTED_VALUE"""),37.8)</f>
        <v>37.8</v>
      </c>
      <c r="F421" s="3">
        <f t="shared" si="1"/>
        <v>-0.0007933360194</v>
      </c>
    </row>
    <row r="422">
      <c r="A422" s="6"/>
      <c r="D422" s="5">
        <f>IFERROR(__xludf.DUMMYFUNCTION("""COMPUTED_VALUE"""),42332.66666666667)</f>
        <v>42332.66667</v>
      </c>
      <c r="E422" s="3">
        <f>IFERROR(__xludf.DUMMYFUNCTION("""COMPUTED_VALUE"""),37.41)</f>
        <v>37.41</v>
      </c>
      <c r="F422" s="3">
        <f t="shared" si="1"/>
        <v>-0.01037105427</v>
      </c>
    </row>
    <row r="423">
      <c r="A423" s="6"/>
      <c r="D423" s="5">
        <f>IFERROR(__xludf.DUMMYFUNCTION("""COMPUTED_VALUE"""),42333.66666666667)</f>
        <v>42333.66667</v>
      </c>
      <c r="E423" s="3">
        <f>IFERROR(__xludf.DUMMYFUNCTION("""COMPUTED_VALUE"""),37.41)</f>
        <v>37.41</v>
      </c>
      <c r="F423" s="3">
        <f t="shared" si="1"/>
        <v>0</v>
      </c>
    </row>
    <row r="424">
      <c r="A424" s="6"/>
      <c r="D424" s="5">
        <f>IFERROR(__xludf.DUMMYFUNCTION("""COMPUTED_VALUE"""),42335.66666666667)</f>
        <v>42335.66667</v>
      </c>
      <c r="E424" s="3">
        <f>IFERROR(__xludf.DUMMYFUNCTION("""COMPUTED_VALUE"""),37.51)</f>
        <v>37.51</v>
      </c>
      <c r="F424" s="3">
        <f t="shared" si="1"/>
        <v>0.002669515734</v>
      </c>
    </row>
    <row r="425">
      <c r="A425" s="6"/>
      <c r="D425" s="5">
        <f>IFERROR(__xludf.DUMMYFUNCTION("""COMPUTED_VALUE"""),42338.66666666667)</f>
        <v>42338.66667</v>
      </c>
      <c r="E425" s="3">
        <f>IFERROR(__xludf.DUMMYFUNCTION("""COMPUTED_VALUE"""),37.13)</f>
        <v>37.13</v>
      </c>
      <c r="F425" s="3">
        <f t="shared" si="1"/>
        <v>-0.0101822959</v>
      </c>
    </row>
    <row r="426">
      <c r="A426" s="6"/>
      <c r="D426" s="5">
        <f>IFERROR(__xludf.DUMMYFUNCTION("""COMPUTED_VALUE"""),42339.66666666667)</f>
        <v>42339.66667</v>
      </c>
      <c r="E426" s="3">
        <f>IFERROR(__xludf.DUMMYFUNCTION("""COMPUTED_VALUE"""),38.35)</f>
        <v>38.35</v>
      </c>
      <c r="F426" s="3">
        <f t="shared" si="1"/>
        <v>0.03232925962</v>
      </c>
    </row>
    <row r="427">
      <c r="A427" s="6"/>
      <c r="D427" s="5">
        <f>IFERROR(__xludf.DUMMYFUNCTION("""COMPUTED_VALUE"""),42340.66666666667)</f>
        <v>42340.66667</v>
      </c>
      <c r="E427" s="3">
        <f>IFERROR(__xludf.DUMMYFUNCTION("""COMPUTED_VALUE"""),38.12)</f>
        <v>38.12</v>
      </c>
      <c r="F427" s="3">
        <f t="shared" si="1"/>
        <v>-0.006015449027</v>
      </c>
    </row>
    <row r="428">
      <c r="A428" s="6"/>
      <c r="D428" s="5">
        <f>IFERROR(__xludf.DUMMYFUNCTION("""COMPUTED_VALUE"""),42341.66666666667)</f>
        <v>42341.66667</v>
      </c>
      <c r="E428" s="3">
        <f>IFERROR(__xludf.DUMMYFUNCTION("""COMPUTED_VALUE"""),37.63)</f>
        <v>37.63</v>
      </c>
      <c r="F428" s="3">
        <f t="shared" si="1"/>
        <v>-0.01293747418</v>
      </c>
    </row>
    <row r="429">
      <c r="A429" s="6"/>
      <c r="D429" s="5">
        <f>IFERROR(__xludf.DUMMYFUNCTION("""COMPUTED_VALUE"""),42342.66666666667)</f>
        <v>42342.66667</v>
      </c>
      <c r="E429" s="3">
        <f>IFERROR(__xludf.DUMMYFUNCTION("""COMPUTED_VALUE"""),38.34)</f>
        <v>38.34</v>
      </c>
      <c r="F429" s="3">
        <f t="shared" si="1"/>
        <v>0.01869213301</v>
      </c>
    </row>
    <row r="430">
      <c r="A430" s="6"/>
      <c r="D430" s="5">
        <f>IFERROR(__xludf.DUMMYFUNCTION("""COMPUTED_VALUE"""),42345.66666666667)</f>
        <v>42345.66667</v>
      </c>
      <c r="E430" s="3">
        <f>IFERROR(__xludf.DUMMYFUNCTION("""COMPUTED_VALUE"""),38.16)</f>
        <v>38.16</v>
      </c>
      <c r="F430" s="3">
        <f t="shared" si="1"/>
        <v>-0.004705891037</v>
      </c>
    </row>
    <row r="431">
      <c r="A431" s="6"/>
      <c r="D431" s="5">
        <f>IFERROR(__xludf.DUMMYFUNCTION("""COMPUTED_VALUE"""),42346.66666666667)</f>
        <v>42346.66667</v>
      </c>
      <c r="E431" s="3">
        <f>IFERROR(__xludf.DUMMYFUNCTION("""COMPUTED_VALUE"""),38.12)</f>
        <v>38.12</v>
      </c>
      <c r="F431" s="3">
        <f t="shared" si="1"/>
        <v>-0.001048767794</v>
      </c>
    </row>
    <row r="432">
      <c r="A432" s="6"/>
      <c r="D432" s="5">
        <f>IFERROR(__xludf.DUMMYFUNCTION("""COMPUTED_VALUE"""),42347.66666666667)</f>
        <v>42347.66667</v>
      </c>
      <c r="E432" s="3">
        <f>IFERROR(__xludf.DUMMYFUNCTION("""COMPUTED_VALUE"""),37.58)</f>
        <v>37.58</v>
      </c>
      <c r="F432" s="3">
        <f t="shared" si="1"/>
        <v>-0.0142670848</v>
      </c>
    </row>
    <row r="433">
      <c r="A433" s="6"/>
      <c r="D433" s="5">
        <f>IFERROR(__xludf.DUMMYFUNCTION("""COMPUTED_VALUE"""),42348.66666666667)</f>
        <v>42348.66667</v>
      </c>
      <c r="E433" s="3">
        <f>IFERROR(__xludf.DUMMYFUNCTION("""COMPUTED_VALUE"""),37.47)</f>
        <v>37.47</v>
      </c>
      <c r="F433" s="3">
        <f t="shared" si="1"/>
        <v>-0.00293138118</v>
      </c>
    </row>
    <row r="434">
      <c r="A434" s="6"/>
      <c r="D434" s="5">
        <f>IFERROR(__xludf.DUMMYFUNCTION("""COMPUTED_VALUE"""),42349.66666666667)</f>
        <v>42349.66667</v>
      </c>
      <c r="E434" s="3">
        <f>IFERROR(__xludf.DUMMYFUNCTION("""COMPUTED_VALUE"""),36.94)</f>
        <v>36.94</v>
      </c>
      <c r="F434" s="3">
        <f t="shared" si="1"/>
        <v>-0.01424563803</v>
      </c>
    </row>
    <row r="435">
      <c r="A435" s="6"/>
      <c r="D435" s="5">
        <f>IFERROR(__xludf.DUMMYFUNCTION("""COMPUTED_VALUE"""),42352.66666666667)</f>
        <v>42352.66667</v>
      </c>
      <c r="E435" s="3">
        <f>IFERROR(__xludf.DUMMYFUNCTION("""COMPUTED_VALUE"""),37.39)</f>
        <v>37.39</v>
      </c>
      <c r="F435" s="3">
        <f t="shared" si="1"/>
        <v>0.01210831422</v>
      </c>
    </row>
    <row r="436">
      <c r="A436" s="6"/>
      <c r="D436" s="5">
        <f>IFERROR(__xludf.DUMMYFUNCTION("""COMPUTED_VALUE"""),42353.66666666667)</f>
        <v>42353.66667</v>
      </c>
      <c r="E436" s="3">
        <f>IFERROR(__xludf.DUMMYFUNCTION("""COMPUTED_VALUE"""),37.17)</f>
        <v>37.17</v>
      </c>
      <c r="F436" s="3">
        <f t="shared" si="1"/>
        <v>-0.00590130468</v>
      </c>
    </row>
    <row r="437">
      <c r="A437" s="6"/>
      <c r="D437" s="5">
        <f>IFERROR(__xludf.DUMMYFUNCTION("""COMPUTED_VALUE"""),42354.66666666667)</f>
        <v>42354.66667</v>
      </c>
      <c r="E437" s="3">
        <f>IFERROR(__xludf.DUMMYFUNCTION("""COMPUTED_VALUE"""),37.9)</f>
        <v>37.9</v>
      </c>
      <c r="F437" s="3">
        <f t="shared" si="1"/>
        <v>0.01944912778</v>
      </c>
    </row>
    <row r="438">
      <c r="A438" s="6"/>
      <c r="D438" s="5">
        <f>IFERROR(__xludf.DUMMYFUNCTION("""COMPUTED_VALUE"""),42355.66666666667)</f>
        <v>42355.66667</v>
      </c>
      <c r="E438" s="3">
        <f>IFERROR(__xludf.DUMMYFUNCTION("""COMPUTED_VALUE"""),37.47)</f>
        <v>37.47</v>
      </c>
      <c r="F438" s="3">
        <f t="shared" si="1"/>
        <v>-0.01141049928</v>
      </c>
    </row>
    <row r="439">
      <c r="A439" s="6"/>
      <c r="D439" s="5">
        <f>IFERROR(__xludf.DUMMYFUNCTION("""COMPUTED_VALUE"""),42356.66666666667)</f>
        <v>42356.66667</v>
      </c>
      <c r="E439" s="3">
        <f>IFERROR(__xludf.DUMMYFUNCTION("""COMPUTED_VALUE"""),36.97)</f>
        <v>36.97</v>
      </c>
      <c r="F439" s="3">
        <f t="shared" si="1"/>
        <v>-0.01343383986</v>
      </c>
    </row>
    <row r="440">
      <c r="A440" s="6"/>
      <c r="D440" s="5">
        <f>IFERROR(__xludf.DUMMYFUNCTION("""COMPUTED_VALUE"""),42359.66666666667)</f>
        <v>42359.66667</v>
      </c>
      <c r="E440" s="3">
        <f>IFERROR(__xludf.DUMMYFUNCTION("""COMPUTED_VALUE"""),37.39)</f>
        <v>37.39</v>
      </c>
      <c r="F440" s="3">
        <f t="shared" si="1"/>
        <v>0.01129651604</v>
      </c>
    </row>
    <row r="441">
      <c r="A441" s="6"/>
      <c r="D441" s="5">
        <f>IFERROR(__xludf.DUMMYFUNCTION("""COMPUTED_VALUE"""),42360.66666666667)</f>
        <v>42360.66667</v>
      </c>
      <c r="E441" s="3">
        <f>IFERROR(__xludf.DUMMYFUNCTION("""COMPUTED_VALUE"""),37.5)</f>
        <v>37.5</v>
      </c>
      <c r="F441" s="3">
        <f t="shared" si="1"/>
        <v>0.002937643987</v>
      </c>
    </row>
    <row r="442">
      <c r="A442" s="6"/>
      <c r="D442" s="5">
        <f>IFERROR(__xludf.DUMMYFUNCTION("""COMPUTED_VALUE"""),42361.66666666667)</f>
        <v>42361.66667</v>
      </c>
      <c r="E442" s="3">
        <f>IFERROR(__xludf.DUMMYFUNCTION("""COMPUTED_VALUE"""),37.52)</f>
        <v>37.52</v>
      </c>
      <c r="F442" s="3">
        <f t="shared" si="1"/>
        <v>0.0005331911617</v>
      </c>
    </row>
    <row r="443">
      <c r="A443" s="6"/>
      <c r="D443" s="5">
        <f>IFERROR(__xludf.DUMMYFUNCTION("""COMPUTED_VALUE"""),42362.66666666667)</f>
        <v>42362.66667</v>
      </c>
      <c r="E443" s="3">
        <f>IFERROR(__xludf.DUMMYFUNCTION("""COMPUTED_VALUE"""),37.42)</f>
        <v>37.42</v>
      </c>
      <c r="F443" s="3">
        <f t="shared" si="1"/>
        <v>-0.002668803292</v>
      </c>
    </row>
    <row r="444">
      <c r="A444" s="6"/>
      <c r="D444" s="5">
        <f>IFERROR(__xludf.DUMMYFUNCTION("""COMPUTED_VALUE"""),42366.66666666667)</f>
        <v>42366.66667</v>
      </c>
      <c r="E444" s="3">
        <f>IFERROR(__xludf.DUMMYFUNCTION("""COMPUTED_VALUE"""),38.13)</f>
        <v>38.13</v>
      </c>
      <c r="F444" s="3">
        <f t="shared" si="1"/>
        <v>0.01879605302</v>
      </c>
    </row>
    <row r="445">
      <c r="A445" s="6"/>
      <c r="D445" s="5">
        <f>IFERROR(__xludf.DUMMYFUNCTION("""COMPUTED_VALUE"""),42367.66666666667)</f>
        <v>42367.66667</v>
      </c>
      <c r="E445" s="3">
        <f>IFERROR(__xludf.DUMMYFUNCTION("""COMPUTED_VALUE"""),38.83)</f>
        <v>38.83</v>
      </c>
      <c r="F445" s="3">
        <f t="shared" si="1"/>
        <v>0.01819176987</v>
      </c>
    </row>
    <row r="446">
      <c r="A446" s="6"/>
      <c r="D446" s="5">
        <f>IFERROR(__xludf.DUMMYFUNCTION("""COMPUTED_VALUE"""),42368.66666666667)</f>
        <v>42368.66667</v>
      </c>
      <c r="E446" s="3">
        <f>IFERROR(__xludf.DUMMYFUNCTION("""COMPUTED_VALUE"""),38.55)</f>
        <v>38.55</v>
      </c>
      <c r="F446" s="3">
        <f t="shared" si="1"/>
        <v>-0.007237043734</v>
      </c>
    </row>
    <row r="447">
      <c r="A447" s="6"/>
      <c r="D447" s="5">
        <f>IFERROR(__xludf.DUMMYFUNCTION("""COMPUTED_VALUE"""),42369.66666666667)</f>
        <v>42369.66667</v>
      </c>
      <c r="E447" s="3">
        <f>IFERROR(__xludf.DUMMYFUNCTION("""COMPUTED_VALUE"""),37.94)</f>
        <v>37.94</v>
      </c>
      <c r="F447" s="3">
        <f t="shared" si="1"/>
        <v>-0.0159501355</v>
      </c>
    </row>
    <row r="448">
      <c r="A448" s="6"/>
      <c r="D448" s="5">
        <f>IFERROR(__xludf.DUMMYFUNCTION("""COMPUTED_VALUE"""),42373.66666666667)</f>
        <v>42373.66667</v>
      </c>
      <c r="E448" s="3">
        <f>IFERROR(__xludf.DUMMYFUNCTION("""COMPUTED_VALUE"""),37.09)</f>
        <v>37.09</v>
      </c>
      <c r="F448" s="3">
        <f t="shared" si="1"/>
        <v>-0.02265857301</v>
      </c>
    </row>
    <row r="449">
      <c r="A449" s="6"/>
      <c r="D449" s="5">
        <f>IFERROR(__xludf.DUMMYFUNCTION("""COMPUTED_VALUE"""),42374.66666666667)</f>
        <v>42374.66667</v>
      </c>
      <c r="E449" s="3">
        <f>IFERROR(__xludf.DUMMYFUNCTION("""COMPUTED_VALUE"""),37.13)</f>
        <v>37.13</v>
      </c>
      <c r="F449" s="3">
        <f t="shared" si="1"/>
        <v>0.001077876687</v>
      </c>
    </row>
    <row r="450">
      <c r="A450" s="6"/>
      <c r="D450" s="5">
        <f>IFERROR(__xludf.DUMMYFUNCTION("""COMPUTED_VALUE"""),42375.66666666667)</f>
        <v>42375.66667</v>
      </c>
      <c r="E450" s="3">
        <f>IFERROR(__xludf.DUMMYFUNCTION("""COMPUTED_VALUE"""),37.18)</f>
        <v>37.18</v>
      </c>
      <c r="F450" s="3">
        <f t="shared" si="1"/>
        <v>0.001345714104</v>
      </c>
    </row>
    <row r="451">
      <c r="A451" s="6"/>
      <c r="D451" s="5">
        <f>IFERROR(__xludf.DUMMYFUNCTION("""COMPUTED_VALUE"""),42376.66666666667)</f>
        <v>42376.66667</v>
      </c>
      <c r="E451" s="3">
        <f>IFERROR(__xludf.DUMMYFUNCTION("""COMPUTED_VALUE"""),36.32)</f>
        <v>36.32</v>
      </c>
      <c r="F451" s="3">
        <f t="shared" si="1"/>
        <v>-0.02340242856</v>
      </c>
    </row>
    <row r="452">
      <c r="A452" s="6"/>
      <c r="D452" s="5">
        <f>IFERROR(__xludf.DUMMYFUNCTION("""COMPUTED_VALUE"""),42377.66666666667)</f>
        <v>42377.66667</v>
      </c>
      <c r="E452" s="3">
        <f>IFERROR(__xludf.DUMMYFUNCTION("""COMPUTED_VALUE"""),35.72)</f>
        <v>35.72</v>
      </c>
      <c r="F452" s="3">
        <f t="shared" si="1"/>
        <v>-0.01665779772</v>
      </c>
    </row>
    <row r="453">
      <c r="A453" s="6"/>
      <c r="D453" s="5">
        <f>IFERROR(__xludf.DUMMYFUNCTION("""COMPUTED_VALUE"""),42380.66666666667)</f>
        <v>42380.66667</v>
      </c>
      <c r="E453" s="3">
        <f>IFERROR(__xludf.DUMMYFUNCTION("""COMPUTED_VALUE"""),35.8)</f>
        <v>35.8</v>
      </c>
      <c r="F453" s="3">
        <f t="shared" si="1"/>
        <v>0.002237137398</v>
      </c>
    </row>
    <row r="454">
      <c r="A454" s="6"/>
      <c r="D454" s="5">
        <f>IFERROR(__xludf.DUMMYFUNCTION("""COMPUTED_VALUE"""),42381.66666666667)</f>
        <v>42381.66667</v>
      </c>
      <c r="E454" s="3">
        <f>IFERROR(__xludf.DUMMYFUNCTION("""COMPUTED_VALUE"""),36.3)</f>
        <v>36.3</v>
      </c>
      <c r="F454" s="3">
        <f t="shared" si="1"/>
        <v>0.01386984786</v>
      </c>
    </row>
    <row r="455">
      <c r="A455" s="6"/>
      <c r="D455" s="5">
        <f>IFERROR(__xludf.DUMMYFUNCTION("""COMPUTED_VALUE"""),42382.66666666667)</f>
        <v>42382.66667</v>
      </c>
      <c r="E455" s="3">
        <f>IFERROR(__xludf.DUMMYFUNCTION("""COMPUTED_VALUE"""),35.03)</f>
        <v>35.03</v>
      </c>
      <c r="F455" s="3">
        <f t="shared" si="1"/>
        <v>-0.03561290406</v>
      </c>
    </row>
    <row r="456">
      <c r="A456" s="6"/>
      <c r="D456" s="5">
        <f>IFERROR(__xludf.DUMMYFUNCTION("""COMPUTED_VALUE"""),42383.66666666667)</f>
        <v>42383.66667</v>
      </c>
      <c r="E456" s="3">
        <f>IFERROR(__xludf.DUMMYFUNCTION("""COMPUTED_VALUE"""),35.74)</f>
        <v>35.74</v>
      </c>
      <c r="F456" s="3">
        <f t="shared" si="1"/>
        <v>0.02006567252</v>
      </c>
    </row>
    <row r="457">
      <c r="A457" s="6"/>
      <c r="D457" s="5">
        <f>IFERROR(__xludf.DUMMYFUNCTION("""COMPUTED_VALUE"""),42384.66666666667)</f>
        <v>42384.66667</v>
      </c>
      <c r="E457" s="3">
        <f>IFERROR(__xludf.DUMMYFUNCTION("""COMPUTED_VALUE"""),34.72)</f>
        <v>34.72</v>
      </c>
      <c r="F457" s="3">
        <f t="shared" si="1"/>
        <v>-0.02895461994</v>
      </c>
    </row>
    <row r="458">
      <c r="A458" s="6"/>
      <c r="D458" s="5">
        <f>IFERROR(__xludf.DUMMYFUNCTION("""COMPUTED_VALUE"""),42388.66666666667)</f>
        <v>42388.66667</v>
      </c>
      <c r="E458" s="3">
        <f>IFERROR(__xludf.DUMMYFUNCTION("""COMPUTED_VALUE"""),35.09)</f>
        <v>35.09</v>
      </c>
      <c r="F458" s="3">
        <f t="shared" si="1"/>
        <v>0.0106002998</v>
      </c>
    </row>
    <row r="459">
      <c r="A459" s="6"/>
      <c r="D459" s="5">
        <f>IFERROR(__xludf.DUMMYFUNCTION("""COMPUTED_VALUE"""),42389.66666666667)</f>
        <v>42389.66667</v>
      </c>
      <c r="E459" s="3">
        <f>IFERROR(__xludf.DUMMYFUNCTION("""COMPUTED_VALUE"""),34.92)</f>
        <v>34.92</v>
      </c>
      <c r="F459" s="3">
        <f t="shared" si="1"/>
        <v>-0.004856458624</v>
      </c>
    </row>
    <row r="460">
      <c r="A460" s="6"/>
      <c r="D460" s="5">
        <f>IFERROR(__xludf.DUMMYFUNCTION("""COMPUTED_VALUE"""),42390.66666666667)</f>
        <v>42390.66667</v>
      </c>
      <c r="E460" s="3">
        <f>IFERROR(__xludf.DUMMYFUNCTION("""COMPUTED_VALUE"""),35.33)</f>
        <v>35.33</v>
      </c>
      <c r="F460" s="3">
        <f t="shared" si="1"/>
        <v>0.0116727304</v>
      </c>
    </row>
    <row r="461">
      <c r="A461" s="6"/>
      <c r="D461" s="5">
        <f>IFERROR(__xludf.DUMMYFUNCTION("""COMPUTED_VALUE"""),42391.66666666667)</f>
        <v>42391.66667</v>
      </c>
      <c r="E461" s="3">
        <f>IFERROR(__xludf.DUMMYFUNCTION("""COMPUTED_VALUE"""),36.26)</f>
        <v>36.26</v>
      </c>
      <c r="F461" s="3">
        <f t="shared" si="1"/>
        <v>0.02598274396</v>
      </c>
    </row>
    <row r="462">
      <c r="A462" s="6"/>
      <c r="D462" s="5">
        <f>IFERROR(__xludf.DUMMYFUNCTION("""COMPUTED_VALUE"""),42394.66666666667)</f>
        <v>42394.66667</v>
      </c>
      <c r="E462" s="3">
        <f>IFERROR(__xludf.DUMMYFUNCTION("""COMPUTED_VALUE"""),35.58)</f>
        <v>35.58</v>
      </c>
      <c r="F462" s="3">
        <f t="shared" si="1"/>
        <v>-0.01893152309</v>
      </c>
    </row>
    <row r="463">
      <c r="A463" s="6"/>
      <c r="D463" s="5">
        <f>IFERROR(__xludf.DUMMYFUNCTION("""COMPUTED_VALUE"""),42395.66666666667)</f>
        <v>42395.66667</v>
      </c>
      <c r="E463" s="3">
        <f>IFERROR(__xludf.DUMMYFUNCTION("""COMPUTED_VALUE"""),35.65)</f>
        <v>35.65</v>
      </c>
      <c r="F463" s="3">
        <f t="shared" si="1"/>
        <v>0.001965464623</v>
      </c>
    </row>
    <row r="464">
      <c r="A464" s="6"/>
      <c r="D464" s="5">
        <f>IFERROR(__xludf.DUMMYFUNCTION("""COMPUTED_VALUE"""),42396.66666666667)</f>
        <v>42396.66667</v>
      </c>
      <c r="E464" s="3">
        <f>IFERROR(__xludf.DUMMYFUNCTION("""COMPUTED_VALUE"""),35.0)</f>
        <v>35</v>
      </c>
      <c r="F464" s="3">
        <f t="shared" si="1"/>
        <v>-0.01840108537</v>
      </c>
    </row>
    <row r="465">
      <c r="A465" s="6"/>
      <c r="D465" s="5">
        <f>IFERROR(__xludf.DUMMYFUNCTION("""COMPUTED_VALUE"""),42397.66666666667)</f>
        <v>42397.66667</v>
      </c>
      <c r="E465" s="3">
        <f>IFERROR(__xludf.DUMMYFUNCTION("""COMPUTED_VALUE"""),36.55)</f>
        <v>36.55</v>
      </c>
      <c r="F465" s="3">
        <f t="shared" si="1"/>
        <v>0.04333312471</v>
      </c>
    </row>
    <row r="466">
      <c r="A466" s="6"/>
      <c r="D466" s="5">
        <f>IFERROR(__xludf.DUMMYFUNCTION("""COMPUTED_VALUE"""),42398.66666666667)</f>
        <v>42398.66667</v>
      </c>
      <c r="E466" s="3">
        <f>IFERROR(__xludf.DUMMYFUNCTION("""COMPUTED_VALUE"""),37.15)</f>
        <v>37.15</v>
      </c>
      <c r="F466" s="3">
        <f t="shared" si="1"/>
        <v>0.01628258497</v>
      </c>
    </row>
    <row r="467">
      <c r="A467" s="6"/>
      <c r="D467" s="5">
        <f>IFERROR(__xludf.DUMMYFUNCTION("""COMPUTED_VALUE"""),42401.66666666667)</f>
        <v>42401.66667</v>
      </c>
      <c r="E467" s="3">
        <f>IFERROR(__xludf.DUMMYFUNCTION("""COMPUTED_VALUE"""),37.6)</f>
        <v>37.6</v>
      </c>
      <c r="F467" s="3">
        <f t="shared" si="1"/>
        <v>0.01204027923</v>
      </c>
    </row>
    <row r="468">
      <c r="A468" s="6"/>
      <c r="D468" s="5">
        <f>IFERROR(__xludf.DUMMYFUNCTION("""COMPUTED_VALUE"""),42402.66666666667)</f>
        <v>42402.66667</v>
      </c>
      <c r="E468" s="3">
        <f>IFERROR(__xludf.DUMMYFUNCTION("""COMPUTED_VALUE"""),38.23)</f>
        <v>38.23</v>
      </c>
      <c r="F468" s="3">
        <f t="shared" si="1"/>
        <v>0.01661649731</v>
      </c>
    </row>
    <row r="469">
      <c r="A469" s="6"/>
      <c r="D469" s="5">
        <f>IFERROR(__xludf.DUMMYFUNCTION("""COMPUTED_VALUE"""),42403.66666666667)</f>
        <v>42403.66667</v>
      </c>
      <c r="E469" s="3">
        <f>IFERROR(__xludf.DUMMYFUNCTION("""COMPUTED_VALUE"""),36.35)</f>
        <v>36.35</v>
      </c>
      <c r="F469" s="3">
        <f t="shared" si="1"/>
        <v>-0.05042634373</v>
      </c>
    </row>
    <row r="470">
      <c r="A470" s="6"/>
      <c r="D470" s="5">
        <f>IFERROR(__xludf.DUMMYFUNCTION("""COMPUTED_VALUE"""),42404.66666666667)</f>
        <v>42404.66667</v>
      </c>
      <c r="E470" s="3">
        <f>IFERROR(__xludf.DUMMYFUNCTION("""COMPUTED_VALUE"""),35.4)</f>
        <v>35.4</v>
      </c>
      <c r="F470" s="3">
        <f t="shared" si="1"/>
        <v>-0.02648238384</v>
      </c>
    </row>
    <row r="471">
      <c r="A471" s="6"/>
      <c r="D471" s="5">
        <f>IFERROR(__xludf.DUMMYFUNCTION("""COMPUTED_VALUE"""),42405.66666666667)</f>
        <v>42405.66667</v>
      </c>
      <c r="E471" s="3">
        <f>IFERROR(__xludf.DUMMYFUNCTION("""COMPUTED_VALUE"""),34.18)</f>
        <v>34.18</v>
      </c>
      <c r="F471" s="3">
        <f t="shared" si="1"/>
        <v>-0.03507114245</v>
      </c>
    </row>
    <row r="472">
      <c r="A472" s="6"/>
      <c r="D472" s="5">
        <f>IFERROR(__xludf.DUMMYFUNCTION("""COMPUTED_VALUE"""),42408.66666666667)</f>
        <v>42408.66667</v>
      </c>
      <c r="E472" s="3">
        <f>IFERROR(__xludf.DUMMYFUNCTION("""COMPUTED_VALUE"""),34.14)</f>
        <v>34.14</v>
      </c>
      <c r="F472" s="3">
        <f t="shared" si="1"/>
        <v>-0.001170960321</v>
      </c>
    </row>
    <row r="473">
      <c r="A473" s="6"/>
      <c r="D473" s="5">
        <f>IFERROR(__xludf.DUMMYFUNCTION("""COMPUTED_VALUE"""),42409.66666666667)</f>
        <v>42409.66667</v>
      </c>
      <c r="E473" s="3">
        <f>IFERROR(__xludf.DUMMYFUNCTION("""COMPUTED_VALUE"""),33.91)</f>
        <v>33.91</v>
      </c>
      <c r="F473" s="3">
        <f t="shared" si="1"/>
        <v>-0.006759761229</v>
      </c>
    </row>
    <row r="474">
      <c r="A474" s="6"/>
      <c r="D474" s="5">
        <f>IFERROR(__xludf.DUMMYFUNCTION("""COMPUTED_VALUE"""),42410.66666666667)</f>
        <v>42410.66667</v>
      </c>
      <c r="E474" s="3">
        <f>IFERROR(__xludf.DUMMYFUNCTION("""COMPUTED_VALUE"""),34.21)</f>
        <v>34.21</v>
      </c>
      <c r="F474" s="3">
        <f t="shared" si="1"/>
        <v>0.008808042852</v>
      </c>
    </row>
    <row r="475">
      <c r="A475" s="6"/>
      <c r="D475" s="5">
        <f>IFERROR(__xludf.DUMMYFUNCTION("""COMPUTED_VALUE"""),42411.66666666667)</f>
        <v>42411.66667</v>
      </c>
      <c r="E475" s="3">
        <f>IFERROR(__xludf.DUMMYFUNCTION("""COMPUTED_VALUE"""),34.16)</f>
        <v>34.16</v>
      </c>
      <c r="F475" s="3">
        <f t="shared" si="1"/>
        <v>-0.001462630069</v>
      </c>
    </row>
    <row r="476">
      <c r="A476" s="6"/>
      <c r="D476" s="5">
        <f>IFERROR(__xludf.DUMMYFUNCTION("""COMPUTED_VALUE"""),42412.66666666667)</f>
        <v>42412.66667</v>
      </c>
      <c r="E476" s="3">
        <f>IFERROR(__xludf.DUMMYFUNCTION("""COMPUTED_VALUE"""),34.12)</f>
        <v>34.12</v>
      </c>
      <c r="F476" s="3">
        <f t="shared" si="1"/>
        <v>-0.001171646297</v>
      </c>
    </row>
    <row r="477">
      <c r="A477" s="6"/>
      <c r="D477" s="5">
        <f>IFERROR(__xludf.DUMMYFUNCTION("""COMPUTED_VALUE"""),42416.66666666667)</f>
        <v>42416.66667</v>
      </c>
      <c r="E477" s="3">
        <f>IFERROR(__xludf.DUMMYFUNCTION("""COMPUTED_VALUE"""),34.55)</f>
        <v>34.55</v>
      </c>
      <c r="F477" s="3">
        <f t="shared" si="1"/>
        <v>0.01252382759</v>
      </c>
    </row>
    <row r="478">
      <c r="A478" s="6"/>
      <c r="D478" s="5">
        <f>IFERROR(__xludf.DUMMYFUNCTION("""COMPUTED_VALUE"""),42417.66666666667)</f>
        <v>42417.66667</v>
      </c>
      <c r="E478" s="3">
        <f>IFERROR(__xludf.DUMMYFUNCTION("""COMPUTED_VALUE"""),35.42)</f>
        <v>35.42</v>
      </c>
      <c r="F478" s="3">
        <f t="shared" si="1"/>
        <v>0.02486908214</v>
      </c>
    </row>
    <row r="479">
      <c r="A479" s="6"/>
      <c r="D479" s="5">
        <f>IFERROR(__xludf.DUMMYFUNCTION("""COMPUTED_VALUE"""),42418.66666666667)</f>
        <v>42418.66667</v>
      </c>
      <c r="E479" s="3">
        <f>IFERROR(__xludf.DUMMYFUNCTION("""COMPUTED_VALUE"""),34.87)</f>
        <v>34.87</v>
      </c>
      <c r="F479" s="3">
        <f t="shared" si="1"/>
        <v>-0.01564977167</v>
      </c>
    </row>
    <row r="480">
      <c r="A480" s="6"/>
      <c r="D480" s="5">
        <f>IFERROR(__xludf.DUMMYFUNCTION("""COMPUTED_VALUE"""),42419.66666666667)</f>
        <v>42419.66667</v>
      </c>
      <c r="E480" s="3">
        <f>IFERROR(__xludf.DUMMYFUNCTION("""COMPUTED_VALUE"""),35.05)</f>
        <v>35.05</v>
      </c>
      <c r="F480" s="3">
        <f t="shared" si="1"/>
        <v>0.005148752793</v>
      </c>
    </row>
    <row r="481">
      <c r="A481" s="6"/>
      <c r="D481" s="5">
        <f>IFERROR(__xludf.DUMMYFUNCTION("""COMPUTED_VALUE"""),42422.66666666667)</f>
        <v>42422.66667</v>
      </c>
      <c r="E481" s="3">
        <f>IFERROR(__xludf.DUMMYFUNCTION("""COMPUTED_VALUE"""),35.32)</f>
        <v>35.32</v>
      </c>
      <c r="F481" s="3">
        <f t="shared" si="1"/>
        <v>0.007673762255</v>
      </c>
    </row>
    <row r="482">
      <c r="A482" s="6"/>
      <c r="D482" s="5">
        <f>IFERROR(__xludf.DUMMYFUNCTION("""COMPUTED_VALUE"""),42423.66666666667)</f>
        <v>42423.66667</v>
      </c>
      <c r="E482" s="3">
        <f>IFERROR(__xludf.DUMMYFUNCTION("""COMPUTED_VALUE"""),34.79)</f>
        <v>34.79</v>
      </c>
      <c r="F482" s="3">
        <f t="shared" si="1"/>
        <v>-0.01511938657</v>
      </c>
    </row>
    <row r="483">
      <c r="A483" s="6"/>
      <c r="D483" s="5">
        <f>IFERROR(__xludf.DUMMYFUNCTION("""COMPUTED_VALUE"""),42424.66666666667)</f>
        <v>42424.66667</v>
      </c>
      <c r="E483" s="3">
        <f>IFERROR(__xludf.DUMMYFUNCTION("""COMPUTED_VALUE"""),34.98)</f>
        <v>34.98</v>
      </c>
      <c r="F483" s="3">
        <f t="shared" si="1"/>
        <v>0.005446480427</v>
      </c>
    </row>
    <row r="484">
      <c r="A484" s="6"/>
      <c r="D484" s="5">
        <f>IFERROR(__xludf.DUMMYFUNCTION("""COMPUTED_VALUE"""),42425.66666666667)</f>
        <v>42425.66667</v>
      </c>
      <c r="E484" s="3">
        <f>IFERROR(__xludf.DUMMYFUNCTION("""COMPUTED_VALUE"""),35.29)</f>
        <v>35.29</v>
      </c>
      <c r="F484" s="3">
        <f t="shared" si="1"/>
        <v>0.008823168097</v>
      </c>
    </row>
    <row r="485">
      <c r="A485" s="6"/>
      <c r="D485" s="5">
        <f>IFERROR(__xludf.DUMMYFUNCTION("""COMPUTED_VALUE"""),42426.66666666667)</f>
        <v>42426.66667</v>
      </c>
      <c r="E485" s="3">
        <f>IFERROR(__xludf.DUMMYFUNCTION("""COMPUTED_VALUE"""),35.25)</f>
        <v>35.25</v>
      </c>
      <c r="F485" s="3">
        <f t="shared" si="1"/>
        <v>-0.001134108429</v>
      </c>
    </row>
    <row r="486">
      <c r="A486" s="6"/>
      <c r="D486" s="5">
        <f>IFERROR(__xludf.DUMMYFUNCTION("""COMPUTED_VALUE"""),42429.66666666667)</f>
        <v>42429.66667</v>
      </c>
      <c r="E486" s="3">
        <f>IFERROR(__xludf.DUMMYFUNCTION("""COMPUTED_VALUE"""),34.89)</f>
        <v>34.89</v>
      </c>
      <c r="F486" s="3">
        <f t="shared" si="1"/>
        <v>-0.01026527406</v>
      </c>
    </row>
    <row r="487">
      <c r="A487" s="6"/>
      <c r="D487" s="5">
        <f>IFERROR(__xludf.DUMMYFUNCTION("""COMPUTED_VALUE"""),42430.66666666667)</f>
        <v>42430.66667</v>
      </c>
      <c r="E487" s="3">
        <f>IFERROR(__xludf.DUMMYFUNCTION("""COMPUTED_VALUE"""),35.94)</f>
        <v>35.94</v>
      </c>
      <c r="F487" s="3">
        <f t="shared" si="1"/>
        <v>0.02965062616</v>
      </c>
    </row>
    <row r="488">
      <c r="A488" s="6"/>
      <c r="D488" s="5">
        <f>IFERROR(__xludf.DUMMYFUNCTION("""COMPUTED_VALUE"""),42431.66666666667)</f>
        <v>42431.66667</v>
      </c>
      <c r="E488" s="3">
        <f>IFERROR(__xludf.DUMMYFUNCTION("""COMPUTED_VALUE"""),35.94)</f>
        <v>35.94</v>
      </c>
      <c r="F488" s="3">
        <f t="shared" si="1"/>
        <v>0</v>
      </c>
    </row>
    <row r="489">
      <c r="A489" s="6"/>
      <c r="D489" s="5">
        <f>IFERROR(__xludf.DUMMYFUNCTION("""COMPUTED_VALUE"""),42432.66666666667)</f>
        <v>42432.66667</v>
      </c>
      <c r="E489" s="3">
        <f>IFERROR(__xludf.DUMMYFUNCTION("""COMPUTED_VALUE"""),35.62)</f>
        <v>35.62</v>
      </c>
      <c r="F489" s="3">
        <f t="shared" si="1"/>
        <v>-0.008943603494</v>
      </c>
    </row>
    <row r="490">
      <c r="A490" s="6"/>
      <c r="D490" s="5">
        <f>IFERROR(__xludf.DUMMYFUNCTION("""COMPUTED_VALUE"""),42433.66666666667)</f>
        <v>42433.66667</v>
      </c>
      <c r="E490" s="3">
        <f>IFERROR(__xludf.DUMMYFUNCTION("""COMPUTED_VALUE"""),35.54)</f>
        <v>35.54</v>
      </c>
      <c r="F490" s="3">
        <f t="shared" si="1"/>
        <v>-0.002248455135</v>
      </c>
    </row>
    <row r="491">
      <c r="A491" s="6"/>
      <c r="D491" s="5">
        <f>IFERROR(__xludf.DUMMYFUNCTION("""COMPUTED_VALUE"""),42436.66666666667)</f>
        <v>42436.66667</v>
      </c>
      <c r="E491" s="3">
        <f>IFERROR(__xludf.DUMMYFUNCTION("""COMPUTED_VALUE"""),34.76)</f>
        <v>34.76</v>
      </c>
      <c r="F491" s="3">
        <f t="shared" si="1"/>
        <v>-0.02219152233</v>
      </c>
    </row>
    <row r="492">
      <c r="A492" s="6"/>
      <c r="D492" s="5">
        <f>IFERROR(__xludf.DUMMYFUNCTION("""COMPUTED_VALUE"""),42437.66666666667)</f>
        <v>42437.66667</v>
      </c>
      <c r="E492" s="3">
        <f>IFERROR(__xludf.DUMMYFUNCTION("""COMPUTED_VALUE"""),34.7)</f>
        <v>34.7</v>
      </c>
      <c r="F492" s="3">
        <f t="shared" si="1"/>
        <v>-0.001727613444</v>
      </c>
    </row>
    <row r="493">
      <c r="A493" s="6"/>
      <c r="D493" s="5">
        <f>IFERROR(__xludf.DUMMYFUNCTION("""COMPUTED_VALUE"""),42438.66666666667)</f>
        <v>42438.66667</v>
      </c>
      <c r="E493" s="3">
        <f>IFERROR(__xludf.DUMMYFUNCTION("""COMPUTED_VALUE"""),35.26)</f>
        <v>35.26</v>
      </c>
      <c r="F493" s="3">
        <f t="shared" si="1"/>
        <v>0.01600949002</v>
      </c>
    </row>
    <row r="494">
      <c r="A494" s="6"/>
      <c r="D494" s="5">
        <f>IFERROR(__xludf.DUMMYFUNCTION("""COMPUTED_VALUE"""),42439.66666666667)</f>
        <v>42439.66667</v>
      </c>
      <c r="E494" s="3">
        <f>IFERROR(__xludf.DUMMYFUNCTION("""COMPUTED_VALUE"""),35.64)</f>
        <v>35.64</v>
      </c>
      <c r="F494" s="3">
        <f t="shared" si="1"/>
        <v>0.01071942563</v>
      </c>
    </row>
    <row r="495">
      <c r="A495" s="6"/>
      <c r="D495" s="5">
        <f>IFERROR(__xludf.DUMMYFUNCTION("""COMPUTED_VALUE"""),42440.66666666667)</f>
        <v>42440.66667</v>
      </c>
      <c r="E495" s="3">
        <f>IFERROR(__xludf.DUMMYFUNCTION("""COMPUTED_VALUE"""),36.34)</f>
        <v>36.34</v>
      </c>
      <c r="F495" s="3">
        <f t="shared" si="1"/>
        <v>0.01945046037</v>
      </c>
    </row>
    <row r="496">
      <c r="A496" s="6"/>
      <c r="D496" s="5">
        <f>IFERROR(__xludf.DUMMYFUNCTION("""COMPUTED_VALUE"""),42443.66666666667)</f>
        <v>42443.66667</v>
      </c>
      <c r="E496" s="3">
        <f>IFERROR(__xludf.DUMMYFUNCTION("""COMPUTED_VALUE"""),36.52)</f>
        <v>36.52</v>
      </c>
      <c r="F496" s="3">
        <f t="shared" si="1"/>
        <v>0.004940992759</v>
      </c>
    </row>
    <row r="497">
      <c r="A497" s="6"/>
      <c r="D497" s="5">
        <f>IFERROR(__xludf.DUMMYFUNCTION("""COMPUTED_VALUE"""),42444.66666666667)</f>
        <v>42444.66667</v>
      </c>
      <c r="E497" s="3">
        <f>IFERROR(__xludf.DUMMYFUNCTION("""COMPUTED_VALUE"""),36.42)</f>
        <v>36.42</v>
      </c>
      <c r="F497" s="3">
        <f t="shared" si="1"/>
        <v>-0.002741981427</v>
      </c>
    </row>
    <row r="498">
      <c r="A498" s="6"/>
      <c r="D498" s="5">
        <f>IFERROR(__xludf.DUMMYFUNCTION("""COMPUTED_VALUE"""),42445.66666666667)</f>
        <v>42445.66667</v>
      </c>
      <c r="E498" s="3">
        <f>IFERROR(__xludf.DUMMYFUNCTION("""COMPUTED_VALUE"""),36.8)</f>
        <v>36.8</v>
      </c>
      <c r="F498" s="3">
        <f t="shared" si="1"/>
        <v>0.01037977088</v>
      </c>
    </row>
    <row r="499">
      <c r="A499" s="6"/>
      <c r="D499" s="5">
        <f>IFERROR(__xludf.DUMMYFUNCTION("""COMPUTED_VALUE"""),42446.66666666667)</f>
        <v>42446.66667</v>
      </c>
      <c r="E499" s="3">
        <f>IFERROR(__xludf.DUMMYFUNCTION("""COMPUTED_VALUE"""),36.89)</f>
        <v>36.89</v>
      </c>
      <c r="F499" s="3">
        <f t="shared" si="1"/>
        <v>0.002442666434</v>
      </c>
    </row>
    <row r="500">
      <c r="A500" s="6"/>
      <c r="D500" s="5">
        <f>IFERROR(__xludf.DUMMYFUNCTION("""COMPUTED_VALUE"""),42447.66666666667)</f>
        <v>42447.66667</v>
      </c>
      <c r="E500" s="3">
        <f>IFERROR(__xludf.DUMMYFUNCTION("""COMPUTED_VALUE"""),36.88)</f>
        <v>36.88</v>
      </c>
      <c r="F500" s="3">
        <f t="shared" si="1"/>
        <v>-0.0002711129202</v>
      </c>
    </row>
    <row r="501">
      <c r="A501" s="6"/>
      <c r="D501" s="5">
        <f>IFERROR(__xludf.DUMMYFUNCTION("""COMPUTED_VALUE"""),42450.66666666667)</f>
        <v>42450.66667</v>
      </c>
      <c r="E501" s="3">
        <f>IFERROR(__xludf.DUMMYFUNCTION("""COMPUTED_VALUE"""),37.1)</f>
        <v>37.1</v>
      </c>
      <c r="F501" s="3">
        <f t="shared" si="1"/>
        <v>0.005947570925</v>
      </c>
    </row>
    <row r="502">
      <c r="A502" s="6"/>
      <c r="D502" s="5">
        <f>IFERROR(__xludf.DUMMYFUNCTION("""COMPUTED_VALUE"""),42451.66666666667)</f>
        <v>42451.66667</v>
      </c>
      <c r="E502" s="3">
        <f>IFERROR(__xludf.DUMMYFUNCTION("""COMPUTED_VALUE"""),37.04)</f>
        <v>37.04</v>
      </c>
      <c r="F502" s="3">
        <f t="shared" si="1"/>
        <v>-0.001618559835</v>
      </c>
    </row>
    <row r="503">
      <c r="A503" s="6"/>
      <c r="D503" s="5">
        <f>IFERROR(__xludf.DUMMYFUNCTION("""COMPUTED_VALUE"""),42452.66666666667)</f>
        <v>42452.66667</v>
      </c>
      <c r="E503" s="3">
        <f>IFERROR(__xludf.DUMMYFUNCTION("""COMPUTED_VALUE"""),36.9)</f>
        <v>36.9</v>
      </c>
      <c r="F503" s="3">
        <f t="shared" si="1"/>
        <v>-0.003786858731</v>
      </c>
    </row>
    <row r="504">
      <c r="A504" s="6"/>
      <c r="D504" s="5">
        <f>IFERROR(__xludf.DUMMYFUNCTION("""COMPUTED_VALUE"""),42453.66666666667)</f>
        <v>42453.66667</v>
      </c>
      <c r="E504" s="3">
        <f>IFERROR(__xludf.DUMMYFUNCTION("""COMPUTED_VALUE"""),36.77)</f>
        <v>36.77</v>
      </c>
      <c r="F504" s="3">
        <f t="shared" si="1"/>
        <v>-0.003529255733</v>
      </c>
    </row>
    <row r="505">
      <c r="A505" s="6"/>
      <c r="D505" s="5">
        <f>IFERROR(__xludf.DUMMYFUNCTION("""COMPUTED_VALUE"""),42457.66666666667)</f>
        <v>42457.66667</v>
      </c>
      <c r="E505" s="3">
        <f>IFERROR(__xludf.DUMMYFUNCTION("""COMPUTED_VALUE"""),36.68)</f>
        <v>36.68</v>
      </c>
      <c r="F505" s="3">
        <f t="shared" si="1"/>
        <v>-0.002450647925</v>
      </c>
    </row>
    <row r="506">
      <c r="A506" s="6"/>
      <c r="D506" s="5">
        <f>IFERROR(__xludf.DUMMYFUNCTION("""COMPUTED_VALUE"""),42458.66666666667)</f>
        <v>42458.66667</v>
      </c>
      <c r="E506" s="3">
        <f>IFERROR(__xludf.DUMMYFUNCTION("""COMPUTED_VALUE"""),37.24)</f>
        <v>37.24</v>
      </c>
      <c r="F506" s="3">
        <f t="shared" si="1"/>
        <v>0.01515180502</v>
      </c>
    </row>
    <row r="507">
      <c r="A507" s="6"/>
      <c r="D507" s="5">
        <f>IFERROR(__xludf.DUMMYFUNCTION("""COMPUTED_VALUE"""),42459.66666666667)</f>
        <v>42459.66667</v>
      </c>
      <c r="E507" s="3">
        <f>IFERROR(__xludf.DUMMYFUNCTION("""COMPUTED_VALUE"""),37.53)</f>
        <v>37.53</v>
      </c>
      <c r="F507" s="3">
        <f t="shared" si="1"/>
        <v>0.007757160738</v>
      </c>
    </row>
    <row r="508">
      <c r="A508" s="6"/>
      <c r="D508" s="5">
        <f>IFERROR(__xludf.DUMMYFUNCTION("""COMPUTED_VALUE"""),42460.66666666667)</f>
        <v>42460.66667</v>
      </c>
      <c r="E508" s="3">
        <f>IFERROR(__xludf.DUMMYFUNCTION("""COMPUTED_VALUE"""),37.25)</f>
        <v>37.25</v>
      </c>
      <c r="F508" s="3">
        <f t="shared" si="1"/>
        <v>-0.007488668321</v>
      </c>
    </row>
    <row r="509">
      <c r="A509" s="6"/>
      <c r="D509" s="5">
        <f>IFERROR(__xludf.DUMMYFUNCTION("""COMPUTED_VALUE"""),42461.66666666667)</f>
        <v>42461.66667</v>
      </c>
      <c r="E509" s="3">
        <f>IFERROR(__xludf.DUMMYFUNCTION("""COMPUTED_VALUE"""),37.5)</f>
        <v>37.5</v>
      </c>
      <c r="F509" s="3">
        <f t="shared" si="1"/>
        <v>0.006688988151</v>
      </c>
    </row>
    <row r="510">
      <c r="A510" s="6"/>
      <c r="D510" s="5">
        <f>IFERROR(__xludf.DUMMYFUNCTION("""COMPUTED_VALUE"""),42464.66666666667)</f>
        <v>42464.66667</v>
      </c>
      <c r="E510" s="3">
        <f>IFERROR(__xludf.DUMMYFUNCTION("""COMPUTED_VALUE"""),37.26)</f>
        <v>37.26</v>
      </c>
      <c r="F510" s="3">
        <f t="shared" si="1"/>
        <v>-0.006420567803</v>
      </c>
    </row>
    <row r="511">
      <c r="A511" s="6"/>
      <c r="D511" s="5">
        <f>IFERROR(__xludf.DUMMYFUNCTION("""COMPUTED_VALUE"""),42465.66666666667)</f>
        <v>42465.66667</v>
      </c>
      <c r="E511" s="3">
        <f>IFERROR(__xludf.DUMMYFUNCTION("""COMPUTED_VALUE"""),36.89)</f>
        <v>36.89</v>
      </c>
      <c r="F511" s="3">
        <f t="shared" si="1"/>
        <v>-0.009979853565</v>
      </c>
    </row>
    <row r="512">
      <c r="A512" s="6"/>
      <c r="D512" s="5">
        <f>IFERROR(__xludf.DUMMYFUNCTION("""COMPUTED_VALUE"""),42466.66666666667)</f>
        <v>42466.66667</v>
      </c>
      <c r="E512" s="3">
        <f>IFERROR(__xludf.DUMMYFUNCTION("""COMPUTED_VALUE"""),37.28)</f>
        <v>37.28</v>
      </c>
      <c r="F512" s="3">
        <f t="shared" si="1"/>
        <v>0.01051647821</v>
      </c>
    </row>
    <row r="513">
      <c r="A513" s="6"/>
      <c r="D513" s="5">
        <f>IFERROR(__xludf.DUMMYFUNCTION("""COMPUTED_VALUE"""),42467.66666666667)</f>
        <v>42467.66667</v>
      </c>
      <c r="E513" s="3">
        <f>IFERROR(__xludf.DUMMYFUNCTION("""COMPUTED_VALUE"""),37.01)</f>
        <v>37.01</v>
      </c>
      <c r="F513" s="3">
        <f t="shared" si="1"/>
        <v>-0.007268843419</v>
      </c>
    </row>
    <row r="514">
      <c r="A514" s="6"/>
      <c r="D514" s="5">
        <f>IFERROR(__xludf.DUMMYFUNCTION("""COMPUTED_VALUE"""),42468.66666666667)</f>
        <v>42468.66667</v>
      </c>
      <c r="E514" s="3">
        <f>IFERROR(__xludf.DUMMYFUNCTION("""COMPUTED_VALUE"""),36.96)</f>
        <v>36.96</v>
      </c>
      <c r="F514" s="3">
        <f t="shared" si="1"/>
        <v>-0.001351899625</v>
      </c>
    </row>
    <row r="515">
      <c r="A515" s="6"/>
      <c r="D515" s="5">
        <f>IFERROR(__xludf.DUMMYFUNCTION("""COMPUTED_VALUE"""),42471.66666666667)</f>
        <v>42471.66667</v>
      </c>
      <c r="E515" s="3">
        <f>IFERROR(__xludf.DUMMYFUNCTION("""COMPUTED_VALUE"""),36.81)</f>
        <v>36.81</v>
      </c>
      <c r="F515" s="3">
        <f t="shared" si="1"/>
        <v>-0.004066699383</v>
      </c>
    </row>
    <row r="516">
      <c r="A516" s="6"/>
      <c r="D516" s="5">
        <f>IFERROR(__xludf.DUMMYFUNCTION("""COMPUTED_VALUE"""),42472.66666666667)</f>
        <v>42472.66667</v>
      </c>
      <c r="E516" s="3">
        <f>IFERROR(__xludf.DUMMYFUNCTION("""COMPUTED_VALUE"""),37.15)</f>
        <v>37.15</v>
      </c>
      <c r="F516" s="3">
        <f t="shared" si="1"/>
        <v>0.009194223773</v>
      </c>
    </row>
    <row r="517">
      <c r="A517" s="6"/>
      <c r="D517" s="5">
        <f>IFERROR(__xludf.DUMMYFUNCTION("""COMPUTED_VALUE"""),42473.66666666667)</f>
        <v>42473.66667</v>
      </c>
      <c r="E517" s="3">
        <f>IFERROR(__xludf.DUMMYFUNCTION("""COMPUTED_VALUE"""),37.59)</f>
        <v>37.59</v>
      </c>
      <c r="F517" s="3">
        <f t="shared" si="1"/>
        <v>0.01177428641</v>
      </c>
    </row>
    <row r="518">
      <c r="A518" s="6"/>
      <c r="D518" s="5">
        <f>IFERROR(__xludf.DUMMYFUNCTION("""COMPUTED_VALUE"""),42474.66666666667)</f>
        <v>42474.66667</v>
      </c>
      <c r="E518" s="3">
        <f>IFERROR(__xludf.DUMMYFUNCTION("""COMPUTED_VALUE"""),37.66)</f>
        <v>37.66</v>
      </c>
      <c r="F518" s="3">
        <f t="shared" si="1"/>
        <v>0.001860465653</v>
      </c>
    </row>
    <row r="519">
      <c r="A519" s="6"/>
      <c r="D519" s="5">
        <f>IFERROR(__xludf.DUMMYFUNCTION("""COMPUTED_VALUE"""),42475.66666666667)</f>
        <v>42475.66667</v>
      </c>
      <c r="E519" s="3">
        <f>IFERROR(__xludf.DUMMYFUNCTION("""COMPUTED_VALUE"""),37.95)</f>
        <v>37.95</v>
      </c>
      <c r="F519" s="3">
        <f t="shared" si="1"/>
        <v>0.007670980613</v>
      </c>
    </row>
    <row r="520">
      <c r="A520" s="6"/>
      <c r="D520" s="5">
        <f>IFERROR(__xludf.DUMMYFUNCTION("""COMPUTED_VALUE"""),42478.66666666667)</f>
        <v>42478.66667</v>
      </c>
      <c r="E520" s="3">
        <f>IFERROR(__xludf.DUMMYFUNCTION("""COMPUTED_VALUE"""),38.33)</f>
        <v>38.33</v>
      </c>
      <c r="F520" s="3">
        <f t="shared" si="1"/>
        <v>0.009963375551</v>
      </c>
    </row>
    <row r="521">
      <c r="A521" s="6"/>
      <c r="D521" s="5">
        <f>IFERROR(__xludf.DUMMYFUNCTION("""COMPUTED_VALUE"""),42479.66666666667)</f>
        <v>42479.66667</v>
      </c>
      <c r="E521" s="3">
        <f>IFERROR(__xludf.DUMMYFUNCTION("""COMPUTED_VALUE"""),37.7)</f>
        <v>37.7</v>
      </c>
      <c r="F521" s="3">
        <f t="shared" si="1"/>
        <v>-0.01657278494</v>
      </c>
    </row>
    <row r="522">
      <c r="A522" s="6"/>
      <c r="D522" s="5">
        <f>IFERROR(__xludf.DUMMYFUNCTION("""COMPUTED_VALUE"""),42480.66666666667)</f>
        <v>42480.66667</v>
      </c>
      <c r="E522" s="3">
        <f>IFERROR(__xludf.DUMMYFUNCTION("""COMPUTED_VALUE"""),37.63)</f>
        <v>37.63</v>
      </c>
      <c r="F522" s="3">
        <f t="shared" si="1"/>
        <v>-0.001858489849</v>
      </c>
    </row>
    <row r="523">
      <c r="A523" s="6"/>
      <c r="D523" s="5">
        <f>IFERROR(__xludf.DUMMYFUNCTION("""COMPUTED_VALUE"""),42481.66666666667)</f>
        <v>42481.66667</v>
      </c>
      <c r="E523" s="3">
        <f>IFERROR(__xludf.DUMMYFUNCTION("""COMPUTED_VALUE"""),37.96)</f>
        <v>37.96</v>
      </c>
      <c r="F523" s="3">
        <f t="shared" si="1"/>
        <v>0.008731369136</v>
      </c>
    </row>
    <row r="524">
      <c r="A524" s="6"/>
      <c r="D524" s="5">
        <f>IFERROR(__xludf.DUMMYFUNCTION("""COMPUTED_VALUE"""),42482.66666666667)</f>
        <v>42482.66667</v>
      </c>
      <c r="E524" s="3">
        <f>IFERROR(__xludf.DUMMYFUNCTION("""COMPUTED_VALUE"""),35.94)</f>
        <v>35.94</v>
      </c>
      <c r="F524" s="3">
        <f t="shared" si="1"/>
        <v>-0.05468209239</v>
      </c>
    </row>
    <row r="525">
      <c r="A525" s="6"/>
      <c r="D525" s="5">
        <f>IFERROR(__xludf.DUMMYFUNCTION("""COMPUTED_VALUE"""),42485.66666666667)</f>
        <v>42485.66667</v>
      </c>
      <c r="E525" s="3">
        <f>IFERROR(__xludf.DUMMYFUNCTION("""COMPUTED_VALUE"""),36.16)</f>
        <v>36.16</v>
      </c>
      <c r="F525" s="3">
        <f t="shared" si="1"/>
        <v>0.006102654169</v>
      </c>
    </row>
    <row r="526">
      <c r="A526" s="6"/>
      <c r="D526" s="5">
        <f>IFERROR(__xludf.DUMMYFUNCTION("""COMPUTED_VALUE"""),42486.66666666667)</f>
        <v>42486.66667</v>
      </c>
      <c r="E526" s="3">
        <f>IFERROR(__xludf.DUMMYFUNCTION("""COMPUTED_VALUE"""),35.41)</f>
        <v>35.41</v>
      </c>
      <c r="F526" s="3">
        <f t="shared" si="1"/>
        <v>-0.0209592694</v>
      </c>
    </row>
    <row r="527">
      <c r="A527" s="6"/>
      <c r="D527" s="5">
        <f>IFERROR(__xludf.DUMMYFUNCTION("""COMPUTED_VALUE"""),42487.66666666667)</f>
        <v>42487.66667</v>
      </c>
      <c r="E527" s="3">
        <f>IFERROR(__xludf.DUMMYFUNCTION("""COMPUTED_VALUE"""),35.29)</f>
        <v>35.29</v>
      </c>
      <c r="F527" s="3">
        <f t="shared" si="1"/>
        <v>-0.003394628437</v>
      </c>
    </row>
    <row r="528">
      <c r="A528" s="6"/>
      <c r="D528" s="5">
        <f>IFERROR(__xludf.DUMMYFUNCTION("""COMPUTED_VALUE"""),42488.66666666667)</f>
        <v>42488.66667</v>
      </c>
      <c r="E528" s="3">
        <f>IFERROR(__xludf.DUMMYFUNCTION("""COMPUTED_VALUE"""),34.55)</f>
        <v>34.55</v>
      </c>
      <c r="F528" s="3">
        <f t="shared" si="1"/>
        <v>-0.02119208747</v>
      </c>
    </row>
    <row r="529">
      <c r="A529" s="6"/>
      <c r="D529" s="5">
        <f>IFERROR(__xludf.DUMMYFUNCTION("""COMPUTED_VALUE"""),42489.66666666667)</f>
        <v>42489.66667</v>
      </c>
      <c r="E529" s="3">
        <f>IFERROR(__xludf.DUMMYFUNCTION("""COMPUTED_VALUE"""),34.65)</f>
        <v>34.65</v>
      </c>
      <c r="F529" s="3">
        <f t="shared" si="1"/>
        <v>0.002890175422</v>
      </c>
    </row>
    <row r="530">
      <c r="A530" s="6"/>
      <c r="D530" s="5">
        <f>IFERROR(__xludf.DUMMYFUNCTION("""COMPUTED_VALUE"""),42492.66666666667)</f>
        <v>42492.66667</v>
      </c>
      <c r="E530" s="3">
        <f>IFERROR(__xludf.DUMMYFUNCTION("""COMPUTED_VALUE"""),34.91)</f>
        <v>34.91</v>
      </c>
      <c r="F530" s="3">
        <f t="shared" si="1"/>
        <v>0.007475595481</v>
      </c>
    </row>
    <row r="531">
      <c r="A531" s="6"/>
      <c r="D531" s="5">
        <f>IFERROR(__xludf.DUMMYFUNCTION("""COMPUTED_VALUE"""),42493.66666666667)</f>
        <v>42493.66667</v>
      </c>
      <c r="E531" s="3">
        <f>IFERROR(__xludf.DUMMYFUNCTION("""COMPUTED_VALUE"""),34.62)</f>
        <v>34.62</v>
      </c>
      <c r="F531" s="3">
        <f t="shared" si="1"/>
        <v>-0.008341771369</v>
      </c>
    </row>
    <row r="532">
      <c r="A532" s="6"/>
      <c r="D532" s="5">
        <f>IFERROR(__xludf.DUMMYFUNCTION("""COMPUTED_VALUE"""),42494.66666666667)</f>
        <v>42494.66667</v>
      </c>
      <c r="E532" s="3">
        <f>IFERROR(__xludf.DUMMYFUNCTION("""COMPUTED_VALUE"""),34.78)</f>
        <v>34.78</v>
      </c>
      <c r="F532" s="3">
        <f t="shared" si="1"/>
        <v>0.004610959178</v>
      </c>
    </row>
    <row r="533">
      <c r="A533" s="6"/>
      <c r="D533" s="5">
        <f>IFERROR(__xludf.DUMMYFUNCTION("""COMPUTED_VALUE"""),42495.66666666667)</f>
        <v>42495.66667</v>
      </c>
      <c r="E533" s="3">
        <f>IFERROR(__xludf.DUMMYFUNCTION("""COMPUTED_VALUE"""),35.07)</f>
        <v>35.07</v>
      </c>
      <c r="F533" s="3">
        <f t="shared" si="1"/>
        <v>0.008303555226</v>
      </c>
    </row>
    <row r="534">
      <c r="A534" s="6"/>
      <c r="D534" s="5">
        <f>IFERROR(__xludf.DUMMYFUNCTION("""COMPUTED_VALUE"""),42496.66666666667)</f>
        <v>42496.66667</v>
      </c>
      <c r="E534" s="3">
        <f>IFERROR(__xludf.DUMMYFUNCTION("""COMPUTED_VALUE"""),35.56)</f>
        <v>35.56</v>
      </c>
      <c r="F534" s="3">
        <f t="shared" si="1"/>
        <v>0.01387534649</v>
      </c>
    </row>
    <row r="535">
      <c r="A535" s="6"/>
      <c r="D535" s="5">
        <f>IFERROR(__xludf.DUMMYFUNCTION("""COMPUTED_VALUE"""),42499.66666666667)</f>
        <v>42499.66667</v>
      </c>
      <c r="E535" s="3">
        <f>IFERROR(__xludf.DUMMYFUNCTION("""COMPUTED_VALUE"""),35.65)</f>
        <v>35.65</v>
      </c>
      <c r="F535" s="3">
        <f t="shared" si="1"/>
        <v>0.002527736215</v>
      </c>
    </row>
    <row r="536">
      <c r="A536" s="6"/>
      <c r="D536" s="5">
        <f>IFERROR(__xludf.DUMMYFUNCTION("""COMPUTED_VALUE"""),42500.66666666667)</f>
        <v>42500.66667</v>
      </c>
      <c r="E536" s="3">
        <f>IFERROR(__xludf.DUMMYFUNCTION("""COMPUTED_VALUE"""),36.16)</f>
        <v>36.16</v>
      </c>
      <c r="F536" s="3">
        <f t="shared" si="1"/>
        <v>0.01420438866</v>
      </c>
    </row>
    <row r="537">
      <c r="A537" s="6"/>
      <c r="D537" s="5">
        <f>IFERROR(__xludf.DUMMYFUNCTION("""COMPUTED_VALUE"""),42501.66666666667)</f>
        <v>42501.66667</v>
      </c>
      <c r="E537" s="3">
        <f>IFERROR(__xludf.DUMMYFUNCTION("""COMPUTED_VALUE"""),35.76)</f>
        <v>35.76</v>
      </c>
      <c r="F537" s="3">
        <f t="shared" si="1"/>
        <v>-0.01112358522</v>
      </c>
    </row>
    <row r="538">
      <c r="A538" s="6"/>
      <c r="D538" s="5">
        <f>IFERROR(__xludf.DUMMYFUNCTION("""COMPUTED_VALUE"""),42502.66666666667)</f>
        <v>42502.66667</v>
      </c>
      <c r="E538" s="3">
        <f>IFERROR(__xludf.DUMMYFUNCTION("""COMPUTED_VALUE"""),35.67)</f>
        <v>35.67</v>
      </c>
      <c r="F538" s="3">
        <f t="shared" si="1"/>
        <v>-0.002519950935</v>
      </c>
    </row>
    <row r="539">
      <c r="A539" s="6"/>
      <c r="D539" s="5">
        <f>IFERROR(__xludf.DUMMYFUNCTION("""COMPUTED_VALUE"""),42503.66666666667)</f>
        <v>42503.66667</v>
      </c>
      <c r="E539" s="3">
        <f>IFERROR(__xludf.DUMMYFUNCTION("""COMPUTED_VALUE"""),35.54)</f>
        <v>35.54</v>
      </c>
      <c r="F539" s="3">
        <f t="shared" si="1"/>
        <v>-0.003651176644</v>
      </c>
    </row>
    <row r="540">
      <c r="A540" s="6"/>
      <c r="D540" s="5">
        <f>IFERROR(__xludf.DUMMYFUNCTION("""COMPUTED_VALUE"""),42506.66666666667)</f>
        <v>42506.66667</v>
      </c>
      <c r="E540" s="3">
        <f>IFERROR(__xludf.DUMMYFUNCTION("""COMPUTED_VALUE"""),35.82)</f>
        <v>35.82</v>
      </c>
      <c r="F540" s="3">
        <f t="shared" si="1"/>
        <v>0.007847573906</v>
      </c>
    </row>
    <row r="541">
      <c r="A541" s="6"/>
      <c r="D541" s="5">
        <f>IFERROR(__xludf.DUMMYFUNCTION("""COMPUTED_VALUE"""),42507.66666666667)</f>
        <v>42507.66667</v>
      </c>
      <c r="E541" s="3">
        <f>IFERROR(__xludf.DUMMYFUNCTION("""COMPUTED_VALUE"""),35.31)</f>
        <v>35.31</v>
      </c>
      <c r="F541" s="3">
        <f t="shared" si="1"/>
        <v>-0.01434018669</v>
      </c>
    </row>
    <row r="542">
      <c r="A542" s="6"/>
      <c r="D542" s="5">
        <f>IFERROR(__xludf.DUMMYFUNCTION("""COMPUTED_VALUE"""),42508.66666666667)</f>
        <v>42508.66667</v>
      </c>
      <c r="E542" s="3">
        <f>IFERROR(__xludf.DUMMYFUNCTION("""COMPUTED_VALUE"""),35.33)</f>
        <v>35.33</v>
      </c>
      <c r="F542" s="3">
        <f t="shared" si="1"/>
        <v>0.0005662514308</v>
      </c>
    </row>
    <row r="543">
      <c r="A543" s="6"/>
      <c r="D543" s="5">
        <f>IFERROR(__xludf.DUMMYFUNCTION("""COMPUTED_VALUE"""),42509.66666666667)</f>
        <v>42509.66667</v>
      </c>
      <c r="E543" s="3">
        <f>IFERROR(__xludf.DUMMYFUNCTION("""COMPUTED_VALUE"""),35.02)</f>
        <v>35.02</v>
      </c>
      <c r="F543" s="3">
        <f t="shared" si="1"/>
        <v>-0.008813134513</v>
      </c>
    </row>
    <row r="544">
      <c r="A544" s="6"/>
      <c r="D544" s="5">
        <f>IFERROR(__xludf.DUMMYFUNCTION("""COMPUTED_VALUE"""),42510.66666666667)</f>
        <v>42510.66667</v>
      </c>
      <c r="E544" s="3">
        <f>IFERROR(__xludf.DUMMYFUNCTION("""COMPUTED_VALUE"""),35.49)</f>
        <v>35.49</v>
      </c>
      <c r="F544" s="3">
        <f t="shared" si="1"/>
        <v>0.0133316398</v>
      </c>
    </row>
    <row r="545">
      <c r="A545" s="6"/>
      <c r="D545" s="5">
        <f>IFERROR(__xludf.DUMMYFUNCTION("""COMPUTED_VALUE"""),42513.66666666667)</f>
        <v>42513.66667</v>
      </c>
      <c r="E545" s="3">
        <f>IFERROR(__xludf.DUMMYFUNCTION("""COMPUTED_VALUE"""),35.21)</f>
        <v>35.21</v>
      </c>
      <c r="F545" s="3">
        <f t="shared" si="1"/>
        <v>-0.007920833491</v>
      </c>
    </row>
    <row r="546">
      <c r="A546" s="6"/>
      <c r="D546" s="5">
        <f>IFERROR(__xludf.DUMMYFUNCTION("""COMPUTED_VALUE"""),42514.66666666667)</f>
        <v>42514.66667</v>
      </c>
      <c r="E546" s="3">
        <f>IFERROR(__xludf.DUMMYFUNCTION("""COMPUTED_VALUE"""),36.0)</f>
        <v>36</v>
      </c>
      <c r="F546" s="3">
        <f t="shared" si="1"/>
        <v>0.02218880529</v>
      </c>
    </row>
    <row r="547">
      <c r="A547" s="6"/>
      <c r="D547" s="5">
        <f>IFERROR(__xludf.DUMMYFUNCTION("""COMPUTED_VALUE"""),42515.66666666667)</f>
        <v>42515.66667</v>
      </c>
      <c r="E547" s="3">
        <f>IFERROR(__xludf.DUMMYFUNCTION("""COMPUTED_VALUE"""),36.26)</f>
        <v>36.26</v>
      </c>
      <c r="F547" s="3">
        <f t="shared" si="1"/>
        <v>0.007196266871</v>
      </c>
    </row>
    <row r="548">
      <c r="A548" s="6"/>
      <c r="D548" s="5">
        <f>IFERROR(__xludf.DUMMYFUNCTION("""COMPUTED_VALUE"""),42516.66666666667)</f>
        <v>42516.66667</v>
      </c>
      <c r="E548" s="3">
        <f>IFERROR(__xludf.DUMMYFUNCTION("""COMPUTED_VALUE"""),36.21)</f>
        <v>36.21</v>
      </c>
      <c r="F548" s="3">
        <f t="shared" si="1"/>
        <v>-0.001379881549</v>
      </c>
    </row>
    <row r="549">
      <c r="A549" s="6"/>
      <c r="D549" s="5">
        <f>IFERROR(__xludf.DUMMYFUNCTION("""COMPUTED_VALUE"""),42517.66666666667)</f>
        <v>42517.66667</v>
      </c>
      <c r="E549" s="3">
        <f>IFERROR(__xludf.DUMMYFUNCTION("""COMPUTED_VALUE"""),36.63)</f>
        <v>36.63</v>
      </c>
      <c r="F549" s="3">
        <f t="shared" si="1"/>
        <v>0.01153225301</v>
      </c>
    </row>
    <row r="550">
      <c r="A550" s="6"/>
      <c r="D550" s="5">
        <f>IFERROR(__xludf.DUMMYFUNCTION("""COMPUTED_VALUE"""),42521.66666666667)</f>
        <v>42521.66667</v>
      </c>
      <c r="E550" s="3">
        <f>IFERROR(__xludf.DUMMYFUNCTION("""COMPUTED_VALUE"""),36.79)</f>
        <v>36.79</v>
      </c>
      <c r="F550" s="3">
        <f t="shared" si="1"/>
        <v>0.004358492326</v>
      </c>
    </row>
    <row r="551">
      <c r="A551" s="6"/>
      <c r="D551" s="5">
        <f>IFERROR(__xludf.DUMMYFUNCTION("""COMPUTED_VALUE"""),42522.66666666667)</f>
        <v>42522.66667</v>
      </c>
      <c r="E551" s="3">
        <f>IFERROR(__xludf.DUMMYFUNCTION("""COMPUTED_VALUE"""),36.71)</f>
        <v>36.71</v>
      </c>
      <c r="F551" s="3">
        <f t="shared" si="1"/>
        <v>-0.002176871608</v>
      </c>
    </row>
    <row r="552">
      <c r="A552" s="6"/>
      <c r="D552" s="5">
        <f>IFERROR(__xludf.DUMMYFUNCTION("""COMPUTED_VALUE"""),42523.66666666667)</f>
        <v>42523.66667</v>
      </c>
      <c r="E552" s="3">
        <f>IFERROR(__xludf.DUMMYFUNCTION("""COMPUTED_VALUE"""),36.52)</f>
        <v>36.52</v>
      </c>
      <c r="F552" s="3">
        <f t="shared" si="1"/>
        <v>-0.005189141782</v>
      </c>
    </row>
    <row r="553">
      <c r="A553" s="6"/>
      <c r="D553" s="5">
        <f>IFERROR(__xludf.DUMMYFUNCTION("""COMPUTED_VALUE"""),42524.66666666667)</f>
        <v>42524.66667</v>
      </c>
      <c r="E553" s="3">
        <f>IFERROR(__xludf.DUMMYFUNCTION("""COMPUTED_VALUE"""),36.12)</f>
        <v>36.12</v>
      </c>
      <c r="F553" s="3">
        <f t="shared" si="1"/>
        <v>-0.01101332718</v>
      </c>
    </row>
    <row r="554">
      <c r="A554" s="6"/>
      <c r="D554" s="5">
        <f>IFERROR(__xludf.DUMMYFUNCTION("""COMPUTED_VALUE"""),42527.66666666667)</f>
        <v>42527.66667</v>
      </c>
      <c r="E554" s="3">
        <f>IFERROR(__xludf.DUMMYFUNCTION("""COMPUTED_VALUE"""),35.83)</f>
        <v>35.83</v>
      </c>
      <c r="F554" s="3">
        <f t="shared" si="1"/>
        <v>-0.008061197232</v>
      </c>
    </row>
    <row r="555">
      <c r="A555" s="6"/>
      <c r="D555" s="5">
        <f>IFERROR(__xludf.DUMMYFUNCTION("""COMPUTED_VALUE"""),42528.66666666667)</f>
        <v>42528.66667</v>
      </c>
      <c r="E555" s="3">
        <f>IFERROR(__xludf.DUMMYFUNCTION("""COMPUTED_VALUE"""),35.83)</f>
        <v>35.83</v>
      </c>
      <c r="F555" s="3">
        <f t="shared" si="1"/>
        <v>0</v>
      </c>
    </row>
    <row r="556">
      <c r="A556" s="6"/>
      <c r="D556" s="5">
        <f>IFERROR(__xludf.DUMMYFUNCTION("""COMPUTED_VALUE"""),42529.66666666667)</f>
        <v>42529.66667</v>
      </c>
      <c r="E556" s="3">
        <f>IFERROR(__xludf.DUMMYFUNCTION("""COMPUTED_VALUE"""),36.41)</f>
        <v>36.41</v>
      </c>
      <c r="F556" s="3">
        <f t="shared" si="1"/>
        <v>0.01605793087</v>
      </c>
    </row>
    <row r="557">
      <c r="A557" s="6"/>
      <c r="D557" s="5">
        <f>IFERROR(__xludf.DUMMYFUNCTION("""COMPUTED_VALUE"""),42530.66666666667)</f>
        <v>42530.66667</v>
      </c>
      <c r="E557" s="3">
        <f>IFERROR(__xludf.DUMMYFUNCTION("""COMPUTED_VALUE"""),36.43)</f>
        <v>36.43</v>
      </c>
      <c r="F557" s="3">
        <f t="shared" si="1"/>
        <v>0.0005491488331</v>
      </c>
    </row>
    <row r="558">
      <c r="A558" s="6"/>
      <c r="D558" s="5">
        <f>IFERROR(__xludf.DUMMYFUNCTION("""COMPUTED_VALUE"""),42531.66666666667)</f>
        <v>42531.66667</v>
      </c>
      <c r="E558" s="3">
        <f>IFERROR(__xludf.DUMMYFUNCTION("""COMPUTED_VALUE"""),35.97)</f>
        <v>35.97</v>
      </c>
      <c r="F558" s="3">
        <f t="shared" si="1"/>
        <v>-0.01270735331</v>
      </c>
    </row>
    <row r="559">
      <c r="A559" s="6"/>
      <c r="D559" s="5">
        <f>IFERROR(__xludf.DUMMYFUNCTION("""COMPUTED_VALUE"""),42534.66666666667)</f>
        <v>42534.66667</v>
      </c>
      <c r="E559" s="3">
        <f>IFERROR(__xludf.DUMMYFUNCTION("""COMPUTED_VALUE"""),35.92)</f>
        <v>35.92</v>
      </c>
      <c r="F559" s="3">
        <f t="shared" si="1"/>
        <v>-0.001391014274</v>
      </c>
    </row>
    <row r="560">
      <c r="A560" s="6"/>
      <c r="D560" s="5">
        <f>IFERROR(__xludf.DUMMYFUNCTION("""COMPUTED_VALUE"""),42535.66666666667)</f>
        <v>42535.66667</v>
      </c>
      <c r="E560" s="3">
        <f>IFERROR(__xludf.DUMMYFUNCTION("""COMPUTED_VALUE"""),35.91)</f>
        <v>35.91</v>
      </c>
      <c r="F560" s="3">
        <f t="shared" si="1"/>
        <v>-0.000278435196</v>
      </c>
    </row>
    <row r="561">
      <c r="A561" s="6"/>
      <c r="D561" s="5">
        <f>IFERROR(__xludf.DUMMYFUNCTION("""COMPUTED_VALUE"""),42536.66666666667)</f>
        <v>42536.66667</v>
      </c>
      <c r="E561" s="3">
        <f>IFERROR(__xludf.DUMMYFUNCTION("""COMPUTED_VALUE"""),35.95)</f>
        <v>35.95</v>
      </c>
      <c r="F561" s="3">
        <f t="shared" si="1"/>
        <v>0.001113275929</v>
      </c>
    </row>
    <row r="562">
      <c r="A562" s="6"/>
      <c r="D562" s="5">
        <f>IFERROR(__xludf.DUMMYFUNCTION("""COMPUTED_VALUE"""),42537.66666666667)</f>
        <v>42537.66667</v>
      </c>
      <c r="E562" s="3">
        <f>IFERROR(__xludf.DUMMYFUNCTION("""COMPUTED_VALUE"""),35.52)</f>
        <v>35.52</v>
      </c>
      <c r="F562" s="3">
        <f t="shared" si="1"/>
        <v>-0.01203316604</v>
      </c>
    </row>
    <row r="563">
      <c r="A563" s="6"/>
      <c r="D563" s="5">
        <f>IFERROR(__xludf.DUMMYFUNCTION("""COMPUTED_VALUE"""),42538.66666666667)</f>
        <v>42538.66667</v>
      </c>
      <c r="E563" s="3">
        <f>IFERROR(__xludf.DUMMYFUNCTION("""COMPUTED_VALUE"""),34.59)</f>
        <v>34.59</v>
      </c>
      <c r="F563" s="3">
        <f t="shared" si="1"/>
        <v>-0.02653129517</v>
      </c>
    </row>
    <row r="564">
      <c r="A564" s="6"/>
      <c r="D564" s="5">
        <f>IFERROR(__xludf.DUMMYFUNCTION("""COMPUTED_VALUE"""),42541.66666666667)</f>
        <v>42541.66667</v>
      </c>
      <c r="E564" s="3">
        <f>IFERROR(__xludf.DUMMYFUNCTION("""COMPUTED_VALUE"""),34.69)</f>
        <v>34.69</v>
      </c>
      <c r="F564" s="3">
        <f t="shared" si="1"/>
        <v>0.002886838033</v>
      </c>
    </row>
    <row r="565">
      <c r="A565" s="6"/>
      <c r="D565" s="5">
        <f>IFERROR(__xludf.DUMMYFUNCTION("""COMPUTED_VALUE"""),42542.66666666667)</f>
        <v>42542.66667</v>
      </c>
      <c r="E565" s="3">
        <f>IFERROR(__xludf.DUMMYFUNCTION("""COMPUTED_VALUE"""),34.8)</f>
        <v>34.8</v>
      </c>
      <c r="F565" s="3">
        <f t="shared" si="1"/>
        <v>0.003165925799</v>
      </c>
    </row>
    <row r="566">
      <c r="A566" s="6"/>
      <c r="D566" s="5">
        <f>IFERROR(__xludf.DUMMYFUNCTION("""COMPUTED_VALUE"""),42543.66666666667)</f>
        <v>42543.66667</v>
      </c>
      <c r="E566" s="3">
        <f>IFERROR(__xludf.DUMMYFUNCTION("""COMPUTED_VALUE"""),34.87)</f>
        <v>34.87</v>
      </c>
      <c r="F566" s="3">
        <f t="shared" si="1"/>
        <v>0.002009473907</v>
      </c>
    </row>
    <row r="567">
      <c r="A567" s="6"/>
      <c r="D567" s="5">
        <f>IFERROR(__xludf.DUMMYFUNCTION("""COMPUTED_VALUE"""),42544.66666666667)</f>
        <v>42544.66667</v>
      </c>
      <c r="E567" s="3">
        <f>IFERROR(__xludf.DUMMYFUNCTION("""COMPUTED_VALUE"""),35.09)</f>
        <v>35.09</v>
      </c>
      <c r="F567" s="3">
        <f t="shared" si="1"/>
        <v>0.006289328908</v>
      </c>
    </row>
    <row r="568">
      <c r="A568" s="6"/>
      <c r="D568" s="5">
        <f>IFERROR(__xludf.DUMMYFUNCTION("""COMPUTED_VALUE"""),42545.66666666667)</f>
        <v>42545.66667</v>
      </c>
      <c r="E568" s="3">
        <f>IFERROR(__xludf.DUMMYFUNCTION("""COMPUTED_VALUE"""),33.76)</f>
        <v>33.76</v>
      </c>
      <c r="F568" s="3">
        <f t="shared" si="1"/>
        <v>-0.03863951987</v>
      </c>
    </row>
    <row r="569">
      <c r="A569" s="6"/>
      <c r="D569" s="5">
        <f>IFERROR(__xludf.DUMMYFUNCTION("""COMPUTED_VALUE"""),42548.66666666667)</f>
        <v>42548.66667</v>
      </c>
      <c r="E569" s="3">
        <f>IFERROR(__xludf.DUMMYFUNCTION("""COMPUTED_VALUE"""),33.41)</f>
        <v>33.41</v>
      </c>
      <c r="F569" s="3">
        <f t="shared" si="1"/>
        <v>-0.01042141336</v>
      </c>
    </row>
    <row r="570">
      <c r="A570" s="6"/>
      <c r="D570" s="5">
        <f>IFERROR(__xludf.DUMMYFUNCTION("""COMPUTED_VALUE"""),42549.66666666667)</f>
        <v>42549.66667</v>
      </c>
      <c r="E570" s="3">
        <f>IFERROR(__xludf.DUMMYFUNCTION("""COMPUTED_VALUE"""),34.0)</f>
        <v>34</v>
      </c>
      <c r="F570" s="3">
        <f t="shared" si="1"/>
        <v>0.01750526825</v>
      </c>
    </row>
    <row r="571">
      <c r="A571" s="6"/>
      <c r="D571" s="5">
        <f>IFERROR(__xludf.DUMMYFUNCTION("""COMPUTED_VALUE"""),42550.66666666667)</f>
        <v>42550.66667</v>
      </c>
      <c r="E571" s="3">
        <f>IFERROR(__xludf.DUMMYFUNCTION("""COMPUTED_VALUE"""),34.21)</f>
        <v>34.21</v>
      </c>
      <c r="F571" s="3">
        <f t="shared" si="1"/>
        <v>0.006157474373</v>
      </c>
    </row>
    <row r="572">
      <c r="A572" s="6"/>
      <c r="D572" s="5">
        <f>IFERROR(__xludf.DUMMYFUNCTION("""COMPUTED_VALUE"""),42551.66666666667)</f>
        <v>42551.66667</v>
      </c>
      <c r="E572" s="3">
        <f>IFERROR(__xludf.DUMMYFUNCTION("""COMPUTED_VALUE"""),34.6)</f>
        <v>34.6</v>
      </c>
      <c r="F572" s="3">
        <f t="shared" si="1"/>
        <v>0.01133568307</v>
      </c>
    </row>
    <row r="573">
      <c r="A573" s="6"/>
      <c r="D573" s="5">
        <f>IFERROR(__xludf.DUMMYFUNCTION("""COMPUTED_VALUE"""),42552.66666666667)</f>
        <v>42552.66667</v>
      </c>
      <c r="E573" s="3">
        <f>IFERROR(__xludf.DUMMYFUNCTION("""COMPUTED_VALUE"""),34.96)</f>
        <v>34.96</v>
      </c>
      <c r="F573" s="3">
        <f t="shared" si="1"/>
        <v>0.01035086872</v>
      </c>
    </row>
    <row r="574">
      <c r="A574" s="6"/>
      <c r="D574" s="5">
        <f>IFERROR(__xludf.DUMMYFUNCTION("""COMPUTED_VALUE"""),42556.66666666667)</f>
        <v>42556.66667</v>
      </c>
      <c r="E574" s="3">
        <f>IFERROR(__xludf.DUMMYFUNCTION("""COMPUTED_VALUE"""),34.72)</f>
        <v>34.72</v>
      </c>
      <c r="F574" s="3">
        <f t="shared" si="1"/>
        <v>-0.006888660995</v>
      </c>
    </row>
    <row r="575">
      <c r="A575" s="6"/>
      <c r="D575" s="5">
        <f>IFERROR(__xludf.DUMMYFUNCTION("""COMPUTED_VALUE"""),42557.66666666667)</f>
        <v>42557.66667</v>
      </c>
      <c r="E575" s="3">
        <f>IFERROR(__xludf.DUMMYFUNCTION("""COMPUTED_VALUE"""),34.89)</f>
        <v>34.89</v>
      </c>
      <c r="F575" s="3">
        <f t="shared" si="1"/>
        <v>0.004884365407</v>
      </c>
    </row>
    <row r="576">
      <c r="A576" s="6"/>
      <c r="D576" s="5">
        <f>IFERROR(__xludf.DUMMYFUNCTION("""COMPUTED_VALUE"""),42558.66666666667)</f>
        <v>42558.66667</v>
      </c>
      <c r="E576" s="3">
        <f>IFERROR(__xludf.DUMMYFUNCTION("""COMPUTED_VALUE"""),34.77)</f>
        <v>34.77</v>
      </c>
      <c r="F576" s="3">
        <f t="shared" si="1"/>
        <v>-0.003445309179</v>
      </c>
    </row>
    <row r="577">
      <c r="A577" s="6"/>
      <c r="D577" s="5">
        <f>IFERROR(__xludf.DUMMYFUNCTION("""COMPUTED_VALUE"""),42559.66666666667)</f>
        <v>42559.66667</v>
      </c>
      <c r="E577" s="3">
        <f>IFERROR(__xludf.DUMMYFUNCTION("""COMPUTED_VALUE"""),35.28)</f>
        <v>35.28</v>
      </c>
      <c r="F577" s="3">
        <f t="shared" si="1"/>
        <v>0.01456128512</v>
      </c>
    </row>
    <row r="578">
      <c r="A578" s="6"/>
      <c r="D578" s="5">
        <f>IFERROR(__xludf.DUMMYFUNCTION("""COMPUTED_VALUE"""),42562.66666666667)</f>
        <v>42562.66667</v>
      </c>
      <c r="E578" s="3">
        <f>IFERROR(__xludf.DUMMYFUNCTION("""COMPUTED_VALUE"""),35.75)</f>
        <v>35.75</v>
      </c>
      <c r="F578" s="3">
        <f t="shared" si="1"/>
        <v>0.013234038</v>
      </c>
    </row>
    <row r="579">
      <c r="A579" s="6"/>
      <c r="D579" s="5">
        <f>IFERROR(__xludf.DUMMYFUNCTION("""COMPUTED_VALUE"""),42563.66666666667)</f>
        <v>42563.66667</v>
      </c>
      <c r="E579" s="3">
        <f>IFERROR(__xludf.DUMMYFUNCTION("""COMPUTED_VALUE"""),36.03)</f>
        <v>36.03</v>
      </c>
      <c r="F579" s="3">
        <f t="shared" si="1"/>
        <v>0.00780165562</v>
      </c>
    </row>
    <row r="580">
      <c r="A580" s="6"/>
      <c r="D580" s="5">
        <f>IFERROR(__xludf.DUMMYFUNCTION("""COMPUTED_VALUE"""),42564.66666666667)</f>
        <v>42564.66667</v>
      </c>
      <c r="E580" s="3">
        <f>IFERROR(__xludf.DUMMYFUNCTION("""COMPUTED_VALUE"""),35.85)</f>
        <v>35.85</v>
      </c>
      <c r="F580" s="3">
        <f t="shared" si="1"/>
        <v>-0.005008357714</v>
      </c>
    </row>
    <row r="581">
      <c r="A581" s="6"/>
      <c r="D581" s="5">
        <f>IFERROR(__xludf.DUMMYFUNCTION("""COMPUTED_VALUE"""),42565.66666666667)</f>
        <v>42565.66667</v>
      </c>
      <c r="E581" s="3">
        <f>IFERROR(__xludf.DUMMYFUNCTION("""COMPUTED_VALUE"""),36.05)</f>
        <v>36.05</v>
      </c>
      <c r="F581" s="3">
        <f t="shared" si="1"/>
        <v>0.005563296685</v>
      </c>
    </row>
    <row r="582">
      <c r="A582" s="6"/>
      <c r="D582" s="5">
        <f>IFERROR(__xludf.DUMMYFUNCTION("""COMPUTED_VALUE"""),42566.66666666667)</f>
        <v>42566.66667</v>
      </c>
      <c r="E582" s="3">
        <f>IFERROR(__xludf.DUMMYFUNCTION("""COMPUTED_VALUE"""),35.99)</f>
        <v>35.99</v>
      </c>
      <c r="F582" s="3">
        <f t="shared" si="1"/>
        <v>-0.00166574164</v>
      </c>
    </row>
    <row r="583">
      <c r="A583" s="6"/>
      <c r="D583" s="5">
        <f>IFERROR(__xludf.DUMMYFUNCTION("""COMPUTED_VALUE"""),42569.66666666667)</f>
        <v>42569.66667</v>
      </c>
      <c r="E583" s="3">
        <f>IFERROR(__xludf.DUMMYFUNCTION("""COMPUTED_VALUE"""),36.69)</f>
        <v>36.69</v>
      </c>
      <c r="F583" s="3">
        <f t="shared" si="1"/>
        <v>0.01926311628</v>
      </c>
    </row>
    <row r="584">
      <c r="A584" s="6"/>
      <c r="D584" s="5">
        <f>IFERROR(__xludf.DUMMYFUNCTION("""COMPUTED_VALUE"""),42570.66666666667)</f>
        <v>42570.66667</v>
      </c>
      <c r="E584" s="3">
        <f>IFERROR(__xludf.DUMMYFUNCTION("""COMPUTED_VALUE"""),36.85)</f>
        <v>36.85</v>
      </c>
      <c r="F584" s="3">
        <f t="shared" si="1"/>
        <v>0.004351380268</v>
      </c>
    </row>
    <row r="585">
      <c r="A585" s="6"/>
      <c r="D585" s="5">
        <f>IFERROR(__xludf.DUMMYFUNCTION("""COMPUTED_VALUE"""),42571.66666666667)</f>
        <v>42571.66667</v>
      </c>
      <c r="E585" s="3">
        <f>IFERROR(__xludf.DUMMYFUNCTION("""COMPUTED_VALUE"""),37.06)</f>
        <v>37.06</v>
      </c>
      <c r="F585" s="3">
        <f t="shared" si="1"/>
        <v>0.005682602222</v>
      </c>
    </row>
    <row r="586">
      <c r="A586" s="6"/>
      <c r="D586" s="5">
        <f>IFERROR(__xludf.DUMMYFUNCTION("""COMPUTED_VALUE"""),42572.66666666667)</f>
        <v>42572.66667</v>
      </c>
      <c r="E586" s="3">
        <f>IFERROR(__xludf.DUMMYFUNCTION("""COMPUTED_VALUE"""),36.93)</f>
        <v>36.93</v>
      </c>
      <c r="F586" s="3">
        <f t="shared" si="1"/>
        <v>-0.003513991993</v>
      </c>
    </row>
    <row r="587">
      <c r="A587" s="6"/>
      <c r="D587" s="5">
        <f>IFERROR(__xludf.DUMMYFUNCTION("""COMPUTED_VALUE"""),42573.66666666667)</f>
        <v>42573.66667</v>
      </c>
      <c r="E587" s="3">
        <f>IFERROR(__xludf.DUMMYFUNCTION("""COMPUTED_VALUE"""),37.14)</f>
        <v>37.14</v>
      </c>
      <c r="F587" s="3">
        <f t="shared" si="1"/>
        <v>0.00567032706</v>
      </c>
    </row>
    <row r="588">
      <c r="A588" s="6"/>
      <c r="D588" s="5">
        <f>IFERROR(__xludf.DUMMYFUNCTION("""COMPUTED_VALUE"""),42576.66666666667)</f>
        <v>42576.66667</v>
      </c>
      <c r="E588" s="3">
        <f>IFERROR(__xludf.DUMMYFUNCTION("""COMPUTED_VALUE"""),36.99)</f>
        <v>36.99</v>
      </c>
      <c r="F588" s="3">
        <f t="shared" si="1"/>
        <v>-0.00404695008</v>
      </c>
    </row>
    <row r="589">
      <c r="A589" s="6"/>
      <c r="D589" s="5">
        <f>IFERROR(__xludf.DUMMYFUNCTION("""COMPUTED_VALUE"""),42577.66666666667)</f>
        <v>42577.66667</v>
      </c>
      <c r="E589" s="3">
        <f>IFERROR(__xludf.DUMMYFUNCTION("""COMPUTED_VALUE"""),36.92)</f>
        <v>36.92</v>
      </c>
      <c r="F589" s="3">
        <f t="shared" si="1"/>
        <v>-0.00189419621</v>
      </c>
    </row>
    <row r="590">
      <c r="A590" s="6"/>
      <c r="D590" s="5">
        <f>IFERROR(__xludf.DUMMYFUNCTION("""COMPUTED_VALUE"""),42578.66666666667)</f>
        <v>42578.66667</v>
      </c>
      <c r="E590" s="3">
        <f>IFERROR(__xludf.DUMMYFUNCTION("""COMPUTED_VALUE"""),37.09)</f>
        <v>37.09</v>
      </c>
      <c r="F590" s="3">
        <f t="shared" si="1"/>
        <v>0.004593981867</v>
      </c>
    </row>
    <row r="591">
      <c r="A591" s="6"/>
      <c r="D591" s="5">
        <f>IFERROR(__xludf.DUMMYFUNCTION("""COMPUTED_VALUE"""),42579.66666666667)</f>
        <v>42579.66667</v>
      </c>
      <c r="E591" s="3">
        <f>IFERROR(__xludf.DUMMYFUNCTION("""COMPUTED_VALUE"""),37.3)</f>
        <v>37.3</v>
      </c>
      <c r="F591" s="3">
        <f t="shared" si="1"/>
        <v>0.005645935148</v>
      </c>
    </row>
    <row r="592">
      <c r="A592" s="6"/>
      <c r="D592" s="5">
        <f>IFERROR(__xludf.DUMMYFUNCTION("""COMPUTED_VALUE"""),42580.66666666667)</f>
        <v>42580.66667</v>
      </c>
      <c r="E592" s="3">
        <f>IFERROR(__xludf.DUMMYFUNCTION("""COMPUTED_VALUE"""),38.44)</f>
        <v>38.44</v>
      </c>
      <c r="F592" s="3">
        <f t="shared" si="1"/>
        <v>0.03010525745</v>
      </c>
    </row>
    <row r="593">
      <c r="A593" s="6"/>
      <c r="D593" s="5">
        <f>IFERROR(__xludf.DUMMYFUNCTION("""COMPUTED_VALUE"""),42583.66666666667)</f>
        <v>42583.66667</v>
      </c>
      <c r="E593" s="3">
        <f>IFERROR(__xludf.DUMMYFUNCTION("""COMPUTED_VALUE"""),38.64)</f>
        <v>38.64</v>
      </c>
      <c r="F593" s="3">
        <f t="shared" si="1"/>
        <v>0.005189425242</v>
      </c>
    </row>
    <row r="594">
      <c r="A594" s="6"/>
      <c r="D594" s="5">
        <f>IFERROR(__xludf.DUMMYFUNCTION("""COMPUTED_VALUE"""),42584.66666666667)</f>
        <v>42584.66667</v>
      </c>
      <c r="E594" s="3">
        <f>IFERROR(__xludf.DUMMYFUNCTION("""COMPUTED_VALUE"""),38.55)</f>
        <v>38.55</v>
      </c>
      <c r="F594" s="3">
        <f t="shared" si="1"/>
        <v>-0.002331909335</v>
      </c>
    </row>
    <row r="595">
      <c r="A595" s="6"/>
      <c r="D595" s="5">
        <f>IFERROR(__xludf.DUMMYFUNCTION("""COMPUTED_VALUE"""),42585.66666666667)</f>
        <v>42585.66667</v>
      </c>
      <c r="E595" s="3">
        <f>IFERROR(__xludf.DUMMYFUNCTION("""COMPUTED_VALUE"""),38.66)</f>
        <v>38.66</v>
      </c>
      <c r="F595" s="3">
        <f t="shared" si="1"/>
        <v>0.002849373771</v>
      </c>
    </row>
    <row r="596">
      <c r="A596" s="6"/>
      <c r="D596" s="5">
        <f>IFERROR(__xludf.DUMMYFUNCTION("""COMPUTED_VALUE"""),42586.66666666667)</f>
        <v>42586.66667</v>
      </c>
      <c r="E596" s="3">
        <f>IFERROR(__xludf.DUMMYFUNCTION("""COMPUTED_VALUE"""),38.58)</f>
        <v>38.58</v>
      </c>
      <c r="F596" s="3">
        <f t="shared" si="1"/>
        <v>-0.002071466303</v>
      </c>
    </row>
    <row r="597">
      <c r="A597" s="6"/>
      <c r="D597" s="5">
        <f>IFERROR(__xludf.DUMMYFUNCTION("""COMPUTED_VALUE"""),42587.66666666667)</f>
        <v>42587.66667</v>
      </c>
      <c r="E597" s="3">
        <f>IFERROR(__xludf.DUMMYFUNCTION("""COMPUTED_VALUE"""),39.11)</f>
        <v>39.11</v>
      </c>
      <c r="F597" s="3">
        <f t="shared" si="1"/>
        <v>0.01364418129</v>
      </c>
    </row>
    <row r="598">
      <c r="A598" s="6"/>
      <c r="D598" s="5">
        <f>IFERROR(__xludf.DUMMYFUNCTION("""COMPUTED_VALUE"""),42590.66666666667)</f>
        <v>42590.66667</v>
      </c>
      <c r="E598" s="3">
        <f>IFERROR(__xludf.DUMMYFUNCTION("""COMPUTED_VALUE"""),39.09)</f>
        <v>39.09</v>
      </c>
      <c r="F598" s="3">
        <f t="shared" si="1"/>
        <v>-0.0005115089626</v>
      </c>
    </row>
    <row r="599">
      <c r="A599" s="6"/>
      <c r="D599" s="5">
        <f>IFERROR(__xludf.DUMMYFUNCTION("""COMPUTED_VALUE"""),42591.66666666667)</f>
        <v>42591.66667</v>
      </c>
      <c r="E599" s="3">
        <f>IFERROR(__xludf.DUMMYFUNCTION("""COMPUTED_VALUE"""),39.21)</f>
        <v>39.21</v>
      </c>
      <c r="F599" s="3">
        <f t="shared" si="1"/>
        <v>0.003065136499</v>
      </c>
    </row>
    <row r="600">
      <c r="A600" s="6"/>
      <c r="D600" s="5">
        <f>IFERROR(__xludf.DUMMYFUNCTION("""COMPUTED_VALUE"""),42592.66666666667)</f>
        <v>42592.66667</v>
      </c>
      <c r="E600" s="3">
        <f>IFERROR(__xludf.DUMMYFUNCTION("""COMPUTED_VALUE"""),39.23)</f>
        <v>39.23</v>
      </c>
      <c r="F600" s="3">
        <f t="shared" si="1"/>
        <v>0.0005099439172</v>
      </c>
    </row>
    <row r="601">
      <c r="A601" s="6"/>
      <c r="D601" s="5">
        <f>IFERROR(__xludf.DUMMYFUNCTION("""COMPUTED_VALUE"""),42593.66666666667)</f>
        <v>42593.66667</v>
      </c>
      <c r="E601" s="3">
        <f>IFERROR(__xludf.DUMMYFUNCTION("""COMPUTED_VALUE"""),39.24)</f>
        <v>39.24</v>
      </c>
      <c r="F601" s="3">
        <f t="shared" si="1"/>
        <v>0.0002548744757</v>
      </c>
    </row>
    <row r="602">
      <c r="A602" s="6"/>
      <c r="D602" s="5">
        <f>IFERROR(__xludf.DUMMYFUNCTION("""COMPUTED_VALUE"""),42594.66666666667)</f>
        <v>42594.66667</v>
      </c>
      <c r="E602" s="3">
        <f>IFERROR(__xludf.DUMMYFUNCTION("""COMPUTED_VALUE"""),39.16)</f>
        <v>39.16</v>
      </c>
      <c r="F602" s="3">
        <f t="shared" si="1"/>
        <v>-0.002040817035</v>
      </c>
    </row>
    <row r="603">
      <c r="A603" s="6"/>
      <c r="D603" s="5">
        <f>IFERROR(__xludf.DUMMYFUNCTION("""COMPUTED_VALUE"""),42597.66666666667)</f>
        <v>42597.66667</v>
      </c>
      <c r="E603" s="3">
        <f>IFERROR(__xludf.DUMMYFUNCTION("""COMPUTED_VALUE"""),39.12)</f>
        <v>39.12</v>
      </c>
      <c r="F603" s="3">
        <f t="shared" si="1"/>
        <v>-0.001021972496</v>
      </c>
    </row>
    <row r="604">
      <c r="A604" s="6"/>
      <c r="D604" s="5">
        <f>IFERROR(__xludf.DUMMYFUNCTION("""COMPUTED_VALUE"""),42598.66666666667)</f>
        <v>42598.66667</v>
      </c>
      <c r="E604" s="3">
        <f>IFERROR(__xludf.DUMMYFUNCTION("""COMPUTED_VALUE"""),38.86)</f>
        <v>38.86</v>
      </c>
      <c r="F604" s="3">
        <f t="shared" si="1"/>
        <v>-0.006668401217</v>
      </c>
    </row>
    <row r="605">
      <c r="A605" s="6"/>
      <c r="D605" s="5">
        <f>IFERROR(__xludf.DUMMYFUNCTION("""COMPUTED_VALUE"""),42599.66666666667)</f>
        <v>42599.66667</v>
      </c>
      <c r="E605" s="3">
        <f>IFERROR(__xludf.DUMMYFUNCTION("""COMPUTED_VALUE"""),39.0)</f>
        <v>39</v>
      </c>
      <c r="F605" s="3">
        <f t="shared" si="1"/>
        <v>0.00359620218</v>
      </c>
    </row>
    <row r="606">
      <c r="A606" s="6"/>
      <c r="D606" s="5">
        <f>IFERROR(__xludf.DUMMYFUNCTION("""COMPUTED_VALUE"""),42600.66666666667)</f>
        <v>42600.66667</v>
      </c>
      <c r="E606" s="3">
        <f>IFERROR(__xludf.DUMMYFUNCTION("""COMPUTED_VALUE"""),38.88)</f>
        <v>38.88</v>
      </c>
      <c r="F606" s="3">
        <f t="shared" si="1"/>
        <v>-0.003081666537</v>
      </c>
    </row>
    <row r="607">
      <c r="A607" s="6"/>
      <c r="D607" s="5">
        <f>IFERROR(__xludf.DUMMYFUNCTION("""COMPUTED_VALUE"""),42601.66666666667)</f>
        <v>42601.66667</v>
      </c>
      <c r="E607" s="3">
        <f>IFERROR(__xludf.DUMMYFUNCTION("""COMPUTED_VALUE"""),38.77)</f>
        <v>38.77</v>
      </c>
      <c r="F607" s="3">
        <f t="shared" si="1"/>
        <v>-0.002833227909</v>
      </c>
    </row>
    <row r="608">
      <c r="A608" s="6"/>
      <c r="D608" s="5">
        <f>IFERROR(__xludf.DUMMYFUNCTION("""COMPUTED_VALUE"""),42604.66666666667)</f>
        <v>42604.66667</v>
      </c>
      <c r="E608" s="3">
        <f>IFERROR(__xludf.DUMMYFUNCTION("""COMPUTED_VALUE"""),38.61)</f>
        <v>38.61</v>
      </c>
      <c r="F608" s="3">
        <f t="shared" si="1"/>
        <v>-0.004135441407</v>
      </c>
    </row>
    <row r="609">
      <c r="A609" s="6"/>
      <c r="D609" s="5">
        <f>IFERROR(__xludf.DUMMYFUNCTION("""COMPUTED_VALUE"""),42605.66666666667)</f>
        <v>42605.66667</v>
      </c>
      <c r="E609" s="3">
        <f>IFERROR(__xludf.DUMMYFUNCTION("""COMPUTED_VALUE"""),38.6)</f>
        <v>38.6</v>
      </c>
      <c r="F609" s="3">
        <f t="shared" si="1"/>
        <v>-0.0002590338054</v>
      </c>
    </row>
    <row r="610">
      <c r="A610" s="6"/>
      <c r="D610" s="5">
        <f>IFERROR(__xludf.DUMMYFUNCTION("""COMPUTED_VALUE"""),42606.66666666667)</f>
        <v>42606.66667</v>
      </c>
      <c r="E610" s="3">
        <f>IFERROR(__xludf.DUMMYFUNCTION("""COMPUTED_VALUE"""),38.48)</f>
        <v>38.48</v>
      </c>
      <c r="F610" s="3">
        <f t="shared" si="1"/>
        <v>-0.003113650673</v>
      </c>
    </row>
    <row r="611">
      <c r="A611" s="6"/>
      <c r="D611" s="5">
        <f>IFERROR(__xludf.DUMMYFUNCTION("""COMPUTED_VALUE"""),42607.66666666667)</f>
        <v>42607.66667</v>
      </c>
      <c r="E611" s="3">
        <f>IFERROR(__xludf.DUMMYFUNCTION("""COMPUTED_VALUE"""),38.47)</f>
        <v>38.47</v>
      </c>
      <c r="F611" s="3">
        <f t="shared" si="1"/>
        <v>-0.0002599090333</v>
      </c>
    </row>
    <row r="612">
      <c r="A612" s="6"/>
      <c r="D612" s="5">
        <f>IFERROR(__xludf.DUMMYFUNCTION("""COMPUTED_VALUE"""),42608.66666666667)</f>
        <v>42608.66667</v>
      </c>
      <c r="E612" s="3">
        <f>IFERROR(__xludf.DUMMYFUNCTION("""COMPUTED_VALUE"""),38.48)</f>
        <v>38.48</v>
      </c>
      <c r="F612" s="3">
        <f t="shared" si="1"/>
        <v>0.0002599090333</v>
      </c>
    </row>
    <row r="613">
      <c r="A613" s="6"/>
      <c r="D613" s="5">
        <f>IFERROR(__xludf.DUMMYFUNCTION("""COMPUTED_VALUE"""),42611.66666666667)</f>
        <v>42611.66667</v>
      </c>
      <c r="E613" s="3">
        <f>IFERROR(__xludf.DUMMYFUNCTION("""COMPUTED_VALUE"""),38.61)</f>
        <v>38.61</v>
      </c>
      <c r="F613" s="3">
        <f t="shared" si="1"/>
        <v>0.003372684479</v>
      </c>
    </row>
    <row r="614">
      <c r="A614" s="6"/>
      <c r="D614" s="5">
        <f>IFERROR(__xludf.DUMMYFUNCTION("""COMPUTED_VALUE"""),42612.66666666667)</f>
        <v>42612.66667</v>
      </c>
      <c r="E614" s="3">
        <f>IFERROR(__xludf.DUMMYFUNCTION("""COMPUTED_VALUE"""),38.45)</f>
        <v>38.45</v>
      </c>
      <c r="F614" s="3">
        <f t="shared" si="1"/>
        <v>-0.004152614324</v>
      </c>
    </row>
    <row r="615">
      <c r="A615" s="6"/>
      <c r="D615" s="5">
        <f>IFERROR(__xludf.DUMMYFUNCTION("""COMPUTED_VALUE"""),42613.66666666667)</f>
        <v>42613.66667</v>
      </c>
      <c r="E615" s="3">
        <f>IFERROR(__xludf.DUMMYFUNCTION("""COMPUTED_VALUE"""),38.35)</f>
        <v>38.35</v>
      </c>
      <c r="F615" s="3">
        <f t="shared" si="1"/>
        <v>-0.002604168138</v>
      </c>
    </row>
    <row r="616">
      <c r="A616" s="6"/>
      <c r="D616" s="5">
        <f>IFERROR(__xludf.DUMMYFUNCTION("""COMPUTED_VALUE"""),42614.66666666667)</f>
        <v>42614.66667</v>
      </c>
      <c r="E616" s="3">
        <f>IFERROR(__xludf.DUMMYFUNCTION("""COMPUTED_VALUE"""),38.44)</f>
        <v>38.44</v>
      </c>
      <c r="F616" s="3">
        <f t="shared" si="1"/>
        <v>0.002344056289</v>
      </c>
    </row>
    <row r="617">
      <c r="A617" s="6"/>
      <c r="D617" s="5">
        <f>IFERROR(__xludf.DUMMYFUNCTION("""COMPUTED_VALUE"""),42615.66666666667)</f>
        <v>42615.66667</v>
      </c>
      <c r="E617" s="3">
        <f>IFERROR(__xludf.DUMMYFUNCTION("""COMPUTED_VALUE"""),38.57)</f>
        <v>38.57</v>
      </c>
      <c r="F617" s="3">
        <f t="shared" si="1"/>
        <v>0.003376188118</v>
      </c>
    </row>
    <row r="618">
      <c r="A618" s="6"/>
      <c r="D618" s="5">
        <f>IFERROR(__xludf.DUMMYFUNCTION("""COMPUTED_VALUE"""),42619.66666666667)</f>
        <v>42619.66667</v>
      </c>
      <c r="E618" s="3">
        <f>IFERROR(__xludf.DUMMYFUNCTION("""COMPUTED_VALUE"""),39.0)</f>
        <v>39</v>
      </c>
      <c r="F618" s="3">
        <f t="shared" si="1"/>
        <v>0.01108687391</v>
      </c>
    </row>
    <row r="619">
      <c r="A619" s="6"/>
      <c r="D619" s="5">
        <f>IFERROR(__xludf.DUMMYFUNCTION("""COMPUTED_VALUE"""),42620.66666666667)</f>
        <v>42620.66667</v>
      </c>
      <c r="E619" s="3">
        <f>IFERROR(__xludf.DUMMYFUNCTION("""COMPUTED_VALUE"""),39.02)</f>
        <v>39.02</v>
      </c>
      <c r="F619" s="3">
        <f t="shared" si="1"/>
        <v>0.0005126890653</v>
      </c>
    </row>
    <row r="620">
      <c r="A620" s="6"/>
      <c r="D620" s="5">
        <f>IFERROR(__xludf.DUMMYFUNCTION("""COMPUTED_VALUE"""),42621.66666666667)</f>
        <v>42621.66667</v>
      </c>
      <c r="E620" s="3">
        <f>IFERROR(__xludf.DUMMYFUNCTION("""COMPUTED_VALUE"""),38.77)</f>
        <v>38.77</v>
      </c>
      <c r="F620" s="3">
        <f t="shared" si="1"/>
        <v>-0.006427583512</v>
      </c>
    </row>
    <row r="621">
      <c r="A621" s="6"/>
      <c r="D621" s="5">
        <f>IFERROR(__xludf.DUMMYFUNCTION("""COMPUTED_VALUE"""),42622.66666666667)</f>
        <v>42622.66667</v>
      </c>
      <c r="E621" s="3">
        <f>IFERROR(__xludf.DUMMYFUNCTION("""COMPUTED_VALUE"""),37.98)</f>
        <v>37.98</v>
      </c>
      <c r="F621" s="3">
        <f t="shared" si="1"/>
        <v>-0.0205870463</v>
      </c>
    </row>
    <row r="622">
      <c r="A622" s="6"/>
      <c r="D622" s="5">
        <f>IFERROR(__xludf.DUMMYFUNCTION("""COMPUTED_VALUE"""),42625.66666666667)</f>
        <v>42625.66667</v>
      </c>
      <c r="E622" s="3">
        <f>IFERROR(__xludf.DUMMYFUNCTION("""COMPUTED_VALUE"""),38.45)</f>
        <v>38.45</v>
      </c>
      <c r="F622" s="3">
        <f t="shared" si="1"/>
        <v>0.01229899057</v>
      </c>
    </row>
    <row r="623">
      <c r="A623" s="6"/>
      <c r="D623" s="5">
        <f>IFERROR(__xludf.DUMMYFUNCTION("""COMPUTED_VALUE"""),42626.66666666667)</f>
        <v>42626.66667</v>
      </c>
      <c r="E623" s="3">
        <f>IFERROR(__xludf.DUMMYFUNCTION("""COMPUTED_VALUE"""),37.98)</f>
        <v>37.98</v>
      </c>
      <c r="F623" s="3">
        <f t="shared" si="1"/>
        <v>-0.01229899057</v>
      </c>
    </row>
    <row r="624">
      <c r="A624" s="6"/>
      <c r="D624" s="5">
        <f>IFERROR(__xludf.DUMMYFUNCTION("""COMPUTED_VALUE"""),42627.66666666667)</f>
        <v>42627.66667</v>
      </c>
      <c r="E624" s="3">
        <f>IFERROR(__xludf.DUMMYFUNCTION("""COMPUTED_VALUE"""),38.12)</f>
        <v>38.12</v>
      </c>
      <c r="F624" s="3">
        <f t="shared" si="1"/>
        <v>0.003679373402</v>
      </c>
    </row>
    <row r="625">
      <c r="A625" s="6"/>
      <c r="D625" s="5">
        <f>IFERROR(__xludf.DUMMYFUNCTION("""COMPUTED_VALUE"""),42628.66666666667)</f>
        <v>42628.66667</v>
      </c>
      <c r="E625" s="3">
        <f>IFERROR(__xludf.DUMMYFUNCTION("""COMPUTED_VALUE"""),38.59)</f>
        <v>38.59</v>
      </c>
      <c r="F625" s="3">
        <f t="shared" si="1"/>
        <v>0.01225409676</v>
      </c>
    </row>
    <row r="626">
      <c r="A626" s="6"/>
      <c r="D626" s="5">
        <f>IFERROR(__xludf.DUMMYFUNCTION("""COMPUTED_VALUE"""),42629.66666666667)</f>
        <v>42629.66667</v>
      </c>
      <c r="E626" s="3">
        <f>IFERROR(__xludf.DUMMYFUNCTION("""COMPUTED_VALUE"""),38.44)</f>
        <v>38.44</v>
      </c>
      <c r="F626" s="3">
        <f t="shared" si="1"/>
        <v>-0.003894591447</v>
      </c>
    </row>
    <row r="627">
      <c r="A627" s="6"/>
      <c r="D627" s="5">
        <f>IFERROR(__xludf.DUMMYFUNCTION("""COMPUTED_VALUE"""),42632.66666666667)</f>
        <v>42632.66667</v>
      </c>
      <c r="E627" s="3">
        <f>IFERROR(__xludf.DUMMYFUNCTION("""COMPUTED_VALUE"""),38.28)</f>
        <v>38.28</v>
      </c>
      <c r="F627" s="3">
        <f t="shared" si="1"/>
        <v>-0.004171017517</v>
      </c>
    </row>
    <row r="628">
      <c r="A628" s="6"/>
      <c r="D628" s="5">
        <f>IFERROR(__xludf.DUMMYFUNCTION("""COMPUTED_VALUE"""),42633.66666666667)</f>
        <v>42633.66667</v>
      </c>
      <c r="E628" s="3">
        <f>IFERROR(__xludf.DUMMYFUNCTION("""COMPUTED_VALUE"""),38.57)</f>
        <v>38.57</v>
      </c>
      <c r="F628" s="3">
        <f t="shared" si="1"/>
        <v>0.007547205635</v>
      </c>
    </row>
    <row r="629">
      <c r="A629" s="6"/>
      <c r="D629" s="5">
        <f>IFERROR(__xludf.DUMMYFUNCTION("""COMPUTED_VALUE"""),42634.66666666667)</f>
        <v>42634.66667</v>
      </c>
      <c r="E629" s="3">
        <f>IFERROR(__xludf.DUMMYFUNCTION("""COMPUTED_VALUE"""),38.81)</f>
        <v>38.81</v>
      </c>
      <c r="F629" s="3">
        <f t="shared" si="1"/>
        <v>0.006203173161</v>
      </c>
    </row>
    <row r="630">
      <c r="A630" s="6"/>
      <c r="D630" s="5">
        <f>IFERROR(__xludf.DUMMYFUNCTION("""COMPUTED_VALUE"""),42635.66666666667)</f>
        <v>42635.66667</v>
      </c>
      <c r="E630" s="3">
        <f>IFERROR(__xludf.DUMMYFUNCTION("""COMPUTED_VALUE"""),39.36)</f>
        <v>39.36</v>
      </c>
      <c r="F630" s="3">
        <f t="shared" si="1"/>
        <v>0.0140721268</v>
      </c>
    </row>
    <row r="631">
      <c r="A631" s="6"/>
      <c r="D631" s="5">
        <f>IFERROR(__xludf.DUMMYFUNCTION("""COMPUTED_VALUE"""),42636.66666666667)</f>
        <v>42636.66667</v>
      </c>
      <c r="E631" s="3">
        <f>IFERROR(__xludf.DUMMYFUNCTION("""COMPUTED_VALUE"""),39.35)</f>
        <v>39.35</v>
      </c>
      <c r="F631" s="3">
        <f t="shared" si="1"/>
        <v>-0.0002540973206</v>
      </c>
    </row>
    <row r="632">
      <c r="A632" s="6"/>
      <c r="D632" s="5">
        <f>IFERROR(__xludf.DUMMYFUNCTION("""COMPUTED_VALUE"""),42639.66666666667)</f>
        <v>42639.66667</v>
      </c>
      <c r="E632" s="3">
        <f>IFERROR(__xludf.DUMMYFUNCTION("""COMPUTED_VALUE"""),38.71)</f>
        <v>38.71</v>
      </c>
      <c r="F632" s="3">
        <f t="shared" si="1"/>
        <v>-0.01639801027</v>
      </c>
    </row>
    <row r="633">
      <c r="A633" s="6"/>
      <c r="D633" s="5">
        <f>IFERROR(__xludf.DUMMYFUNCTION("""COMPUTED_VALUE"""),42640.66666666667)</f>
        <v>42640.66667</v>
      </c>
      <c r="E633" s="3">
        <f>IFERROR(__xludf.DUMMYFUNCTION("""COMPUTED_VALUE"""),39.15)</f>
        <v>39.15</v>
      </c>
      <c r="F633" s="3">
        <f t="shared" si="1"/>
        <v>0.01130245785</v>
      </c>
    </row>
    <row r="634">
      <c r="A634" s="6"/>
      <c r="D634" s="5">
        <f>IFERROR(__xludf.DUMMYFUNCTION("""COMPUTED_VALUE"""),42641.66666666667)</f>
        <v>42641.66667</v>
      </c>
      <c r="E634" s="3">
        <f>IFERROR(__xludf.DUMMYFUNCTION("""COMPUTED_VALUE"""),39.08)</f>
        <v>39.08</v>
      </c>
      <c r="F634" s="3">
        <f t="shared" si="1"/>
        <v>-0.001789595262</v>
      </c>
    </row>
    <row r="635">
      <c r="A635" s="6"/>
      <c r="D635" s="5">
        <f>IFERROR(__xludf.DUMMYFUNCTION("""COMPUTED_VALUE"""),42642.66666666667)</f>
        <v>42642.66667</v>
      </c>
      <c r="E635" s="3">
        <f>IFERROR(__xludf.DUMMYFUNCTION("""COMPUTED_VALUE"""),38.75)</f>
        <v>38.75</v>
      </c>
      <c r="F635" s="3">
        <f t="shared" si="1"/>
        <v>-0.008480071375</v>
      </c>
    </row>
    <row r="636">
      <c r="A636" s="6"/>
      <c r="D636" s="5">
        <f>IFERROR(__xludf.DUMMYFUNCTION("""COMPUTED_VALUE"""),42643.66666666667)</f>
        <v>42643.66667</v>
      </c>
      <c r="E636" s="3">
        <f>IFERROR(__xludf.DUMMYFUNCTION("""COMPUTED_VALUE"""),38.86)</f>
        <v>38.86</v>
      </c>
      <c r="F636" s="3">
        <f t="shared" si="1"/>
        <v>0.00283468815</v>
      </c>
    </row>
    <row r="637">
      <c r="A637" s="6"/>
      <c r="D637" s="5">
        <f>IFERROR(__xludf.DUMMYFUNCTION("""COMPUTED_VALUE"""),42646.66666666667)</f>
        <v>42646.66667</v>
      </c>
      <c r="E637" s="3">
        <f>IFERROR(__xludf.DUMMYFUNCTION("""COMPUTED_VALUE"""),38.63)</f>
        <v>38.63</v>
      </c>
      <c r="F637" s="3">
        <f t="shared" si="1"/>
        <v>-0.005936267271</v>
      </c>
    </row>
    <row r="638">
      <c r="A638" s="6"/>
      <c r="D638" s="5">
        <f>IFERROR(__xludf.DUMMYFUNCTION("""COMPUTED_VALUE"""),42647.66666666667)</f>
        <v>42647.66667</v>
      </c>
      <c r="E638" s="3">
        <f>IFERROR(__xludf.DUMMYFUNCTION("""COMPUTED_VALUE"""),38.82)</f>
        <v>38.82</v>
      </c>
      <c r="F638" s="3">
        <f t="shared" si="1"/>
        <v>0.004906401063</v>
      </c>
    </row>
    <row r="639">
      <c r="A639" s="6"/>
      <c r="D639" s="5">
        <f>IFERROR(__xludf.DUMMYFUNCTION("""COMPUTED_VALUE"""),42648.66666666667)</f>
        <v>42648.66667</v>
      </c>
      <c r="E639" s="3">
        <f>IFERROR(__xludf.DUMMYFUNCTION("""COMPUTED_VALUE"""),38.82)</f>
        <v>38.82</v>
      </c>
      <c r="F639" s="3">
        <f t="shared" si="1"/>
        <v>0</v>
      </c>
    </row>
    <row r="640">
      <c r="A640" s="6"/>
      <c r="D640" s="5">
        <f>IFERROR(__xludf.DUMMYFUNCTION("""COMPUTED_VALUE"""),42649.66666666667)</f>
        <v>42649.66667</v>
      </c>
      <c r="E640" s="3">
        <f>IFERROR(__xludf.DUMMYFUNCTION("""COMPUTED_VALUE"""),38.84)</f>
        <v>38.84</v>
      </c>
      <c r="F640" s="3">
        <f t="shared" si="1"/>
        <v>0.0005150656823</v>
      </c>
    </row>
    <row r="641">
      <c r="A641" s="6"/>
      <c r="D641" s="5">
        <f>IFERROR(__xludf.DUMMYFUNCTION("""COMPUTED_VALUE"""),42650.66666666667)</f>
        <v>42650.66667</v>
      </c>
      <c r="E641" s="3">
        <f>IFERROR(__xludf.DUMMYFUNCTION("""COMPUTED_VALUE"""),38.75)</f>
        <v>38.75</v>
      </c>
      <c r="F641" s="3">
        <f t="shared" si="1"/>
        <v>-0.002319887624</v>
      </c>
    </row>
    <row r="642">
      <c r="A642" s="6"/>
      <c r="D642" s="5">
        <f>IFERROR(__xludf.DUMMYFUNCTION("""COMPUTED_VALUE"""),42653.66666666667)</f>
        <v>42653.66667</v>
      </c>
      <c r="E642" s="3">
        <f>IFERROR(__xludf.DUMMYFUNCTION("""COMPUTED_VALUE"""),39.3)</f>
        <v>39.3</v>
      </c>
      <c r="F642" s="3">
        <f t="shared" si="1"/>
        <v>0.01409376308</v>
      </c>
    </row>
    <row r="643">
      <c r="A643" s="6"/>
      <c r="D643" s="5">
        <f>IFERROR(__xludf.DUMMYFUNCTION("""COMPUTED_VALUE"""),42654.66666666667)</f>
        <v>42654.66667</v>
      </c>
      <c r="E643" s="3">
        <f>IFERROR(__xludf.DUMMYFUNCTION("""COMPUTED_VALUE"""),39.15)</f>
        <v>39.15</v>
      </c>
      <c r="F643" s="3">
        <f t="shared" si="1"/>
        <v>-0.003824096438</v>
      </c>
    </row>
    <row r="644">
      <c r="A644" s="6"/>
      <c r="D644" s="5">
        <f>IFERROR(__xludf.DUMMYFUNCTION("""COMPUTED_VALUE"""),42655.66666666667)</f>
        <v>42655.66667</v>
      </c>
      <c r="E644" s="3">
        <f>IFERROR(__xludf.DUMMYFUNCTION("""COMPUTED_VALUE"""),39.31)</f>
        <v>39.31</v>
      </c>
      <c r="F644" s="3">
        <f t="shared" si="1"/>
        <v>0.004078516997</v>
      </c>
    </row>
    <row r="645">
      <c r="A645" s="6"/>
      <c r="D645" s="5">
        <f>IFERROR(__xludf.DUMMYFUNCTION("""COMPUTED_VALUE"""),42656.66666666667)</f>
        <v>42656.66667</v>
      </c>
      <c r="E645" s="3">
        <f>IFERROR(__xludf.DUMMYFUNCTION("""COMPUTED_VALUE"""),38.91)</f>
        <v>38.91</v>
      </c>
      <c r="F645" s="3">
        <f t="shared" si="1"/>
        <v>-0.01022765244</v>
      </c>
    </row>
    <row r="646">
      <c r="A646" s="6"/>
      <c r="D646" s="5">
        <f>IFERROR(__xludf.DUMMYFUNCTION("""COMPUTED_VALUE"""),42657.66666666667)</f>
        <v>42657.66667</v>
      </c>
      <c r="E646" s="3">
        <f>IFERROR(__xludf.DUMMYFUNCTION("""COMPUTED_VALUE"""),38.93)</f>
        <v>38.93</v>
      </c>
      <c r="F646" s="3">
        <f t="shared" si="1"/>
        <v>0.0005138746259</v>
      </c>
    </row>
    <row r="647">
      <c r="A647" s="6"/>
      <c r="D647" s="5">
        <f>IFERROR(__xludf.DUMMYFUNCTION("""COMPUTED_VALUE"""),42660.66666666667)</f>
        <v>42660.66667</v>
      </c>
      <c r="E647" s="3">
        <f>IFERROR(__xludf.DUMMYFUNCTION("""COMPUTED_VALUE"""),39.0)</f>
        <v>39</v>
      </c>
      <c r="F647" s="3">
        <f t="shared" si="1"/>
        <v>0.001796484507</v>
      </c>
    </row>
    <row r="648">
      <c r="A648" s="6"/>
      <c r="D648" s="5">
        <f>IFERROR(__xludf.DUMMYFUNCTION("""COMPUTED_VALUE"""),42661.66666666667)</f>
        <v>42661.66667</v>
      </c>
      <c r="E648" s="3">
        <f>IFERROR(__xludf.DUMMYFUNCTION("""COMPUTED_VALUE"""),39.76)</f>
        <v>39.76</v>
      </c>
      <c r="F648" s="3">
        <f t="shared" si="1"/>
        <v>0.01929973566</v>
      </c>
    </row>
    <row r="649">
      <c r="A649" s="6"/>
      <c r="D649" s="5">
        <f>IFERROR(__xludf.DUMMYFUNCTION("""COMPUTED_VALUE"""),42662.66666666667)</f>
        <v>42662.66667</v>
      </c>
      <c r="E649" s="3">
        <f>IFERROR(__xludf.DUMMYFUNCTION("""COMPUTED_VALUE"""),40.08)</f>
        <v>40.08</v>
      </c>
      <c r="F649" s="3">
        <f t="shared" si="1"/>
        <v>0.008016074988</v>
      </c>
    </row>
    <row r="650">
      <c r="A650" s="6"/>
      <c r="D650" s="5">
        <f>IFERROR(__xludf.DUMMYFUNCTION("""COMPUTED_VALUE"""),42663.66666666667)</f>
        <v>42663.66667</v>
      </c>
      <c r="E650" s="3">
        <f>IFERROR(__xludf.DUMMYFUNCTION("""COMPUTED_VALUE"""),39.85)</f>
        <v>39.85</v>
      </c>
      <c r="F650" s="3">
        <f t="shared" si="1"/>
        <v>-0.00575505154</v>
      </c>
    </row>
    <row r="651">
      <c r="A651" s="6"/>
      <c r="D651" s="5">
        <f>IFERROR(__xludf.DUMMYFUNCTION("""COMPUTED_VALUE"""),42664.66666666667)</f>
        <v>42664.66667</v>
      </c>
      <c r="E651" s="3">
        <f>IFERROR(__xludf.DUMMYFUNCTION("""COMPUTED_VALUE"""),39.97)</f>
        <v>39.97</v>
      </c>
      <c r="F651" s="3">
        <f t="shared" si="1"/>
        <v>0.003006767487</v>
      </c>
    </row>
    <row r="652">
      <c r="A652" s="6"/>
      <c r="D652" s="5">
        <f>IFERROR(__xludf.DUMMYFUNCTION("""COMPUTED_VALUE"""),42667.66666666667)</f>
        <v>42667.66667</v>
      </c>
      <c r="E652" s="3">
        <f>IFERROR(__xludf.DUMMYFUNCTION("""COMPUTED_VALUE"""),40.66)</f>
        <v>40.66</v>
      </c>
      <c r="F652" s="3">
        <f t="shared" si="1"/>
        <v>0.01711563548</v>
      </c>
    </row>
    <row r="653">
      <c r="A653" s="6"/>
      <c r="D653" s="5">
        <f>IFERROR(__xludf.DUMMYFUNCTION("""COMPUTED_VALUE"""),42668.66666666667)</f>
        <v>42668.66667</v>
      </c>
      <c r="E653" s="3">
        <f>IFERROR(__xludf.DUMMYFUNCTION("""COMPUTED_VALUE"""),40.38)</f>
        <v>40.38</v>
      </c>
      <c r="F653" s="3">
        <f t="shared" si="1"/>
        <v>-0.006910195316</v>
      </c>
    </row>
    <row r="654">
      <c r="A654" s="6"/>
      <c r="D654" s="5">
        <f>IFERROR(__xludf.DUMMYFUNCTION("""COMPUTED_VALUE"""),42669.66666666667)</f>
        <v>42669.66667</v>
      </c>
      <c r="E654" s="3">
        <f>IFERROR(__xludf.DUMMYFUNCTION("""COMPUTED_VALUE"""),39.95)</f>
        <v>39.95</v>
      </c>
      <c r="F654" s="3">
        <f t="shared" si="1"/>
        <v>-0.01070594067</v>
      </c>
    </row>
    <row r="655">
      <c r="A655" s="6"/>
      <c r="D655" s="5">
        <f>IFERROR(__xludf.DUMMYFUNCTION("""COMPUTED_VALUE"""),42670.66666666667)</f>
        <v>42670.66667</v>
      </c>
      <c r="E655" s="3">
        <f>IFERROR(__xludf.DUMMYFUNCTION("""COMPUTED_VALUE"""),39.77)</f>
        <v>39.77</v>
      </c>
      <c r="F655" s="3">
        <f t="shared" si="1"/>
        <v>-0.004515812993</v>
      </c>
    </row>
    <row r="656">
      <c r="A656" s="6"/>
      <c r="D656" s="5">
        <f>IFERROR(__xludf.DUMMYFUNCTION("""COMPUTED_VALUE"""),42671.66666666667)</f>
        <v>42671.66667</v>
      </c>
      <c r="E656" s="3">
        <f>IFERROR(__xludf.DUMMYFUNCTION("""COMPUTED_VALUE"""),39.77)</f>
        <v>39.77</v>
      </c>
      <c r="F656" s="3">
        <f t="shared" si="1"/>
        <v>0</v>
      </c>
    </row>
    <row r="657">
      <c r="A657" s="6"/>
      <c r="D657" s="5">
        <f>IFERROR(__xludf.DUMMYFUNCTION("""COMPUTED_VALUE"""),42674.66666666667)</f>
        <v>42674.66667</v>
      </c>
      <c r="E657" s="3">
        <f>IFERROR(__xludf.DUMMYFUNCTION("""COMPUTED_VALUE"""),39.23)</f>
        <v>39.23</v>
      </c>
      <c r="F657" s="3">
        <f t="shared" si="1"/>
        <v>-0.013671099</v>
      </c>
    </row>
    <row r="658">
      <c r="A658" s="6"/>
      <c r="D658" s="5">
        <f>IFERROR(__xludf.DUMMYFUNCTION("""COMPUTED_VALUE"""),42675.66666666667)</f>
        <v>42675.66667</v>
      </c>
      <c r="E658" s="3">
        <f>IFERROR(__xludf.DUMMYFUNCTION("""COMPUTED_VALUE"""),39.18)</f>
        <v>39.18</v>
      </c>
      <c r="F658" s="3">
        <f t="shared" si="1"/>
        <v>-0.001275347705</v>
      </c>
    </row>
    <row r="659">
      <c r="A659" s="6"/>
      <c r="D659" s="5">
        <f>IFERROR(__xludf.DUMMYFUNCTION("""COMPUTED_VALUE"""),42676.66666666667)</f>
        <v>42676.66667</v>
      </c>
      <c r="E659" s="3">
        <f>IFERROR(__xludf.DUMMYFUNCTION("""COMPUTED_VALUE"""),38.44)</f>
        <v>38.44</v>
      </c>
      <c r="F659" s="3">
        <f t="shared" si="1"/>
        <v>-0.01906782841</v>
      </c>
    </row>
    <row r="660">
      <c r="A660" s="6"/>
      <c r="D660" s="5">
        <f>IFERROR(__xludf.DUMMYFUNCTION("""COMPUTED_VALUE"""),42677.66666666667)</f>
        <v>42677.66667</v>
      </c>
      <c r="E660" s="3">
        <f>IFERROR(__xludf.DUMMYFUNCTION("""COMPUTED_VALUE"""),38.11)</f>
        <v>38.11</v>
      </c>
      <c r="F660" s="3">
        <f t="shared" si="1"/>
        <v>-0.008621869216</v>
      </c>
    </row>
    <row r="661">
      <c r="A661" s="6"/>
      <c r="D661" s="5">
        <f>IFERROR(__xludf.DUMMYFUNCTION("""COMPUTED_VALUE"""),42678.66666666667)</f>
        <v>42678.66667</v>
      </c>
      <c r="E661" s="3">
        <f>IFERROR(__xludf.DUMMYFUNCTION("""COMPUTED_VALUE"""),38.1)</f>
        <v>38.1</v>
      </c>
      <c r="F661" s="3">
        <f t="shared" si="1"/>
        <v>-0.0002624327531</v>
      </c>
    </row>
    <row r="662">
      <c r="A662" s="6"/>
      <c r="D662" s="5">
        <f>IFERROR(__xludf.DUMMYFUNCTION("""COMPUTED_VALUE"""),42681.66666666667)</f>
        <v>42681.66667</v>
      </c>
      <c r="E662" s="3">
        <f>IFERROR(__xludf.DUMMYFUNCTION("""COMPUTED_VALUE"""),39.13)</f>
        <v>39.13</v>
      </c>
      <c r="F662" s="3">
        <f t="shared" si="1"/>
        <v>0.02667515409</v>
      </c>
    </row>
    <row r="663">
      <c r="A663" s="6"/>
      <c r="D663" s="5">
        <f>IFERROR(__xludf.DUMMYFUNCTION("""COMPUTED_VALUE"""),42682.66666666667)</f>
        <v>42682.66667</v>
      </c>
      <c r="E663" s="3">
        <f>IFERROR(__xludf.DUMMYFUNCTION("""COMPUTED_VALUE"""),39.53)</f>
        <v>39.53</v>
      </c>
      <c r="F663" s="3">
        <f t="shared" si="1"/>
        <v>0.01017044109</v>
      </c>
    </row>
    <row r="664">
      <c r="A664" s="6"/>
      <c r="D664" s="5">
        <f>IFERROR(__xludf.DUMMYFUNCTION("""COMPUTED_VALUE"""),42683.66666666667)</f>
        <v>42683.66667</v>
      </c>
      <c r="E664" s="3">
        <f>IFERROR(__xludf.DUMMYFUNCTION("""COMPUTED_VALUE"""),39.27)</f>
        <v>39.27</v>
      </c>
      <c r="F664" s="3">
        <f t="shared" si="1"/>
        <v>-0.006599008719</v>
      </c>
    </row>
    <row r="665">
      <c r="A665" s="6"/>
      <c r="D665" s="5">
        <f>IFERROR(__xludf.DUMMYFUNCTION("""COMPUTED_VALUE"""),42684.66666666667)</f>
        <v>42684.66667</v>
      </c>
      <c r="E665" s="3">
        <f>IFERROR(__xludf.DUMMYFUNCTION("""COMPUTED_VALUE"""),38.13)</f>
        <v>38.13</v>
      </c>
      <c r="F665" s="3">
        <f t="shared" si="1"/>
        <v>-0.02945949472</v>
      </c>
    </row>
    <row r="666">
      <c r="A666" s="6"/>
      <c r="D666" s="5">
        <f>IFERROR(__xludf.DUMMYFUNCTION("""COMPUTED_VALUE"""),42685.66666666667)</f>
        <v>42685.66667</v>
      </c>
      <c r="E666" s="3">
        <f>IFERROR(__xludf.DUMMYFUNCTION("""COMPUTED_VALUE"""),37.7)</f>
        <v>37.7</v>
      </c>
      <c r="F666" s="3">
        <f t="shared" si="1"/>
        <v>-0.01134127942</v>
      </c>
    </row>
    <row r="667">
      <c r="A667" s="6"/>
      <c r="D667" s="5">
        <f>IFERROR(__xludf.DUMMYFUNCTION("""COMPUTED_VALUE"""),42688.66666666667)</f>
        <v>42688.66667</v>
      </c>
      <c r="E667" s="3">
        <f>IFERROR(__xludf.DUMMYFUNCTION("""COMPUTED_VALUE"""),36.8)</f>
        <v>36.8</v>
      </c>
      <c r="F667" s="3">
        <f t="shared" si="1"/>
        <v>-0.02416224928</v>
      </c>
    </row>
    <row r="668">
      <c r="A668" s="6"/>
      <c r="D668" s="5">
        <f>IFERROR(__xludf.DUMMYFUNCTION("""COMPUTED_VALUE"""),42689.66666666667)</f>
        <v>42689.66667</v>
      </c>
      <c r="E668" s="3">
        <f>IFERROR(__xludf.DUMMYFUNCTION("""COMPUTED_VALUE"""),37.92)</f>
        <v>37.92</v>
      </c>
      <c r="F668" s="3">
        <f t="shared" si="1"/>
        <v>0.02998083221</v>
      </c>
    </row>
    <row r="669">
      <c r="A669" s="6"/>
      <c r="D669" s="5">
        <f>IFERROR(__xludf.DUMMYFUNCTION("""COMPUTED_VALUE"""),42690.66666666667)</f>
        <v>42690.66667</v>
      </c>
      <c r="E669" s="3">
        <f>IFERROR(__xludf.DUMMYFUNCTION("""COMPUTED_VALUE"""),38.22)</f>
        <v>38.22</v>
      </c>
      <c r="F669" s="3">
        <f t="shared" si="1"/>
        <v>0.007880261425</v>
      </c>
    </row>
    <row r="670">
      <c r="A670" s="6"/>
      <c r="D670" s="5">
        <f>IFERROR(__xludf.DUMMYFUNCTION("""COMPUTED_VALUE"""),42691.66666666667)</f>
        <v>42691.66667</v>
      </c>
      <c r="E670" s="3">
        <f>IFERROR(__xludf.DUMMYFUNCTION("""COMPUTED_VALUE"""),38.56)</f>
        <v>38.56</v>
      </c>
      <c r="F670" s="3">
        <f t="shared" si="1"/>
        <v>0.00885653093</v>
      </c>
    </row>
    <row r="671">
      <c r="A671" s="6"/>
      <c r="D671" s="5">
        <f>IFERROR(__xludf.DUMMYFUNCTION("""COMPUTED_VALUE"""),42692.66666666667)</f>
        <v>42692.66667</v>
      </c>
      <c r="E671" s="3">
        <f>IFERROR(__xludf.DUMMYFUNCTION("""COMPUTED_VALUE"""),38.03)</f>
        <v>38.03</v>
      </c>
      <c r="F671" s="3">
        <f t="shared" si="1"/>
        <v>-0.0138401478</v>
      </c>
    </row>
    <row r="672">
      <c r="A672" s="6"/>
      <c r="D672" s="5">
        <f>IFERROR(__xludf.DUMMYFUNCTION("""COMPUTED_VALUE"""),42695.66666666667)</f>
        <v>42695.66667</v>
      </c>
      <c r="E672" s="3">
        <f>IFERROR(__xludf.DUMMYFUNCTION("""COMPUTED_VALUE"""),38.46)</f>
        <v>38.46</v>
      </c>
      <c r="F672" s="3">
        <f t="shared" si="1"/>
        <v>0.01124341822</v>
      </c>
    </row>
    <row r="673">
      <c r="A673" s="6"/>
      <c r="D673" s="5">
        <f>IFERROR(__xludf.DUMMYFUNCTION("""COMPUTED_VALUE"""),42696.66666666667)</f>
        <v>42696.66667</v>
      </c>
      <c r="E673" s="3">
        <f>IFERROR(__xludf.DUMMYFUNCTION("""COMPUTED_VALUE"""),38.41)</f>
        <v>38.41</v>
      </c>
      <c r="F673" s="3">
        <f t="shared" si="1"/>
        <v>-0.001300897803</v>
      </c>
    </row>
    <row r="674">
      <c r="A674" s="6"/>
      <c r="D674" s="5">
        <f>IFERROR(__xludf.DUMMYFUNCTION("""COMPUTED_VALUE"""),42697.66666666667)</f>
        <v>42697.66667</v>
      </c>
      <c r="E674" s="3">
        <f>IFERROR(__xludf.DUMMYFUNCTION("""COMPUTED_VALUE"""),38.05)</f>
        <v>38.05</v>
      </c>
      <c r="F674" s="3">
        <f t="shared" si="1"/>
        <v>-0.00941675805</v>
      </c>
    </row>
    <row r="675">
      <c r="A675" s="6"/>
      <c r="D675" s="5">
        <f>IFERROR(__xludf.DUMMYFUNCTION("""COMPUTED_VALUE"""),42699.66666666667)</f>
        <v>42699.66667</v>
      </c>
      <c r="E675" s="3">
        <f>IFERROR(__xludf.DUMMYFUNCTION("""COMPUTED_VALUE"""),38.08)</f>
        <v>38.08</v>
      </c>
      <c r="F675" s="3">
        <f t="shared" si="1"/>
        <v>0.0007881256155</v>
      </c>
    </row>
    <row r="676">
      <c r="A676" s="6"/>
      <c r="D676" s="5">
        <f>IFERROR(__xludf.DUMMYFUNCTION("""COMPUTED_VALUE"""),42702.66666666667)</f>
        <v>42702.66667</v>
      </c>
      <c r="E676" s="3">
        <f>IFERROR(__xludf.DUMMYFUNCTION("""COMPUTED_VALUE"""),38.41)</f>
        <v>38.41</v>
      </c>
      <c r="F676" s="3">
        <f t="shared" si="1"/>
        <v>0.008628632435</v>
      </c>
    </row>
    <row r="677">
      <c r="A677" s="6"/>
      <c r="D677" s="5">
        <f>IFERROR(__xludf.DUMMYFUNCTION("""COMPUTED_VALUE"""),42703.66666666667)</f>
        <v>42703.66667</v>
      </c>
      <c r="E677" s="3">
        <f>IFERROR(__xludf.DUMMYFUNCTION("""COMPUTED_VALUE"""),38.54)</f>
        <v>38.54</v>
      </c>
      <c r="F677" s="3">
        <f t="shared" si="1"/>
        <v>0.003378820628</v>
      </c>
    </row>
    <row r="678">
      <c r="A678" s="6"/>
      <c r="D678" s="5">
        <f>IFERROR(__xludf.DUMMYFUNCTION("""COMPUTED_VALUE"""),42704.66666666667)</f>
        <v>42704.66667</v>
      </c>
      <c r="E678" s="3">
        <f>IFERROR(__xludf.DUMMYFUNCTION("""COMPUTED_VALUE"""),37.9)</f>
        <v>37.9</v>
      </c>
      <c r="F678" s="3">
        <f t="shared" si="1"/>
        <v>-0.0167455509</v>
      </c>
    </row>
    <row r="679">
      <c r="A679" s="6"/>
      <c r="D679" s="5">
        <f>IFERROR(__xludf.DUMMYFUNCTION("""COMPUTED_VALUE"""),42705.66666666667)</f>
        <v>42705.66667</v>
      </c>
      <c r="E679" s="3">
        <f>IFERROR(__xludf.DUMMYFUNCTION("""COMPUTED_VALUE"""),37.4)</f>
        <v>37.4</v>
      </c>
      <c r="F679" s="3">
        <f t="shared" si="1"/>
        <v>-0.01328040767</v>
      </c>
    </row>
    <row r="680">
      <c r="A680" s="6"/>
      <c r="D680" s="5">
        <f>IFERROR(__xludf.DUMMYFUNCTION("""COMPUTED_VALUE"""),42706.66666666667)</f>
        <v>42706.66667</v>
      </c>
      <c r="E680" s="3">
        <f>IFERROR(__xludf.DUMMYFUNCTION("""COMPUTED_VALUE"""),37.53)</f>
        <v>37.53</v>
      </c>
      <c r="F680" s="3">
        <f t="shared" si="1"/>
        <v>0.003469908726</v>
      </c>
    </row>
    <row r="681">
      <c r="A681" s="6"/>
      <c r="D681" s="5">
        <f>IFERROR(__xludf.DUMMYFUNCTION("""COMPUTED_VALUE"""),42709.66666666667)</f>
        <v>42709.66667</v>
      </c>
      <c r="E681" s="3">
        <f>IFERROR(__xludf.DUMMYFUNCTION("""COMPUTED_VALUE"""),38.13)</f>
        <v>38.13</v>
      </c>
      <c r="F681" s="3">
        <f t="shared" si="1"/>
        <v>0.01586076072</v>
      </c>
    </row>
    <row r="682">
      <c r="A682" s="6"/>
      <c r="D682" s="5">
        <f>IFERROR(__xludf.DUMMYFUNCTION("""COMPUTED_VALUE"""),42710.66666666667)</f>
        <v>42710.66667</v>
      </c>
      <c r="E682" s="3">
        <f>IFERROR(__xludf.DUMMYFUNCTION("""COMPUTED_VALUE"""),37.96)</f>
        <v>37.96</v>
      </c>
      <c r="F682" s="3">
        <f t="shared" si="1"/>
        <v>-0.004468400128</v>
      </c>
    </row>
    <row r="683">
      <c r="A683" s="6"/>
      <c r="D683" s="5">
        <f>IFERROR(__xludf.DUMMYFUNCTION("""COMPUTED_VALUE"""),42711.66666666667)</f>
        <v>42711.66667</v>
      </c>
      <c r="E683" s="3">
        <f>IFERROR(__xludf.DUMMYFUNCTION("""COMPUTED_VALUE"""),38.56)</f>
        <v>38.56</v>
      </c>
      <c r="F683" s="3">
        <f t="shared" si="1"/>
        <v>0.015682496</v>
      </c>
    </row>
    <row r="684">
      <c r="A684" s="6"/>
      <c r="D684" s="5">
        <f>IFERROR(__xludf.DUMMYFUNCTION("""COMPUTED_VALUE"""),42712.66666666667)</f>
        <v>42712.66667</v>
      </c>
      <c r="E684" s="3">
        <f>IFERROR(__xludf.DUMMYFUNCTION("""COMPUTED_VALUE"""),38.82)</f>
        <v>38.82</v>
      </c>
      <c r="F684" s="3">
        <f t="shared" si="1"/>
        <v>0.006720107999</v>
      </c>
    </row>
    <row r="685">
      <c r="A685" s="6"/>
      <c r="D685" s="5">
        <f>IFERROR(__xludf.DUMMYFUNCTION("""COMPUTED_VALUE"""),42713.66666666667)</f>
        <v>42713.66667</v>
      </c>
      <c r="E685" s="3">
        <f>IFERROR(__xludf.DUMMYFUNCTION("""COMPUTED_VALUE"""),39.46)</f>
        <v>39.46</v>
      </c>
      <c r="F685" s="3">
        <f t="shared" si="1"/>
        <v>0.01635192285</v>
      </c>
    </row>
    <row r="686">
      <c r="A686" s="6"/>
      <c r="D686" s="5">
        <f>IFERROR(__xludf.DUMMYFUNCTION("""COMPUTED_VALUE"""),42716.66666666667)</f>
        <v>42716.66667</v>
      </c>
      <c r="E686" s="3">
        <f>IFERROR(__xludf.DUMMYFUNCTION("""COMPUTED_VALUE"""),39.46)</f>
        <v>39.46</v>
      </c>
      <c r="F686" s="3">
        <f t="shared" si="1"/>
        <v>0</v>
      </c>
    </row>
    <row r="687">
      <c r="A687" s="6"/>
      <c r="D687" s="5">
        <f>IFERROR(__xludf.DUMMYFUNCTION("""COMPUTED_VALUE"""),42717.66666666667)</f>
        <v>42717.66667</v>
      </c>
      <c r="E687" s="3">
        <f>IFERROR(__xludf.DUMMYFUNCTION("""COMPUTED_VALUE"""),39.81)</f>
        <v>39.81</v>
      </c>
      <c r="F687" s="3">
        <f t="shared" si="1"/>
        <v>0.008830636418</v>
      </c>
    </row>
    <row r="688">
      <c r="A688" s="6"/>
      <c r="D688" s="5">
        <f>IFERROR(__xludf.DUMMYFUNCTION("""COMPUTED_VALUE"""),42718.66666666667)</f>
        <v>42718.66667</v>
      </c>
      <c r="E688" s="3">
        <f>IFERROR(__xludf.DUMMYFUNCTION("""COMPUTED_VALUE"""),39.85)</f>
        <v>39.85</v>
      </c>
      <c r="F688" s="3">
        <f t="shared" si="1"/>
        <v>0.001004268224</v>
      </c>
    </row>
    <row r="689">
      <c r="A689" s="6"/>
      <c r="D689" s="5">
        <f>IFERROR(__xludf.DUMMYFUNCTION("""COMPUTED_VALUE"""),42719.66666666667)</f>
        <v>42719.66667</v>
      </c>
      <c r="E689" s="3">
        <f>IFERROR(__xludf.DUMMYFUNCTION("""COMPUTED_VALUE"""),39.89)</f>
        <v>39.89</v>
      </c>
      <c r="F689" s="3">
        <f t="shared" si="1"/>
        <v>0.001003260681</v>
      </c>
    </row>
    <row r="690">
      <c r="A690" s="6"/>
      <c r="D690" s="5">
        <f>IFERROR(__xludf.DUMMYFUNCTION("""COMPUTED_VALUE"""),42720.66666666667)</f>
        <v>42720.66667</v>
      </c>
      <c r="E690" s="3">
        <f>IFERROR(__xludf.DUMMYFUNCTION("""COMPUTED_VALUE"""),39.54)</f>
        <v>39.54</v>
      </c>
      <c r="F690" s="3">
        <f t="shared" si="1"/>
        <v>-0.008812848175</v>
      </c>
    </row>
    <row r="691">
      <c r="A691" s="6"/>
      <c r="D691" s="5">
        <f>IFERROR(__xludf.DUMMYFUNCTION("""COMPUTED_VALUE"""),42723.66666666667)</f>
        <v>42723.66667</v>
      </c>
      <c r="E691" s="3">
        <f>IFERROR(__xludf.DUMMYFUNCTION("""COMPUTED_VALUE"""),39.71)</f>
        <v>39.71</v>
      </c>
      <c r="F691" s="3">
        <f t="shared" si="1"/>
        <v>0.004290227401</v>
      </c>
    </row>
    <row r="692">
      <c r="A692" s="6"/>
      <c r="D692" s="5">
        <f>IFERROR(__xludf.DUMMYFUNCTION("""COMPUTED_VALUE"""),42724.66666666667)</f>
        <v>42724.66667</v>
      </c>
      <c r="E692" s="3">
        <f>IFERROR(__xludf.DUMMYFUNCTION("""COMPUTED_VALUE"""),39.82)</f>
        <v>39.82</v>
      </c>
      <c r="F692" s="3">
        <f t="shared" si="1"/>
        <v>0.002766253493</v>
      </c>
    </row>
    <row r="693">
      <c r="A693" s="6"/>
      <c r="D693" s="5">
        <f>IFERROR(__xludf.DUMMYFUNCTION("""COMPUTED_VALUE"""),42725.66666666667)</f>
        <v>42725.66667</v>
      </c>
      <c r="E693" s="3">
        <f>IFERROR(__xludf.DUMMYFUNCTION("""COMPUTED_VALUE"""),39.73)</f>
        <v>39.73</v>
      </c>
      <c r="F693" s="3">
        <f t="shared" si="1"/>
        <v>-0.00226272881</v>
      </c>
    </row>
    <row r="694">
      <c r="A694" s="6"/>
      <c r="D694" s="5">
        <f>IFERROR(__xludf.DUMMYFUNCTION("""COMPUTED_VALUE"""),42726.66666666667)</f>
        <v>42726.66667</v>
      </c>
      <c r="E694" s="3">
        <f>IFERROR(__xludf.DUMMYFUNCTION("""COMPUTED_VALUE"""),39.56)</f>
        <v>39.56</v>
      </c>
      <c r="F694" s="3">
        <f t="shared" si="1"/>
        <v>-0.004288063072</v>
      </c>
    </row>
    <row r="695">
      <c r="A695" s="6"/>
      <c r="D695" s="5">
        <f>IFERROR(__xludf.DUMMYFUNCTION("""COMPUTED_VALUE"""),42727.66666666667)</f>
        <v>42727.66667</v>
      </c>
      <c r="E695" s="3">
        <f>IFERROR(__xludf.DUMMYFUNCTION("""COMPUTED_VALUE"""),39.5)</f>
        <v>39.5</v>
      </c>
      <c r="F695" s="3">
        <f t="shared" si="1"/>
        <v>-0.001517834847</v>
      </c>
    </row>
    <row r="696">
      <c r="A696" s="6"/>
      <c r="D696" s="5">
        <f>IFERROR(__xludf.DUMMYFUNCTION("""COMPUTED_VALUE"""),42731.66666666667)</f>
        <v>42731.66667</v>
      </c>
      <c r="E696" s="3">
        <f>IFERROR(__xludf.DUMMYFUNCTION("""COMPUTED_VALUE"""),39.58)</f>
        <v>39.58</v>
      </c>
      <c r="F696" s="3">
        <f t="shared" si="1"/>
        <v>0.002023268267</v>
      </c>
    </row>
    <row r="697">
      <c r="A697" s="6"/>
      <c r="D697" s="5">
        <f>IFERROR(__xludf.DUMMYFUNCTION("""COMPUTED_VALUE"""),42732.66666666667)</f>
        <v>42732.66667</v>
      </c>
      <c r="E697" s="3">
        <f>IFERROR(__xludf.DUMMYFUNCTION("""COMPUTED_VALUE"""),39.25)</f>
        <v>39.25</v>
      </c>
      <c r="F697" s="3">
        <f t="shared" si="1"/>
        <v>-0.008372495946</v>
      </c>
    </row>
    <row r="698">
      <c r="A698" s="6"/>
      <c r="D698" s="5">
        <f>IFERROR(__xludf.DUMMYFUNCTION("""COMPUTED_VALUE"""),42733.66666666667)</f>
        <v>42733.66667</v>
      </c>
      <c r="E698" s="3">
        <f>IFERROR(__xludf.DUMMYFUNCTION("""COMPUTED_VALUE"""),39.14)</f>
        <v>39.14</v>
      </c>
      <c r="F698" s="3">
        <f t="shared" si="1"/>
        <v>-0.00280648226</v>
      </c>
    </row>
    <row r="699">
      <c r="A699" s="6"/>
      <c r="D699" s="5">
        <f>IFERROR(__xludf.DUMMYFUNCTION("""COMPUTED_VALUE"""),42734.66666666667)</f>
        <v>42734.66667</v>
      </c>
      <c r="E699" s="3">
        <f>IFERROR(__xludf.DUMMYFUNCTION("""COMPUTED_VALUE"""),38.59)</f>
        <v>38.59</v>
      </c>
      <c r="F699" s="3">
        <f t="shared" si="1"/>
        <v>-0.01415178642</v>
      </c>
    </row>
    <row r="700">
      <c r="A700" s="6"/>
      <c r="D700" s="5">
        <f>IFERROR(__xludf.DUMMYFUNCTION("""COMPUTED_VALUE"""),42738.66666666667)</f>
        <v>42738.66667</v>
      </c>
      <c r="E700" s="3">
        <f>IFERROR(__xludf.DUMMYFUNCTION("""COMPUTED_VALUE"""),39.31)</f>
        <v>39.31</v>
      </c>
      <c r="F700" s="3">
        <f t="shared" si="1"/>
        <v>0.01848576388</v>
      </c>
    </row>
    <row r="701">
      <c r="A701" s="6"/>
      <c r="D701" s="5">
        <f>IFERROR(__xludf.DUMMYFUNCTION("""COMPUTED_VALUE"""),42739.66666666667)</f>
        <v>42739.66667</v>
      </c>
      <c r="E701" s="3">
        <f>IFERROR(__xludf.DUMMYFUNCTION("""COMPUTED_VALUE"""),39.35)</f>
        <v>39.35</v>
      </c>
      <c r="F701" s="3">
        <f t="shared" si="1"/>
        <v>0.00101703543</v>
      </c>
    </row>
    <row r="702">
      <c r="A702" s="6"/>
      <c r="D702" s="5">
        <f>IFERROR(__xludf.DUMMYFUNCTION("""COMPUTED_VALUE"""),42740.66666666667)</f>
        <v>42740.66667</v>
      </c>
      <c r="E702" s="3">
        <f>IFERROR(__xludf.DUMMYFUNCTION("""COMPUTED_VALUE"""),39.7)</f>
        <v>39.7</v>
      </c>
      <c r="F702" s="3">
        <f t="shared" si="1"/>
        <v>0.00885521283</v>
      </c>
    </row>
    <row r="703">
      <c r="A703" s="6"/>
      <c r="D703" s="5">
        <f>IFERROR(__xludf.DUMMYFUNCTION("""COMPUTED_VALUE"""),42741.66666666667)</f>
        <v>42741.66667</v>
      </c>
      <c r="E703" s="3">
        <f>IFERROR(__xludf.DUMMYFUNCTION("""COMPUTED_VALUE"""),40.31)</f>
        <v>40.31</v>
      </c>
      <c r="F703" s="3">
        <f t="shared" si="1"/>
        <v>0.01524838944</v>
      </c>
    </row>
    <row r="704">
      <c r="A704" s="6"/>
      <c r="D704" s="5">
        <f>IFERROR(__xludf.DUMMYFUNCTION("""COMPUTED_VALUE"""),42744.66666666667)</f>
        <v>42744.66667</v>
      </c>
      <c r="E704" s="3">
        <f>IFERROR(__xludf.DUMMYFUNCTION("""COMPUTED_VALUE"""),40.33)</f>
        <v>40.33</v>
      </c>
      <c r="F704" s="3">
        <f t="shared" si="1"/>
        <v>0.0004960317562</v>
      </c>
    </row>
    <row r="705">
      <c r="A705" s="6"/>
      <c r="D705" s="5">
        <f>IFERROR(__xludf.DUMMYFUNCTION("""COMPUTED_VALUE"""),42745.66666666667)</f>
        <v>42745.66667</v>
      </c>
      <c r="E705" s="3">
        <f>IFERROR(__xludf.DUMMYFUNCTION("""COMPUTED_VALUE"""),40.24)</f>
        <v>40.24</v>
      </c>
      <c r="F705" s="3">
        <f t="shared" si="1"/>
        <v>-0.002234083094</v>
      </c>
    </row>
    <row r="706">
      <c r="A706" s="6"/>
      <c r="D706" s="5">
        <f>IFERROR(__xludf.DUMMYFUNCTION("""COMPUTED_VALUE"""),42746.66666666667)</f>
        <v>42746.66667</v>
      </c>
      <c r="E706" s="3">
        <f>IFERROR(__xludf.DUMMYFUNCTION("""COMPUTED_VALUE"""),40.4)</f>
        <v>40.4</v>
      </c>
      <c r="F706" s="3">
        <f t="shared" si="1"/>
        <v>0.003968259176</v>
      </c>
    </row>
    <row r="707">
      <c r="A707" s="6"/>
      <c r="D707" s="5">
        <f>IFERROR(__xludf.DUMMYFUNCTION("""COMPUTED_VALUE"""),42747.66666666667)</f>
        <v>42747.66667</v>
      </c>
      <c r="E707" s="3">
        <f>IFERROR(__xludf.DUMMYFUNCTION("""COMPUTED_VALUE"""),40.32)</f>
        <v>40.32</v>
      </c>
      <c r="F707" s="3">
        <f t="shared" si="1"/>
        <v>-0.001982161204</v>
      </c>
    </row>
    <row r="708">
      <c r="A708" s="6"/>
      <c r="D708" s="5">
        <f>IFERROR(__xludf.DUMMYFUNCTION("""COMPUTED_VALUE"""),42748.66666666667)</f>
        <v>42748.66667</v>
      </c>
      <c r="E708" s="3">
        <f>IFERROR(__xludf.DUMMYFUNCTION("""COMPUTED_VALUE"""),40.39)</f>
        <v>40.39</v>
      </c>
      <c r="F708" s="3">
        <f t="shared" si="1"/>
        <v>0.001734605812</v>
      </c>
    </row>
    <row r="709">
      <c r="A709" s="6"/>
      <c r="D709" s="5">
        <f>IFERROR(__xludf.DUMMYFUNCTION("""COMPUTED_VALUE"""),42752.66666666667)</f>
        <v>42752.66667</v>
      </c>
      <c r="E709" s="3">
        <f>IFERROR(__xludf.DUMMYFUNCTION("""COMPUTED_VALUE"""),40.23)</f>
        <v>40.23</v>
      </c>
      <c r="F709" s="3">
        <f t="shared" si="1"/>
        <v>-0.003969243614</v>
      </c>
    </row>
    <row r="710">
      <c r="A710" s="6"/>
      <c r="D710" s="5">
        <f>IFERROR(__xludf.DUMMYFUNCTION("""COMPUTED_VALUE"""),42753.66666666667)</f>
        <v>42753.66667</v>
      </c>
      <c r="E710" s="3">
        <f>IFERROR(__xludf.DUMMYFUNCTION("""COMPUTED_VALUE"""),40.3)</f>
        <v>40.3</v>
      </c>
      <c r="F710" s="3">
        <f t="shared" si="1"/>
        <v>0.001738482991</v>
      </c>
    </row>
    <row r="711">
      <c r="A711" s="6"/>
      <c r="D711" s="5">
        <f>IFERROR(__xludf.DUMMYFUNCTION("""COMPUTED_VALUE"""),42754.66666666667)</f>
        <v>42754.66667</v>
      </c>
      <c r="E711" s="3">
        <f>IFERROR(__xludf.DUMMYFUNCTION("""COMPUTED_VALUE"""),40.11)</f>
        <v>40.11</v>
      </c>
      <c r="F711" s="3">
        <f t="shared" si="1"/>
        <v>-0.004725789171</v>
      </c>
    </row>
    <row r="712">
      <c r="A712" s="6"/>
      <c r="D712" s="5">
        <f>IFERROR(__xludf.DUMMYFUNCTION("""COMPUTED_VALUE"""),42755.66666666667)</f>
        <v>42755.66667</v>
      </c>
      <c r="E712" s="3">
        <f>IFERROR(__xludf.DUMMYFUNCTION("""COMPUTED_VALUE"""),40.25)</f>
        <v>40.25</v>
      </c>
      <c r="F712" s="3">
        <f t="shared" si="1"/>
        <v>0.003484324083</v>
      </c>
    </row>
    <row r="713">
      <c r="A713" s="6"/>
      <c r="D713" s="5">
        <f>IFERROR(__xludf.DUMMYFUNCTION("""COMPUTED_VALUE"""),42758.66666666667)</f>
        <v>42758.66667</v>
      </c>
      <c r="E713" s="3">
        <f>IFERROR(__xludf.DUMMYFUNCTION("""COMPUTED_VALUE"""),40.97)</f>
        <v>40.97</v>
      </c>
      <c r="F713" s="3">
        <f t="shared" si="1"/>
        <v>0.01773008769</v>
      </c>
    </row>
    <row r="714">
      <c r="A714" s="6"/>
      <c r="D714" s="5">
        <f>IFERROR(__xludf.DUMMYFUNCTION("""COMPUTED_VALUE"""),42759.66666666667)</f>
        <v>42759.66667</v>
      </c>
      <c r="E714" s="3">
        <f>IFERROR(__xludf.DUMMYFUNCTION("""COMPUTED_VALUE"""),41.19)</f>
        <v>41.19</v>
      </c>
      <c r="F714" s="3">
        <f t="shared" si="1"/>
        <v>0.005355416889</v>
      </c>
    </row>
    <row r="715">
      <c r="A715" s="6"/>
      <c r="D715" s="5">
        <f>IFERROR(__xludf.DUMMYFUNCTION("""COMPUTED_VALUE"""),42760.66666666667)</f>
        <v>42760.66667</v>
      </c>
      <c r="E715" s="3">
        <f>IFERROR(__xludf.DUMMYFUNCTION("""COMPUTED_VALUE"""),41.78)</f>
        <v>41.78</v>
      </c>
      <c r="F715" s="3">
        <f t="shared" si="1"/>
        <v>0.01422224768</v>
      </c>
    </row>
    <row r="716">
      <c r="A716" s="6"/>
      <c r="D716" s="5">
        <f>IFERROR(__xludf.DUMMYFUNCTION("""COMPUTED_VALUE"""),42761.66666666667)</f>
        <v>42761.66667</v>
      </c>
      <c r="E716" s="3">
        <f>IFERROR(__xludf.DUMMYFUNCTION("""COMPUTED_VALUE"""),41.61)</f>
        <v>41.61</v>
      </c>
      <c r="F716" s="3">
        <f t="shared" si="1"/>
        <v>-0.004077233134</v>
      </c>
    </row>
    <row r="717">
      <c r="A717" s="6"/>
      <c r="D717" s="5">
        <f>IFERROR(__xludf.DUMMYFUNCTION("""COMPUTED_VALUE"""),42762.66666666667)</f>
        <v>42762.66667</v>
      </c>
      <c r="E717" s="3">
        <f>IFERROR(__xludf.DUMMYFUNCTION("""COMPUTED_VALUE"""),41.17)</f>
        <v>41.17</v>
      </c>
      <c r="F717" s="3">
        <f t="shared" si="1"/>
        <v>-0.01063068721</v>
      </c>
    </row>
    <row r="718">
      <c r="A718" s="6"/>
      <c r="D718" s="5">
        <f>IFERROR(__xludf.DUMMYFUNCTION("""COMPUTED_VALUE"""),42765.66666666667)</f>
        <v>42765.66667</v>
      </c>
      <c r="E718" s="3">
        <f>IFERROR(__xludf.DUMMYFUNCTION("""COMPUTED_VALUE"""),40.12)</f>
        <v>40.12</v>
      </c>
      <c r="F718" s="3">
        <f t="shared" si="1"/>
        <v>-0.02583487269</v>
      </c>
    </row>
    <row r="719">
      <c r="A719" s="6"/>
      <c r="D719" s="5">
        <f>IFERROR(__xludf.DUMMYFUNCTION("""COMPUTED_VALUE"""),42766.66666666667)</f>
        <v>42766.66667</v>
      </c>
      <c r="E719" s="3">
        <f>IFERROR(__xludf.DUMMYFUNCTION("""COMPUTED_VALUE"""),39.84)</f>
        <v>39.84</v>
      </c>
      <c r="F719" s="3">
        <f t="shared" si="1"/>
        <v>-0.007003530377</v>
      </c>
    </row>
    <row r="720">
      <c r="A720" s="6"/>
      <c r="D720" s="5">
        <f>IFERROR(__xludf.DUMMYFUNCTION("""COMPUTED_VALUE"""),42767.66666666667)</f>
        <v>42767.66667</v>
      </c>
      <c r="E720" s="3">
        <f>IFERROR(__xludf.DUMMYFUNCTION("""COMPUTED_VALUE"""),39.78)</f>
        <v>39.78</v>
      </c>
      <c r="F720" s="3">
        <f t="shared" si="1"/>
        <v>-0.001507159291</v>
      </c>
    </row>
    <row r="721">
      <c r="A721" s="6"/>
      <c r="D721" s="5">
        <f>IFERROR(__xludf.DUMMYFUNCTION("""COMPUTED_VALUE"""),42768.66666666667)</f>
        <v>42768.66667</v>
      </c>
      <c r="E721" s="3">
        <f>IFERROR(__xludf.DUMMYFUNCTION("""COMPUTED_VALUE"""),39.93)</f>
        <v>39.93</v>
      </c>
      <c r="F721" s="3">
        <f t="shared" si="1"/>
        <v>0.003763647649</v>
      </c>
    </row>
    <row r="722">
      <c r="A722" s="6"/>
      <c r="D722" s="5">
        <f>IFERROR(__xludf.DUMMYFUNCTION("""COMPUTED_VALUE"""),42769.66666666667)</f>
        <v>42769.66667</v>
      </c>
      <c r="E722" s="3">
        <f>IFERROR(__xludf.DUMMYFUNCTION("""COMPUTED_VALUE"""),40.07)</f>
        <v>40.07</v>
      </c>
      <c r="F722" s="3">
        <f t="shared" si="1"/>
        <v>0.003500003573</v>
      </c>
    </row>
    <row r="723">
      <c r="A723" s="6"/>
      <c r="D723" s="5">
        <f>IFERROR(__xludf.DUMMYFUNCTION("""COMPUTED_VALUE"""),42772.66666666667)</f>
        <v>42772.66667</v>
      </c>
      <c r="E723" s="3">
        <f>IFERROR(__xludf.DUMMYFUNCTION("""COMPUTED_VALUE"""),40.07)</f>
        <v>40.07</v>
      </c>
      <c r="F723" s="3">
        <f t="shared" si="1"/>
        <v>0</v>
      </c>
    </row>
    <row r="724">
      <c r="A724" s="6"/>
      <c r="D724" s="5">
        <f>IFERROR(__xludf.DUMMYFUNCTION("""COMPUTED_VALUE"""),42773.66666666667)</f>
        <v>42773.66667</v>
      </c>
      <c r="E724" s="3">
        <f>IFERROR(__xludf.DUMMYFUNCTION("""COMPUTED_VALUE"""),40.35)</f>
        <v>40.35</v>
      </c>
      <c r="F724" s="3">
        <f t="shared" si="1"/>
        <v>0.006963470068</v>
      </c>
    </row>
    <row r="725">
      <c r="A725" s="6"/>
      <c r="D725" s="5">
        <f>IFERROR(__xludf.DUMMYFUNCTION("""COMPUTED_VALUE"""),42774.66666666667)</f>
        <v>42774.66667</v>
      </c>
      <c r="E725" s="3">
        <f>IFERROR(__xludf.DUMMYFUNCTION("""COMPUTED_VALUE"""),40.42)</f>
        <v>40.42</v>
      </c>
      <c r="F725" s="3">
        <f t="shared" si="1"/>
        <v>0.00173331726</v>
      </c>
    </row>
    <row r="726">
      <c r="A726" s="6"/>
      <c r="D726" s="5">
        <f>IFERROR(__xludf.DUMMYFUNCTION("""COMPUTED_VALUE"""),42775.66666666667)</f>
        <v>42775.66667</v>
      </c>
      <c r="E726" s="3">
        <f>IFERROR(__xludf.DUMMYFUNCTION("""COMPUTED_VALUE"""),40.48)</f>
        <v>40.48</v>
      </c>
      <c r="F726" s="3">
        <f t="shared" si="1"/>
        <v>0.001483313004</v>
      </c>
    </row>
    <row r="727">
      <c r="A727" s="6"/>
      <c r="D727" s="5">
        <f>IFERROR(__xludf.DUMMYFUNCTION("""COMPUTED_VALUE"""),42776.66666666667)</f>
        <v>42776.66667</v>
      </c>
      <c r="E727" s="3">
        <f>IFERROR(__xludf.DUMMYFUNCTION("""COMPUTED_VALUE"""),40.68)</f>
        <v>40.68</v>
      </c>
      <c r="F727" s="3">
        <f t="shared" si="1"/>
        <v>0.004928546201</v>
      </c>
    </row>
    <row r="728">
      <c r="A728" s="6"/>
      <c r="D728" s="5">
        <f>IFERROR(__xludf.DUMMYFUNCTION("""COMPUTED_VALUE"""),42779.66666666667)</f>
        <v>42779.66667</v>
      </c>
      <c r="E728" s="3">
        <f>IFERROR(__xludf.DUMMYFUNCTION("""COMPUTED_VALUE"""),40.96)</f>
        <v>40.96</v>
      </c>
      <c r="F728" s="3">
        <f t="shared" si="1"/>
        <v>0.006859409551</v>
      </c>
    </row>
    <row r="729">
      <c r="A729" s="6"/>
      <c r="D729" s="5">
        <f>IFERROR(__xludf.DUMMYFUNCTION("""COMPUTED_VALUE"""),42780.66666666667)</f>
        <v>42780.66667</v>
      </c>
      <c r="E729" s="3">
        <f>IFERROR(__xludf.DUMMYFUNCTION("""COMPUTED_VALUE"""),41.02)</f>
        <v>41.02</v>
      </c>
      <c r="F729" s="3">
        <f t="shared" si="1"/>
        <v>0.001463771913</v>
      </c>
    </row>
    <row r="730">
      <c r="A730" s="6"/>
      <c r="D730" s="5">
        <f>IFERROR(__xludf.DUMMYFUNCTION("""COMPUTED_VALUE"""),42781.66666666667)</f>
        <v>42781.66667</v>
      </c>
      <c r="E730" s="3">
        <f>IFERROR(__xludf.DUMMYFUNCTION("""COMPUTED_VALUE"""),40.95)</f>
        <v>40.95</v>
      </c>
      <c r="F730" s="3">
        <f t="shared" si="1"/>
        <v>-0.001707942345</v>
      </c>
    </row>
    <row r="731">
      <c r="A731" s="6"/>
      <c r="D731" s="5">
        <f>IFERROR(__xludf.DUMMYFUNCTION("""COMPUTED_VALUE"""),42782.66666666667)</f>
        <v>42782.66667</v>
      </c>
      <c r="E731" s="3">
        <f>IFERROR(__xludf.DUMMYFUNCTION("""COMPUTED_VALUE"""),41.21)</f>
        <v>41.21</v>
      </c>
      <c r="F731" s="3">
        <f t="shared" si="1"/>
        <v>0.006329135052</v>
      </c>
    </row>
    <row r="732">
      <c r="A732" s="6"/>
      <c r="D732" s="5">
        <f>IFERROR(__xludf.DUMMYFUNCTION("""COMPUTED_VALUE"""),42783.66666666667)</f>
        <v>42783.66667</v>
      </c>
      <c r="E732" s="3">
        <f>IFERROR(__xludf.DUMMYFUNCTION("""COMPUTED_VALUE"""),41.4)</f>
        <v>41.4</v>
      </c>
      <c r="F732" s="3">
        <f t="shared" si="1"/>
        <v>0.004599935481</v>
      </c>
    </row>
    <row r="733">
      <c r="A733" s="6"/>
      <c r="D733" s="5">
        <f>IFERROR(__xludf.DUMMYFUNCTION("""COMPUTED_VALUE"""),42787.66666666667)</f>
        <v>42787.66667</v>
      </c>
      <c r="E733" s="3">
        <f>IFERROR(__xludf.DUMMYFUNCTION("""COMPUTED_VALUE"""),41.58)</f>
        <v>41.58</v>
      </c>
      <c r="F733" s="3">
        <f t="shared" si="1"/>
        <v>0.004338401599</v>
      </c>
    </row>
    <row r="734">
      <c r="A734" s="6"/>
      <c r="D734" s="5">
        <f>IFERROR(__xludf.DUMMYFUNCTION("""COMPUTED_VALUE"""),42788.66666666667)</f>
        <v>42788.66667</v>
      </c>
      <c r="E734" s="3">
        <f>IFERROR(__xludf.DUMMYFUNCTION("""COMPUTED_VALUE"""),41.54)</f>
        <v>41.54</v>
      </c>
      <c r="F734" s="3">
        <f t="shared" si="1"/>
        <v>-0.0009624639819</v>
      </c>
    </row>
    <row r="735">
      <c r="A735" s="6"/>
      <c r="D735" s="5">
        <f>IFERROR(__xludf.DUMMYFUNCTION("""COMPUTED_VALUE"""),42789.66666666667)</f>
        <v>42789.66667</v>
      </c>
      <c r="E735" s="3">
        <f>IFERROR(__xludf.DUMMYFUNCTION("""COMPUTED_VALUE"""),41.57)</f>
        <v>41.57</v>
      </c>
      <c r="F735" s="3">
        <f t="shared" si="1"/>
        <v>0.0007219348166</v>
      </c>
    </row>
    <row r="736">
      <c r="A736" s="6"/>
      <c r="D736" s="5">
        <f>IFERROR(__xludf.DUMMYFUNCTION("""COMPUTED_VALUE"""),42790.66666666667)</f>
        <v>42790.66667</v>
      </c>
      <c r="E736" s="3">
        <f>IFERROR(__xludf.DUMMYFUNCTION("""COMPUTED_VALUE"""),41.43)</f>
        <v>41.43</v>
      </c>
      <c r="F736" s="3">
        <f t="shared" si="1"/>
        <v>-0.003373497175</v>
      </c>
    </row>
    <row r="737">
      <c r="A737" s="6"/>
      <c r="D737" s="5">
        <f>IFERROR(__xludf.DUMMYFUNCTION("""COMPUTED_VALUE"""),42793.66666666667)</f>
        <v>42793.66667</v>
      </c>
      <c r="E737" s="3">
        <f>IFERROR(__xludf.DUMMYFUNCTION("""COMPUTED_VALUE"""),41.46)</f>
        <v>41.46</v>
      </c>
      <c r="F737" s="3">
        <f t="shared" si="1"/>
        <v>0.0007238509183</v>
      </c>
    </row>
    <row r="738">
      <c r="A738" s="6"/>
      <c r="D738" s="5">
        <f>IFERROR(__xludf.DUMMYFUNCTION("""COMPUTED_VALUE"""),42794.66666666667)</f>
        <v>42794.66667</v>
      </c>
      <c r="E738" s="3">
        <f>IFERROR(__xludf.DUMMYFUNCTION("""COMPUTED_VALUE"""),41.16)</f>
        <v>41.16</v>
      </c>
      <c r="F738" s="3">
        <f t="shared" si="1"/>
        <v>-0.007262196042</v>
      </c>
    </row>
    <row r="739">
      <c r="A739" s="6"/>
      <c r="D739" s="5">
        <f>IFERROR(__xludf.DUMMYFUNCTION("""COMPUTED_VALUE"""),42795.66666666667)</f>
        <v>42795.66667</v>
      </c>
      <c r="E739" s="3">
        <f>IFERROR(__xludf.DUMMYFUNCTION("""COMPUTED_VALUE"""),41.76)</f>
        <v>41.76</v>
      </c>
      <c r="F739" s="3">
        <f t="shared" si="1"/>
        <v>0.01447203261</v>
      </c>
    </row>
    <row r="740">
      <c r="A740" s="6"/>
      <c r="D740" s="5">
        <f>IFERROR(__xludf.DUMMYFUNCTION("""COMPUTED_VALUE"""),42796.66666666667)</f>
        <v>42796.66667</v>
      </c>
      <c r="E740" s="3">
        <f>IFERROR(__xludf.DUMMYFUNCTION("""COMPUTED_VALUE"""),41.53)</f>
        <v>41.53</v>
      </c>
      <c r="F740" s="3">
        <f t="shared" si="1"/>
        <v>-0.005522885932</v>
      </c>
    </row>
    <row r="741">
      <c r="A741" s="6"/>
      <c r="D741" s="5">
        <f>IFERROR(__xludf.DUMMYFUNCTION("""COMPUTED_VALUE"""),42797.66666666667)</f>
        <v>42797.66667</v>
      </c>
      <c r="E741" s="3">
        <f>IFERROR(__xludf.DUMMYFUNCTION("""COMPUTED_VALUE"""),41.45)</f>
        <v>41.45</v>
      </c>
      <c r="F741" s="3">
        <f t="shared" si="1"/>
        <v>-0.001928176061</v>
      </c>
    </row>
    <row r="742">
      <c r="A742" s="6"/>
      <c r="D742" s="5">
        <f>IFERROR(__xludf.DUMMYFUNCTION("""COMPUTED_VALUE"""),42800.66666666667)</f>
        <v>42800.66667</v>
      </c>
      <c r="E742" s="3">
        <f>IFERROR(__xludf.DUMMYFUNCTION("""COMPUTED_VALUE"""),41.39)</f>
        <v>41.39</v>
      </c>
      <c r="F742" s="3">
        <f t="shared" si="1"/>
        <v>-0.001448575821</v>
      </c>
    </row>
    <row r="743">
      <c r="A743" s="6"/>
      <c r="D743" s="5">
        <f>IFERROR(__xludf.DUMMYFUNCTION("""COMPUTED_VALUE"""),42801.66666666667)</f>
        <v>42801.66667</v>
      </c>
      <c r="E743" s="3">
        <f>IFERROR(__xludf.DUMMYFUNCTION("""COMPUTED_VALUE"""),41.6)</f>
        <v>41.6</v>
      </c>
      <c r="F743" s="3">
        <f t="shared" si="1"/>
        <v>0.005060861507</v>
      </c>
    </row>
    <row r="744">
      <c r="A744" s="6"/>
      <c r="D744" s="5">
        <f>IFERROR(__xludf.DUMMYFUNCTION("""COMPUTED_VALUE"""),42802.66666666667)</f>
        <v>42802.66667</v>
      </c>
      <c r="E744" s="3">
        <f>IFERROR(__xludf.DUMMYFUNCTION("""COMPUTED_VALUE"""),41.77)</f>
        <v>41.77</v>
      </c>
      <c r="F744" s="3">
        <f t="shared" si="1"/>
        <v>0.004078211242</v>
      </c>
    </row>
    <row r="745">
      <c r="A745" s="6"/>
      <c r="D745" s="5">
        <f>IFERROR(__xludf.DUMMYFUNCTION("""COMPUTED_VALUE"""),42803.66666666667)</f>
        <v>42803.66667</v>
      </c>
      <c r="E745" s="3">
        <f>IFERROR(__xludf.DUMMYFUNCTION("""COMPUTED_VALUE"""),41.93)</f>
        <v>41.93</v>
      </c>
      <c r="F745" s="3">
        <f t="shared" si="1"/>
        <v>0.003823182674</v>
      </c>
    </row>
    <row r="746">
      <c r="A746" s="6"/>
      <c r="D746" s="5">
        <f>IFERROR(__xludf.DUMMYFUNCTION("""COMPUTED_VALUE"""),42804.66666666667)</f>
        <v>42804.66667</v>
      </c>
      <c r="E746" s="3">
        <f>IFERROR(__xludf.DUMMYFUNCTION("""COMPUTED_VALUE"""),42.16)</f>
        <v>42.16</v>
      </c>
      <c r="F746" s="3">
        <f t="shared" si="1"/>
        <v>0.00547034305</v>
      </c>
    </row>
    <row r="747">
      <c r="A747" s="6"/>
      <c r="D747" s="5">
        <f>IFERROR(__xludf.DUMMYFUNCTION("""COMPUTED_VALUE"""),42807.66666666667)</f>
        <v>42807.66667</v>
      </c>
      <c r="E747" s="3">
        <f>IFERROR(__xludf.DUMMYFUNCTION("""COMPUTED_VALUE"""),42.28)</f>
        <v>42.28</v>
      </c>
      <c r="F747" s="3">
        <f t="shared" si="1"/>
        <v>0.002842256769</v>
      </c>
    </row>
    <row r="748">
      <c r="A748" s="6"/>
      <c r="D748" s="5">
        <f>IFERROR(__xludf.DUMMYFUNCTION("""COMPUTED_VALUE"""),42808.66666666667)</f>
        <v>42808.66667</v>
      </c>
      <c r="E748" s="3">
        <f>IFERROR(__xludf.DUMMYFUNCTION("""COMPUTED_VALUE"""),42.28)</f>
        <v>42.28</v>
      </c>
      <c r="F748" s="3">
        <f t="shared" si="1"/>
        <v>0</v>
      </c>
    </row>
    <row r="749">
      <c r="A749" s="6"/>
      <c r="D749" s="5">
        <f>IFERROR(__xludf.DUMMYFUNCTION("""COMPUTED_VALUE"""),42809.66666666667)</f>
        <v>42809.66667</v>
      </c>
      <c r="E749" s="3">
        <f>IFERROR(__xludf.DUMMYFUNCTION("""COMPUTED_VALUE"""),42.36)</f>
        <v>42.36</v>
      </c>
      <c r="F749" s="3">
        <f t="shared" si="1"/>
        <v>0.001890359731</v>
      </c>
    </row>
    <row r="750">
      <c r="A750" s="6"/>
      <c r="D750" s="5">
        <f>IFERROR(__xludf.DUMMYFUNCTION("""COMPUTED_VALUE"""),42810.66666666667)</f>
        <v>42810.66667</v>
      </c>
      <c r="E750" s="3">
        <f>IFERROR(__xludf.DUMMYFUNCTION("""COMPUTED_VALUE"""),42.44)</f>
        <v>42.44</v>
      </c>
      <c r="F750" s="3">
        <f t="shared" si="1"/>
        <v>0.001886793013</v>
      </c>
    </row>
    <row r="751">
      <c r="A751" s="6"/>
      <c r="D751" s="5">
        <f>IFERROR(__xludf.DUMMYFUNCTION("""COMPUTED_VALUE"""),42811.66666666667)</f>
        <v>42811.66667</v>
      </c>
      <c r="E751" s="3">
        <f>IFERROR(__xludf.DUMMYFUNCTION("""COMPUTED_VALUE"""),42.61)</f>
        <v>42.61</v>
      </c>
      <c r="F751" s="3">
        <f t="shared" si="1"/>
        <v>0.003997653766</v>
      </c>
    </row>
    <row r="752">
      <c r="A752" s="6"/>
      <c r="D752" s="5">
        <f>IFERROR(__xludf.DUMMYFUNCTION("""COMPUTED_VALUE"""),42814.66666666667)</f>
        <v>42814.66667</v>
      </c>
      <c r="E752" s="3">
        <f>IFERROR(__xludf.DUMMYFUNCTION("""COMPUTED_VALUE"""),42.42)</f>
        <v>42.42</v>
      </c>
      <c r="F752" s="3">
        <f t="shared" si="1"/>
        <v>-0.004469018375</v>
      </c>
    </row>
    <row r="753">
      <c r="A753" s="6"/>
      <c r="D753" s="5">
        <f>IFERROR(__xludf.DUMMYFUNCTION("""COMPUTED_VALUE"""),42815.66666666667)</f>
        <v>42815.66667</v>
      </c>
      <c r="E753" s="3">
        <f>IFERROR(__xludf.DUMMYFUNCTION("""COMPUTED_VALUE"""),41.52)</f>
        <v>41.52</v>
      </c>
      <c r="F753" s="3">
        <f t="shared" si="1"/>
        <v>-0.02144471028</v>
      </c>
    </row>
    <row r="754">
      <c r="A754" s="6"/>
      <c r="D754" s="5">
        <f>IFERROR(__xludf.DUMMYFUNCTION("""COMPUTED_VALUE"""),42816.66666666667)</f>
        <v>42816.66667</v>
      </c>
      <c r="E754" s="3">
        <f>IFERROR(__xludf.DUMMYFUNCTION("""COMPUTED_VALUE"""),41.48)</f>
        <v>41.48</v>
      </c>
      <c r="F754" s="3">
        <f t="shared" si="1"/>
        <v>-0.0009638554963</v>
      </c>
    </row>
    <row r="755">
      <c r="A755" s="6"/>
      <c r="D755" s="5">
        <f>IFERROR(__xludf.DUMMYFUNCTION("""COMPUTED_VALUE"""),42817.66666666667)</f>
        <v>42817.66667</v>
      </c>
      <c r="E755" s="3">
        <f>IFERROR(__xludf.DUMMYFUNCTION("""COMPUTED_VALUE"""),40.88)</f>
        <v>40.88</v>
      </c>
      <c r="F755" s="3">
        <f t="shared" si="1"/>
        <v>-0.01457043747</v>
      </c>
    </row>
    <row r="756">
      <c r="A756" s="6"/>
      <c r="D756" s="5">
        <f>IFERROR(__xludf.DUMMYFUNCTION("""COMPUTED_VALUE"""),42818.66666666667)</f>
        <v>42818.66667</v>
      </c>
      <c r="E756" s="3">
        <f>IFERROR(__xludf.DUMMYFUNCTION("""COMPUTED_VALUE"""),40.72)</f>
        <v>40.72</v>
      </c>
      <c r="F756" s="3">
        <f t="shared" si="1"/>
        <v>-0.003921573653</v>
      </c>
    </row>
    <row r="757">
      <c r="A757" s="6"/>
      <c r="D757" s="5">
        <f>IFERROR(__xludf.DUMMYFUNCTION("""COMPUTED_VALUE"""),42821.66666666667)</f>
        <v>42821.66667</v>
      </c>
      <c r="E757" s="3">
        <f>IFERROR(__xludf.DUMMYFUNCTION("""COMPUTED_VALUE"""),40.98)</f>
        <v>40.98</v>
      </c>
      <c r="F757" s="3">
        <f t="shared" si="1"/>
        <v>0.006364770568</v>
      </c>
    </row>
    <row r="758">
      <c r="A758" s="6"/>
      <c r="D758" s="5">
        <f>IFERROR(__xludf.DUMMYFUNCTION("""COMPUTED_VALUE"""),42822.66666666667)</f>
        <v>42822.66667</v>
      </c>
      <c r="E758" s="3">
        <f>IFERROR(__xludf.DUMMYFUNCTION("""COMPUTED_VALUE"""),41.05)</f>
        <v>41.05</v>
      </c>
      <c r="F758" s="3">
        <f t="shared" si="1"/>
        <v>0.001706693088</v>
      </c>
    </row>
    <row r="759">
      <c r="A759" s="6"/>
      <c r="D759" s="5">
        <f>IFERROR(__xludf.DUMMYFUNCTION("""COMPUTED_VALUE"""),42823.66666666667)</f>
        <v>42823.66667</v>
      </c>
      <c r="E759" s="3">
        <f>IFERROR(__xludf.DUMMYFUNCTION("""COMPUTED_VALUE"""),41.57)</f>
        <v>41.57</v>
      </c>
      <c r="F759" s="3">
        <f t="shared" si="1"/>
        <v>0.01258791737</v>
      </c>
    </row>
    <row r="760">
      <c r="A760" s="6"/>
      <c r="D760" s="5">
        <f>IFERROR(__xludf.DUMMYFUNCTION("""COMPUTED_VALUE"""),42824.66666666667)</f>
        <v>42824.66667</v>
      </c>
      <c r="E760" s="3">
        <f>IFERROR(__xludf.DUMMYFUNCTION("""COMPUTED_VALUE"""),41.58)</f>
        <v>41.58</v>
      </c>
      <c r="F760" s="3">
        <f t="shared" si="1"/>
        <v>0.0002405291653</v>
      </c>
    </row>
    <row r="761">
      <c r="A761" s="6"/>
      <c r="D761" s="5">
        <f>IFERROR(__xludf.DUMMYFUNCTION("""COMPUTED_VALUE"""),42825.66666666667)</f>
        <v>42825.66667</v>
      </c>
      <c r="E761" s="3">
        <f>IFERROR(__xludf.DUMMYFUNCTION("""COMPUTED_VALUE"""),41.48)</f>
        <v>41.48</v>
      </c>
      <c r="F761" s="3">
        <f t="shared" si="1"/>
        <v>-0.002407899069</v>
      </c>
    </row>
    <row r="762">
      <c r="A762" s="6"/>
      <c r="D762" s="5">
        <f>IFERROR(__xludf.DUMMYFUNCTION("""COMPUTED_VALUE"""),42828.66666666667)</f>
        <v>42828.66667</v>
      </c>
      <c r="E762" s="3">
        <f>IFERROR(__xludf.DUMMYFUNCTION("""COMPUTED_VALUE"""),41.93)</f>
        <v>41.93</v>
      </c>
      <c r="F762" s="3">
        <f t="shared" si="1"/>
        <v>0.01079017782</v>
      </c>
    </row>
    <row r="763">
      <c r="A763" s="6"/>
      <c r="D763" s="5">
        <f>IFERROR(__xludf.DUMMYFUNCTION("""COMPUTED_VALUE"""),42829.66666666667)</f>
        <v>42829.66667</v>
      </c>
      <c r="E763" s="3">
        <f>IFERROR(__xludf.DUMMYFUNCTION("""COMPUTED_VALUE"""),41.73)</f>
        <v>41.73</v>
      </c>
      <c r="F763" s="3">
        <f t="shared" si="1"/>
        <v>-0.004781266579</v>
      </c>
    </row>
    <row r="764">
      <c r="A764" s="6"/>
      <c r="D764" s="5">
        <f>IFERROR(__xludf.DUMMYFUNCTION("""COMPUTED_VALUE"""),42830.66666666667)</f>
        <v>42830.66667</v>
      </c>
      <c r="E764" s="3">
        <f>IFERROR(__xludf.DUMMYFUNCTION("""COMPUTED_VALUE"""),41.57)</f>
        <v>41.57</v>
      </c>
      <c r="F764" s="3">
        <f t="shared" si="1"/>
        <v>-0.003841541339</v>
      </c>
    </row>
    <row r="765">
      <c r="A765" s="6"/>
      <c r="D765" s="5">
        <f>IFERROR(__xludf.DUMMYFUNCTION("""COMPUTED_VALUE"""),42831.66666666667)</f>
        <v>42831.66667</v>
      </c>
      <c r="E765" s="3">
        <f>IFERROR(__xludf.DUMMYFUNCTION("""COMPUTED_VALUE"""),41.39)</f>
        <v>41.39</v>
      </c>
      <c r="F765" s="3">
        <f t="shared" si="1"/>
        <v>-0.004339447504</v>
      </c>
    </row>
    <row r="766">
      <c r="A766" s="6"/>
      <c r="D766" s="5">
        <f>IFERROR(__xludf.DUMMYFUNCTION("""COMPUTED_VALUE"""),42832.66666666667)</f>
        <v>42832.66667</v>
      </c>
      <c r="E766" s="3">
        <f>IFERROR(__xludf.DUMMYFUNCTION("""COMPUTED_VALUE"""),41.23)</f>
        <v>41.23</v>
      </c>
      <c r="F766" s="3">
        <f t="shared" si="1"/>
        <v>-0.003873159042</v>
      </c>
    </row>
    <row r="767">
      <c r="A767" s="6"/>
      <c r="D767" s="5">
        <f>IFERROR(__xludf.DUMMYFUNCTION("""COMPUTED_VALUE"""),42835.66666666667)</f>
        <v>42835.66667</v>
      </c>
      <c r="E767" s="3">
        <f>IFERROR(__xludf.DUMMYFUNCTION("""COMPUTED_VALUE"""),41.24)</f>
        <v>41.24</v>
      </c>
      <c r="F767" s="3">
        <f t="shared" si="1"/>
        <v>0.00024251243</v>
      </c>
    </row>
    <row r="768">
      <c r="A768" s="6"/>
      <c r="D768" s="5">
        <f>IFERROR(__xludf.DUMMYFUNCTION("""COMPUTED_VALUE"""),42836.66666666667)</f>
        <v>42836.66667</v>
      </c>
      <c r="E768" s="3">
        <f>IFERROR(__xludf.DUMMYFUNCTION("""COMPUTED_VALUE"""),41.17)</f>
        <v>41.17</v>
      </c>
      <c r="F768" s="3">
        <f t="shared" si="1"/>
        <v>-0.001698823367</v>
      </c>
    </row>
    <row r="769">
      <c r="A769" s="6"/>
      <c r="D769" s="5">
        <f>IFERROR(__xludf.DUMMYFUNCTION("""COMPUTED_VALUE"""),42837.66666666667)</f>
        <v>42837.66667</v>
      </c>
      <c r="E769" s="3">
        <f>IFERROR(__xludf.DUMMYFUNCTION("""COMPUTED_VALUE"""),41.22)</f>
        <v>41.22</v>
      </c>
      <c r="F769" s="3">
        <f t="shared" si="1"/>
        <v>0.00121373968</v>
      </c>
    </row>
    <row r="770">
      <c r="A770" s="6"/>
      <c r="D770" s="5">
        <f>IFERROR(__xludf.DUMMYFUNCTION("""COMPUTED_VALUE"""),42838.66666666667)</f>
        <v>42838.66667</v>
      </c>
      <c r="E770" s="3">
        <f>IFERROR(__xludf.DUMMYFUNCTION("""COMPUTED_VALUE"""),41.18)</f>
        <v>41.18</v>
      </c>
      <c r="F770" s="3">
        <f t="shared" si="1"/>
        <v>-0.0009708738627</v>
      </c>
    </row>
    <row r="771">
      <c r="A771" s="6"/>
      <c r="D771" s="5">
        <f>IFERROR(__xludf.DUMMYFUNCTION("""COMPUTED_VALUE"""),42842.66666666667)</f>
        <v>42842.66667</v>
      </c>
      <c r="E771" s="3">
        <f>IFERROR(__xludf.DUMMYFUNCTION("""COMPUTED_VALUE"""),41.86)</f>
        <v>41.86</v>
      </c>
      <c r="F771" s="3">
        <f t="shared" si="1"/>
        <v>0.01637801542</v>
      </c>
    </row>
    <row r="772">
      <c r="A772" s="6"/>
      <c r="D772" s="5">
        <f>IFERROR(__xludf.DUMMYFUNCTION("""COMPUTED_VALUE"""),42843.66666666667)</f>
        <v>42843.66667</v>
      </c>
      <c r="E772" s="3">
        <f>IFERROR(__xludf.DUMMYFUNCTION("""COMPUTED_VALUE"""),41.84)</f>
        <v>41.84</v>
      </c>
      <c r="F772" s="3">
        <f t="shared" si="1"/>
        <v>-0.0004778972612</v>
      </c>
    </row>
    <row r="773">
      <c r="A773" s="6"/>
      <c r="D773" s="5">
        <f>IFERROR(__xludf.DUMMYFUNCTION("""COMPUTED_VALUE"""),42844.66666666667)</f>
        <v>42844.66667</v>
      </c>
      <c r="E773" s="3">
        <f>IFERROR(__xludf.DUMMYFUNCTION("""COMPUTED_VALUE"""),41.91)</f>
        <v>41.91</v>
      </c>
      <c r="F773" s="3">
        <f t="shared" si="1"/>
        <v>0.00167164218</v>
      </c>
    </row>
    <row r="774">
      <c r="A774" s="6"/>
      <c r="D774" s="5">
        <f>IFERROR(__xludf.DUMMYFUNCTION("""COMPUTED_VALUE"""),42845.66666666667)</f>
        <v>42845.66667</v>
      </c>
      <c r="E774" s="3">
        <f>IFERROR(__xludf.DUMMYFUNCTION("""COMPUTED_VALUE"""),42.08)</f>
        <v>42.08</v>
      </c>
      <c r="F774" s="3">
        <f t="shared" si="1"/>
        <v>0.004048106492</v>
      </c>
    </row>
    <row r="775">
      <c r="A775" s="6"/>
      <c r="D775" s="5">
        <f>IFERROR(__xludf.DUMMYFUNCTION("""COMPUTED_VALUE"""),42846.66666666667)</f>
        <v>42846.66667</v>
      </c>
      <c r="E775" s="3">
        <f>IFERROR(__xludf.DUMMYFUNCTION("""COMPUTED_VALUE"""),42.16)</f>
        <v>42.16</v>
      </c>
      <c r="F775" s="3">
        <f t="shared" si="1"/>
        <v>0.001899335804</v>
      </c>
    </row>
    <row r="776">
      <c r="A776" s="6"/>
      <c r="D776" s="5">
        <f>IFERROR(__xludf.DUMMYFUNCTION("""COMPUTED_VALUE"""),42849.66666666667)</f>
        <v>42849.66667</v>
      </c>
      <c r="E776" s="3">
        <f>IFERROR(__xludf.DUMMYFUNCTION("""COMPUTED_VALUE"""),43.14)</f>
        <v>43.14</v>
      </c>
      <c r="F776" s="3">
        <f t="shared" si="1"/>
        <v>0.02297873673</v>
      </c>
    </row>
    <row r="777">
      <c r="A777" s="6"/>
      <c r="D777" s="5">
        <f>IFERROR(__xludf.DUMMYFUNCTION("""COMPUTED_VALUE"""),42850.66666666667)</f>
        <v>42850.66667</v>
      </c>
      <c r="E777" s="3">
        <f>IFERROR(__xludf.DUMMYFUNCTION("""COMPUTED_VALUE"""),43.62)</f>
        <v>43.62</v>
      </c>
      <c r="F777" s="3">
        <f t="shared" si="1"/>
        <v>0.01106511981</v>
      </c>
    </row>
    <row r="778">
      <c r="A778" s="6"/>
      <c r="D778" s="5">
        <f>IFERROR(__xludf.DUMMYFUNCTION("""COMPUTED_VALUE"""),42851.66666666667)</f>
        <v>42851.66667</v>
      </c>
      <c r="E778" s="3">
        <f>IFERROR(__xludf.DUMMYFUNCTION("""COMPUTED_VALUE"""),43.59)</f>
        <v>43.59</v>
      </c>
      <c r="F778" s="3">
        <f t="shared" si="1"/>
        <v>-0.0006879945232</v>
      </c>
    </row>
    <row r="779">
      <c r="A779" s="6"/>
      <c r="D779" s="5">
        <f>IFERROR(__xludf.DUMMYFUNCTION("""COMPUTED_VALUE"""),42852.66666666667)</f>
        <v>42852.66667</v>
      </c>
      <c r="E779" s="3">
        <f>IFERROR(__xludf.DUMMYFUNCTION("""COMPUTED_VALUE"""),43.71)</f>
        <v>43.71</v>
      </c>
      <c r="F779" s="3">
        <f t="shared" si="1"/>
        <v>0.002749142625</v>
      </c>
    </row>
    <row r="780">
      <c r="A780" s="6"/>
      <c r="D780" s="5">
        <f>IFERROR(__xludf.DUMMYFUNCTION("""COMPUTED_VALUE"""),42853.66666666667)</f>
        <v>42853.66667</v>
      </c>
      <c r="E780" s="3">
        <f>IFERROR(__xludf.DUMMYFUNCTION("""COMPUTED_VALUE"""),45.3)</f>
        <v>45.3</v>
      </c>
      <c r="F780" s="3">
        <f t="shared" si="1"/>
        <v>0.03573012361</v>
      </c>
    </row>
    <row r="781">
      <c r="A781" s="6"/>
      <c r="D781" s="5">
        <f>IFERROR(__xludf.DUMMYFUNCTION("""COMPUTED_VALUE"""),42856.66666666667)</f>
        <v>42856.66667</v>
      </c>
      <c r="E781" s="3">
        <f>IFERROR(__xludf.DUMMYFUNCTION("""COMPUTED_VALUE"""),45.63)</f>
        <v>45.63</v>
      </c>
      <c r="F781" s="3">
        <f t="shared" si="1"/>
        <v>0.00725836245</v>
      </c>
    </row>
    <row r="782">
      <c r="A782" s="6"/>
      <c r="D782" s="5">
        <f>IFERROR(__xludf.DUMMYFUNCTION("""COMPUTED_VALUE"""),42857.66666666667)</f>
        <v>42857.66667</v>
      </c>
      <c r="E782" s="3">
        <f>IFERROR(__xludf.DUMMYFUNCTION("""COMPUTED_VALUE"""),45.82)</f>
        <v>45.82</v>
      </c>
      <c r="F782" s="3">
        <f t="shared" si="1"/>
        <v>0.004155282086</v>
      </c>
    </row>
    <row r="783">
      <c r="A783" s="6"/>
      <c r="D783" s="5">
        <f>IFERROR(__xludf.DUMMYFUNCTION("""COMPUTED_VALUE"""),42858.66666666667)</f>
        <v>42858.66667</v>
      </c>
      <c r="E783" s="3">
        <f>IFERROR(__xludf.DUMMYFUNCTION("""COMPUTED_VALUE"""),46.35)</f>
        <v>46.35</v>
      </c>
      <c r="F783" s="3">
        <f t="shared" si="1"/>
        <v>0.01150061499</v>
      </c>
    </row>
    <row r="784">
      <c r="A784" s="6"/>
      <c r="D784" s="5">
        <f>IFERROR(__xludf.DUMMYFUNCTION("""COMPUTED_VALUE"""),42859.66666666667)</f>
        <v>42859.66667</v>
      </c>
      <c r="E784" s="3">
        <f>IFERROR(__xludf.DUMMYFUNCTION("""COMPUTED_VALUE"""),46.58)</f>
        <v>46.58</v>
      </c>
      <c r="F784" s="3">
        <f t="shared" si="1"/>
        <v>0.004949972444</v>
      </c>
    </row>
    <row r="785">
      <c r="A785" s="6"/>
      <c r="D785" s="5">
        <f>IFERROR(__xludf.DUMMYFUNCTION("""COMPUTED_VALUE"""),42860.66666666667)</f>
        <v>42860.66667</v>
      </c>
      <c r="E785" s="3">
        <f>IFERROR(__xludf.DUMMYFUNCTION("""COMPUTED_VALUE"""),46.36)</f>
        <v>46.36</v>
      </c>
      <c r="F785" s="3">
        <f t="shared" si="1"/>
        <v>-0.004734245985</v>
      </c>
    </row>
    <row r="786">
      <c r="A786" s="6"/>
      <c r="D786" s="5">
        <f>IFERROR(__xludf.DUMMYFUNCTION("""COMPUTED_VALUE"""),42863.66666666667)</f>
        <v>42863.66667</v>
      </c>
      <c r="E786" s="3">
        <f>IFERROR(__xludf.DUMMYFUNCTION("""COMPUTED_VALUE"""),46.72)</f>
        <v>46.72</v>
      </c>
      <c r="F786" s="3">
        <f t="shared" si="1"/>
        <v>0.007735320048</v>
      </c>
    </row>
    <row r="787">
      <c r="A787" s="6"/>
      <c r="D787" s="5">
        <f>IFERROR(__xludf.DUMMYFUNCTION("""COMPUTED_VALUE"""),42864.66666666667)</f>
        <v>42864.66667</v>
      </c>
      <c r="E787" s="3">
        <f>IFERROR(__xludf.DUMMYFUNCTION("""COMPUTED_VALUE"""),46.61)</f>
        <v>46.61</v>
      </c>
      <c r="F787" s="3">
        <f t="shared" si="1"/>
        <v>-0.002357228135</v>
      </c>
    </row>
    <row r="788">
      <c r="A788" s="6"/>
      <c r="D788" s="5">
        <f>IFERROR(__xludf.DUMMYFUNCTION("""COMPUTED_VALUE"""),42865.66666666667)</f>
        <v>42865.66667</v>
      </c>
      <c r="E788" s="3">
        <f>IFERROR(__xludf.DUMMYFUNCTION("""COMPUTED_VALUE"""),46.44)</f>
        <v>46.44</v>
      </c>
      <c r="F788" s="3">
        <f t="shared" si="1"/>
        <v>-0.003653953555</v>
      </c>
    </row>
    <row r="789">
      <c r="A789" s="6"/>
      <c r="D789" s="5">
        <f>IFERROR(__xludf.DUMMYFUNCTION("""COMPUTED_VALUE"""),42866.66666666667)</f>
        <v>42866.66667</v>
      </c>
      <c r="E789" s="3">
        <f>IFERROR(__xludf.DUMMYFUNCTION("""COMPUTED_VALUE"""),46.53)</f>
        <v>46.53</v>
      </c>
      <c r="F789" s="3">
        <f t="shared" si="1"/>
        <v>0.001936109027</v>
      </c>
    </row>
    <row r="790">
      <c r="A790" s="6"/>
      <c r="D790" s="5">
        <f>IFERROR(__xludf.DUMMYFUNCTION("""COMPUTED_VALUE"""),42867.66666666667)</f>
        <v>42867.66667</v>
      </c>
      <c r="E790" s="3">
        <f>IFERROR(__xludf.DUMMYFUNCTION("""COMPUTED_VALUE"""),46.61)</f>
        <v>46.61</v>
      </c>
      <c r="F790" s="3">
        <f t="shared" si="1"/>
        <v>0.001717844528</v>
      </c>
    </row>
    <row r="791">
      <c r="A791" s="6"/>
      <c r="D791" s="5">
        <f>IFERROR(__xludf.DUMMYFUNCTION("""COMPUTED_VALUE"""),42870.66666666667)</f>
        <v>42870.66667</v>
      </c>
      <c r="E791" s="3">
        <f>IFERROR(__xludf.DUMMYFUNCTION("""COMPUTED_VALUE"""),46.85)</f>
        <v>46.85</v>
      </c>
      <c r="F791" s="3">
        <f t="shared" si="1"/>
        <v>0.0051358983</v>
      </c>
    </row>
    <row r="792">
      <c r="A792" s="6"/>
      <c r="D792" s="5">
        <f>IFERROR(__xludf.DUMMYFUNCTION("""COMPUTED_VALUE"""),42871.66666666667)</f>
        <v>42871.66667</v>
      </c>
      <c r="E792" s="3">
        <f>IFERROR(__xludf.DUMMYFUNCTION("""COMPUTED_VALUE"""),47.15)</f>
        <v>47.15</v>
      </c>
      <c r="F792" s="3">
        <f t="shared" si="1"/>
        <v>0.006383000395</v>
      </c>
    </row>
    <row r="793">
      <c r="A793" s="6"/>
      <c r="D793" s="5">
        <f>IFERROR(__xludf.DUMMYFUNCTION("""COMPUTED_VALUE"""),42872.66666666667)</f>
        <v>42872.66667</v>
      </c>
      <c r="E793" s="3">
        <f>IFERROR(__xludf.DUMMYFUNCTION("""COMPUTED_VALUE"""),45.98)</f>
        <v>45.98</v>
      </c>
      <c r="F793" s="3">
        <f t="shared" si="1"/>
        <v>-0.02512748974</v>
      </c>
    </row>
    <row r="794">
      <c r="A794" s="6"/>
      <c r="D794" s="5">
        <f>IFERROR(__xludf.DUMMYFUNCTION("""COMPUTED_VALUE"""),42873.66666666667)</f>
        <v>42873.66667</v>
      </c>
      <c r="E794" s="3">
        <f>IFERROR(__xludf.DUMMYFUNCTION("""COMPUTED_VALUE"""),46.51)</f>
        <v>46.51</v>
      </c>
      <c r="F794" s="3">
        <f t="shared" si="1"/>
        <v>0.0114608239</v>
      </c>
    </row>
    <row r="795">
      <c r="A795" s="6"/>
      <c r="D795" s="5">
        <f>IFERROR(__xludf.DUMMYFUNCTION("""COMPUTED_VALUE"""),42874.66666666667)</f>
        <v>42874.66667</v>
      </c>
      <c r="E795" s="3">
        <f>IFERROR(__xludf.DUMMYFUNCTION("""COMPUTED_VALUE"""),46.7)</f>
        <v>46.7</v>
      </c>
      <c r="F795" s="3">
        <f t="shared" si="1"/>
        <v>0.004076821439</v>
      </c>
    </row>
    <row r="796">
      <c r="A796" s="6"/>
      <c r="D796" s="5">
        <f>IFERROR(__xludf.DUMMYFUNCTION("""COMPUTED_VALUE"""),42877.66666666667)</f>
        <v>42877.66667</v>
      </c>
      <c r="E796" s="3">
        <f>IFERROR(__xludf.DUMMYFUNCTION("""COMPUTED_VALUE"""),47.09)</f>
        <v>47.09</v>
      </c>
      <c r="F796" s="3">
        <f t="shared" si="1"/>
        <v>0.008316499581</v>
      </c>
    </row>
    <row r="797">
      <c r="A797" s="6"/>
      <c r="D797" s="5">
        <f>IFERROR(__xludf.DUMMYFUNCTION("""COMPUTED_VALUE"""),42878.66666666667)</f>
        <v>42878.66667</v>
      </c>
      <c r="E797" s="3">
        <f>IFERROR(__xludf.DUMMYFUNCTION("""COMPUTED_VALUE"""),47.44)</f>
        <v>47.44</v>
      </c>
      <c r="F797" s="3">
        <f t="shared" si="1"/>
        <v>0.007405090434</v>
      </c>
    </row>
    <row r="798">
      <c r="A798" s="6"/>
      <c r="D798" s="5">
        <f>IFERROR(__xludf.DUMMYFUNCTION("""COMPUTED_VALUE"""),42879.66666666667)</f>
        <v>42879.66667</v>
      </c>
      <c r="E798" s="3">
        <f>IFERROR(__xludf.DUMMYFUNCTION("""COMPUTED_VALUE"""),47.75)</f>
        <v>47.75</v>
      </c>
      <c r="F798" s="3">
        <f t="shared" si="1"/>
        <v>0.006513312237</v>
      </c>
    </row>
    <row r="799">
      <c r="A799" s="6"/>
      <c r="D799" s="5">
        <f>IFERROR(__xludf.DUMMYFUNCTION("""COMPUTED_VALUE"""),42880.66666666667)</f>
        <v>42880.66667</v>
      </c>
      <c r="E799" s="3">
        <f>IFERROR(__xludf.DUMMYFUNCTION("""COMPUTED_VALUE"""),48.48)</f>
        <v>48.48</v>
      </c>
      <c r="F799" s="3">
        <f t="shared" si="1"/>
        <v>0.01517227483</v>
      </c>
    </row>
    <row r="800">
      <c r="A800" s="6"/>
      <c r="D800" s="5">
        <f>IFERROR(__xludf.DUMMYFUNCTION("""COMPUTED_VALUE"""),42881.66666666667)</f>
        <v>42881.66667</v>
      </c>
      <c r="E800" s="3">
        <f>IFERROR(__xludf.DUMMYFUNCTION("""COMPUTED_VALUE"""),48.57)</f>
        <v>48.57</v>
      </c>
      <c r="F800" s="3">
        <f t="shared" si="1"/>
        <v>0.001854714597</v>
      </c>
    </row>
    <row r="801">
      <c r="A801" s="6"/>
      <c r="D801" s="5">
        <f>IFERROR(__xludf.DUMMYFUNCTION("""COMPUTED_VALUE"""),42885.66666666667)</f>
        <v>42885.66667</v>
      </c>
      <c r="E801" s="3">
        <f>IFERROR(__xludf.DUMMYFUNCTION("""COMPUTED_VALUE"""),48.79)</f>
        <v>48.79</v>
      </c>
      <c r="F801" s="3">
        <f t="shared" si="1"/>
        <v>0.00451931747</v>
      </c>
    </row>
    <row r="802">
      <c r="A802" s="6"/>
      <c r="D802" s="5">
        <f>IFERROR(__xludf.DUMMYFUNCTION("""COMPUTED_VALUE"""),42886.66666666667)</f>
        <v>42886.66667</v>
      </c>
      <c r="E802" s="3">
        <f>IFERROR(__xludf.DUMMYFUNCTION("""COMPUTED_VALUE"""),48.24)</f>
        <v>48.24</v>
      </c>
      <c r="F802" s="3">
        <f t="shared" si="1"/>
        <v>-0.01133682141</v>
      </c>
    </row>
    <row r="803">
      <c r="A803" s="6"/>
      <c r="D803" s="5">
        <f>IFERROR(__xludf.DUMMYFUNCTION("""COMPUTED_VALUE"""),42887.66666666667)</f>
        <v>42887.66667</v>
      </c>
      <c r="E803" s="3">
        <f>IFERROR(__xludf.DUMMYFUNCTION("""COMPUTED_VALUE"""),48.35)</f>
        <v>48.35</v>
      </c>
      <c r="F803" s="3">
        <f t="shared" si="1"/>
        <v>0.00227766948</v>
      </c>
    </row>
    <row r="804">
      <c r="A804" s="6"/>
      <c r="D804" s="5">
        <f>IFERROR(__xludf.DUMMYFUNCTION("""COMPUTED_VALUE"""),42888.66666666667)</f>
        <v>42888.66667</v>
      </c>
      <c r="E804" s="3">
        <f>IFERROR(__xludf.DUMMYFUNCTION("""COMPUTED_VALUE"""),48.78)</f>
        <v>48.78</v>
      </c>
      <c r="F804" s="3">
        <f t="shared" si="1"/>
        <v>0.008854170888</v>
      </c>
    </row>
    <row r="805">
      <c r="A805" s="6"/>
      <c r="D805" s="5">
        <f>IFERROR(__xludf.DUMMYFUNCTION("""COMPUTED_VALUE"""),42891.66666666667)</f>
        <v>42891.66667</v>
      </c>
      <c r="E805" s="3">
        <f>IFERROR(__xludf.DUMMYFUNCTION("""COMPUTED_VALUE"""),49.18)</f>
        <v>49.18</v>
      </c>
      <c r="F805" s="3">
        <f t="shared" si="1"/>
        <v>0.008166644</v>
      </c>
    </row>
    <row r="806">
      <c r="A806" s="6"/>
      <c r="D806" s="5">
        <f>IFERROR(__xludf.DUMMYFUNCTION("""COMPUTED_VALUE"""),42892.66666666667)</f>
        <v>42892.66667</v>
      </c>
      <c r="E806" s="3">
        <f>IFERROR(__xludf.DUMMYFUNCTION("""COMPUTED_VALUE"""),48.83)</f>
        <v>48.83</v>
      </c>
      <c r="F806" s="3">
        <f t="shared" si="1"/>
        <v>-0.007142158714</v>
      </c>
    </row>
    <row r="807">
      <c r="A807" s="6"/>
      <c r="D807" s="5">
        <f>IFERROR(__xludf.DUMMYFUNCTION("""COMPUTED_VALUE"""),42893.66666666667)</f>
        <v>42893.66667</v>
      </c>
      <c r="E807" s="3">
        <f>IFERROR(__xludf.DUMMYFUNCTION("""COMPUTED_VALUE"""),49.05)</f>
        <v>49.05</v>
      </c>
      <c r="F807" s="3">
        <f t="shared" si="1"/>
        <v>0.004495307938</v>
      </c>
    </row>
    <row r="808">
      <c r="A808" s="6"/>
      <c r="D808" s="5">
        <f>IFERROR(__xludf.DUMMYFUNCTION("""COMPUTED_VALUE"""),42894.66666666667)</f>
        <v>42894.66667</v>
      </c>
      <c r="E808" s="3">
        <f>IFERROR(__xludf.DUMMYFUNCTION("""COMPUTED_VALUE"""),49.17)</f>
        <v>49.17</v>
      </c>
      <c r="F808" s="3">
        <f t="shared" si="1"/>
        <v>0.002443495412</v>
      </c>
    </row>
    <row r="809">
      <c r="A809" s="6"/>
      <c r="D809" s="5">
        <f>IFERROR(__xludf.DUMMYFUNCTION("""COMPUTED_VALUE"""),42895.66666666667)</f>
        <v>42895.66667</v>
      </c>
      <c r="E809" s="3">
        <f>IFERROR(__xludf.DUMMYFUNCTION("""COMPUTED_VALUE"""),47.49)</f>
        <v>47.49</v>
      </c>
      <c r="F809" s="3">
        <f t="shared" si="1"/>
        <v>-0.03476451886</v>
      </c>
    </row>
    <row r="810">
      <c r="A810" s="6"/>
      <c r="D810" s="5">
        <f>IFERROR(__xludf.DUMMYFUNCTION("""COMPUTED_VALUE"""),42898.66666666667)</f>
        <v>42898.66667</v>
      </c>
      <c r="E810" s="3">
        <f>IFERROR(__xludf.DUMMYFUNCTION("""COMPUTED_VALUE"""),47.15)</f>
        <v>47.15</v>
      </c>
      <c r="F810" s="3">
        <f t="shared" si="1"/>
        <v>-0.007185153482</v>
      </c>
    </row>
    <row r="811">
      <c r="A811" s="6"/>
      <c r="D811" s="5">
        <f>IFERROR(__xludf.DUMMYFUNCTION("""COMPUTED_VALUE"""),42899.66666666667)</f>
        <v>42899.66667</v>
      </c>
      <c r="E811" s="3">
        <f>IFERROR(__xludf.DUMMYFUNCTION("""COMPUTED_VALUE"""),47.67)</f>
        <v>47.67</v>
      </c>
      <c r="F811" s="3">
        <f t="shared" si="1"/>
        <v>0.01096826014</v>
      </c>
    </row>
    <row r="812">
      <c r="A812" s="6"/>
      <c r="D812" s="5">
        <f>IFERROR(__xludf.DUMMYFUNCTION("""COMPUTED_VALUE"""),42900.66666666667)</f>
        <v>42900.66667</v>
      </c>
      <c r="E812" s="3">
        <f>IFERROR(__xludf.DUMMYFUNCTION("""COMPUTED_VALUE"""),47.54)</f>
        <v>47.54</v>
      </c>
      <c r="F812" s="3">
        <f t="shared" si="1"/>
        <v>-0.002730807285</v>
      </c>
    </row>
    <row r="813">
      <c r="A813" s="6"/>
      <c r="D813" s="5">
        <f>IFERROR(__xludf.DUMMYFUNCTION("""COMPUTED_VALUE"""),42901.66666666667)</f>
        <v>42901.66667</v>
      </c>
      <c r="E813" s="3">
        <f>IFERROR(__xludf.DUMMYFUNCTION("""COMPUTED_VALUE"""),47.12)</f>
        <v>47.12</v>
      </c>
      <c r="F813" s="3">
        <f t="shared" si="1"/>
        <v>-0.008873922589</v>
      </c>
    </row>
    <row r="814">
      <c r="A814" s="6"/>
      <c r="D814" s="5">
        <f>IFERROR(__xludf.DUMMYFUNCTION("""COMPUTED_VALUE"""),42902.66666666667)</f>
        <v>42902.66667</v>
      </c>
      <c r="E814" s="3">
        <f>IFERROR(__xludf.DUMMYFUNCTION("""COMPUTED_VALUE"""),46.99)</f>
        <v>46.99</v>
      </c>
      <c r="F814" s="3">
        <f t="shared" si="1"/>
        <v>-0.002762726229</v>
      </c>
    </row>
    <row r="815">
      <c r="A815" s="6"/>
      <c r="D815" s="5">
        <f>IFERROR(__xludf.DUMMYFUNCTION("""COMPUTED_VALUE"""),42905.66666666667)</f>
        <v>42905.66667</v>
      </c>
      <c r="E815" s="3">
        <f>IFERROR(__xludf.DUMMYFUNCTION("""COMPUTED_VALUE"""),47.87)</f>
        <v>47.87</v>
      </c>
      <c r="F815" s="3">
        <f t="shared" si="1"/>
        <v>0.01855419029</v>
      </c>
    </row>
    <row r="816">
      <c r="A816" s="6"/>
      <c r="D816" s="5">
        <f>IFERROR(__xludf.DUMMYFUNCTION("""COMPUTED_VALUE"""),42906.66666666667)</f>
        <v>42906.66667</v>
      </c>
      <c r="E816" s="3">
        <f>IFERROR(__xludf.DUMMYFUNCTION("""COMPUTED_VALUE"""),47.53)</f>
        <v>47.53</v>
      </c>
      <c r="F816" s="3">
        <f t="shared" si="1"/>
        <v>-0.007127912778</v>
      </c>
    </row>
    <row r="817">
      <c r="A817" s="6"/>
      <c r="D817" s="5">
        <f>IFERROR(__xludf.DUMMYFUNCTION("""COMPUTED_VALUE"""),42907.66666666667)</f>
        <v>42907.66667</v>
      </c>
      <c r="E817" s="3">
        <f>IFERROR(__xludf.DUMMYFUNCTION("""COMPUTED_VALUE"""),47.97)</f>
        <v>47.97</v>
      </c>
      <c r="F817" s="3">
        <f t="shared" si="1"/>
        <v>0.009214724888</v>
      </c>
    </row>
    <row r="818">
      <c r="A818" s="6"/>
      <c r="D818" s="5">
        <f>IFERROR(__xludf.DUMMYFUNCTION("""COMPUTED_VALUE"""),42908.66666666667)</f>
        <v>42908.66667</v>
      </c>
      <c r="E818" s="3">
        <f>IFERROR(__xludf.DUMMYFUNCTION("""COMPUTED_VALUE"""),47.85)</f>
        <v>47.85</v>
      </c>
      <c r="F818" s="3">
        <f t="shared" si="1"/>
        <v>-0.002504697615</v>
      </c>
    </row>
    <row r="819">
      <c r="A819" s="6"/>
      <c r="D819" s="5">
        <f>IFERROR(__xludf.DUMMYFUNCTION("""COMPUTED_VALUE"""),42909.66666666667)</f>
        <v>42909.66667</v>
      </c>
      <c r="E819" s="3">
        <f>IFERROR(__xludf.DUMMYFUNCTION("""COMPUTED_VALUE"""),48.28)</f>
        <v>48.28</v>
      </c>
      <c r="F819" s="3">
        <f t="shared" si="1"/>
        <v>0.00894627833</v>
      </c>
    </row>
    <row r="820">
      <c r="A820" s="6"/>
      <c r="D820" s="5">
        <f>IFERROR(__xludf.DUMMYFUNCTION("""COMPUTED_VALUE"""),42912.66666666667)</f>
        <v>42912.66667</v>
      </c>
      <c r="E820" s="3">
        <f>IFERROR(__xludf.DUMMYFUNCTION("""COMPUTED_VALUE"""),47.61)</f>
        <v>47.61</v>
      </c>
      <c r="F820" s="3">
        <f t="shared" si="1"/>
        <v>-0.01397457302</v>
      </c>
    </row>
    <row r="821">
      <c r="A821" s="6"/>
      <c r="D821" s="5">
        <f>IFERROR(__xludf.DUMMYFUNCTION("""COMPUTED_VALUE"""),42913.66666666667)</f>
        <v>42913.66667</v>
      </c>
      <c r="E821" s="3">
        <f>IFERROR(__xludf.DUMMYFUNCTION("""COMPUTED_VALUE"""),46.37)</f>
        <v>46.37</v>
      </c>
      <c r="F821" s="3">
        <f t="shared" si="1"/>
        <v>-0.0263901248</v>
      </c>
    </row>
    <row r="822">
      <c r="A822" s="6"/>
      <c r="D822" s="5">
        <f>IFERROR(__xludf.DUMMYFUNCTION("""COMPUTED_VALUE"""),42914.66666666667)</f>
        <v>42914.66667</v>
      </c>
      <c r="E822" s="3">
        <f>IFERROR(__xludf.DUMMYFUNCTION("""COMPUTED_VALUE"""),47.02)</f>
        <v>47.02</v>
      </c>
      <c r="F822" s="3">
        <f t="shared" si="1"/>
        <v>0.01392034471</v>
      </c>
    </row>
    <row r="823">
      <c r="A823" s="6"/>
      <c r="D823" s="5">
        <f>IFERROR(__xludf.DUMMYFUNCTION("""COMPUTED_VALUE"""),42915.66666666667)</f>
        <v>42915.66667</v>
      </c>
      <c r="E823" s="3">
        <f>IFERROR(__xludf.DUMMYFUNCTION("""COMPUTED_VALUE"""),45.89)</f>
        <v>45.89</v>
      </c>
      <c r="F823" s="3">
        <f t="shared" si="1"/>
        <v>-0.02432581471</v>
      </c>
    </row>
    <row r="824">
      <c r="A824" s="6"/>
      <c r="D824" s="5">
        <f>IFERROR(__xludf.DUMMYFUNCTION("""COMPUTED_VALUE"""),42916.66666666667)</f>
        <v>42916.66667</v>
      </c>
      <c r="E824" s="3">
        <f>IFERROR(__xludf.DUMMYFUNCTION("""COMPUTED_VALUE"""),45.44)</f>
        <v>45.44</v>
      </c>
      <c r="F824" s="3">
        <f t="shared" si="1"/>
        <v>-0.009854453994</v>
      </c>
    </row>
    <row r="825">
      <c r="A825" s="6"/>
      <c r="D825" s="5">
        <f>IFERROR(__xludf.DUMMYFUNCTION("""COMPUTED_VALUE"""),42919.66666666667)</f>
        <v>42919.66667</v>
      </c>
      <c r="E825" s="3">
        <f>IFERROR(__xludf.DUMMYFUNCTION("""COMPUTED_VALUE"""),44.94)</f>
        <v>44.94</v>
      </c>
      <c r="F825" s="3">
        <f t="shared" si="1"/>
        <v>-0.01106450766</v>
      </c>
    </row>
    <row r="826">
      <c r="A826" s="6"/>
      <c r="D826" s="5">
        <f>IFERROR(__xludf.DUMMYFUNCTION("""COMPUTED_VALUE"""),42921.66666666667)</f>
        <v>42921.66667</v>
      </c>
      <c r="E826" s="3">
        <f>IFERROR(__xludf.DUMMYFUNCTION("""COMPUTED_VALUE"""),45.59)</f>
        <v>45.59</v>
      </c>
      <c r="F826" s="3">
        <f t="shared" si="1"/>
        <v>0.01436012747</v>
      </c>
    </row>
    <row r="827">
      <c r="A827" s="6"/>
      <c r="D827" s="5">
        <f>IFERROR(__xludf.DUMMYFUNCTION("""COMPUTED_VALUE"""),42922.66666666667)</f>
        <v>42922.66667</v>
      </c>
      <c r="E827" s="3">
        <f>IFERROR(__xludf.DUMMYFUNCTION("""COMPUTED_VALUE"""),45.33)</f>
        <v>45.33</v>
      </c>
      <c r="F827" s="3">
        <f t="shared" si="1"/>
        <v>-0.005719329273</v>
      </c>
    </row>
    <row r="828">
      <c r="A828" s="6"/>
      <c r="D828" s="5">
        <f>IFERROR(__xludf.DUMMYFUNCTION("""COMPUTED_VALUE"""),42923.66666666667)</f>
        <v>42923.66667</v>
      </c>
      <c r="E828" s="3">
        <f>IFERROR(__xludf.DUMMYFUNCTION("""COMPUTED_VALUE"""),45.93)</f>
        <v>45.93</v>
      </c>
      <c r="F828" s="3">
        <f t="shared" si="1"/>
        <v>0.01314943338</v>
      </c>
    </row>
    <row r="829">
      <c r="A829" s="6"/>
      <c r="D829" s="5">
        <f>IFERROR(__xludf.DUMMYFUNCTION("""COMPUTED_VALUE"""),42926.66666666667)</f>
        <v>42926.66667</v>
      </c>
      <c r="E829" s="3">
        <f>IFERROR(__xludf.DUMMYFUNCTION("""COMPUTED_VALUE"""),46.44)</f>
        <v>46.44</v>
      </c>
      <c r="F829" s="3">
        <f t="shared" si="1"/>
        <v>0.01104265849</v>
      </c>
    </row>
    <row r="830">
      <c r="A830" s="6"/>
      <c r="D830" s="5">
        <f>IFERROR(__xludf.DUMMYFUNCTION("""COMPUTED_VALUE"""),42927.66666666667)</f>
        <v>42927.66667</v>
      </c>
      <c r="E830" s="3">
        <f>IFERROR(__xludf.DUMMYFUNCTION("""COMPUTED_VALUE"""),46.5)</f>
        <v>46.5</v>
      </c>
      <c r="F830" s="3">
        <f t="shared" si="1"/>
        <v>0.001291155764</v>
      </c>
    </row>
    <row r="831">
      <c r="A831" s="6"/>
      <c r="D831" s="5">
        <f>IFERROR(__xludf.DUMMYFUNCTION("""COMPUTED_VALUE"""),42928.66666666667)</f>
        <v>42928.66667</v>
      </c>
      <c r="E831" s="3">
        <f>IFERROR(__xludf.DUMMYFUNCTION("""COMPUTED_VALUE"""),47.19)</f>
        <v>47.19</v>
      </c>
      <c r="F831" s="3">
        <f t="shared" si="1"/>
        <v>0.01472969314</v>
      </c>
    </row>
    <row r="832">
      <c r="A832" s="6"/>
      <c r="D832" s="5">
        <f>IFERROR(__xludf.DUMMYFUNCTION("""COMPUTED_VALUE"""),42929.66666666667)</f>
        <v>42929.66667</v>
      </c>
      <c r="E832" s="3">
        <f>IFERROR(__xludf.DUMMYFUNCTION("""COMPUTED_VALUE"""),47.36)</f>
        <v>47.36</v>
      </c>
      <c r="F832" s="3">
        <f t="shared" si="1"/>
        <v>0.003595984837</v>
      </c>
    </row>
    <row r="833">
      <c r="A833" s="6"/>
      <c r="D833" s="5">
        <f>IFERROR(__xludf.DUMMYFUNCTION("""COMPUTED_VALUE"""),42930.66666666667)</f>
        <v>42930.66667</v>
      </c>
      <c r="E833" s="3">
        <f>IFERROR(__xludf.DUMMYFUNCTION("""COMPUTED_VALUE"""),47.8)</f>
        <v>47.8</v>
      </c>
      <c r="F833" s="3">
        <f t="shared" si="1"/>
        <v>0.009247648922</v>
      </c>
    </row>
    <row r="834">
      <c r="A834" s="6"/>
      <c r="D834" s="5">
        <f>IFERROR(__xludf.DUMMYFUNCTION("""COMPUTED_VALUE"""),42933.66666666667)</f>
        <v>42933.66667</v>
      </c>
      <c r="E834" s="3">
        <f>IFERROR(__xludf.DUMMYFUNCTION("""COMPUTED_VALUE"""),47.67)</f>
        <v>47.67</v>
      </c>
      <c r="F834" s="3">
        <f t="shared" si="1"/>
        <v>-0.002723370281</v>
      </c>
    </row>
    <row r="835">
      <c r="A835" s="6"/>
      <c r="D835" s="5">
        <f>IFERROR(__xludf.DUMMYFUNCTION("""COMPUTED_VALUE"""),42934.66666666667)</f>
        <v>42934.66667</v>
      </c>
      <c r="E835" s="3">
        <f>IFERROR(__xludf.DUMMYFUNCTION("""COMPUTED_VALUE"""),48.27)</f>
        <v>48.27</v>
      </c>
      <c r="F835" s="3">
        <f t="shared" si="1"/>
        <v>0.01250798046</v>
      </c>
    </row>
    <row r="836">
      <c r="A836" s="6"/>
      <c r="D836" s="5">
        <f>IFERROR(__xludf.DUMMYFUNCTION("""COMPUTED_VALUE"""),42935.66666666667)</f>
        <v>42935.66667</v>
      </c>
      <c r="E836" s="3">
        <f>IFERROR(__xludf.DUMMYFUNCTION("""COMPUTED_VALUE"""),48.54)</f>
        <v>48.54</v>
      </c>
      <c r="F836" s="3">
        <f t="shared" si="1"/>
        <v>0.005577950626</v>
      </c>
    </row>
    <row r="837">
      <c r="A837" s="6"/>
      <c r="D837" s="5">
        <f>IFERROR(__xludf.DUMMYFUNCTION("""COMPUTED_VALUE"""),42936.66666666667)</f>
        <v>42936.66667</v>
      </c>
      <c r="E837" s="3">
        <f>IFERROR(__xludf.DUMMYFUNCTION("""COMPUTED_VALUE"""),48.41)</f>
        <v>48.41</v>
      </c>
      <c r="F837" s="3">
        <f t="shared" si="1"/>
        <v>-0.002681796347</v>
      </c>
    </row>
    <row r="838">
      <c r="A838" s="6"/>
      <c r="D838" s="5">
        <f>IFERROR(__xludf.DUMMYFUNCTION("""COMPUTED_VALUE"""),42937.66666666667)</f>
        <v>42937.66667</v>
      </c>
      <c r="E838" s="3">
        <f>IFERROR(__xludf.DUMMYFUNCTION("""COMPUTED_VALUE"""),48.65)</f>
        <v>48.65</v>
      </c>
      <c r="F838" s="3">
        <f t="shared" si="1"/>
        <v>0.00494540468</v>
      </c>
    </row>
    <row r="839">
      <c r="A839" s="6"/>
      <c r="D839" s="5">
        <f>IFERROR(__xludf.DUMMYFUNCTION("""COMPUTED_VALUE"""),42940.66666666667)</f>
        <v>42940.66667</v>
      </c>
      <c r="E839" s="3">
        <f>IFERROR(__xludf.DUMMYFUNCTION("""COMPUTED_VALUE"""),49.02)</f>
        <v>49.02</v>
      </c>
      <c r="F839" s="3">
        <f t="shared" si="1"/>
        <v>0.007576569468</v>
      </c>
    </row>
    <row r="840">
      <c r="A840" s="6"/>
      <c r="D840" s="5">
        <f>IFERROR(__xludf.DUMMYFUNCTION("""COMPUTED_VALUE"""),42941.66666666667)</f>
        <v>42941.66667</v>
      </c>
      <c r="E840" s="3">
        <f>IFERROR(__xludf.DUMMYFUNCTION("""COMPUTED_VALUE"""),47.54)</f>
        <v>47.54</v>
      </c>
      <c r="F840" s="3">
        <f t="shared" si="1"/>
        <v>-0.03065691617</v>
      </c>
    </row>
    <row r="841">
      <c r="A841" s="6"/>
      <c r="D841" s="5">
        <f>IFERROR(__xludf.DUMMYFUNCTION("""COMPUTED_VALUE"""),42942.66666666667)</f>
        <v>42942.66667</v>
      </c>
      <c r="E841" s="3">
        <f>IFERROR(__xludf.DUMMYFUNCTION("""COMPUTED_VALUE"""),47.39)</f>
        <v>47.39</v>
      </c>
      <c r="F841" s="3">
        <f t="shared" si="1"/>
        <v>-0.003160225953</v>
      </c>
    </row>
    <row r="842">
      <c r="A842" s="6"/>
      <c r="D842" s="5">
        <f>IFERROR(__xludf.DUMMYFUNCTION("""COMPUTED_VALUE"""),42943.66666666667)</f>
        <v>42943.66667</v>
      </c>
      <c r="E842" s="3">
        <f>IFERROR(__xludf.DUMMYFUNCTION("""COMPUTED_VALUE"""),46.7)</f>
        <v>46.7</v>
      </c>
      <c r="F842" s="3">
        <f t="shared" si="1"/>
        <v>-0.0146670713</v>
      </c>
    </row>
    <row r="843">
      <c r="A843" s="6"/>
      <c r="D843" s="5">
        <f>IFERROR(__xludf.DUMMYFUNCTION("""COMPUTED_VALUE"""),42944.66666666667)</f>
        <v>42944.66667</v>
      </c>
      <c r="E843" s="3">
        <f>IFERROR(__xludf.DUMMYFUNCTION("""COMPUTED_VALUE"""),47.08)</f>
        <v>47.08</v>
      </c>
      <c r="F843" s="3">
        <f t="shared" si="1"/>
        <v>0.008104117717</v>
      </c>
    </row>
    <row r="844">
      <c r="A844" s="6"/>
      <c r="D844" s="5">
        <f>IFERROR(__xludf.DUMMYFUNCTION("""COMPUTED_VALUE"""),42947.66666666667)</f>
        <v>42947.66667</v>
      </c>
      <c r="E844" s="3">
        <f>IFERROR(__xludf.DUMMYFUNCTION("""COMPUTED_VALUE"""),46.53)</f>
        <v>46.53</v>
      </c>
      <c r="F844" s="3">
        <f t="shared" si="1"/>
        <v>-0.01175101654</v>
      </c>
    </row>
    <row r="845">
      <c r="A845" s="6"/>
      <c r="D845" s="5">
        <f>IFERROR(__xludf.DUMMYFUNCTION("""COMPUTED_VALUE"""),42948.66666666667)</f>
        <v>42948.66667</v>
      </c>
      <c r="E845" s="3">
        <f>IFERROR(__xludf.DUMMYFUNCTION("""COMPUTED_VALUE"""),46.54)</f>
        <v>46.54</v>
      </c>
      <c r="F845" s="3">
        <f t="shared" si="1"/>
        <v>0.0002148920176</v>
      </c>
    </row>
    <row r="846">
      <c r="A846" s="6"/>
      <c r="D846" s="5">
        <f>IFERROR(__xludf.DUMMYFUNCTION("""COMPUTED_VALUE"""),42949.66666666667)</f>
        <v>42949.66667</v>
      </c>
      <c r="E846" s="3">
        <f>IFERROR(__xludf.DUMMYFUNCTION("""COMPUTED_VALUE"""),46.52)</f>
        <v>46.52</v>
      </c>
      <c r="F846" s="3">
        <f t="shared" si="1"/>
        <v>-0.0004298302237</v>
      </c>
    </row>
    <row r="847">
      <c r="A847" s="6"/>
      <c r="D847" s="5">
        <f>IFERROR(__xludf.DUMMYFUNCTION("""COMPUTED_VALUE"""),42950.66666666667)</f>
        <v>42950.66667</v>
      </c>
      <c r="E847" s="3">
        <f>IFERROR(__xludf.DUMMYFUNCTION("""COMPUTED_VALUE"""),46.18)</f>
        <v>46.18</v>
      </c>
      <c r="F847" s="3">
        <f t="shared" si="1"/>
        <v>-0.007335523724</v>
      </c>
    </row>
    <row r="848">
      <c r="A848" s="6"/>
      <c r="D848" s="5">
        <f>IFERROR(__xludf.DUMMYFUNCTION("""COMPUTED_VALUE"""),42951.66666666667)</f>
        <v>42951.66667</v>
      </c>
      <c r="E848" s="3">
        <f>IFERROR(__xludf.DUMMYFUNCTION("""COMPUTED_VALUE"""),46.4)</f>
        <v>46.4</v>
      </c>
      <c r="F848" s="3">
        <f t="shared" si="1"/>
        <v>0.004752655306</v>
      </c>
    </row>
    <row r="849">
      <c r="A849" s="6"/>
      <c r="D849" s="5">
        <f>IFERROR(__xludf.DUMMYFUNCTION("""COMPUTED_VALUE"""),42954.66666666667)</f>
        <v>42954.66667</v>
      </c>
      <c r="E849" s="3">
        <f>IFERROR(__xludf.DUMMYFUNCTION("""COMPUTED_VALUE"""),46.47)</f>
        <v>46.47</v>
      </c>
      <c r="F849" s="3">
        <f t="shared" si="1"/>
        <v>0.001507483865</v>
      </c>
    </row>
    <row r="850">
      <c r="A850" s="6"/>
      <c r="D850" s="5">
        <f>IFERROR(__xludf.DUMMYFUNCTION("""COMPUTED_VALUE"""),42955.66666666667)</f>
        <v>42955.66667</v>
      </c>
      <c r="E850" s="3">
        <f>IFERROR(__xludf.DUMMYFUNCTION("""COMPUTED_VALUE"""),46.34)</f>
        <v>46.34</v>
      </c>
      <c r="F850" s="3">
        <f t="shared" si="1"/>
        <v>-0.002801424093</v>
      </c>
    </row>
    <row r="851">
      <c r="A851" s="6"/>
      <c r="D851" s="5">
        <f>IFERROR(__xludf.DUMMYFUNCTION("""COMPUTED_VALUE"""),42956.66666666667)</f>
        <v>42956.66667</v>
      </c>
      <c r="E851" s="3">
        <f>IFERROR(__xludf.DUMMYFUNCTION("""COMPUTED_VALUE"""),46.15)</f>
        <v>46.15</v>
      </c>
      <c r="F851" s="3">
        <f t="shared" si="1"/>
        <v>-0.004108558055</v>
      </c>
    </row>
    <row r="852">
      <c r="A852" s="6"/>
      <c r="D852" s="5">
        <f>IFERROR(__xludf.DUMMYFUNCTION("""COMPUTED_VALUE"""),42957.66666666667)</f>
        <v>42957.66667</v>
      </c>
      <c r="E852" s="3">
        <f>IFERROR(__xludf.DUMMYFUNCTION("""COMPUTED_VALUE"""),45.36)</f>
        <v>45.36</v>
      </c>
      <c r="F852" s="3">
        <f t="shared" si="1"/>
        <v>-0.01726630153</v>
      </c>
    </row>
    <row r="853">
      <c r="A853" s="6"/>
      <c r="D853" s="5">
        <f>IFERROR(__xludf.DUMMYFUNCTION("""COMPUTED_VALUE"""),42958.66666666667)</f>
        <v>42958.66667</v>
      </c>
      <c r="E853" s="3">
        <f>IFERROR(__xludf.DUMMYFUNCTION("""COMPUTED_VALUE"""),45.72)</f>
        <v>45.72</v>
      </c>
      <c r="F853" s="3">
        <f t="shared" si="1"/>
        <v>0.007905179507</v>
      </c>
    </row>
    <row r="854">
      <c r="A854" s="6"/>
      <c r="D854" s="5">
        <f>IFERROR(__xludf.DUMMYFUNCTION("""COMPUTED_VALUE"""),42961.66666666667)</f>
        <v>42961.66667</v>
      </c>
      <c r="E854" s="3">
        <f>IFERROR(__xludf.DUMMYFUNCTION("""COMPUTED_VALUE"""),46.13)</f>
        <v>46.13</v>
      </c>
      <c r="F854" s="3">
        <f t="shared" si="1"/>
        <v>0.008927658643</v>
      </c>
    </row>
    <row r="855">
      <c r="A855" s="6"/>
      <c r="D855" s="5">
        <f>IFERROR(__xludf.DUMMYFUNCTION("""COMPUTED_VALUE"""),42962.66666666667)</f>
        <v>42962.66667</v>
      </c>
      <c r="E855" s="3">
        <f>IFERROR(__xludf.DUMMYFUNCTION("""COMPUTED_VALUE"""),46.11)</f>
        <v>46.11</v>
      </c>
      <c r="F855" s="3">
        <f t="shared" si="1"/>
        <v>-0.0004336513511</v>
      </c>
    </row>
    <row r="856">
      <c r="A856" s="6"/>
      <c r="D856" s="5">
        <f>IFERROR(__xludf.DUMMYFUNCTION("""COMPUTED_VALUE"""),42963.66666666667)</f>
        <v>42963.66667</v>
      </c>
      <c r="E856" s="3">
        <f>IFERROR(__xludf.DUMMYFUNCTION("""COMPUTED_VALUE"""),46.35)</f>
        <v>46.35</v>
      </c>
      <c r="F856" s="3">
        <f t="shared" si="1"/>
        <v>0.005191445793</v>
      </c>
    </row>
    <row r="857">
      <c r="A857" s="6"/>
      <c r="D857" s="5">
        <f>IFERROR(__xludf.DUMMYFUNCTION("""COMPUTED_VALUE"""),42964.66666666667)</f>
        <v>42964.66667</v>
      </c>
      <c r="E857" s="3">
        <f>IFERROR(__xludf.DUMMYFUNCTION("""COMPUTED_VALUE"""),45.55)</f>
        <v>45.55</v>
      </c>
      <c r="F857" s="3">
        <f t="shared" si="1"/>
        <v>-0.01741066831</v>
      </c>
    </row>
    <row r="858">
      <c r="A858" s="6"/>
      <c r="D858" s="5">
        <f>IFERROR(__xludf.DUMMYFUNCTION("""COMPUTED_VALUE"""),42965.66666666667)</f>
        <v>42965.66667</v>
      </c>
      <c r="E858" s="3">
        <f>IFERROR(__xludf.DUMMYFUNCTION("""COMPUTED_VALUE"""),45.53)</f>
        <v>45.53</v>
      </c>
      <c r="F858" s="3">
        <f t="shared" si="1"/>
        <v>-0.0004391743593</v>
      </c>
    </row>
    <row r="859">
      <c r="A859" s="6"/>
      <c r="D859" s="5">
        <f>IFERROR(__xludf.DUMMYFUNCTION("""COMPUTED_VALUE"""),42968.66666666667)</f>
        <v>42968.66667</v>
      </c>
      <c r="E859" s="3">
        <f>IFERROR(__xludf.DUMMYFUNCTION("""COMPUTED_VALUE"""),45.33)</f>
        <v>45.33</v>
      </c>
      <c r="F859" s="3">
        <f t="shared" si="1"/>
        <v>-0.004402384394</v>
      </c>
    </row>
    <row r="860">
      <c r="A860" s="6"/>
      <c r="D860" s="5">
        <f>IFERROR(__xludf.DUMMYFUNCTION("""COMPUTED_VALUE"""),42969.66666666667)</f>
        <v>42969.66667</v>
      </c>
      <c r="E860" s="3">
        <f>IFERROR(__xludf.DUMMYFUNCTION("""COMPUTED_VALUE"""),46.23)</f>
        <v>46.23</v>
      </c>
      <c r="F860" s="3">
        <f t="shared" si="1"/>
        <v>0.01965987305</v>
      </c>
    </row>
    <row r="861">
      <c r="A861" s="6"/>
      <c r="D861" s="5">
        <f>IFERROR(__xludf.DUMMYFUNCTION("""COMPUTED_VALUE"""),42970.66666666667)</f>
        <v>42970.66667</v>
      </c>
      <c r="E861" s="3">
        <f>IFERROR(__xludf.DUMMYFUNCTION("""COMPUTED_VALUE"""),46.35)</f>
        <v>46.35</v>
      </c>
      <c r="F861" s="3">
        <f t="shared" si="1"/>
        <v>0.002592354012</v>
      </c>
    </row>
    <row r="862">
      <c r="A862" s="6"/>
      <c r="D862" s="5">
        <f>IFERROR(__xludf.DUMMYFUNCTION("""COMPUTED_VALUE"""),42971.66666666667)</f>
        <v>42971.66667</v>
      </c>
      <c r="E862" s="3">
        <f>IFERROR(__xludf.DUMMYFUNCTION("""COMPUTED_VALUE"""),46.06)</f>
        <v>46.06</v>
      </c>
      <c r="F862" s="3">
        <f t="shared" si="1"/>
        <v>-0.006276397619</v>
      </c>
    </row>
    <row r="863">
      <c r="A863" s="6"/>
      <c r="D863" s="5">
        <f>IFERROR(__xludf.DUMMYFUNCTION("""COMPUTED_VALUE"""),42972.66666666667)</f>
        <v>42972.66667</v>
      </c>
      <c r="E863" s="3">
        <f>IFERROR(__xludf.DUMMYFUNCTION("""COMPUTED_VALUE"""),45.79)</f>
        <v>45.79</v>
      </c>
      <c r="F863" s="3">
        <f t="shared" si="1"/>
        <v>-0.005879167724</v>
      </c>
    </row>
    <row r="864">
      <c r="A864" s="6"/>
      <c r="D864" s="5">
        <f>IFERROR(__xludf.DUMMYFUNCTION("""COMPUTED_VALUE"""),42975.66666666667)</f>
        <v>42975.66667</v>
      </c>
      <c r="E864" s="3">
        <f>IFERROR(__xludf.DUMMYFUNCTION("""COMPUTED_VALUE"""),45.69)</f>
        <v>45.69</v>
      </c>
      <c r="F864" s="3">
        <f t="shared" si="1"/>
        <v>-0.002186271094</v>
      </c>
    </row>
    <row r="865">
      <c r="A865" s="6"/>
      <c r="D865" s="5">
        <f>IFERROR(__xludf.DUMMYFUNCTION("""COMPUTED_VALUE"""),42976.66666666667)</f>
        <v>42976.66667</v>
      </c>
      <c r="E865" s="3">
        <f>IFERROR(__xludf.DUMMYFUNCTION("""COMPUTED_VALUE"""),46.06)</f>
        <v>46.06</v>
      </c>
      <c r="F865" s="3">
        <f t="shared" si="1"/>
        <v>0.008065438817</v>
      </c>
    </row>
    <row r="866">
      <c r="A866" s="6"/>
      <c r="D866" s="5">
        <f>IFERROR(__xludf.DUMMYFUNCTION("""COMPUTED_VALUE"""),42977.66666666667)</f>
        <v>42977.66667</v>
      </c>
      <c r="E866" s="3">
        <f>IFERROR(__xludf.DUMMYFUNCTION("""COMPUTED_VALUE"""),46.48)</f>
        <v>46.48</v>
      </c>
      <c r="F866" s="3">
        <f t="shared" si="1"/>
        <v>0.009077218151</v>
      </c>
    </row>
    <row r="867">
      <c r="A867" s="6"/>
      <c r="D867" s="5">
        <f>IFERROR(__xludf.DUMMYFUNCTION("""COMPUTED_VALUE"""),42978.66666666667)</f>
        <v>42978.66667</v>
      </c>
      <c r="E867" s="3">
        <f>IFERROR(__xludf.DUMMYFUNCTION("""COMPUTED_VALUE"""),46.97)</f>
        <v>46.97</v>
      </c>
      <c r="F867" s="3">
        <f t="shared" si="1"/>
        <v>0.0104869875</v>
      </c>
    </row>
    <row r="868">
      <c r="A868" s="6"/>
      <c r="D868" s="5">
        <f>IFERROR(__xludf.DUMMYFUNCTION("""COMPUTED_VALUE"""),42979.66666666667)</f>
        <v>42979.66667</v>
      </c>
      <c r="E868" s="3">
        <f>IFERROR(__xludf.DUMMYFUNCTION("""COMPUTED_VALUE"""),46.87)</f>
        <v>46.87</v>
      </c>
      <c r="F868" s="3">
        <f t="shared" si="1"/>
        <v>-0.002131288104</v>
      </c>
    </row>
    <row r="869">
      <c r="A869" s="6"/>
      <c r="D869" s="5">
        <f>IFERROR(__xludf.DUMMYFUNCTION("""COMPUTED_VALUE"""),42983.66666666667)</f>
        <v>42983.66667</v>
      </c>
      <c r="E869" s="3">
        <f>IFERROR(__xludf.DUMMYFUNCTION("""COMPUTED_VALUE"""),46.42)</f>
        <v>46.42</v>
      </c>
      <c r="F869" s="3">
        <f t="shared" si="1"/>
        <v>-0.009647411088</v>
      </c>
    </row>
    <row r="870">
      <c r="A870" s="6"/>
      <c r="D870" s="5">
        <f>IFERROR(__xludf.DUMMYFUNCTION("""COMPUTED_VALUE"""),42984.66666666667)</f>
        <v>42984.66667</v>
      </c>
      <c r="E870" s="3">
        <f>IFERROR(__xludf.DUMMYFUNCTION("""COMPUTED_VALUE"""),46.39)</f>
        <v>46.39</v>
      </c>
      <c r="F870" s="3">
        <f t="shared" si="1"/>
        <v>-0.0006464820826</v>
      </c>
    </row>
    <row r="871">
      <c r="A871" s="6"/>
      <c r="D871" s="5">
        <f>IFERROR(__xludf.DUMMYFUNCTION("""COMPUTED_VALUE"""),42985.66666666667)</f>
        <v>42985.66667</v>
      </c>
      <c r="E871" s="3">
        <f>IFERROR(__xludf.DUMMYFUNCTION("""COMPUTED_VALUE"""),46.8)</f>
        <v>46.8</v>
      </c>
      <c r="F871" s="3">
        <f t="shared" si="1"/>
        <v>0.00879928416</v>
      </c>
    </row>
    <row r="872">
      <c r="A872" s="6"/>
      <c r="D872" s="5">
        <f>IFERROR(__xludf.DUMMYFUNCTION("""COMPUTED_VALUE"""),42986.66666666667)</f>
        <v>42986.66667</v>
      </c>
      <c r="E872" s="3">
        <f>IFERROR(__xludf.DUMMYFUNCTION("""COMPUTED_VALUE"""),46.33)</f>
        <v>46.33</v>
      </c>
      <c r="F872" s="3">
        <f t="shared" si="1"/>
        <v>-0.0100935035</v>
      </c>
    </row>
    <row r="873">
      <c r="A873" s="6"/>
      <c r="D873" s="5">
        <f>IFERROR(__xludf.DUMMYFUNCTION("""COMPUTED_VALUE"""),42989.66666666667)</f>
        <v>42989.66667</v>
      </c>
      <c r="E873" s="3">
        <f>IFERROR(__xludf.DUMMYFUNCTION("""COMPUTED_VALUE"""),46.45)</f>
        <v>46.45</v>
      </c>
      <c r="F873" s="3">
        <f t="shared" si="1"/>
        <v>0.002586765831</v>
      </c>
    </row>
    <row r="874">
      <c r="A874" s="6"/>
      <c r="D874" s="5">
        <f>IFERROR(__xludf.DUMMYFUNCTION("""COMPUTED_VALUE"""),42990.66666666667)</f>
        <v>42990.66667</v>
      </c>
      <c r="E874" s="3">
        <f>IFERROR(__xludf.DUMMYFUNCTION("""COMPUTED_VALUE"""),46.6)</f>
        <v>46.6</v>
      </c>
      <c r="F874" s="3">
        <f t="shared" si="1"/>
        <v>0.003224075872</v>
      </c>
    </row>
    <row r="875">
      <c r="A875" s="6"/>
      <c r="D875" s="5">
        <f>IFERROR(__xludf.DUMMYFUNCTION("""COMPUTED_VALUE"""),42991.66666666667)</f>
        <v>42991.66667</v>
      </c>
      <c r="E875" s="3">
        <f>IFERROR(__xludf.DUMMYFUNCTION("""COMPUTED_VALUE"""),46.75)</f>
        <v>46.75</v>
      </c>
      <c r="F875" s="3">
        <f t="shared" si="1"/>
        <v>0.003213714603</v>
      </c>
    </row>
    <row r="876">
      <c r="A876" s="6"/>
      <c r="D876" s="5">
        <f>IFERROR(__xludf.DUMMYFUNCTION("""COMPUTED_VALUE"""),42992.66666666667)</f>
        <v>42992.66667</v>
      </c>
      <c r="E876" s="3">
        <f>IFERROR(__xludf.DUMMYFUNCTION("""COMPUTED_VALUE"""),46.26)</f>
        <v>46.26</v>
      </c>
      <c r="F876" s="3">
        <f t="shared" si="1"/>
        <v>-0.01053659893</v>
      </c>
    </row>
    <row r="877">
      <c r="A877" s="6"/>
      <c r="D877" s="5">
        <f>IFERROR(__xludf.DUMMYFUNCTION("""COMPUTED_VALUE"""),42993.66666666667)</f>
        <v>42993.66667</v>
      </c>
      <c r="E877" s="3">
        <f>IFERROR(__xludf.DUMMYFUNCTION("""COMPUTED_VALUE"""),46.01)</f>
        <v>46.01</v>
      </c>
      <c r="F877" s="3">
        <f t="shared" si="1"/>
        <v>-0.005418892636</v>
      </c>
    </row>
    <row r="878">
      <c r="A878" s="6"/>
      <c r="D878" s="5">
        <f>IFERROR(__xludf.DUMMYFUNCTION("""COMPUTED_VALUE"""),42996.66666666667)</f>
        <v>42996.66667</v>
      </c>
      <c r="E878" s="3">
        <f>IFERROR(__xludf.DUMMYFUNCTION("""COMPUTED_VALUE"""),45.75)</f>
        <v>45.75</v>
      </c>
      <c r="F878" s="3">
        <f t="shared" si="1"/>
        <v>-0.005666972446</v>
      </c>
    </row>
    <row r="879">
      <c r="A879" s="6"/>
      <c r="D879" s="5">
        <f>IFERROR(__xludf.DUMMYFUNCTION("""COMPUTED_VALUE"""),42997.66666666667)</f>
        <v>42997.66667</v>
      </c>
      <c r="E879" s="3">
        <f>IFERROR(__xludf.DUMMYFUNCTION("""COMPUTED_VALUE"""),46.09)</f>
        <v>46.09</v>
      </c>
      <c r="F879" s="3">
        <f t="shared" si="1"/>
        <v>0.007404215011</v>
      </c>
    </row>
    <row r="880">
      <c r="A880" s="6"/>
      <c r="D880" s="5">
        <f>IFERROR(__xludf.DUMMYFUNCTION("""COMPUTED_VALUE"""),42998.66666666667)</f>
        <v>42998.66667</v>
      </c>
      <c r="E880" s="3">
        <f>IFERROR(__xludf.DUMMYFUNCTION("""COMPUTED_VALUE"""),46.58)</f>
        <v>46.58</v>
      </c>
      <c r="F880" s="3">
        <f t="shared" si="1"/>
        <v>0.01057525772</v>
      </c>
    </row>
    <row r="881">
      <c r="A881" s="6"/>
      <c r="D881" s="5">
        <f>IFERROR(__xludf.DUMMYFUNCTION("""COMPUTED_VALUE"""),42999.66666666667)</f>
        <v>42999.66667</v>
      </c>
      <c r="E881" s="3">
        <f>IFERROR(__xludf.DUMMYFUNCTION("""COMPUTED_VALUE"""),46.62)</f>
        <v>46.62</v>
      </c>
      <c r="F881" s="3">
        <f t="shared" si="1"/>
        <v>0.0008583691514</v>
      </c>
    </row>
    <row r="882">
      <c r="A882" s="6"/>
      <c r="D882" s="5">
        <f>IFERROR(__xludf.DUMMYFUNCTION("""COMPUTED_VALUE"""),43000.66666666667)</f>
        <v>43000.66667</v>
      </c>
      <c r="E882" s="3">
        <f>IFERROR(__xludf.DUMMYFUNCTION("""COMPUTED_VALUE"""),46.43)</f>
        <v>46.43</v>
      </c>
      <c r="F882" s="3">
        <f t="shared" si="1"/>
        <v>-0.004083831576</v>
      </c>
    </row>
    <row r="883">
      <c r="A883" s="6"/>
      <c r="D883" s="5">
        <f>IFERROR(__xludf.DUMMYFUNCTION("""COMPUTED_VALUE"""),43003.66666666667)</f>
        <v>43003.66667</v>
      </c>
      <c r="E883" s="3">
        <f>IFERROR(__xludf.DUMMYFUNCTION("""COMPUTED_VALUE"""),46.05)</f>
        <v>46.05</v>
      </c>
      <c r="F883" s="3">
        <f t="shared" si="1"/>
        <v>-0.008218039331</v>
      </c>
    </row>
    <row r="884">
      <c r="A884" s="6"/>
      <c r="D884" s="5">
        <f>IFERROR(__xludf.DUMMYFUNCTION("""COMPUTED_VALUE"""),43004.66666666667)</f>
        <v>43004.66667</v>
      </c>
      <c r="E884" s="3">
        <f>IFERROR(__xludf.DUMMYFUNCTION("""COMPUTED_VALUE"""),46.24)</f>
        <v>46.24</v>
      </c>
      <c r="F884" s="3">
        <f t="shared" si="1"/>
        <v>0.004117461663</v>
      </c>
    </row>
    <row r="885">
      <c r="A885" s="6"/>
      <c r="D885" s="5">
        <f>IFERROR(__xludf.DUMMYFUNCTION("""COMPUTED_VALUE"""),43005.66666666667)</f>
        <v>43005.66667</v>
      </c>
      <c r="E885" s="3">
        <f>IFERROR(__xludf.DUMMYFUNCTION("""COMPUTED_VALUE"""),47.22)</f>
        <v>47.22</v>
      </c>
      <c r="F885" s="3">
        <f t="shared" si="1"/>
        <v>0.02097230729</v>
      </c>
    </row>
    <row r="886">
      <c r="A886" s="6"/>
      <c r="D886" s="5">
        <f>IFERROR(__xludf.DUMMYFUNCTION("""COMPUTED_VALUE"""),43006.66666666667)</f>
        <v>43006.66667</v>
      </c>
      <c r="E886" s="3">
        <f>IFERROR(__xludf.DUMMYFUNCTION("""COMPUTED_VALUE"""),47.48)</f>
        <v>47.48</v>
      </c>
      <c r="F886" s="3">
        <f t="shared" si="1"/>
        <v>0.005491038084</v>
      </c>
    </row>
    <row r="887">
      <c r="A887" s="6"/>
      <c r="D887" s="5">
        <f>IFERROR(__xludf.DUMMYFUNCTION("""COMPUTED_VALUE"""),43007.66666666667)</f>
        <v>43007.66667</v>
      </c>
      <c r="E887" s="3">
        <f>IFERROR(__xludf.DUMMYFUNCTION("""COMPUTED_VALUE"""),47.96)</f>
        <v>47.96</v>
      </c>
      <c r="F887" s="3">
        <f t="shared" si="1"/>
        <v>0.01005876042</v>
      </c>
    </row>
    <row r="888">
      <c r="A888" s="6"/>
      <c r="D888" s="5">
        <f>IFERROR(__xludf.DUMMYFUNCTION("""COMPUTED_VALUE"""),43010.66666666667)</f>
        <v>43010.66667</v>
      </c>
      <c r="E888" s="3">
        <f>IFERROR(__xludf.DUMMYFUNCTION("""COMPUTED_VALUE"""),47.66)</f>
        <v>47.66</v>
      </c>
      <c r="F888" s="3">
        <f t="shared" si="1"/>
        <v>-0.006274858489</v>
      </c>
    </row>
    <row r="889">
      <c r="A889" s="6"/>
      <c r="D889" s="5">
        <f>IFERROR(__xludf.DUMMYFUNCTION("""COMPUTED_VALUE"""),43011.66666666667)</f>
        <v>43011.66667</v>
      </c>
      <c r="E889" s="3">
        <f>IFERROR(__xludf.DUMMYFUNCTION("""COMPUTED_VALUE"""),47.89)</f>
        <v>47.89</v>
      </c>
      <c r="F889" s="3">
        <f t="shared" si="1"/>
        <v>0.004814242684</v>
      </c>
    </row>
    <row r="890">
      <c r="A890" s="6"/>
      <c r="D890" s="5">
        <f>IFERROR(__xludf.DUMMYFUNCTION("""COMPUTED_VALUE"""),43012.66666666667)</f>
        <v>43012.66667</v>
      </c>
      <c r="E890" s="3">
        <f>IFERROR(__xludf.DUMMYFUNCTION("""COMPUTED_VALUE"""),47.58)</f>
        <v>47.58</v>
      </c>
      <c r="F890" s="3">
        <f t="shared" si="1"/>
        <v>-0.00649420948</v>
      </c>
    </row>
    <row r="891">
      <c r="A891" s="6"/>
      <c r="D891" s="5">
        <f>IFERROR(__xludf.DUMMYFUNCTION("""COMPUTED_VALUE"""),43013.66666666667)</f>
        <v>43013.66667</v>
      </c>
      <c r="E891" s="3">
        <f>IFERROR(__xludf.DUMMYFUNCTION("""COMPUTED_VALUE"""),48.5)</f>
        <v>48.5</v>
      </c>
      <c r="F891" s="3">
        <f t="shared" si="1"/>
        <v>0.01915129307</v>
      </c>
    </row>
    <row r="892">
      <c r="A892" s="6"/>
      <c r="D892" s="5">
        <f>IFERROR(__xludf.DUMMYFUNCTION("""COMPUTED_VALUE"""),43014.66666666667)</f>
        <v>43014.66667</v>
      </c>
      <c r="E892" s="3">
        <f>IFERROR(__xludf.DUMMYFUNCTION("""COMPUTED_VALUE"""),48.94)</f>
        <v>48.94</v>
      </c>
      <c r="F892" s="3">
        <f t="shared" si="1"/>
        <v>0.009031260071</v>
      </c>
    </row>
    <row r="893">
      <c r="A893" s="6"/>
      <c r="D893" s="5">
        <f>IFERROR(__xludf.DUMMYFUNCTION("""COMPUTED_VALUE"""),43017.66666666667)</f>
        <v>43017.66667</v>
      </c>
      <c r="E893" s="3">
        <f>IFERROR(__xludf.DUMMYFUNCTION("""COMPUTED_VALUE"""),48.85)</f>
        <v>48.85</v>
      </c>
      <c r="F893" s="3">
        <f t="shared" si="1"/>
        <v>-0.001840679526</v>
      </c>
    </row>
    <row r="894">
      <c r="A894" s="6"/>
      <c r="D894" s="5">
        <f>IFERROR(__xludf.DUMMYFUNCTION("""COMPUTED_VALUE"""),43018.66666666667)</f>
        <v>43018.66667</v>
      </c>
      <c r="E894" s="3">
        <f>IFERROR(__xludf.DUMMYFUNCTION("""COMPUTED_VALUE"""),48.63)</f>
        <v>48.63</v>
      </c>
      <c r="F894" s="3">
        <f t="shared" si="1"/>
        <v>-0.004513754073</v>
      </c>
    </row>
    <row r="895">
      <c r="A895" s="6"/>
      <c r="D895" s="5">
        <f>IFERROR(__xludf.DUMMYFUNCTION("""COMPUTED_VALUE"""),43019.66666666667)</f>
        <v>43019.66667</v>
      </c>
      <c r="E895" s="3">
        <f>IFERROR(__xludf.DUMMYFUNCTION("""COMPUTED_VALUE"""),49.46)</f>
        <v>49.46</v>
      </c>
      <c r="F895" s="3">
        <f t="shared" si="1"/>
        <v>0.01692363768</v>
      </c>
    </row>
    <row r="896">
      <c r="A896" s="6"/>
      <c r="D896" s="5">
        <f>IFERROR(__xludf.DUMMYFUNCTION("""COMPUTED_VALUE"""),43020.66666666667)</f>
        <v>43020.66667</v>
      </c>
      <c r="E896" s="3">
        <f>IFERROR(__xludf.DUMMYFUNCTION("""COMPUTED_VALUE"""),49.39)</f>
        <v>49.39</v>
      </c>
      <c r="F896" s="3">
        <f t="shared" si="1"/>
        <v>-0.001416287541</v>
      </c>
    </row>
    <row r="897">
      <c r="A897" s="6"/>
      <c r="D897" s="5">
        <f>IFERROR(__xludf.DUMMYFUNCTION("""COMPUTED_VALUE"""),43021.66666666667)</f>
        <v>43021.66667</v>
      </c>
      <c r="E897" s="3">
        <f>IFERROR(__xludf.DUMMYFUNCTION("""COMPUTED_VALUE"""),49.48)</f>
        <v>49.48</v>
      </c>
      <c r="F897" s="3">
        <f t="shared" si="1"/>
        <v>0.001820572972</v>
      </c>
    </row>
    <row r="898">
      <c r="A898" s="6"/>
      <c r="D898" s="5">
        <f>IFERROR(__xludf.DUMMYFUNCTION("""COMPUTED_VALUE"""),43024.66666666667)</f>
        <v>43024.66667</v>
      </c>
      <c r="E898" s="3">
        <f>IFERROR(__xludf.DUMMYFUNCTION("""COMPUTED_VALUE"""),49.6)</f>
        <v>49.6</v>
      </c>
      <c r="F898" s="3">
        <f t="shared" si="1"/>
        <v>0.002422286207</v>
      </c>
    </row>
    <row r="899">
      <c r="A899" s="6"/>
      <c r="D899" s="5">
        <f>IFERROR(__xludf.DUMMYFUNCTION("""COMPUTED_VALUE"""),43025.66666666667)</f>
        <v>43025.66667</v>
      </c>
      <c r="E899" s="3">
        <f>IFERROR(__xludf.DUMMYFUNCTION("""COMPUTED_VALUE"""),49.61)</f>
        <v>49.61</v>
      </c>
      <c r="F899" s="3">
        <f t="shared" si="1"/>
        <v>0.0002015925821</v>
      </c>
    </row>
    <row r="900">
      <c r="A900" s="6"/>
      <c r="D900" s="5">
        <f>IFERROR(__xludf.DUMMYFUNCTION("""COMPUTED_VALUE"""),43026.66666666667)</f>
        <v>43026.66667</v>
      </c>
      <c r="E900" s="3">
        <f>IFERROR(__xludf.DUMMYFUNCTION("""COMPUTED_VALUE"""),49.64)</f>
        <v>49.64</v>
      </c>
      <c r="F900" s="3">
        <f t="shared" si="1"/>
        <v>0.0006045340234</v>
      </c>
    </row>
    <row r="901">
      <c r="A901" s="6"/>
      <c r="D901" s="5">
        <f>IFERROR(__xludf.DUMMYFUNCTION("""COMPUTED_VALUE"""),43027.66666666667)</f>
        <v>43027.66667</v>
      </c>
      <c r="E901" s="3">
        <f>IFERROR(__xludf.DUMMYFUNCTION("""COMPUTED_VALUE"""),49.22)</f>
        <v>49.22</v>
      </c>
      <c r="F901" s="3">
        <f t="shared" si="1"/>
        <v>-0.008496915373</v>
      </c>
    </row>
    <row r="902">
      <c r="A902" s="6"/>
      <c r="D902" s="5">
        <f>IFERROR(__xludf.DUMMYFUNCTION("""COMPUTED_VALUE"""),43028.66666666667)</f>
        <v>43028.66667</v>
      </c>
      <c r="E902" s="3">
        <f>IFERROR(__xludf.DUMMYFUNCTION("""COMPUTED_VALUE"""),49.41)</f>
        <v>49.41</v>
      </c>
      <c r="F902" s="3">
        <f t="shared" si="1"/>
        <v>0.003852787895</v>
      </c>
    </row>
    <row r="903">
      <c r="A903" s="6"/>
      <c r="D903" s="5">
        <f>IFERROR(__xludf.DUMMYFUNCTION("""COMPUTED_VALUE"""),43031.66666666667)</f>
        <v>43031.66667</v>
      </c>
      <c r="E903" s="3">
        <f>IFERROR(__xludf.DUMMYFUNCTION("""COMPUTED_VALUE"""),48.42)</f>
        <v>48.42</v>
      </c>
      <c r="F903" s="3">
        <f t="shared" si="1"/>
        <v>-0.02023988135</v>
      </c>
    </row>
    <row r="904">
      <c r="A904" s="6"/>
      <c r="D904" s="5">
        <f>IFERROR(__xludf.DUMMYFUNCTION("""COMPUTED_VALUE"""),43032.66666666667)</f>
        <v>43032.66667</v>
      </c>
      <c r="E904" s="3">
        <f>IFERROR(__xludf.DUMMYFUNCTION("""COMPUTED_VALUE"""),48.53)</f>
        <v>48.53</v>
      </c>
      <c r="F904" s="3">
        <f t="shared" si="1"/>
        <v>0.002269211907</v>
      </c>
    </row>
    <row r="905">
      <c r="A905" s="6"/>
      <c r="D905" s="5">
        <f>IFERROR(__xludf.DUMMYFUNCTION("""COMPUTED_VALUE"""),43033.66666666667)</f>
        <v>43033.66667</v>
      </c>
      <c r="E905" s="3">
        <f>IFERROR(__xludf.DUMMYFUNCTION("""COMPUTED_VALUE"""),48.67)</f>
        <v>48.67</v>
      </c>
      <c r="F905" s="3">
        <f t="shared" si="1"/>
        <v>0.002880660428</v>
      </c>
    </row>
    <row r="906">
      <c r="A906" s="6"/>
      <c r="D906" s="5">
        <f>IFERROR(__xludf.DUMMYFUNCTION("""COMPUTED_VALUE"""),43034.66666666667)</f>
        <v>43034.66667</v>
      </c>
      <c r="E906" s="3">
        <f>IFERROR(__xludf.DUMMYFUNCTION("""COMPUTED_VALUE"""),48.63)</f>
        <v>48.63</v>
      </c>
      <c r="F906" s="3">
        <f t="shared" si="1"/>
        <v>-0.0008221994297</v>
      </c>
    </row>
    <row r="907">
      <c r="A907" s="6"/>
      <c r="D907" s="5">
        <f>IFERROR(__xludf.DUMMYFUNCTION("""COMPUTED_VALUE"""),43035.66666666667)</f>
        <v>43035.66667</v>
      </c>
      <c r="E907" s="3">
        <f>IFERROR(__xludf.DUMMYFUNCTION("""COMPUTED_VALUE"""),50.96)</f>
        <v>50.96</v>
      </c>
      <c r="F907" s="3">
        <f t="shared" si="1"/>
        <v>0.04680038685</v>
      </c>
    </row>
    <row r="908">
      <c r="A908" s="6"/>
      <c r="D908" s="5">
        <f>IFERROR(__xludf.DUMMYFUNCTION("""COMPUTED_VALUE"""),43038.66666666667)</f>
        <v>43038.66667</v>
      </c>
      <c r="E908" s="3">
        <f>IFERROR(__xludf.DUMMYFUNCTION("""COMPUTED_VALUE"""),50.86)</f>
        <v>50.86</v>
      </c>
      <c r="F908" s="3">
        <f t="shared" si="1"/>
        <v>-0.00196425127</v>
      </c>
    </row>
    <row r="909">
      <c r="A909" s="6"/>
      <c r="D909" s="5">
        <f>IFERROR(__xludf.DUMMYFUNCTION("""COMPUTED_VALUE"""),43039.66666666667)</f>
        <v>43039.66667</v>
      </c>
      <c r="E909" s="3">
        <f>IFERROR(__xludf.DUMMYFUNCTION("""COMPUTED_VALUE"""),50.83)</f>
        <v>50.83</v>
      </c>
      <c r="F909" s="3">
        <f t="shared" si="1"/>
        <v>-0.0005900285352</v>
      </c>
    </row>
    <row r="910">
      <c r="A910" s="6"/>
      <c r="D910" s="5">
        <f>IFERROR(__xludf.DUMMYFUNCTION("""COMPUTED_VALUE"""),43040.66666666667)</f>
        <v>43040.66667</v>
      </c>
      <c r="E910" s="3">
        <f>IFERROR(__xludf.DUMMYFUNCTION("""COMPUTED_VALUE"""),51.28)</f>
        <v>51.28</v>
      </c>
      <c r="F910" s="3">
        <f t="shared" si="1"/>
        <v>0.008814081154</v>
      </c>
    </row>
    <row r="911">
      <c r="A911" s="6"/>
      <c r="D911" s="5">
        <f>IFERROR(__xludf.DUMMYFUNCTION("""COMPUTED_VALUE"""),43041.66666666667)</f>
        <v>43041.66667</v>
      </c>
      <c r="E911" s="3">
        <f>IFERROR(__xludf.DUMMYFUNCTION("""COMPUTED_VALUE"""),51.28)</f>
        <v>51.28</v>
      </c>
      <c r="F911" s="3">
        <f t="shared" si="1"/>
        <v>0</v>
      </c>
    </row>
    <row r="912">
      <c r="A912" s="6"/>
      <c r="D912" s="5">
        <f>IFERROR(__xludf.DUMMYFUNCTION("""COMPUTED_VALUE"""),43042.66666666667)</f>
        <v>43042.66667</v>
      </c>
      <c r="E912" s="3">
        <f>IFERROR(__xludf.DUMMYFUNCTION("""COMPUTED_VALUE"""),51.62)</f>
        <v>51.62</v>
      </c>
      <c r="F912" s="3">
        <f t="shared" si="1"/>
        <v>0.006608381678</v>
      </c>
    </row>
    <row r="913">
      <c r="A913" s="6"/>
      <c r="D913" s="5">
        <f>IFERROR(__xludf.DUMMYFUNCTION("""COMPUTED_VALUE"""),43045.66666666667)</f>
        <v>43045.66667</v>
      </c>
      <c r="E913" s="3">
        <f>IFERROR(__xludf.DUMMYFUNCTION("""COMPUTED_VALUE"""),51.3)</f>
        <v>51.3</v>
      </c>
      <c r="F913" s="3">
        <f t="shared" si="1"/>
        <v>-0.006218442114</v>
      </c>
    </row>
    <row r="914">
      <c r="A914" s="6"/>
      <c r="D914" s="5">
        <f>IFERROR(__xludf.DUMMYFUNCTION("""COMPUTED_VALUE"""),43046.66666666667)</f>
        <v>43046.66667</v>
      </c>
      <c r="E914" s="3">
        <f>IFERROR(__xludf.DUMMYFUNCTION("""COMPUTED_VALUE"""),51.67)</f>
        <v>51.67</v>
      </c>
      <c r="F914" s="3">
        <f t="shared" si="1"/>
        <v>0.007186590122</v>
      </c>
    </row>
    <row r="915">
      <c r="A915" s="6"/>
      <c r="D915" s="5">
        <f>IFERROR(__xludf.DUMMYFUNCTION("""COMPUTED_VALUE"""),43047.66666666667)</f>
        <v>43047.66667</v>
      </c>
      <c r="E915" s="3">
        <f>IFERROR(__xludf.DUMMYFUNCTION("""COMPUTED_VALUE"""),51.99)</f>
        <v>51.99</v>
      </c>
      <c r="F915" s="3">
        <f t="shared" si="1"/>
        <v>0.006174050097</v>
      </c>
    </row>
    <row r="916">
      <c r="A916" s="6"/>
      <c r="D916" s="5">
        <f>IFERROR(__xludf.DUMMYFUNCTION("""COMPUTED_VALUE"""),43048.66666666667)</f>
        <v>43048.66667</v>
      </c>
      <c r="E916" s="3">
        <f>IFERROR(__xludf.DUMMYFUNCTION("""COMPUTED_VALUE"""),51.56)</f>
        <v>51.56</v>
      </c>
      <c r="F916" s="3">
        <f t="shared" si="1"/>
        <v>-0.008305214325</v>
      </c>
    </row>
    <row r="917">
      <c r="A917" s="6"/>
      <c r="D917" s="5">
        <f>IFERROR(__xludf.DUMMYFUNCTION("""COMPUTED_VALUE"""),43049.66666666667)</f>
        <v>43049.66667</v>
      </c>
      <c r="E917" s="3">
        <f>IFERROR(__xludf.DUMMYFUNCTION("""COMPUTED_VALUE"""),51.4)</f>
        <v>51.4</v>
      </c>
      <c r="F917" s="3">
        <f t="shared" si="1"/>
        <v>-0.00310800561</v>
      </c>
    </row>
    <row r="918">
      <c r="A918" s="6"/>
      <c r="D918" s="5">
        <f>IFERROR(__xludf.DUMMYFUNCTION("""COMPUTED_VALUE"""),43052.66666666667)</f>
        <v>43052.66667</v>
      </c>
      <c r="E918" s="3">
        <f>IFERROR(__xludf.DUMMYFUNCTION("""COMPUTED_VALUE"""),51.29)</f>
        <v>51.29</v>
      </c>
      <c r="F918" s="3">
        <f t="shared" si="1"/>
        <v>-0.00214237106</v>
      </c>
    </row>
    <row r="919">
      <c r="A919" s="6"/>
      <c r="D919" s="5">
        <f>IFERROR(__xludf.DUMMYFUNCTION("""COMPUTED_VALUE"""),43053.66666666667)</f>
        <v>43053.66667</v>
      </c>
      <c r="E919" s="3">
        <f>IFERROR(__xludf.DUMMYFUNCTION("""COMPUTED_VALUE"""),51.3)</f>
        <v>51.3</v>
      </c>
      <c r="F919" s="3">
        <f t="shared" si="1"/>
        <v>0.0001949507755</v>
      </c>
    </row>
    <row r="920">
      <c r="A920" s="6"/>
      <c r="D920" s="5">
        <f>IFERROR(__xludf.DUMMYFUNCTION("""COMPUTED_VALUE"""),43054.66666666667)</f>
        <v>43054.66667</v>
      </c>
      <c r="E920" s="3">
        <f>IFERROR(__xludf.DUMMYFUNCTION("""COMPUTED_VALUE"""),51.05)</f>
        <v>51.05</v>
      </c>
      <c r="F920" s="3">
        <f t="shared" si="1"/>
        <v>-0.004885207566</v>
      </c>
    </row>
    <row r="921">
      <c r="A921" s="6"/>
      <c r="D921" s="5">
        <f>IFERROR(__xludf.DUMMYFUNCTION("""COMPUTED_VALUE"""),43055.66666666667)</f>
        <v>43055.66667</v>
      </c>
      <c r="E921" s="3">
        <f>IFERROR(__xludf.DUMMYFUNCTION("""COMPUTED_VALUE"""),51.63)</f>
        <v>51.63</v>
      </c>
      <c r="F921" s="3">
        <f t="shared" si="1"/>
        <v>0.01129735428</v>
      </c>
    </row>
    <row r="922">
      <c r="A922" s="6"/>
      <c r="D922" s="5">
        <f>IFERROR(__xludf.DUMMYFUNCTION("""COMPUTED_VALUE"""),43056.66666666667)</f>
        <v>43056.66667</v>
      </c>
      <c r="E922" s="3">
        <f>IFERROR(__xludf.DUMMYFUNCTION("""COMPUTED_VALUE"""),50.95)</f>
        <v>50.95</v>
      </c>
      <c r="F922" s="3">
        <f t="shared" si="1"/>
        <v>-0.01325813922</v>
      </c>
    </row>
    <row r="923">
      <c r="A923" s="6"/>
      <c r="D923" s="5">
        <f>IFERROR(__xludf.DUMMYFUNCTION("""COMPUTED_VALUE"""),43059.66666666667)</f>
        <v>43059.66667</v>
      </c>
      <c r="E923" s="3">
        <f>IFERROR(__xludf.DUMMYFUNCTION("""COMPUTED_VALUE"""),50.92)</f>
        <v>50.92</v>
      </c>
      <c r="F923" s="3">
        <f t="shared" si="1"/>
        <v>-0.0005889859795</v>
      </c>
    </row>
    <row r="924">
      <c r="A924" s="6"/>
      <c r="D924" s="5">
        <f>IFERROR(__xludf.DUMMYFUNCTION("""COMPUTED_VALUE"""),43060.66666666667)</f>
        <v>43060.66667</v>
      </c>
      <c r="E924" s="3">
        <f>IFERROR(__xludf.DUMMYFUNCTION("""COMPUTED_VALUE"""),51.72)</f>
        <v>51.72</v>
      </c>
      <c r="F924" s="3">
        <f t="shared" si="1"/>
        <v>0.01558878021</v>
      </c>
    </row>
    <row r="925">
      <c r="A925" s="6"/>
      <c r="D925" s="5">
        <f>IFERROR(__xludf.DUMMYFUNCTION("""COMPUTED_VALUE"""),43061.66666666667)</f>
        <v>43061.66667</v>
      </c>
      <c r="E925" s="3">
        <f>IFERROR(__xludf.DUMMYFUNCTION("""COMPUTED_VALUE"""),51.8)</f>
        <v>51.8</v>
      </c>
      <c r="F925" s="3">
        <f t="shared" si="1"/>
        <v>0.001545595362</v>
      </c>
    </row>
    <row r="926">
      <c r="A926" s="6"/>
      <c r="D926" s="5">
        <f>IFERROR(__xludf.DUMMYFUNCTION("""COMPUTED_VALUE"""),43063.54166666667)</f>
        <v>43063.54167</v>
      </c>
      <c r="E926" s="3">
        <f>IFERROR(__xludf.DUMMYFUNCTION("""COMPUTED_VALUE"""),52.03)</f>
        <v>52.03</v>
      </c>
      <c r="F926" s="3">
        <f t="shared" si="1"/>
        <v>0.004430326037</v>
      </c>
    </row>
    <row r="927">
      <c r="A927" s="6"/>
      <c r="D927" s="5">
        <f>IFERROR(__xludf.DUMMYFUNCTION("""COMPUTED_VALUE"""),43066.66666666667)</f>
        <v>43066.66667</v>
      </c>
      <c r="E927" s="3">
        <f>IFERROR(__xludf.DUMMYFUNCTION("""COMPUTED_VALUE"""),52.71)</f>
        <v>52.71</v>
      </c>
      <c r="F927" s="3">
        <f t="shared" si="1"/>
        <v>0.01298471556</v>
      </c>
    </row>
    <row r="928">
      <c r="A928" s="6"/>
      <c r="D928" s="5">
        <f>IFERROR(__xludf.DUMMYFUNCTION("""COMPUTED_VALUE"""),43067.66666666667)</f>
        <v>43067.66667</v>
      </c>
      <c r="E928" s="3">
        <f>IFERROR(__xludf.DUMMYFUNCTION("""COMPUTED_VALUE"""),52.37)</f>
        <v>52.37</v>
      </c>
      <c r="F928" s="3">
        <f t="shared" si="1"/>
        <v>-0.006471282576</v>
      </c>
    </row>
    <row r="929">
      <c r="A929" s="6"/>
      <c r="D929" s="5">
        <f>IFERROR(__xludf.DUMMYFUNCTION("""COMPUTED_VALUE"""),43068.66666666667)</f>
        <v>43068.66667</v>
      </c>
      <c r="E929" s="3">
        <f>IFERROR(__xludf.DUMMYFUNCTION("""COMPUTED_VALUE"""),51.08)</f>
        <v>51.08</v>
      </c>
      <c r="F929" s="3">
        <f t="shared" si="1"/>
        <v>-0.02494087713</v>
      </c>
    </row>
    <row r="930">
      <c r="A930" s="6"/>
      <c r="D930" s="5">
        <f>IFERROR(__xludf.DUMMYFUNCTION("""COMPUTED_VALUE"""),43069.66666666667)</f>
        <v>43069.66667</v>
      </c>
      <c r="E930" s="3">
        <f>IFERROR(__xludf.DUMMYFUNCTION("""COMPUTED_VALUE"""),51.07)</f>
        <v>51.07</v>
      </c>
      <c r="F930" s="3">
        <f t="shared" si="1"/>
        <v>-0.0001957905048</v>
      </c>
    </row>
    <row r="931">
      <c r="A931" s="6"/>
      <c r="D931" s="5">
        <f>IFERROR(__xludf.DUMMYFUNCTION("""COMPUTED_VALUE"""),43070.66666666667)</f>
        <v>43070.66667</v>
      </c>
      <c r="E931" s="3">
        <f>IFERROR(__xludf.DUMMYFUNCTION("""COMPUTED_VALUE"""),50.51)</f>
        <v>50.51</v>
      </c>
      <c r="F931" s="3">
        <f t="shared" si="1"/>
        <v>-0.01102590418</v>
      </c>
    </row>
    <row r="932">
      <c r="A932" s="6"/>
      <c r="D932" s="5">
        <f>IFERROR(__xludf.DUMMYFUNCTION("""COMPUTED_VALUE"""),43073.66666666667)</f>
        <v>43073.66667</v>
      </c>
      <c r="E932" s="3">
        <f>IFERROR(__xludf.DUMMYFUNCTION("""COMPUTED_VALUE"""),49.93)</f>
        <v>49.93</v>
      </c>
      <c r="F932" s="3">
        <f t="shared" si="1"/>
        <v>-0.01154931197</v>
      </c>
    </row>
    <row r="933">
      <c r="A933" s="6"/>
      <c r="D933" s="5">
        <f>IFERROR(__xludf.DUMMYFUNCTION("""COMPUTED_VALUE"""),43074.66666666667)</f>
        <v>43074.66667</v>
      </c>
      <c r="E933" s="3">
        <f>IFERROR(__xludf.DUMMYFUNCTION("""COMPUTED_VALUE"""),50.26)</f>
        <v>50.26</v>
      </c>
      <c r="F933" s="3">
        <f t="shared" si="1"/>
        <v>0.006587507603</v>
      </c>
    </row>
    <row r="934">
      <c r="A934" s="6"/>
      <c r="D934" s="5">
        <f>IFERROR(__xludf.DUMMYFUNCTION("""COMPUTED_VALUE"""),43075.66666666667)</f>
        <v>43075.66667</v>
      </c>
      <c r="E934" s="3">
        <f>IFERROR(__xludf.DUMMYFUNCTION("""COMPUTED_VALUE"""),50.92)</f>
        <v>50.92</v>
      </c>
      <c r="F934" s="3">
        <f t="shared" si="1"/>
        <v>0.01304624157</v>
      </c>
    </row>
    <row r="935">
      <c r="A935" s="6"/>
      <c r="D935" s="5">
        <f>IFERROR(__xludf.DUMMYFUNCTION("""COMPUTED_VALUE"""),43076.66666666667)</f>
        <v>43076.66667</v>
      </c>
      <c r="E935" s="3">
        <f>IFERROR(__xludf.DUMMYFUNCTION("""COMPUTED_VALUE"""),51.55)</f>
        <v>51.55</v>
      </c>
      <c r="F935" s="3">
        <f t="shared" si="1"/>
        <v>0.01229643677</v>
      </c>
    </row>
    <row r="936">
      <c r="A936" s="6"/>
      <c r="D936" s="5">
        <f>IFERROR(__xludf.DUMMYFUNCTION("""COMPUTED_VALUE"""),43077.66666666667)</f>
        <v>43077.66667</v>
      </c>
      <c r="E936" s="3">
        <f>IFERROR(__xludf.DUMMYFUNCTION("""COMPUTED_VALUE"""),51.85)</f>
        <v>51.85</v>
      </c>
      <c r="F936" s="3">
        <f t="shared" si="1"/>
        <v>0.005802724213</v>
      </c>
    </row>
    <row r="937">
      <c r="A937" s="6"/>
      <c r="D937" s="5">
        <f>IFERROR(__xludf.DUMMYFUNCTION("""COMPUTED_VALUE"""),43080.66666666667)</f>
        <v>43080.66667</v>
      </c>
      <c r="E937" s="3">
        <f>IFERROR(__xludf.DUMMYFUNCTION("""COMPUTED_VALUE"""),52.06)</f>
        <v>52.06</v>
      </c>
      <c r="F937" s="3">
        <f t="shared" si="1"/>
        <v>0.004041964891</v>
      </c>
    </row>
    <row r="938">
      <c r="A938" s="6"/>
      <c r="D938" s="5">
        <f>IFERROR(__xludf.DUMMYFUNCTION("""COMPUTED_VALUE"""),43081.66666666667)</f>
        <v>43081.66667</v>
      </c>
      <c r="E938" s="3">
        <f>IFERROR(__xludf.DUMMYFUNCTION("""COMPUTED_VALUE"""),52.02)</f>
        <v>52.02</v>
      </c>
      <c r="F938" s="3">
        <f t="shared" si="1"/>
        <v>-0.0007686395459</v>
      </c>
    </row>
    <row r="939">
      <c r="A939" s="6"/>
      <c r="D939" s="5">
        <f>IFERROR(__xludf.DUMMYFUNCTION("""COMPUTED_VALUE"""),43082.66666666667)</f>
        <v>43082.66667</v>
      </c>
      <c r="E939" s="3">
        <f>IFERROR(__xludf.DUMMYFUNCTION("""COMPUTED_VALUE"""),52.03)</f>
        <v>52.03</v>
      </c>
      <c r="F939" s="3">
        <f t="shared" si="1"/>
        <v>0.0001922152817</v>
      </c>
    </row>
    <row r="940">
      <c r="A940" s="6"/>
      <c r="D940" s="5">
        <f>IFERROR(__xludf.DUMMYFUNCTION("""COMPUTED_VALUE"""),43083.66666666667)</f>
        <v>43083.66667</v>
      </c>
      <c r="E940" s="3">
        <f>IFERROR(__xludf.DUMMYFUNCTION("""COMPUTED_VALUE"""),52.46)</f>
        <v>52.46</v>
      </c>
      <c r="F940" s="3">
        <f t="shared" si="1"/>
        <v>0.008230499137</v>
      </c>
    </row>
    <row r="941">
      <c r="A941" s="6"/>
      <c r="D941" s="5">
        <f>IFERROR(__xludf.DUMMYFUNCTION("""COMPUTED_VALUE"""),43084.66666666667)</f>
        <v>43084.66667</v>
      </c>
      <c r="E941" s="3">
        <f>IFERROR(__xludf.DUMMYFUNCTION("""COMPUTED_VALUE"""),53.21)</f>
        <v>53.21</v>
      </c>
      <c r="F941" s="3">
        <f t="shared" si="1"/>
        <v>0.01419537417</v>
      </c>
    </row>
    <row r="942">
      <c r="A942" s="6"/>
      <c r="D942" s="5">
        <f>IFERROR(__xludf.DUMMYFUNCTION("""COMPUTED_VALUE"""),43087.66666666667)</f>
        <v>43087.66667</v>
      </c>
      <c r="E942" s="3">
        <f>IFERROR(__xludf.DUMMYFUNCTION("""COMPUTED_VALUE"""),53.86)</f>
        <v>53.86</v>
      </c>
      <c r="F942" s="3">
        <f t="shared" si="1"/>
        <v>0.01214173878</v>
      </c>
    </row>
    <row r="943">
      <c r="A943" s="6"/>
      <c r="D943" s="5">
        <f>IFERROR(__xludf.DUMMYFUNCTION("""COMPUTED_VALUE"""),43088.66666666667)</f>
        <v>43088.66667</v>
      </c>
      <c r="E943" s="3">
        <f>IFERROR(__xludf.DUMMYFUNCTION("""COMPUTED_VALUE"""),53.53)</f>
        <v>53.53</v>
      </c>
      <c r="F943" s="3">
        <f t="shared" si="1"/>
        <v>-0.006145842978</v>
      </c>
    </row>
    <row r="944">
      <c r="A944" s="6"/>
      <c r="D944" s="5">
        <f>IFERROR(__xludf.DUMMYFUNCTION("""COMPUTED_VALUE"""),43089.66666666667)</f>
        <v>43089.66667</v>
      </c>
      <c r="E944" s="3">
        <f>IFERROR(__xludf.DUMMYFUNCTION("""COMPUTED_VALUE"""),53.25)</f>
        <v>53.25</v>
      </c>
      <c r="F944" s="3">
        <f t="shared" si="1"/>
        <v>-0.005244439816</v>
      </c>
    </row>
    <row r="945">
      <c r="A945" s="6"/>
      <c r="D945" s="5">
        <f>IFERROR(__xludf.DUMMYFUNCTION("""COMPUTED_VALUE"""),43090.66666666667)</f>
        <v>43090.66667</v>
      </c>
      <c r="E945" s="3">
        <f>IFERROR(__xludf.DUMMYFUNCTION("""COMPUTED_VALUE"""),53.18)</f>
        <v>53.18</v>
      </c>
      <c r="F945" s="3">
        <f t="shared" si="1"/>
        <v>-0.001315418775</v>
      </c>
    </row>
    <row r="946">
      <c r="A946" s="6"/>
      <c r="D946" s="5">
        <f>IFERROR(__xludf.DUMMYFUNCTION("""COMPUTED_VALUE"""),43091.66666666667)</f>
        <v>43091.66667</v>
      </c>
      <c r="E946" s="3">
        <f>IFERROR(__xludf.DUMMYFUNCTION("""COMPUTED_VALUE"""),53.01)</f>
        <v>53.01</v>
      </c>
      <c r="F946" s="3">
        <f t="shared" si="1"/>
        <v>-0.003201810815</v>
      </c>
    </row>
    <row r="947">
      <c r="A947" s="6"/>
      <c r="D947" s="5">
        <f>IFERROR(__xludf.DUMMYFUNCTION("""COMPUTED_VALUE"""),43095.66666666667)</f>
        <v>43095.66667</v>
      </c>
      <c r="E947" s="3">
        <f>IFERROR(__xludf.DUMMYFUNCTION("""COMPUTED_VALUE"""),52.84)</f>
        <v>52.84</v>
      </c>
      <c r="F947" s="3">
        <f t="shared" si="1"/>
        <v>-0.003212095346</v>
      </c>
    </row>
    <row r="948">
      <c r="A948" s="6"/>
      <c r="D948" s="5">
        <f>IFERROR(__xludf.DUMMYFUNCTION("""COMPUTED_VALUE"""),43096.66666666667)</f>
        <v>43096.66667</v>
      </c>
      <c r="E948" s="3">
        <f>IFERROR(__xludf.DUMMYFUNCTION("""COMPUTED_VALUE"""),52.47)</f>
        <v>52.47</v>
      </c>
      <c r="F948" s="3">
        <f t="shared" si="1"/>
        <v>-0.007026901956</v>
      </c>
    </row>
    <row r="949">
      <c r="A949" s="6"/>
      <c r="D949" s="5">
        <f>IFERROR(__xludf.DUMMYFUNCTION("""COMPUTED_VALUE"""),43097.66666666667)</f>
        <v>43097.66667</v>
      </c>
      <c r="E949" s="3">
        <f>IFERROR(__xludf.DUMMYFUNCTION("""COMPUTED_VALUE"""),52.41)</f>
        <v>52.41</v>
      </c>
      <c r="F949" s="3">
        <f t="shared" si="1"/>
        <v>-0.001144164885</v>
      </c>
    </row>
    <row r="950">
      <c r="A950" s="6"/>
      <c r="D950" s="5">
        <f>IFERROR(__xludf.DUMMYFUNCTION("""COMPUTED_VALUE"""),43098.66666666667)</f>
        <v>43098.66667</v>
      </c>
      <c r="E950" s="3">
        <f>IFERROR(__xludf.DUMMYFUNCTION("""COMPUTED_VALUE"""),52.32)</f>
        <v>52.32</v>
      </c>
      <c r="F950" s="3">
        <f t="shared" si="1"/>
        <v>-0.001718705665</v>
      </c>
    </row>
    <row r="951">
      <c r="A951" s="6"/>
      <c r="D951" s="5">
        <f>IFERROR(__xludf.DUMMYFUNCTION("""COMPUTED_VALUE"""),43102.66666666667)</f>
        <v>43102.66667</v>
      </c>
      <c r="E951" s="3">
        <f>IFERROR(__xludf.DUMMYFUNCTION("""COMPUTED_VALUE"""),53.25)</f>
        <v>53.25</v>
      </c>
      <c r="F951" s="3">
        <f t="shared" si="1"/>
        <v>0.01761909744</v>
      </c>
    </row>
    <row r="952">
      <c r="A952" s="6"/>
      <c r="D952" s="5">
        <f>IFERROR(__xludf.DUMMYFUNCTION("""COMPUTED_VALUE"""),43103.66666666667)</f>
        <v>43103.66667</v>
      </c>
      <c r="E952" s="3">
        <f>IFERROR(__xludf.DUMMYFUNCTION("""COMPUTED_VALUE"""),54.12)</f>
        <v>54.12</v>
      </c>
      <c r="F952" s="3">
        <f t="shared" si="1"/>
        <v>0.01620599871</v>
      </c>
    </row>
    <row r="953">
      <c r="A953" s="6"/>
      <c r="D953" s="5">
        <f>IFERROR(__xludf.DUMMYFUNCTION("""COMPUTED_VALUE"""),43104.66666666667)</f>
        <v>43104.66667</v>
      </c>
      <c r="E953" s="3">
        <f>IFERROR(__xludf.DUMMYFUNCTION("""COMPUTED_VALUE"""),54.32)</f>
        <v>54.32</v>
      </c>
      <c r="F953" s="3">
        <f t="shared" si="1"/>
        <v>0.003688679948</v>
      </c>
    </row>
    <row r="954">
      <c r="A954" s="6"/>
      <c r="D954" s="5">
        <f>IFERROR(__xludf.DUMMYFUNCTION("""COMPUTED_VALUE"""),43105.66666666667)</f>
        <v>43105.66667</v>
      </c>
      <c r="E954" s="3">
        <f>IFERROR(__xludf.DUMMYFUNCTION("""COMPUTED_VALUE"""),55.11)</f>
        <v>55.11</v>
      </c>
      <c r="F954" s="3">
        <f t="shared" si="1"/>
        <v>0.01443870464</v>
      </c>
    </row>
    <row r="955">
      <c r="A955" s="6"/>
      <c r="D955" s="5">
        <f>IFERROR(__xludf.DUMMYFUNCTION("""COMPUTED_VALUE"""),43108.66666666667)</f>
        <v>43108.66667</v>
      </c>
      <c r="E955" s="3">
        <f>IFERROR(__xludf.DUMMYFUNCTION("""COMPUTED_VALUE"""),55.35)</f>
        <v>55.35</v>
      </c>
      <c r="F955" s="3">
        <f t="shared" si="1"/>
        <v>0.00434547126</v>
      </c>
    </row>
    <row r="956">
      <c r="A956" s="6"/>
      <c r="D956" s="5">
        <f>IFERROR(__xludf.DUMMYFUNCTION("""COMPUTED_VALUE"""),43109.66666666667)</f>
        <v>43109.66667</v>
      </c>
      <c r="E956" s="3">
        <f>IFERROR(__xludf.DUMMYFUNCTION("""COMPUTED_VALUE"""),55.31)</f>
        <v>55.31</v>
      </c>
      <c r="F956" s="3">
        <f t="shared" si="1"/>
        <v>-0.0007229351481</v>
      </c>
    </row>
    <row r="957">
      <c r="A957" s="6"/>
      <c r="D957" s="5">
        <f>IFERROR(__xludf.DUMMYFUNCTION("""COMPUTED_VALUE"""),43110.66666666667)</f>
        <v>43110.66667</v>
      </c>
      <c r="E957" s="3">
        <f>IFERROR(__xludf.DUMMYFUNCTION("""COMPUTED_VALUE"""),55.13)</f>
        <v>55.13</v>
      </c>
      <c r="F957" s="3">
        <f t="shared" si="1"/>
        <v>-0.003259691405</v>
      </c>
    </row>
    <row r="958">
      <c r="A958" s="6"/>
      <c r="D958" s="5">
        <f>IFERROR(__xludf.DUMMYFUNCTION("""COMPUTED_VALUE"""),43111.66666666667)</f>
        <v>43111.66667</v>
      </c>
      <c r="E958" s="3">
        <f>IFERROR(__xludf.DUMMYFUNCTION("""COMPUTED_VALUE"""),55.28)</f>
        <v>55.28</v>
      </c>
      <c r="F958" s="3">
        <f t="shared" si="1"/>
        <v>0.002717146858</v>
      </c>
    </row>
    <row r="959">
      <c r="A959" s="6"/>
      <c r="D959" s="5">
        <f>IFERROR(__xludf.DUMMYFUNCTION("""COMPUTED_VALUE"""),43112.66666666667)</f>
        <v>43112.66667</v>
      </c>
      <c r="E959" s="3">
        <f>IFERROR(__xludf.DUMMYFUNCTION("""COMPUTED_VALUE"""),56.11)</f>
        <v>56.11</v>
      </c>
      <c r="F959" s="3">
        <f t="shared" si="1"/>
        <v>0.0149028703</v>
      </c>
    </row>
    <row r="960">
      <c r="A960" s="6"/>
      <c r="D960" s="5">
        <f>IFERROR(__xludf.DUMMYFUNCTION("""COMPUTED_VALUE"""),43116.66666666667)</f>
        <v>43116.66667</v>
      </c>
      <c r="E960" s="3">
        <f>IFERROR(__xludf.DUMMYFUNCTION("""COMPUTED_VALUE"""),56.09)</f>
        <v>56.09</v>
      </c>
      <c r="F960" s="3">
        <f t="shared" si="1"/>
        <v>-0.0003565062426</v>
      </c>
    </row>
    <row r="961">
      <c r="A961" s="6"/>
      <c r="D961" s="5">
        <f>IFERROR(__xludf.DUMMYFUNCTION("""COMPUTED_VALUE"""),43117.66666666667)</f>
        <v>43117.66667</v>
      </c>
      <c r="E961" s="3">
        <f>IFERROR(__xludf.DUMMYFUNCTION("""COMPUTED_VALUE"""),56.6)</f>
        <v>56.6</v>
      </c>
      <c r="F961" s="3">
        <f t="shared" si="1"/>
        <v>0.009051441689</v>
      </c>
    </row>
    <row r="962">
      <c r="A962" s="6"/>
      <c r="D962" s="5">
        <f>IFERROR(__xludf.DUMMYFUNCTION("""COMPUTED_VALUE"""),43118.66666666667)</f>
        <v>43118.66667</v>
      </c>
      <c r="E962" s="3">
        <f>IFERROR(__xludf.DUMMYFUNCTION("""COMPUTED_VALUE"""),56.49)</f>
        <v>56.49</v>
      </c>
      <c r="F962" s="3">
        <f t="shared" si="1"/>
        <v>-0.001945353872</v>
      </c>
    </row>
    <row r="963">
      <c r="A963" s="6"/>
      <c r="D963" s="5">
        <f>IFERROR(__xludf.DUMMYFUNCTION("""COMPUTED_VALUE"""),43119.66666666667)</f>
        <v>43119.66667</v>
      </c>
      <c r="E963" s="3">
        <f>IFERROR(__xludf.DUMMYFUNCTION("""COMPUTED_VALUE"""),56.88)</f>
        <v>56.88</v>
      </c>
      <c r="F963" s="3">
        <f t="shared" si="1"/>
        <v>0.006880154158</v>
      </c>
    </row>
    <row r="964">
      <c r="A964" s="6"/>
      <c r="D964" s="5">
        <f>IFERROR(__xludf.DUMMYFUNCTION("""COMPUTED_VALUE"""),43122.66666666667)</f>
        <v>43122.66667</v>
      </c>
      <c r="E964" s="3">
        <f>IFERROR(__xludf.DUMMYFUNCTION("""COMPUTED_VALUE"""),57.79)</f>
        <v>57.79</v>
      </c>
      <c r="F964" s="3">
        <f t="shared" si="1"/>
        <v>0.01587196483</v>
      </c>
    </row>
    <row r="965">
      <c r="A965" s="6"/>
      <c r="D965" s="5">
        <f>IFERROR(__xludf.DUMMYFUNCTION("""COMPUTED_VALUE"""),43123.66666666667)</f>
        <v>43123.66667</v>
      </c>
      <c r="E965" s="3">
        <f>IFERROR(__xludf.DUMMYFUNCTION("""COMPUTED_VALUE"""),58.5)</f>
        <v>58.5</v>
      </c>
      <c r="F965" s="3">
        <f t="shared" si="1"/>
        <v>0.01221100391</v>
      </c>
    </row>
    <row r="966">
      <c r="A966" s="6"/>
      <c r="D966" s="5">
        <f>IFERROR(__xludf.DUMMYFUNCTION("""COMPUTED_VALUE"""),43124.66666666667)</f>
        <v>43124.66667</v>
      </c>
      <c r="E966" s="3">
        <f>IFERROR(__xludf.DUMMYFUNCTION("""COMPUTED_VALUE"""),58.21)</f>
        <v>58.21</v>
      </c>
      <c r="F966" s="3">
        <f t="shared" si="1"/>
        <v>-0.004969592954</v>
      </c>
    </row>
    <row r="967">
      <c r="A967" s="6"/>
      <c r="D967" s="5">
        <f>IFERROR(__xludf.DUMMYFUNCTION("""COMPUTED_VALUE"""),43125.66666666667)</f>
        <v>43125.66667</v>
      </c>
      <c r="E967" s="3">
        <f>IFERROR(__xludf.DUMMYFUNCTION("""COMPUTED_VALUE"""),58.52)</f>
        <v>58.52</v>
      </c>
      <c r="F967" s="3">
        <f t="shared" si="1"/>
        <v>0.005311414868</v>
      </c>
    </row>
    <row r="968">
      <c r="A968" s="6"/>
      <c r="D968" s="5">
        <f>IFERROR(__xludf.DUMMYFUNCTION("""COMPUTED_VALUE"""),43126.66666666667)</f>
        <v>43126.66667</v>
      </c>
      <c r="E968" s="3">
        <f>IFERROR(__xludf.DUMMYFUNCTION("""COMPUTED_VALUE"""),58.79)</f>
        <v>58.79</v>
      </c>
      <c r="F968" s="3">
        <f t="shared" si="1"/>
        <v>0.004603196262</v>
      </c>
    </row>
    <row r="969">
      <c r="A969" s="6"/>
      <c r="D969" s="5">
        <f>IFERROR(__xludf.DUMMYFUNCTION("""COMPUTED_VALUE"""),43129.66666666667)</f>
        <v>43129.66667</v>
      </c>
      <c r="E969" s="3">
        <f>IFERROR(__xludf.DUMMYFUNCTION("""COMPUTED_VALUE"""),58.78)</f>
        <v>58.78</v>
      </c>
      <c r="F969" s="3">
        <f t="shared" si="1"/>
        <v>-0.0001701114234</v>
      </c>
    </row>
    <row r="970">
      <c r="A970" s="6"/>
      <c r="D970" s="5">
        <f>IFERROR(__xludf.DUMMYFUNCTION("""COMPUTED_VALUE"""),43130.66666666667)</f>
        <v>43130.66667</v>
      </c>
      <c r="E970" s="3">
        <f>IFERROR(__xludf.DUMMYFUNCTION("""COMPUTED_VALUE"""),58.18)</f>
        <v>58.18</v>
      </c>
      <c r="F970" s="3">
        <f t="shared" si="1"/>
        <v>-0.01026000792</v>
      </c>
    </row>
    <row r="971">
      <c r="A971" s="6"/>
      <c r="D971" s="5">
        <f>IFERROR(__xludf.DUMMYFUNCTION("""COMPUTED_VALUE"""),43131.66666666667)</f>
        <v>43131.66667</v>
      </c>
      <c r="E971" s="3">
        <f>IFERROR(__xludf.DUMMYFUNCTION("""COMPUTED_VALUE"""),58.5)</f>
        <v>58.5</v>
      </c>
      <c r="F971" s="3">
        <f t="shared" si="1"/>
        <v>0.005485101171</v>
      </c>
    </row>
    <row r="972">
      <c r="A972" s="6"/>
      <c r="D972" s="5">
        <f>IFERROR(__xludf.DUMMYFUNCTION("""COMPUTED_VALUE"""),43132.66666666667)</f>
        <v>43132.66667</v>
      </c>
      <c r="E972" s="3">
        <f>IFERROR(__xludf.DUMMYFUNCTION("""COMPUTED_VALUE"""),58.39)</f>
        <v>58.39</v>
      </c>
      <c r="F972" s="3">
        <f t="shared" si="1"/>
        <v>-0.001882111942</v>
      </c>
    </row>
    <row r="973">
      <c r="A973" s="6"/>
      <c r="D973" s="5">
        <f>IFERROR(__xludf.DUMMYFUNCTION("""COMPUTED_VALUE"""),43133.66666666667)</f>
        <v>43133.66667</v>
      </c>
      <c r="E973" s="3">
        <f>IFERROR(__xludf.DUMMYFUNCTION("""COMPUTED_VALUE"""),55.6)</f>
        <v>55.6</v>
      </c>
      <c r="F973" s="3">
        <f t="shared" si="1"/>
        <v>-0.04896144104</v>
      </c>
    </row>
    <row r="974">
      <c r="A974" s="6"/>
      <c r="D974" s="5">
        <f>IFERROR(__xludf.DUMMYFUNCTION("""COMPUTED_VALUE"""),43136.66666666667)</f>
        <v>43136.66667</v>
      </c>
      <c r="E974" s="3">
        <f>IFERROR(__xludf.DUMMYFUNCTION("""COMPUTED_VALUE"""),52.79)</f>
        <v>52.79</v>
      </c>
      <c r="F974" s="3">
        <f t="shared" si="1"/>
        <v>-0.05186142242</v>
      </c>
    </row>
    <row r="975">
      <c r="A975" s="6"/>
      <c r="D975" s="5">
        <f>IFERROR(__xludf.DUMMYFUNCTION("""COMPUTED_VALUE"""),43137.66666666667)</f>
        <v>43137.66667</v>
      </c>
      <c r="E975" s="3">
        <f>IFERROR(__xludf.DUMMYFUNCTION("""COMPUTED_VALUE"""),54.03)</f>
        <v>54.03</v>
      </c>
      <c r="F975" s="3">
        <f t="shared" si="1"/>
        <v>0.02321766902</v>
      </c>
    </row>
    <row r="976">
      <c r="A976" s="6"/>
      <c r="D976" s="5">
        <f>IFERROR(__xludf.DUMMYFUNCTION("""COMPUTED_VALUE"""),43138.66666666667)</f>
        <v>43138.66667</v>
      </c>
      <c r="E976" s="3">
        <f>IFERROR(__xludf.DUMMYFUNCTION("""COMPUTED_VALUE"""),52.43)</f>
        <v>52.43</v>
      </c>
      <c r="F976" s="3">
        <f t="shared" si="1"/>
        <v>-0.03006050127</v>
      </c>
    </row>
    <row r="977">
      <c r="A977" s="6"/>
      <c r="D977" s="5">
        <f>IFERROR(__xludf.DUMMYFUNCTION("""COMPUTED_VALUE"""),43139.66666666667)</f>
        <v>43139.66667</v>
      </c>
      <c r="E977" s="3">
        <f>IFERROR(__xludf.DUMMYFUNCTION("""COMPUTED_VALUE"""),50.08)</f>
        <v>50.08</v>
      </c>
      <c r="F977" s="3">
        <f t="shared" si="1"/>
        <v>-0.04585721979</v>
      </c>
    </row>
    <row r="978">
      <c r="A978" s="6"/>
      <c r="D978" s="5">
        <f>IFERROR(__xludf.DUMMYFUNCTION("""COMPUTED_VALUE"""),43140.66666666667)</f>
        <v>43140.66667</v>
      </c>
      <c r="E978" s="3">
        <f>IFERROR(__xludf.DUMMYFUNCTION("""COMPUTED_VALUE"""),51.89)</f>
        <v>51.89</v>
      </c>
      <c r="F978" s="3">
        <f t="shared" si="1"/>
        <v>0.03550436659</v>
      </c>
    </row>
    <row r="979">
      <c r="A979" s="6"/>
      <c r="D979" s="5">
        <f>IFERROR(__xludf.DUMMYFUNCTION("""COMPUTED_VALUE"""),43143.66666666667)</f>
        <v>43143.66667</v>
      </c>
      <c r="E979" s="3">
        <f>IFERROR(__xludf.DUMMYFUNCTION("""COMPUTED_VALUE"""),52.6)</f>
        <v>52.6</v>
      </c>
      <c r="F979" s="3">
        <f t="shared" si="1"/>
        <v>0.01359002636</v>
      </c>
    </row>
    <row r="980">
      <c r="A980" s="6"/>
      <c r="D980" s="5">
        <f>IFERROR(__xludf.DUMMYFUNCTION("""COMPUTED_VALUE"""),43144.66666666667)</f>
        <v>43144.66667</v>
      </c>
      <c r="E980" s="3">
        <f>IFERROR(__xludf.DUMMYFUNCTION("""COMPUTED_VALUE"""),52.61)</f>
        <v>52.61</v>
      </c>
      <c r="F980" s="3">
        <f t="shared" si="1"/>
        <v>0.0001900959991</v>
      </c>
    </row>
    <row r="981">
      <c r="A981" s="6"/>
      <c r="D981" s="5">
        <f>IFERROR(__xludf.DUMMYFUNCTION("""COMPUTED_VALUE"""),43145.66666666667)</f>
        <v>43145.66667</v>
      </c>
      <c r="E981" s="3">
        <f>IFERROR(__xludf.DUMMYFUNCTION("""COMPUTED_VALUE"""),53.49)</f>
        <v>53.49</v>
      </c>
      <c r="F981" s="3">
        <f t="shared" si="1"/>
        <v>0.0165885048</v>
      </c>
    </row>
    <row r="982">
      <c r="A982" s="6"/>
      <c r="D982" s="5">
        <f>IFERROR(__xludf.DUMMYFUNCTION("""COMPUTED_VALUE"""),43146.66666666667)</f>
        <v>43146.66667</v>
      </c>
      <c r="E982" s="3">
        <f>IFERROR(__xludf.DUMMYFUNCTION("""COMPUTED_VALUE"""),54.48)</f>
        <v>54.48</v>
      </c>
      <c r="F982" s="3">
        <f t="shared" si="1"/>
        <v>0.0183389413</v>
      </c>
    </row>
    <row r="983">
      <c r="A983" s="6"/>
      <c r="D983" s="5">
        <f>IFERROR(__xludf.DUMMYFUNCTION("""COMPUTED_VALUE"""),43147.66666666667)</f>
        <v>43147.66667</v>
      </c>
      <c r="E983" s="3">
        <f>IFERROR(__xludf.DUMMYFUNCTION("""COMPUTED_VALUE"""),54.74)</f>
        <v>54.74</v>
      </c>
      <c r="F983" s="3">
        <f t="shared" si="1"/>
        <v>0.004761041771</v>
      </c>
    </row>
    <row r="984">
      <c r="A984" s="6"/>
      <c r="D984" s="5">
        <f>IFERROR(__xludf.DUMMYFUNCTION("""COMPUTED_VALUE"""),43151.66666666667)</f>
        <v>43151.66667</v>
      </c>
      <c r="E984" s="3">
        <f>IFERROR(__xludf.DUMMYFUNCTION("""COMPUTED_VALUE"""),55.12)</f>
        <v>55.12</v>
      </c>
      <c r="F984" s="3">
        <f t="shared" si="1"/>
        <v>0.006917923093</v>
      </c>
    </row>
    <row r="985">
      <c r="A985" s="6"/>
      <c r="D985" s="5">
        <f>IFERROR(__xludf.DUMMYFUNCTION("""COMPUTED_VALUE"""),43152.66666666667)</f>
        <v>43152.66667</v>
      </c>
      <c r="E985" s="3">
        <f>IFERROR(__xludf.DUMMYFUNCTION("""COMPUTED_VALUE"""),55.57)</f>
        <v>55.57</v>
      </c>
      <c r="F985" s="3">
        <f t="shared" si="1"/>
        <v>0.008130860586</v>
      </c>
    </row>
    <row r="986">
      <c r="A986" s="6"/>
      <c r="D986" s="5">
        <f>IFERROR(__xludf.DUMMYFUNCTION("""COMPUTED_VALUE"""),43153.66666666667)</f>
        <v>43153.66667</v>
      </c>
      <c r="E986" s="3">
        <f>IFERROR(__xludf.DUMMYFUNCTION("""COMPUTED_VALUE"""),55.33)</f>
        <v>55.33</v>
      </c>
      <c r="F986" s="3">
        <f t="shared" si="1"/>
        <v>-0.004328230382</v>
      </c>
    </row>
    <row r="987">
      <c r="A987" s="6"/>
      <c r="D987" s="5">
        <f>IFERROR(__xludf.DUMMYFUNCTION("""COMPUTED_VALUE"""),43154.66666666667)</f>
        <v>43154.66667</v>
      </c>
      <c r="E987" s="3">
        <f>IFERROR(__xludf.DUMMYFUNCTION("""COMPUTED_VALUE"""),56.34)</f>
        <v>56.34</v>
      </c>
      <c r="F987" s="3">
        <f t="shared" si="1"/>
        <v>0.01808950554</v>
      </c>
    </row>
    <row r="988">
      <c r="A988" s="6"/>
      <c r="D988" s="5">
        <f>IFERROR(__xludf.DUMMYFUNCTION("""COMPUTED_VALUE"""),43157.66666666667)</f>
        <v>43157.66667</v>
      </c>
      <c r="E988" s="3">
        <f>IFERROR(__xludf.DUMMYFUNCTION("""COMPUTED_VALUE"""),57.19)</f>
        <v>57.19</v>
      </c>
      <c r="F988" s="3">
        <f t="shared" si="1"/>
        <v>0.01497429548</v>
      </c>
    </row>
    <row r="989">
      <c r="A989" s="6"/>
      <c r="D989" s="5">
        <f>IFERROR(__xludf.DUMMYFUNCTION("""COMPUTED_VALUE"""),43158.66666666667)</f>
        <v>43158.66667</v>
      </c>
      <c r="E989" s="3">
        <f>IFERROR(__xludf.DUMMYFUNCTION("""COMPUTED_VALUE"""),55.91)</f>
        <v>55.91</v>
      </c>
      <c r="F989" s="3">
        <f t="shared" si="1"/>
        <v>-0.02263580289</v>
      </c>
    </row>
    <row r="990">
      <c r="A990" s="6"/>
      <c r="D990" s="5">
        <f>IFERROR(__xludf.DUMMYFUNCTION("""COMPUTED_VALUE"""),43159.66666666667)</f>
        <v>43159.66667</v>
      </c>
      <c r="E990" s="3">
        <f>IFERROR(__xludf.DUMMYFUNCTION("""COMPUTED_VALUE"""),55.24)</f>
        <v>55.24</v>
      </c>
      <c r="F990" s="3">
        <f t="shared" si="1"/>
        <v>-0.0120559265</v>
      </c>
    </row>
    <row r="991">
      <c r="A991" s="6"/>
      <c r="D991" s="5">
        <f>IFERROR(__xludf.DUMMYFUNCTION("""COMPUTED_VALUE"""),43160.66666666667)</f>
        <v>43160.66667</v>
      </c>
      <c r="E991" s="3">
        <f>IFERROR(__xludf.DUMMYFUNCTION("""COMPUTED_VALUE"""),53.48)</f>
        <v>53.48</v>
      </c>
      <c r="F991" s="3">
        <f t="shared" si="1"/>
        <v>-0.03237957631</v>
      </c>
    </row>
    <row r="992">
      <c r="A992" s="6"/>
      <c r="D992" s="5">
        <f>IFERROR(__xludf.DUMMYFUNCTION("""COMPUTED_VALUE"""),43161.66666666667)</f>
        <v>43161.66667</v>
      </c>
      <c r="E992" s="3">
        <f>IFERROR(__xludf.DUMMYFUNCTION("""COMPUTED_VALUE"""),53.95)</f>
        <v>53.95</v>
      </c>
      <c r="F992" s="3">
        <f t="shared" si="1"/>
        <v>0.00874993947</v>
      </c>
    </row>
    <row r="993">
      <c r="A993" s="6"/>
      <c r="D993" s="5">
        <f>IFERROR(__xludf.DUMMYFUNCTION("""COMPUTED_VALUE"""),43164.66666666667)</f>
        <v>43164.66667</v>
      </c>
      <c r="E993" s="3">
        <f>IFERROR(__xludf.DUMMYFUNCTION("""COMPUTED_VALUE"""),54.55)</f>
        <v>54.55</v>
      </c>
      <c r="F993" s="3">
        <f t="shared" si="1"/>
        <v>0.01106002057</v>
      </c>
    </row>
    <row r="994">
      <c r="A994" s="6"/>
      <c r="D994" s="5">
        <f>IFERROR(__xludf.DUMMYFUNCTION("""COMPUTED_VALUE"""),43165.66666666667)</f>
        <v>43165.66667</v>
      </c>
      <c r="E994" s="3">
        <f>IFERROR(__xludf.DUMMYFUNCTION("""COMPUTED_VALUE"""),54.75)</f>
        <v>54.75</v>
      </c>
      <c r="F994" s="3">
        <f t="shared" si="1"/>
        <v>0.003659656418</v>
      </c>
    </row>
    <row r="995">
      <c r="A995" s="6"/>
      <c r="D995" s="5">
        <f>IFERROR(__xludf.DUMMYFUNCTION("""COMPUTED_VALUE"""),43166.66666666667)</f>
        <v>43166.66667</v>
      </c>
      <c r="E995" s="3">
        <f>IFERROR(__xludf.DUMMYFUNCTION("""COMPUTED_VALUE"""),55.48)</f>
        <v>55.48</v>
      </c>
      <c r="F995" s="3">
        <f t="shared" si="1"/>
        <v>0.01324522675</v>
      </c>
    </row>
    <row r="996">
      <c r="A996" s="6"/>
      <c r="D996" s="5">
        <f>IFERROR(__xludf.DUMMYFUNCTION("""COMPUTED_VALUE"""),43167.66666666667)</f>
        <v>43167.66667</v>
      </c>
      <c r="E996" s="3">
        <f>IFERROR(__xludf.DUMMYFUNCTION("""COMPUTED_VALUE"""),56.3)</f>
        <v>56.3</v>
      </c>
      <c r="F996" s="3">
        <f t="shared" si="1"/>
        <v>0.0146719397</v>
      </c>
    </row>
    <row r="997">
      <c r="A997" s="6"/>
      <c r="D997" s="5">
        <f>IFERROR(__xludf.DUMMYFUNCTION("""COMPUTED_VALUE"""),43168.66666666667)</f>
        <v>43168.66667</v>
      </c>
      <c r="E997" s="3">
        <f>IFERROR(__xludf.DUMMYFUNCTION("""COMPUTED_VALUE"""),58.0)</f>
        <v>58</v>
      </c>
      <c r="F997" s="3">
        <f t="shared" si="1"/>
        <v>0.0297484754</v>
      </c>
    </row>
    <row r="998">
      <c r="A998" s="6"/>
      <c r="D998" s="5">
        <f>IFERROR(__xludf.DUMMYFUNCTION("""COMPUTED_VALUE"""),43171.66666666667)</f>
        <v>43171.66667</v>
      </c>
      <c r="E998" s="3">
        <f>IFERROR(__xludf.DUMMYFUNCTION("""COMPUTED_VALUE"""),58.23)</f>
        <v>58.23</v>
      </c>
      <c r="F998" s="3">
        <f t="shared" si="1"/>
        <v>0.003957675303</v>
      </c>
    </row>
    <row r="999">
      <c r="A999" s="6"/>
      <c r="D999" s="5">
        <f>IFERROR(__xludf.DUMMYFUNCTION("""COMPUTED_VALUE"""),43172.66666666667)</f>
        <v>43172.66667</v>
      </c>
      <c r="E999" s="3">
        <f>IFERROR(__xludf.DUMMYFUNCTION("""COMPUTED_VALUE"""),56.91)</f>
        <v>56.91</v>
      </c>
      <c r="F999" s="3">
        <f t="shared" si="1"/>
        <v>-0.02292961323</v>
      </c>
    </row>
    <row r="1000">
      <c r="A1000" s="6"/>
      <c r="D1000" s="5">
        <f>IFERROR(__xludf.DUMMYFUNCTION("""COMPUTED_VALUE"""),43173.66666666667)</f>
        <v>43173.66667</v>
      </c>
      <c r="E1000" s="3">
        <f>IFERROR(__xludf.DUMMYFUNCTION("""COMPUTED_VALUE"""),57.47)</f>
        <v>57.47</v>
      </c>
      <c r="F1000" s="3">
        <f t="shared" si="1"/>
        <v>0.009791999905</v>
      </c>
    </row>
    <row r="1001">
      <c r="A1001" s="6"/>
      <c r="D1001" s="5">
        <f>IFERROR(__xludf.DUMMYFUNCTION("""COMPUTED_VALUE"""),43174.66666666667)</f>
        <v>43174.66667</v>
      </c>
      <c r="E1001" s="3">
        <f>IFERROR(__xludf.DUMMYFUNCTION("""COMPUTED_VALUE"""),57.48)</f>
        <v>57.48</v>
      </c>
      <c r="F1001" s="3">
        <f t="shared" si="1"/>
        <v>0.0001739886912</v>
      </c>
    </row>
    <row r="1002">
      <c r="A1002" s="6"/>
      <c r="D1002" s="5">
        <f>IFERROR(__xludf.DUMMYFUNCTION("""COMPUTED_VALUE"""),43175.66666666667)</f>
        <v>43175.66667</v>
      </c>
      <c r="E1002" s="3">
        <f>IFERROR(__xludf.DUMMYFUNCTION("""COMPUTED_VALUE"""),56.79)</f>
        <v>56.79</v>
      </c>
      <c r="F1002" s="3">
        <f t="shared" si="1"/>
        <v>-0.01207680732</v>
      </c>
    </row>
    <row r="1003">
      <c r="A1003" s="6"/>
      <c r="D1003" s="5">
        <f>IFERROR(__xludf.DUMMYFUNCTION("""COMPUTED_VALUE"""),43178.66666666667)</f>
        <v>43178.66667</v>
      </c>
      <c r="E1003" s="3">
        <f>IFERROR(__xludf.DUMMYFUNCTION("""COMPUTED_VALUE"""),54.99)</f>
        <v>54.99</v>
      </c>
      <c r="F1003" s="3">
        <f t="shared" si="1"/>
        <v>-0.03220890337</v>
      </c>
    </row>
    <row r="1004">
      <c r="A1004" s="6"/>
      <c r="D1004" s="5">
        <f>IFERROR(__xludf.DUMMYFUNCTION("""COMPUTED_VALUE"""),43179.66666666667)</f>
        <v>43179.66667</v>
      </c>
      <c r="E1004" s="3">
        <f>IFERROR(__xludf.DUMMYFUNCTION("""COMPUTED_VALUE"""),54.89)</f>
        <v>54.89</v>
      </c>
      <c r="F1004" s="3">
        <f t="shared" si="1"/>
        <v>-0.001820167958</v>
      </c>
    </row>
    <row r="1005">
      <c r="A1005" s="6"/>
      <c r="D1005" s="5">
        <f>IFERROR(__xludf.DUMMYFUNCTION("""COMPUTED_VALUE"""),43180.66666666667)</f>
        <v>43180.66667</v>
      </c>
      <c r="E1005" s="3">
        <f>IFERROR(__xludf.DUMMYFUNCTION("""COMPUTED_VALUE"""),54.54)</f>
        <v>54.54</v>
      </c>
      <c r="F1005" s="3">
        <f t="shared" si="1"/>
        <v>-0.006396805144</v>
      </c>
    </row>
    <row r="1006">
      <c r="A1006" s="6"/>
      <c r="D1006" s="5">
        <f>IFERROR(__xludf.DUMMYFUNCTION("""COMPUTED_VALUE"""),43181.66666666667)</f>
        <v>43181.66667</v>
      </c>
      <c r="E1006" s="3">
        <f>IFERROR(__xludf.DUMMYFUNCTION("""COMPUTED_VALUE"""),52.45)</f>
        <v>52.45</v>
      </c>
      <c r="F1006" s="3">
        <f t="shared" si="1"/>
        <v>-0.03907404258</v>
      </c>
    </row>
    <row r="1007">
      <c r="A1007" s="6"/>
      <c r="D1007" s="5">
        <f>IFERROR(__xludf.DUMMYFUNCTION("""COMPUTED_VALUE"""),43182.66666666667)</f>
        <v>43182.66667</v>
      </c>
      <c r="E1007" s="3">
        <f>IFERROR(__xludf.DUMMYFUNCTION("""COMPUTED_VALUE"""),51.08)</f>
        <v>51.08</v>
      </c>
      <c r="F1007" s="3">
        <f t="shared" si="1"/>
        <v>-0.02646730368</v>
      </c>
    </row>
    <row r="1008">
      <c r="A1008" s="6"/>
      <c r="D1008" s="5">
        <f>IFERROR(__xludf.DUMMYFUNCTION("""COMPUTED_VALUE"""),43185.66666666667)</f>
        <v>43185.66667</v>
      </c>
      <c r="E1008" s="3">
        <f>IFERROR(__xludf.DUMMYFUNCTION("""COMPUTED_VALUE"""),52.66)</f>
        <v>52.66</v>
      </c>
      <c r="F1008" s="3">
        <f t="shared" si="1"/>
        <v>0.0304631229</v>
      </c>
    </row>
    <row r="1009">
      <c r="A1009" s="6"/>
      <c r="D1009" s="5">
        <f>IFERROR(__xludf.DUMMYFUNCTION("""COMPUTED_VALUE"""),43186.66666666667)</f>
        <v>43186.66667</v>
      </c>
      <c r="E1009" s="3">
        <f>IFERROR(__xludf.DUMMYFUNCTION("""COMPUTED_VALUE"""),50.26)</f>
        <v>50.26</v>
      </c>
      <c r="F1009" s="3">
        <f t="shared" si="1"/>
        <v>-0.04664662195</v>
      </c>
    </row>
    <row r="1010">
      <c r="A1010" s="6"/>
      <c r="D1010" s="5">
        <f>IFERROR(__xludf.DUMMYFUNCTION("""COMPUTED_VALUE"""),43187.66666666667)</f>
        <v>43187.66667</v>
      </c>
      <c r="E1010" s="3">
        <f>IFERROR(__xludf.DUMMYFUNCTION("""COMPUTED_VALUE"""),50.23)</f>
        <v>50.23</v>
      </c>
      <c r="F1010" s="3">
        <f t="shared" si="1"/>
        <v>-0.0005970743535</v>
      </c>
    </row>
    <row r="1011">
      <c r="A1011" s="6"/>
      <c r="D1011" s="5">
        <f>IFERROR(__xludf.DUMMYFUNCTION("""COMPUTED_VALUE"""),43188.66666666667)</f>
        <v>43188.66667</v>
      </c>
      <c r="E1011" s="3">
        <f>IFERROR(__xludf.DUMMYFUNCTION("""COMPUTED_VALUE"""),51.59)</f>
        <v>51.59</v>
      </c>
      <c r="F1011" s="3">
        <f t="shared" si="1"/>
        <v>0.02671539749</v>
      </c>
    </row>
    <row r="1012">
      <c r="A1012" s="6"/>
      <c r="D1012" s="5">
        <f>IFERROR(__xludf.DUMMYFUNCTION("""COMPUTED_VALUE"""),43192.66666666667)</f>
        <v>43192.66667</v>
      </c>
      <c r="E1012" s="3">
        <f>IFERROR(__xludf.DUMMYFUNCTION("""COMPUTED_VALUE"""),50.32)</f>
        <v>50.32</v>
      </c>
      <c r="F1012" s="3">
        <f t="shared" si="1"/>
        <v>-0.02492524286</v>
      </c>
    </row>
    <row r="1013">
      <c r="A1013" s="6"/>
      <c r="D1013" s="5">
        <f>IFERROR(__xludf.DUMMYFUNCTION("""COMPUTED_VALUE"""),43193.66666666667)</f>
        <v>43193.66667</v>
      </c>
      <c r="E1013" s="3">
        <f>IFERROR(__xludf.DUMMYFUNCTION("""COMPUTED_VALUE"""),50.67)</f>
        <v>50.67</v>
      </c>
      <c r="F1013" s="3">
        <f t="shared" si="1"/>
        <v>0.006931407096</v>
      </c>
    </row>
    <row r="1014">
      <c r="A1014" s="6"/>
      <c r="D1014" s="5">
        <f>IFERROR(__xludf.DUMMYFUNCTION("""COMPUTED_VALUE"""),43194.66666666667)</f>
        <v>43194.66667</v>
      </c>
      <c r="E1014" s="3">
        <f>IFERROR(__xludf.DUMMYFUNCTION("""COMPUTED_VALUE"""),51.26)</f>
        <v>51.26</v>
      </c>
      <c r="F1014" s="3">
        <f t="shared" si="1"/>
        <v>0.01157670145</v>
      </c>
    </row>
    <row r="1015">
      <c r="A1015" s="6"/>
      <c r="D1015" s="5">
        <f>IFERROR(__xludf.DUMMYFUNCTION("""COMPUTED_VALUE"""),43195.66666666667)</f>
        <v>43195.66667</v>
      </c>
      <c r="E1015" s="3">
        <f>IFERROR(__xludf.DUMMYFUNCTION("""COMPUTED_VALUE"""),51.39)</f>
        <v>51.39</v>
      </c>
      <c r="F1015" s="3">
        <f t="shared" si="1"/>
        <v>0.002532880068</v>
      </c>
    </row>
    <row r="1016">
      <c r="A1016" s="6"/>
      <c r="D1016" s="5">
        <f>IFERROR(__xludf.DUMMYFUNCTION("""COMPUTED_VALUE"""),43196.66666666667)</f>
        <v>43196.66667</v>
      </c>
      <c r="E1016" s="3">
        <f>IFERROR(__xludf.DUMMYFUNCTION("""COMPUTED_VALUE"""),50.35)</f>
        <v>50.35</v>
      </c>
      <c r="F1016" s="3">
        <f t="shared" si="1"/>
        <v>-0.02044498184</v>
      </c>
    </row>
    <row r="1017">
      <c r="A1017" s="6"/>
      <c r="D1017" s="5">
        <f>IFERROR(__xludf.DUMMYFUNCTION("""COMPUTED_VALUE"""),43199.66666666667)</f>
        <v>43199.66667</v>
      </c>
      <c r="E1017" s="3">
        <f>IFERROR(__xludf.DUMMYFUNCTION("""COMPUTED_VALUE"""),50.77)</f>
        <v>50.77</v>
      </c>
      <c r="F1017" s="3">
        <f t="shared" si="1"/>
        <v>0.008307009795</v>
      </c>
    </row>
    <row r="1018">
      <c r="A1018" s="6"/>
      <c r="D1018" s="5">
        <f>IFERROR(__xludf.DUMMYFUNCTION("""COMPUTED_VALUE"""),43200.66666666667)</f>
        <v>43200.66667</v>
      </c>
      <c r="E1018" s="3">
        <f>IFERROR(__xludf.DUMMYFUNCTION("""COMPUTED_VALUE"""),51.58)</f>
        <v>51.58</v>
      </c>
      <c r="F1018" s="3">
        <f t="shared" si="1"/>
        <v>0.01582837149</v>
      </c>
    </row>
    <row r="1019">
      <c r="A1019" s="6"/>
      <c r="D1019" s="5">
        <f>IFERROR(__xludf.DUMMYFUNCTION("""COMPUTED_VALUE"""),43201.66666666667)</f>
        <v>43201.66667</v>
      </c>
      <c r="E1019" s="3">
        <f>IFERROR(__xludf.DUMMYFUNCTION("""COMPUTED_VALUE"""),51.0)</f>
        <v>51</v>
      </c>
      <c r="F1019" s="3">
        <f t="shared" si="1"/>
        <v>-0.01130836773</v>
      </c>
    </row>
    <row r="1020">
      <c r="A1020" s="6"/>
      <c r="D1020" s="5">
        <f>IFERROR(__xludf.DUMMYFUNCTION("""COMPUTED_VALUE"""),43202.66666666667)</f>
        <v>43202.66667</v>
      </c>
      <c r="E1020" s="3">
        <f>IFERROR(__xludf.DUMMYFUNCTION("""COMPUTED_VALUE"""),51.63)</f>
        <v>51.63</v>
      </c>
      <c r="F1020" s="3">
        <f t="shared" si="1"/>
        <v>0.01227726617</v>
      </c>
    </row>
    <row r="1021">
      <c r="A1021" s="6"/>
      <c r="D1021" s="5">
        <f>IFERROR(__xludf.DUMMYFUNCTION("""COMPUTED_VALUE"""),43203.66666666667)</f>
        <v>43203.66667</v>
      </c>
      <c r="E1021" s="3">
        <f>IFERROR(__xludf.DUMMYFUNCTION("""COMPUTED_VALUE"""),51.46)</f>
        <v>51.46</v>
      </c>
      <c r="F1021" s="3">
        <f t="shared" si="1"/>
        <v>-0.003298092038</v>
      </c>
    </row>
    <row r="1022">
      <c r="A1022" s="6"/>
      <c r="D1022" s="5">
        <f>IFERROR(__xludf.DUMMYFUNCTION("""COMPUTED_VALUE"""),43206.66666666667)</f>
        <v>43206.66667</v>
      </c>
      <c r="E1022" s="3">
        <f>IFERROR(__xludf.DUMMYFUNCTION("""COMPUTED_VALUE"""),51.9)</f>
        <v>51.9</v>
      </c>
      <c r="F1022" s="3">
        <f t="shared" si="1"/>
        <v>0.008513983318</v>
      </c>
    </row>
    <row r="1023">
      <c r="A1023" s="6"/>
      <c r="D1023" s="5">
        <f>IFERROR(__xludf.DUMMYFUNCTION("""COMPUTED_VALUE"""),43207.66666666667)</f>
        <v>43207.66667</v>
      </c>
      <c r="E1023" s="3">
        <f>IFERROR(__xludf.DUMMYFUNCTION("""COMPUTED_VALUE"""),53.71)</f>
        <v>53.71</v>
      </c>
      <c r="F1023" s="3">
        <f t="shared" si="1"/>
        <v>0.03428041375</v>
      </c>
    </row>
    <row r="1024">
      <c r="A1024" s="6"/>
      <c r="D1024" s="5">
        <f>IFERROR(__xludf.DUMMYFUNCTION("""COMPUTED_VALUE"""),43208.66666666667)</f>
        <v>43208.66667</v>
      </c>
      <c r="E1024" s="3">
        <f>IFERROR(__xludf.DUMMYFUNCTION("""COMPUTED_VALUE"""),53.6)</f>
        <v>53.6</v>
      </c>
      <c r="F1024" s="3">
        <f t="shared" si="1"/>
        <v>-0.002050135841</v>
      </c>
    </row>
    <row r="1025">
      <c r="A1025" s="6"/>
      <c r="D1025" s="5">
        <f>IFERROR(__xludf.DUMMYFUNCTION("""COMPUTED_VALUE"""),43209.66666666667)</f>
        <v>43209.66667</v>
      </c>
      <c r="E1025" s="3">
        <f>IFERROR(__xludf.DUMMYFUNCTION("""COMPUTED_VALUE"""),54.39)</f>
        <v>54.39</v>
      </c>
      <c r="F1025" s="3">
        <f t="shared" si="1"/>
        <v>0.01463124536</v>
      </c>
    </row>
    <row r="1026">
      <c r="A1026" s="6"/>
      <c r="D1026" s="5">
        <f>IFERROR(__xludf.DUMMYFUNCTION("""COMPUTED_VALUE"""),43210.66666666667)</f>
        <v>43210.66667</v>
      </c>
      <c r="E1026" s="3">
        <f>IFERROR(__xludf.DUMMYFUNCTION("""COMPUTED_VALUE"""),53.65)</f>
        <v>53.65</v>
      </c>
      <c r="F1026" s="3">
        <f t="shared" si="1"/>
        <v>-0.01369884436</v>
      </c>
    </row>
    <row r="1027">
      <c r="A1027" s="6"/>
      <c r="D1027" s="5">
        <f>IFERROR(__xludf.DUMMYFUNCTION("""COMPUTED_VALUE"""),43213.66666666667)</f>
        <v>43213.66667</v>
      </c>
      <c r="E1027" s="3">
        <f>IFERROR(__xludf.DUMMYFUNCTION("""COMPUTED_VALUE"""),53.37)</f>
        <v>53.37</v>
      </c>
      <c r="F1027" s="3">
        <f t="shared" si="1"/>
        <v>-0.005232678731</v>
      </c>
    </row>
    <row r="1028">
      <c r="A1028" s="6"/>
      <c r="D1028" s="5">
        <f>IFERROR(__xludf.DUMMYFUNCTION("""COMPUTED_VALUE"""),43214.66666666667)</f>
        <v>43214.66667</v>
      </c>
      <c r="E1028" s="3">
        <f>IFERROR(__xludf.DUMMYFUNCTION("""COMPUTED_VALUE"""),51.0)</f>
        <v>51</v>
      </c>
      <c r="F1028" s="3">
        <f t="shared" si="1"/>
        <v>-0.04542315762</v>
      </c>
    </row>
    <row r="1029">
      <c r="A1029" s="6"/>
      <c r="D1029" s="5">
        <f>IFERROR(__xludf.DUMMYFUNCTION("""COMPUTED_VALUE"""),43215.66666666667)</f>
        <v>43215.66667</v>
      </c>
      <c r="E1029" s="3">
        <f>IFERROR(__xludf.DUMMYFUNCTION("""COMPUTED_VALUE"""),51.06)</f>
        <v>51.06</v>
      </c>
      <c r="F1029" s="3">
        <f t="shared" si="1"/>
        <v>0.001175779089</v>
      </c>
    </row>
    <row r="1030">
      <c r="A1030" s="6"/>
      <c r="D1030" s="5">
        <f>IFERROR(__xludf.DUMMYFUNCTION("""COMPUTED_VALUE"""),43216.66666666667)</f>
        <v>43216.66667</v>
      </c>
      <c r="E1030" s="3">
        <f>IFERROR(__xludf.DUMMYFUNCTION("""COMPUTED_VALUE"""),52.0)</f>
        <v>52</v>
      </c>
      <c r="F1030" s="3">
        <f t="shared" si="1"/>
        <v>0.01824230677</v>
      </c>
    </row>
    <row r="1031">
      <c r="A1031" s="6"/>
      <c r="D1031" s="5">
        <f>IFERROR(__xludf.DUMMYFUNCTION("""COMPUTED_VALUE"""),43217.66666666667)</f>
        <v>43217.66667</v>
      </c>
      <c r="E1031" s="3">
        <f>IFERROR(__xludf.DUMMYFUNCTION("""COMPUTED_VALUE"""),51.5)</f>
        <v>51.5</v>
      </c>
      <c r="F1031" s="3">
        <f t="shared" si="1"/>
        <v>-0.009661910912</v>
      </c>
    </row>
    <row r="1032">
      <c r="A1032" s="6"/>
      <c r="D1032" s="5">
        <f>IFERROR(__xludf.DUMMYFUNCTION("""COMPUTED_VALUE"""),43220.66666666667)</f>
        <v>43220.66667</v>
      </c>
      <c r="E1032" s="3">
        <f>IFERROR(__xludf.DUMMYFUNCTION("""COMPUTED_VALUE"""),50.87)</f>
        <v>50.87</v>
      </c>
      <c r="F1032" s="3">
        <f t="shared" si="1"/>
        <v>-0.01230844884</v>
      </c>
    </row>
    <row r="1033">
      <c r="A1033" s="6"/>
      <c r="D1033" s="5">
        <f>IFERROR(__xludf.DUMMYFUNCTION("""COMPUTED_VALUE"""),43221.66666666667)</f>
        <v>43221.66667</v>
      </c>
      <c r="E1033" s="3">
        <f>IFERROR(__xludf.DUMMYFUNCTION("""COMPUTED_VALUE"""),51.87)</f>
        <v>51.87</v>
      </c>
      <c r="F1033" s="3">
        <f t="shared" si="1"/>
        <v>0.01946722953</v>
      </c>
    </row>
    <row r="1034">
      <c r="A1034" s="6"/>
      <c r="D1034" s="5">
        <f>IFERROR(__xludf.DUMMYFUNCTION("""COMPUTED_VALUE"""),43222.66666666667)</f>
        <v>43222.66667</v>
      </c>
      <c r="E1034" s="3">
        <f>IFERROR(__xludf.DUMMYFUNCTION("""COMPUTED_VALUE"""),51.22)</f>
        <v>51.22</v>
      </c>
      <c r="F1034" s="3">
        <f t="shared" si="1"/>
        <v>-0.01261050759</v>
      </c>
    </row>
    <row r="1035">
      <c r="A1035" s="6"/>
      <c r="D1035" s="5">
        <f>IFERROR(__xludf.DUMMYFUNCTION("""COMPUTED_VALUE"""),43223.66666666667)</f>
        <v>43223.66667</v>
      </c>
      <c r="E1035" s="3">
        <f>IFERROR(__xludf.DUMMYFUNCTION("""COMPUTED_VALUE"""),51.19)</f>
        <v>51.19</v>
      </c>
      <c r="F1035" s="3">
        <f t="shared" si="1"/>
        <v>-0.0005858803019</v>
      </c>
    </row>
    <row r="1036">
      <c r="A1036" s="6"/>
      <c r="D1036" s="5">
        <f>IFERROR(__xludf.DUMMYFUNCTION("""COMPUTED_VALUE"""),43224.66666666667)</f>
        <v>43224.66667</v>
      </c>
      <c r="E1036" s="3">
        <f>IFERROR(__xludf.DUMMYFUNCTION("""COMPUTED_VALUE"""),52.41)</f>
        <v>52.41</v>
      </c>
      <c r="F1036" s="3">
        <f t="shared" si="1"/>
        <v>0.02355321234</v>
      </c>
    </row>
    <row r="1037">
      <c r="A1037" s="6"/>
      <c r="D1037" s="5">
        <f>IFERROR(__xludf.DUMMYFUNCTION("""COMPUTED_VALUE"""),43227.66666666667)</f>
        <v>43227.66667</v>
      </c>
      <c r="E1037" s="3">
        <f>IFERROR(__xludf.DUMMYFUNCTION("""COMPUTED_VALUE"""),52.74)</f>
        <v>52.74</v>
      </c>
      <c r="F1037" s="3">
        <f t="shared" si="1"/>
        <v>0.006276768111</v>
      </c>
    </row>
    <row r="1038">
      <c r="A1038" s="6"/>
      <c r="D1038" s="5">
        <f>IFERROR(__xludf.DUMMYFUNCTION("""COMPUTED_VALUE"""),43228.66666666667)</f>
        <v>43228.66667</v>
      </c>
      <c r="E1038" s="3">
        <f>IFERROR(__xludf.DUMMYFUNCTION("""COMPUTED_VALUE"""),52.7)</f>
        <v>52.7</v>
      </c>
      <c r="F1038" s="3">
        <f t="shared" si="1"/>
        <v>-0.0007587253778</v>
      </c>
    </row>
    <row r="1039">
      <c r="A1039" s="6"/>
      <c r="D1039" s="5">
        <f>IFERROR(__xludf.DUMMYFUNCTION("""COMPUTED_VALUE"""),43229.66666666667)</f>
        <v>43229.66667</v>
      </c>
      <c r="E1039" s="3">
        <f>IFERROR(__xludf.DUMMYFUNCTION("""COMPUTED_VALUE"""),54.14)</f>
        <v>54.14</v>
      </c>
      <c r="F1039" s="3">
        <f t="shared" si="1"/>
        <v>0.02695782864</v>
      </c>
    </row>
    <row r="1040">
      <c r="A1040" s="6"/>
      <c r="D1040" s="5">
        <f>IFERROR(__xludf.DUMMYFUNCTION("""COMPUTED_VALUE"""),43230.66666666667)</f>
        <v>43230.66667</v>
      </c>
      <c r="E1040" s="3">
        <f>IFERROR(__xludf.DUMMYFUNCTION("""COMPUTED_VALUE"""),54.88)</f>
        <v>54.88</v>
      </c>
      <c r="F1040" s="3">
        <f t="shared" si="1"/>
        <v>0.01357569923</v>
      </c>
    </row>
    <row r="1041">
      <c r="A1041" s="6"/>
      <c r="D1041" s="5">
        <f>IFERROR(__xludf.DUMMYFUNCTION("""COMPUTED_VALUE"""),43231.66666666667)</f>
        <v>43231.66667</v>
      </c>
      <c r="E1041" s="3">
        <f>IFERROR(__xludf.DUMMYFUNCTION("""COMPUTED_VALUE"""),54.91)</f>
        <v>54.91</v>
      </c>
      <c r="F1041" s="3">
        <f t="shared" si="1"/>
        <v>0.0005464978732</v>
      </c>
    </row>
    <row r="1042">
      <c r="A1042" s="6"/>
      <c r="D1042" s="5">
        <f>IFERROR(__xludf.DUMMYFUNCTION("""COMPUTED_VALUE"""),43234.66666666667)</f>
        <v>43234.66667</v>
      </c>
      <c r="E1042" s="3">
        <f>IFERROR(__xludf.DUMMYFUNCTION("""COMPUTED_VALUE"""),55.01)</f>
        <v>55.01</v>
      </c>
      <c r="F1042" s="3">
        <f t="shared" si="1"/>
        <v>0.001819505597</v>
      </c>
    </row>
    <row r="1043">
      <c r="A1043" s="6"/>
      <c r="D1043" s="5">
        <f>IFERROR(__xludf.DUMMYFUNCTION("""COMPUTED_VALUE"""),43235.66666666667)</f>
        <v>43235.66667</v>
      </c>
      <c r="E1043" s="3">
        <f>IFERROR(__xludf.DUMMYFUNCTION("""COMPUTED_VALUE"""),53.96)</f>
        <v>53.96</v>
      </c>
      <c r="F1043" s="3">
        <f t="shared" si="1"/>
        <v>-0.01927195555</v>
      </c>
    </row>
    <row r="1044">
      <c r="A1044" s="6"/>
      <c r="D1044" s="5">
        <f>IFERROR(__xludf.DUMMYFUNCTION("""COMPUTED_VALUE"""),43236.66666666667)</f>
        <v>43236.66667</v>
      </c>
      <c r="E1044" s="3">
        <f>IFERROR(__xludf.DUMMYFUNCTION("""COMPUTED_VALUE"""),54.09)</f>
        <v>54.09</v>
      </c>
      <c r="F1044" s="3">
        <f t="shared" si="1"/>
        <v>0.002406294544</v>
      </c>
    </row>
    <row r="1045">
      <c r="A1045" s="6"/>
      <c r="D1045" s="5">
        <f>IFERROR(__xludf.DUMMYFUNCTION("""COMPUTED_VALUE"""),43237.66666666667)</f>
        <v>43237.66667</v>
      </c>
      <c r="E1045" s="3">
        <f>IFERROR(__xludf.DUMMYFUNCTION("""COMPUTED_VALUE"""),53.93)</f>
        <v>53.93</v>
      </c>
      <c r="F1045" s="3">
        <f t="shared" si="1"/>
        <v>-0.002962416534</v>
      </c>
    </row>
    <row r="1046">
      <c r="A1046" s="6"/>
      <c r="D1046" s="5">
        <f>IFERROR(__xludf.DUMMYFUNCTION("""COMPUTED_VALUE"""),43238.66666666667)</f>
        <v>43238.66667</v>
      </c>
      <c r="E1046" s="3">
        <f>IFERROR(__xludf.DUMMYFUNCTION("""COMPUTED_VALUE"""),53.32)</f>
        <v>53.32</v>
      </c>
      <c r="F1046" s="3">
        <f t="shared" si="1"/>
        <v>-0.01137541404</v>
      </c>
    </row>
    <row r="1047">
      <c r="A1047" s="6"/>
      <c r="D1047" s="5">
        <f>IFERROR(__xludf.DUMMYFUNCTION("""COMPUTED_VALUE"""),43241.66666666667)</f>
        <v>43241.66667</v>
      </c>
      <c r="E1047" s="3">
        <f>IFERROR(__xludf.DUMMYFUNCTION("""COMPUTED_VALUE"""),53.98)</f>
        <v>53.98</v>
      </c>
      <c r="F1047" s="3">
        <f t="shared" si="1"/>
        <v>0.01230211228</v>
      </c>
    </row>
    <row r="1048">
      <c r="A1048" s="6"/>
      <c r="D1048" s="5">
        <f>IFERROR(__xludf.DUMMYFUNCTION("""COMPUTED_VALUE"""),43242.66666666667)</f>
        <v>43242.66667</v>
      </c>
      <c r="E1048" s="3">
        <f>IFERROR(__xludf.DUMMYFUNCTION("""COMPUTED_VALUE"""),53.49)</f>
        <v>53.49</v>
      </c>
      <c r="F1048" s="3">
        <f t="shared" si="1"/>
        <v>-0.009118887047</v>
      </c>
    </row>
    <row r="1049">
      <c r="A1049" s="6"/>
      <c r="D1049" s="5">
        <f>IFERROR(__xludf.DUMMYFUNCTION("""COMPUTED_VALUE"""),43243.66666666667)</f>
        <v>43243.66667</v>
      </c>
      <c r="E1049" s="3">
        <f>IFERROR(__xludf.DUMMYFUNCTION("""COMPUTED_VALUE"""),53.98)</f>
        <v>53.98</v>
      </c>
      <c r="F1049" s="3">
        <f t="shared" si="1"/>
        <v>0.009118887047</v>
      </c>
    </row>
    <row r="1050">
      <c r="A1050" s="6"/>
      <c r="D1050" s="5">
        <f>IFERROR(__xludf.DUMMYFUNCTION("""COMPUTED_VALUE"""),43244.66666666667)</f>
        <v>43244.66667</v>
      </c>
      <c r="E1050" s="3">
        <f>IFERROR(__xludf.DUMMYFUNCTION("""COMPUTED_VALUE"""),53.96)</f>
        <v>53.96</v>
      </c>
      <c r="F1050" s="3">
        <f t="shared" si="1"/>
        <v>-0.0003705762503</v>
      </c>
    </row>
    <row r="1051">
      <c r="A1051" s="6"/>
      <c r="D1051" s="5">
        <f>IFERROR(__xludf.DUMMYFUNCTION("""COMPUTED_VALUE"""),43245.66666666667)</f>
        <v>43245.66667</v>
      </c>
      <c r="E1051" s="3">
        <f>IFERROR(__xludf.DUMMYFUNCTION("""COMPUTED_VALUE"""),53.78)</f>
        <v>53.78</v>
      </c>
      <c r="F1051" s="3">
        <f t="shared" si="1"/>
        <v>-0.003341380499</v>
      </c>
    </row>
    <row r="1052">
      <c r="A1052" s="6"/>
      <c r="D1052" s="5">
        <f>IFERROR(__xludf.DUMMYFUNCTION("""COMPUTED_VALUE"""),43249.66666666667)</f>
        <v>43249.66667</v>
      </c>
      <c r="E1052" s="3">
        <f>IFERROR(__xludf.DUMMYFUNCTION("""COMPUTED_VALUE"""),53.02)</f>
        <v>53.02</v>
      </c>
      <c r="F1052" s="3">
        <f t="shared" si="1"/>
        <v>-0.01423244998</v>
      </c>
    </row>
    <row r="1053">
      <c r="A1053" s="6"/>
      <c r="D1053" s="5">
        <f>IFERROR(__xludf.DUMMYFUNCTION("""COMPUTED_VALUE"""),43250.66666666667)</f>
        <v>43250.66667</v>
      </c>
      <c r="E1053" s="3">
        <f>IFERROR(__xludf.DUMMYFUNCTION("""COMPUTED_VALUE"""),53.39)</f>
        <v>53.39</v>
      </c>
      <c r="F1053" s="3">
        <f t="shared" si="1"/>
        <v>0.006954261651</v>
      </c>
    </row>
    <row r="1054">
      <c r="A1054" s="6"/>
      <c r="D1054" s="5">
        <f>IFERROR(__xludf.DUMMYFUNCTION("""COMPUTED_VALUE"""),43251.66666666667)</f>
        <v>43251.66667</v>
      </c>
      <c r="E1054" s="3">
        <f>IFERROR(__xludf.DUMMYFUNCTION("""COMPUTED_VALUE"""),54.25)</f>
        <v>54.25</v>
      </c>
      <c r="F1054" s="3">
        <f t="shared" si="1"/>
        <v>0.01597952991</v>
      </c>
    </row>
    <row r="1055">
      <c r="A1055" s="6"/>
      <c r="D1055" s="5">
        <f>IFERROR(__xludf.DUMMYFUNCTION("""COMPUTED_VALUE"""),43252.66666666667)</f>
        <v>43252.66667</v>
      </c>
      <c r="E1055" s="3">
        <f>IFERROR(__xludf.DUMMYFUNCTION("""COMPUTED_VALUE"""),55.98)</f>
        <v>55.98</v>
      </c>
      <c r="F1055" s="3">
        <f t="shared" si="1"/>
        <v>0.03139149167</v>
      </c>
    </row>
    <row r="1056">
      <c r="A1056" s="6"/>
      <c r="D1056" s="5">
        <f>IFERROR(__xludf.DUMMYFUNCTION("""COMPUTED_VALUE"""),43255.66666666667)</f>
        <v>43255.66667</v>
      </c>
      <c r="E1056" s="3">
        <f>IFERROR(__xludf.DUMMYFUNCTION("""COMPUTED_VALUE"""),56.96)</f>
        <v>56.96</v>
      </c>
      <c r="F1056" s="3">
        <f t="shared" si="1"/>
        <v>0.01735478302</v>
      </c>
    </row>
    <row r="1057">
      <c r="A1057" s="6"/>
      <c r="D1057" s="5">
        <f>IFERROR(__xludf.DUMMYFUNCTION("""COMPUTED_VALUE"""),43256.66666666667)</f>
        <v>43256.66667</v>
      </c>
      <c r="E1057" s="3">
        <f>IFERROR(__xludf.DUMMYFUNCTION("""COMPUTED_VALUE"""),56.98)</f>
        <v>56.98</v>
      </c>
      <c r="F1057" s="3">
        <f t="shared" si="1"/>
        <v>0.000351061966</v>
      </c>
    </row>
    <row r="1058">
      <c r="A1058" s="6"/>
      <c r="D1058" s="5">
        <f>IFERROR(__xludf.DUMMYFUNCTION("""COMPUTED_VALUE"""),43257.66666666667)</f>
        <v>43257.66667</v>
      </c>
      <c r="E1058" s="3">
        <f>IFERROR(__xludf.DUMMYFUNCTION("""COMPUTED_VALUE"""),56.84)</f>
        <v>56.84</v>
      </c>
      <c r="F1058" s="3">
        <f t="shared" si="1"/>
        <v>-0.002460025841</v>
      </c>
    </row>
    <row r="1059">
      <c r="A1059" s="6"/>
      <c r="D1059" s="5">
        <f>IFERROR(__xludf.DUMMYFUNCTION("""COMPUTED_VALUE"""),43258.66666666667)</f>
        <v>43258.66667</v>
      </c>
      <c r="E1059" s="3">
        <f>IFERROR(__xludf.DUMMYFUNCTION("""COMPUTED_VALUE"""),56.19)</f>
        <v>56.19</v>
      </c>
      <c r="F1059" s="3">
        <f t="shared" si="1"/>
        <v>-0.0115014981</v>
      </c>
    </row>
    <row r="1060">
      <c r="A1060" s="6"/>
      <c r="D1060" s="5">
        <f>IFERROR(__xludf.DUMMYFUNCTION("""COMPUTED_VALUE"""),43259.66666666667)</f>
        <v>43259.66667</v>
      </c>
      <c r="E1060" s="3">
        <f>IFERROR(__xludf.DUMMYFUNCTION("""COMPUTED_VALUE"""),56.04)</f>
        <v>56.04</v>
      </c>
      <c r="F1060" s="3">
        <f t="shared" si="1"/>
        <v>-0.002673083655</v>
      </c>
    </row>
    <row r="1061">
      <c r="A1061" s="6"/>
      <c r="D1061" s="5">
        <f>IFERROR(__xludf.DUMMYFUNCTION("""COMPUTED_VALUE"""),43262.66666666667)</f>
        <v>43262.66667</v>
      </c>
      <c r="E1061" s="3">
        <f>IFERROR(__xludf.DUMMYFUNCTION("""COMPUTED_VALUE"""),56.5)</f>
        <v>56.5</v>
      </c>
      <c r="F1061" s="3">
        <f t="shared" si="1"/>
        <v>0.008174916684</v>
      </c>
    </row>
    <row r="1062">
      <c r="A1062" s="6"/>
      <c r="D1062" s="5">
        <f>IFERROR(__xludf.DUMMYFUNCTION("""COMPUTED_VALUE"""),43263.66666666667)</f>
        <v>43263.66667</v>
      </c>
      <c r="E1062" s="3">
        <f>IFERROR(__xludf.DUMMYFUNCTION("""COMPUTED_VALUE"""),56.97)</f>
        <v>56.97</v>
      </c>
      <c r="F1062" s="3">
        <f t="shared" si="1"/>
        <v>0.00828417534</v>
      </c>
    </row>
    <row r="1063">
      <c r="A1063" s="6"/>
      <c r="D1063" s="5">
        <f>IFERROR(__xludf.DUMMYFUNCTION("""COMPUTED_VALUE"""),43264.66666666667)</f>
        <v>43264.66667</v>
      </c>
      <c r="E1063" s="3">
        <f>IFERROR(__xludf.DUMMYFUNCTION("""COMPUTED_VALUE"""),56.74)</f>
        <v>56.74</v>
      </c>
      <c r="F1063" s="3">
        <f t="shared" si="1"/>
        <v>-0.004045384112</v>
      </c>
    </row>
    <row r="1064">
      <c r="A1064" s="6"/>
      <c r="D1064" s="5">
        <f>IFERROR(__xludf.DUMMYFUNCTION("""COMPUTED_VALUE"""),43265.66666666667)</f>
        <v>43265.66667</v>
      </c>
      <c r="E1064" s="3">
        <f>IFERROR(__xludf.DUMMYFUNCTION("""COMPUTED_VALUE"""),57.61)</f>
        <v>57.61</v>
      </c>
      <c r="F1064" s="3">
        <f t="shared" si="1"/>
        <v>0.01521673436</v>
      </c>
    </row>
    <row r="1065">
      <c r="A1065" s="6"/>
      <c r="D1065" s="5">
        <f>IFERROR(__xludf.DUMMYFUNCTION("""COMPUTED_VALUE"""),43266.66666666667)</f>
        <v>43266.66667</v>
      </c>
      <c r="E1065" s="3">
        <f>IFERROR(__xludf.DUMMYFUNCTION("""COMPUTED_VALUE"""),57.61)</f>
        <v>57.61</v>
      </c>
      <c r="F1065" s="3">
        <f t="shared" si="1"/>
        <v>0</v>
      </c>
    </row>
    <row r="1066">
      <c r="A1066" s="6"/>
      <c r="D1066" s="5">
        <f>IFERROR(__xludf.DUMMYFUNCTION("""COMPUTED_VALUE"""),43269.66666666667)</f>
        <v>43269.66667</v>
      </c>
      <c r="E1066" s="3">
        <f>IFERROR(__xludf.DUMMYFUNCTION("""COMPUTED_VALUE"""),58.67)</f>
        <v>58.67</v>
      </c>
      <c r="F1066" s="3">
        <f t="shared" si="1"/>
        <v>0.01823235919</v>
      </c>
    </row>
    <row r="1067">
      <c r="A1067" s="6"/>
      <c r="D1067" s="5">
        <f>IFERROR(__xludf.DUMMYFUNCTION("""COMPUTED_VALUE"""),43270.66666666667)</f>
        <v>43270.66667</v>
      </c>
      <c r="E1067" s="3">
        <f>IFERROR(__xludf.DUMMYFUNCTION("""COMPUTED_VALUE"""),58.4)</f>
        <v>58.4</v>
      </c>
      <c r="F1067" s="3">
        <f t="shared" si="1"/>
        <v>-0.004612633104</v>
      </c>
    </row>
    <row r="1068">
      <c r="A1068" s="6"/>
      <c r="D1068" s="5">
        <f>IFERROR(__xludf.DUMMYFUNCTION("""COMPUTED_VALUE"""),43271.66666666667)</f>
        <v>43271.66667</v>
      </c>
      <c r="E1068" s="3">
        <f>IFERROR(__xludf.DUMMYFUNCTION("""COMPUTED_VALUE"""),58.49)</f>
        <v>58.49</v>
      </c>
      <c r="F1068" s="3">
        <f t="shared" si="1"/>
        <v>0.001539909621</v>
      </c>
    </row>
    <row r="1069">
      <c r="A1069" s="6"/>
      <c r="D1069" s="5">
        <f>IFERROR(__xludf.DUMMYFUNCTION("""COMPUTED_VALUE"""),43272.66666666667)</f>
        <v>43272.66667</v>
      </c>
      <c r="E1069" s="3">
        <f>IFERROR(__xludf.DUMMYFUNCTION("""COMPUTED_VALUE"""),57.88)</f>
        <v>57.88</v>
      </c>
      <c r="F1069" s="3">
        <f t="shared" si="1"/>
        <v>-0.01048389769</v>
      </c>
    </row>
    <row r="1070">
      <c r="A1070" s="6"/>
      <c r="D1070" s="5">
        <f>IFERROR(__xludf.DUMMYFUNCTION("""COMPUTED_VALUE"""),43273.66666666667)</f>
        <v>43273.66667</v>
      </c>
      <c r="E1070" s="3">
        <f>IFERROR(__xludf.DUMMYFUNCTION("""COMPUTED_VALUE"""),57.77)</f>
        <v>57.77</v>
      </c>
      <c r="F1070" s="3">
        <f t="shared" si="1"/>
        <v>-0.00190229197</v>
      </c>
    </row>
    <row r="1071">
      <c r="A1071" s="6"/>
      <c r="D1071" s="5">
        <f>IFERROR(__xludf.DUMMYFUNCTION("""COMPUTED_VALUE"""),43276.66666666667)</f>
        <v>43276.66667</v>
      </c>
      <c r="E1071" s="3">
        <f>IFERROR(__xludf.DUMMYFUNCTION("""COMPUTED_VALUE"""),56.24)</f>
        <v>56.24</v>
      </c>
      <c r="F1071" s="3">
        <f t="shared" si="1"/>
        <v>-0.02684136229</v>
      </c>
    </row>
    <row r="1072">
      <c r="A1072" s="6"/>
      <c r="D1072" s="5">
        <f>IFERROR(__xludf.DUMMYFUNCTION("""COMPUTED_VALUE"""),43277.66666666667)</f>
        <v>43277.66667</v>
      </c>
      <c r="E1072" s="3">
        <f>IFERROR(__xludf.DUMMYFUNCTION("""COMPUTED_VALUE"""),55.92)</f>
        <v>55.92</v>
      </c>
      <c r="F1072" s="3">
        <f t="shared" si="1"/>
        <v>-0.005706149577</v>
      </c>
    </row>
    <row r="1073">
      <c r="A1073" s="6"/>
      <c r="D1073" s="5">
        <f>IFERROR(__xludf.DUMMYFUNCTION("""COMPUTED_VALUE"""),43278.66666666667)</f>
        <v>43278.66667</v>
      </c>
      <c r="E1073" s="3">
        <f>IFERROR(__xludf.DUMMYFUNCTION("""COMPUTED_VALUE"""),55.2)</f>
        <v>55.2</v>
      </c>
      <c r="F1073" s="3">
        <f t="shared" si="1"/>
        <v>-0.01295914464</v>
      </c>
    </row>
    <row r="1074">
      <c r="A1074" s="6"/>
      <c r="D1074" s="5">
        <f>IFERROR(__xludf.DUMMYFUNCTION("""COMPUTED_VALUE"""),43279.66666666667)</f>
        <v>43279.66667</v>
      </c>
      <c r="E1074" s="3">
        <f>IFERROR(__xludf.DUMMYFUNCTION("""COMPUTED_VALUE"""),55.71)</f>
        <v>55.71</v>
      </c>
      <c r="F1074" s="3">
        <f t="shared" si="1"/>
        <v>0.00919671075</v>
      </c>
    </row>
    <row r="1075">
      <c r="A1075" s="6"/>
      <c r="D1075" s="5">
        <f>IFERROR(__xludf.DUMMYFUNCTION("""COMPUTED_VALUE"""),43280.66666666667)</f>
        <v>43280.66667</v>
      </c>
      <c r="E1075" s="3">
        <f>IFERROR(__xludf.DUMMYFUNCTION("""COMPUTED_VALUE"""),55.78)</f>
        <v>55.78</v>
      </c>
      <c r="F1075" s="3">
        <f t="shared" si="1"/>
        <v>0.001255718167</v>
      </c>
    </row>
    <row r="1076">
      <c r="A1076" s="6"/>
      <c r="D1076" s="5">
        <f>IFERROR(__xludf.DUMMYFUNCTION("""COMPUTED_VALUE"""),43283.66666666667)</f>
        <v>43283.66667</v>
      </c>
      <c r="E1076" s="3">
        <f>IFERROR(__xludf.DUMMYFUNCTION("""COMPUTED_VALUE"""),56.37)</f>
        <v>56.37</v>
      </c>
      <c r="F1076" s="3">
        <f t="shared" si="1"/>
        <v>0.01052171989</v>
      </c>
    </row>
    <row r="1077">
      <c r="A1077" s="6"/>
      <c r="D1077" s="5">
        <f>IFERROR(__xludf.DUMMYFUNCTION("""COMPUTED_VALUE"""),43284.54166666667)</f>
        <v>43284.54167</v>
      </c>
      <c r="E1077" s="3">
        <f>IFERROR(__xludf.DUMMYFUNCTION("""COMPUTED_VALUE"""),55.14)</f>
        <v>55.14</v>
      </c>
      <c r="F1077" s="3">
        <f t="shared" si="1"/>
        <v>-0.0220616965</v>
      </c>
    </row>
    <row r="1078">
      <c r="A1078" s="6"/>
      <c r="D1078" s="5">
        <f>IFERROR(__xludf.DUMMYFUNCTION("""COMPUTED_VALUE"""),43286.66666666667)</f>
        <v>43286.66667</v>
      </c>
      <c r="E1078" s="3">
        <f>IFERROR(__xludf.DUMMYFUNCTION("""COMPUTED_VALUE"""),56.21)</f>
        <v>56.21</v>
      </c>
      <c r="F1078" s="3">
        <f t="shared" si="1"/>
        <v>0.01921927142</v>
      </c>
    </row>
    <row r="1079">
      <c r="A1079" s="6"/>
      <c r="D1079" s="5">
        <f>IFERROR(__xludf.DUMMYFUNCTION("""COMPUTED_VALUE"""),43287.66666666667)</f>
        <v>43287.66667</v>
      </c>
      <c r="E1079" s="3">
        <f>IFERROR(__xludf.DUMMYFUNCTION("""COMPUTED_VALUE"""),57.01)</f>
        <v>57.01</v>
      </c>
      <c r="F1079" s="3">
        <f t="shared" si="1"/>
        <v>0.01413201403</v>
      </c>
    </row>
    <row r="1080">
      <c r="A1080" s="6"/>
      <c r="D1080" s="5">
        <f>IFERROR(__xludf.DUMMYFUNCTION("""COMPUTED_VALUE"""),43290.66666666667)</f>
        <v>43290.66667</v>
      </c>
      <c r="E1080" s="3">
        <f>IFERROR(__xludf.DUMMYFUNCTION("""COMPUTED_VALUE"""),57.7)</f>
        <v>57.7</v>
      </c>
      <c r="F1080" s="3">
        <f t="shared" si="1"/>
        <v>0.01203048247</v>
      </c>
    </row>
    <row r="1081">
      <c r="A1081" s="6"/>
      <c r="D1081" s="5">
        <f>IFERROR(__xludf.DUMMYFUNCTION("""COMPUTED_VALUE"""),43291.66666666667)</f>
        <v>43291.66667</v>
      </c>
      <c r="E1081" s="3">
        <f>IFERROR(__xludf.DUMMYFUNCTION("""COMPUTED_VALUE"""),57.64)</f>
        <v>57.64</v>
      </c>
      <c r="F1081" s="3">
        <f t="shared" si="1"/>
        <v>-0.001040402383</v>
      </c>
    </row>
    <row r="1082">
      <c r="A1082" s="6"/>
      <c r="D1082" s="5">
        <f>IFERROR(__xludf.DUMMYFUNCTION("""COMPUTED_VALUE"""),43292.66666666667)</f>
        <v>43292.66667</v>
      </c>
      <c r="E1082" s="3">
        <f>IFERROR(__xludf.DUMMYFUNCTION("""COMPUTED_VALUE"""),57.7)</f>
        <v>57.7</v>
      </c>
      <c r="F1082" s="3">
        <f t="shared" si="1"/>
        <v>0.001040402383</v>
      </c>
    </row>
    <row r="1083">
      <c r="A1083" s="6"/>
      <c r="D1083" s="5">
        <f>IFERROR(__xludf.DUMMYFUNCTION("""COMPUTED_VALUE"""),43293.66666666667)</f>
        <v>43293.66667</v>
      </c>
      <c r="E1083" s="3">
        <f>IFERROR(__xludf.DUMMYFUNCTION("""COMPUTED_VALUE"""),59.17)</f>
        <v>59.17</v>
      </c>
      <c r="F1083" s="3">
        <f t="shared" si="1"/>
        <v>0.02515748317</v>
      </c>
    </row>
    <row r="1084">
      <c r="A1084" s="6"/>
      <c r="D1084" s="5">
        <f>IFERROR(__xludf.DUMMYFUNCTION("""COMPUTED_VALUE"""),43294.66666666667)</f>
        <v>43294.66667</v>
      </c>
      <c r="E1084" s="3">
        <f>IFERROR(__xludf.DUMMYFUNCTION("""COMPUTED_VALUE"""),59.44)</f>
        <v>59.44</v>
      </c>
      <c r="F1084" s="3">
        <f t="shared" si="1"/>
        <v>0.004552743721</v>
      </c>
    </row>
    <row r="1085">
      <c r="A1085" s="6"/>
      <c r="D1085" s="5">
        <f>IFERROR(__xludf.DUMMYFUNCTION("""COMPUTED_VALUE"""),43297.66666666667)</f>
        <v>43297.66667</v>
      </c>
      <c r="E1085" s="3">
        <f>IFERROR(__xludf.DUMMYFUNCTION("""COMPUTED_VALUE"""),59.19)</f>
        <v>59.19</v>
      </c>
      <c r="F1085" s="3">
        <f t="shared" si="1"/>
        <v>-0.004214791707</v>
      </c>
    </row>
    <row r="1086">
      <c r="A1086" s="6"/>
      <c r="D1086" s="5">
        <f>IFERROR(__xludf.DUMMYFUNCTION("""COMPUTED_VALUE"""),43298.66666666667)</f>
        <v>43298.66667</v>
      </c>
      <c r="E1086" s="3">
        <f>IFERROR(__xludf.DUMMYFUNCTION("""COMPUTED_VALUE"""),59.94)</f>
        <v>59.94</v>
      </c>
      <c r="F1086" s="3">
        <f t="shared" si="1"/>
        <v>0.01259145319</v>
      </c>
    </row>
    <row r="1087">
      <c r="A1087" s="6"/>
      <c r="D1087" s="5">
        <f>IFERROR(__xludf.DUMMYFUNCTION("""COMPUTED_VALUE"""),43299.66666666667)</f>
        <v>43299.66667</v>
      </c>
      <c r="E1087" s="3">
        <f>IFERROR(__xludf.DUMMYFUNCTION("""COMPUTED_VALUE"""),59.79)</f>
        <v>59.79</v>
      </c>
      <c r="F1087" s="3">
        <f t="shared" si="1"/>
        <v>-0.002505638996</v>
      </c>
    </row>
    <row r="1088">
      <c r="A1088" s="6"/>
      <c r="D1088" s="5">
        <f>IFERROR(__xludf.DUMMYFUNCTION("""COMPUTED_VALUE"""),43300.66666666667)</f>
        <v>43300.66667</v>
      </c>
      <c r="E1088" s="3">
        <f>IFERROR(__xludf.DUMMYFUNCTION("""COMPUTED_VALUE"""),59.35)</f>
        <v>59.35</v>
      </c>
      <c r="F1088" s="3">
        <f t="shared" si="1"/>
        <v>-0.007386301837</v>
      </c>
    </row>
    <row r="1089">
      <c r="A1089" s="6"/>
      <c r="D1089" s="5">
        <f>IFERROR(__xludf.DUMMYFUNCTION("""COMPUTED_VALUE"""),43301.66666666667)</f>
        <v>43301.66667</v>
      </c>
      <c r="E1089" s="3">
        <f>IFERROR(__xludf.DUMMYFUNCTION("""COMPUTED_VALUE"""),59.25)</f>
        <v>59.25</v>
      </c>
      <c r="F1089" s="3">
        <f t="shared" si="1"/>
        <v>-0.00168634104</v>
      </c>
    </row>
    <row r="1090">
      <c r="A1090" s="6"/>
      <c r="D1090" s="5">
        <f>IFERROR(__xludf.DUMMYFUNCTION("""COMPUTED_VALUE"""),43304.66666666667)</f>
        <v>43304.66667</v>
      </c>
      <c r="E1090" s="3">
        <f>IFERROR(__xludf.DUMMYFUNCTION("""COMPUTED_VALUE"""),60.28)</f>
        <v>60.28</v>
      </c>
      <c r="F1090" s="3">
        <f t="shared" si="1"/>
        <v>0.01723459374</v>
      </c>
    </row>
    <row r="1091">
      <c r="A1091" s="6"/>
      <c r="D1091" s="5">
        <f>IFERROR(__xludf.DUMMYFUNCTION("""COMPUTED_VALUE"""),43305.66666666667)</f>
        <v>43305.66667</v>
      </c>
      <c r="E1091" s="3">
        <f>IFERROR(__xludf.DUMMYFUNCTION("""COMPUTED_VALUE"""),62.4)</f>
        <v>62.4</v>
      </c>
      <c r="F1091" s="3">
        <f t="shared" si="1"/>
        <v>0.03456490162</v>
      </c>
    </row>
    <row r="1092">
      <c r="A1092" s="6"/>
      <c r="D1092" s="5">
        <f>IFERROR(__xludf.DUMMYFUNCTION("""COMPUTED_VALUE"""),43306.66666666667)</f>
        <v>43306.66667</v>
      </c>
      <c r="E1092" s="3">
        <f>IFERROR(__xludf.DUMMYFUNCTION("""COMPUTED_VALUE"""),63.19)</f>
        <v>63.19</v>
      </c>
      <c r="F1092" s="3">
        <f t="shared" si="1"/>
        <v>0.01258078541</v>
      </c>
    </row>
    <row r="1093">
      <c r="A1093" s="6"/>
      <c r="D1093" s="5">
        <f>IFERROR(__xludf.DUMMYFUNCTION("""COMPUTED_VALUE"""),43307.66666666667)</f>
        <v>43307.66667</v>
      </c>
      <c r="E1093" s="3">
        <f>IFERROR(__xludf.DUMMYFUNCTION("""COMPUTED_VALUE"""),63.42)</f>
        <v>63.42</v>
      </c>
      <c r="F1093" s="3">
        <f t="shared" si="1"/>
        <v>0.003633208325</v>
      </c>
    </row>
    <row r="1094">
      <c r="A1094" s="6"/>
      <c r="D1094" s="5">
        <f>IFERROR(__xludf.DUMMYFUNCTION("""COMPUTED_VALUE"""),43308.66666666667)</f>
        <v>43308.66667</v>
      </c>
      <c r="E1094" s="3">
        <f>IFERROR(__xludf.DUMMYFUNCTION("""COMPUTED_VALUE"""),61.93)</f>
        <v>61.93</v>
      </c>
      <c r="F1094" s="3">
        <f t="shared" si="1"/>
        <v>-0.02377455416</v>
      </c>
    </row>
    <row r="1095">
      <c r="A1095" s="6"/>
      <c r="D1095" s="5">
        <f>IFERROR(__xludf.DUMMYFUNCTION("""COMPUTED_VALUE"""),43311.66666666667)</f>
        <v>43311.66667</v>
      </c>
      <c r="E1095" s="3">
        <f>IFERROR(__xludf.DUMMYFUNCTION("""COMPUTED_VALUE"""),60.99)</f>
        <v>60.99</v>
      </c>
      <c r="F1095" s="3">
        <f t="shared" si="1"/>
        <v>-0.01529479864</v>
      </c>
    </row>
    <row r="1096">
      <c r="A1096" s="6"/>
      <c r="D1096" s="5">
        <f>IFERROR(__xludf.DUMMYFUNCTION("""COMPUTED_VALUE"""),43312.66666666667)</f>
        <v>43312.66667</v>
      </c>
      <c r="E1096" s="3">
        <f>IFERROR(__xludf.DUMMYFUNCTION("""COMPUTED_VALUE"""),60.86)</f>
        <v>60.86</v>
      </c>
      <c r="F1096" s="3">
        <f t="shared" si="1"/>
        <v>-0.00213377184</v>
      </c>
    </row>
    <row r="1097">
      <c r="A1097" s="6"/>
      <c r="D1097" s="5">
        <f>IFERROR(__xludf.DUMMYFUNCTION("""COMPUTED_VALUE"""),43313.66666666667)</f>
        <v>43313.66667</v>
      </c>
      <c r="E1097" s="3">
        <f>IFERROR(__xludf.DUMMYFUNCTION("""COMPUTED_VALUE"""),61.0)</f>
        <v>61</v>
      </c>
      <c r="F1097" s="3">
        <f t="shared" si="1"/>
        <v>0.002297719704</v>
      </c>
    </row>
    <row r="1098">
      <c r="A1098" s="6"/>
      <c r="D1098" s="5">
        <f>IFERROR(__xludf.DUMMYFUNCTION("""COMPUTED_VALUE"""),43314.66666666667)</f>
        <v>43314.66667</v>
      </c>
      <c r="E1098" s="3">
        <f>IFERROR(__xludf.DUMMYFUNCTION("""COMPUTED_VALUE"""),61.31)</f>
        <v>61.31</v>
      </c>
      <c r="F1098" s="3">
        <f t="shared" si="1"/>
        <v>0.005069097601</v>
      </c>
    </row>
    <row r="1099">
      <c r="A1099" s="6"/>
      <c r="D1099" s="5">
        <f>IFERROR(__xludf.DUMMYFUNCTION("""COMPUTED_VALUE"""),43315.66666666667)</f>
        <v>43315.66667</v>
      </c>
      <c r="E1099" s="3">
        <f>IFERROR(__xludf.DUMMYFUNCTION("""COMPUTED_VALUE"""),61.19)</f>
        <v>61.19</v>
      </c>
      <c r="F1099" s="3">
        <f t="shared" si="1"/>
        <v>-0.0019591843</v>
      </c>
    </row>
    <row r="1100">
      <c r="A1100" s="6"/>
      <c r="D1100" s="5">
        <f>IFERROR(__xludf.DUMMYFUNCTION("""COMPUTED_VALUE"""),43318.66666666667)</f>
        <v>43318.66667</v>
      </c>
      <c r="E1100" s="3">
        <f>IFERROR(__xludf.DUMMYFUNCTION("""COMPUTED_VALUE"""),61.24)</f>
        <v>61.24</v>
      </c>
      <c r="F1100" s="3">
        <f t="shared" si="1"/>
        <v>0.000816793315</v>
      </c>
    </row>
    <row r="1101">
      <c r="A1101" s="6"/>
      <c r="D1101" s="5">
        <f>IFERROR(__xludf.DUMMYFUNCTION("""COMPUTED_VALUE"""),43319.66666666667)</f>
        <v>43319.66667</v>
      </c>
      <c r="E1101" s="3">
        <f>IFERROR(__xludf.DUMMYFUNCTION("""COMPUTED_VALUE"""),62.11)</f>
        <v>62.11</v>
      </c>
      <c r="F1101" s="3">
        <f t="shared" si="1"/>
        <v>0.01410643578</v>
      </c>
    </row>
    <row r="1102">
      <c r="A1102" s="6"/>
      <c r="D1102" s="5">
        <f>IFERROR(__xludf.DUMMYFUNCTION("""COMPUTED_VALUE"""),43320.66666666667)</f>
        <v>43320.66667</v>
      </c>
      <c r="E1102" s="3">
        <f>IFERROR(__xludf.DUMMYFUNCTION("""COMPUTED_VALUE"""),62.28)</f>
        <v>62.28</v>
      </c>
      <c r="F1102" s="3">
        <f t="shared" si="1"/>
        <v>0.002733340395</v>
      </c>
    </row>
    <row r="1103">
      <c r="A1103" s="6"/>
      <c r="D1103" s="5">
        <f>IFERROR(__xludf.DUMMYFUNCTION("""COMPUTED_VALUE"""),43321.66666666667)</f>
        <v>43321.66667</v>
      </c>
      <c r="E1103" s="3">
        <f>IFERROR(__xludf.DUMMYFUNCTION("""COMPUTED_VALUE"""),62.46)</f>
        <v>62.46</v>
      </c>
      <c r="F1103" s="3">
        <f t="shared" si="1"/>
        <v>0.002886004889</v>
      </c>
    </row>
    <row r="1104">
      <c r="A1104" s="6"/>
      <c r="D1104" s="5">
        <f>IFERROR(__xludf.DUMMYFUNCTION("""COMPUTED_VALUE"""),43322.66666666667)</f>
        <v>43322.66667</v>
      </c>
      <c r="E1104" s="3">
        <f>IFERROR(__xludf.DUMMYFUNCTION("""COMPUTED_VALUE"""),61.88)</f>
        <v>61.88</v>
      </c>
      <c r="F1104" s="3">
        <f t="shared" si="1"/>
        <v>-0.00932932615</v>
      </c>
    </row>
    <row r="1105">
      <c r="A1105" s="6"/>
      <c r="D1105" s="5">
        <f>IFERROR(__xludf.DUMMYFUNCTION("""COMPUTED_VALUE"""),43325.66666666667)</f>
        <v>43325.66667</v>
      </c>
      <c r="E1105" s="3">
        <f>IFERROR(__xludf.DUMMYFUNCTION("""COMPUTED_VALUE"""),61.75)</f>
        <v>61.75</v>
      </c>
      <c r="F1105" s="3">
        <f t="shared" si="1"/>
        <v>-0.002103050197</v>
      </c>
    </row>
    <row r="1106">
      <c r="A1106" s="6"/>
      <c r="D1106" s="5">
        <f>IFERROR(__xludf.DUMMYFUNCTION("""COMPUTED_VALUE"""),43326.66666666667)</f>
        <v>43326.66667</v>
      </c>
      <c r="E1106" s="3">
        <f>IFERROR(__xludf.DUMMYFUNCTION("""COMPUTED_VALUE"""),62.11)</f>
        <v>62.11</v>
      </c>
      <c r="F1106" s="3">
        <f t="shared" si="1"/>
        <v>0.005813031063</v>
      </c>
    </row>
    <row r="1107">
      <c r="A1107" s="6"/>
      <c r="D1107" s="5">
        <f>IFERROR(__xludf.DUMMYFUNCTION("""COMPUTED_VALUE"""),43327.66666666667)</f>
        <v>43327.66667</v>
      </c>
      <c r="E1107" s="3">
        <f>IFERROR(__xludf.DUMMYFUNCTION("""COMPUTED_VALUE"""),60.72)</f>
        <v>60.72</v>
      </c>
      <c r="F1107" s="3">
        <f t="shared" si="1"/>
        <v>-0.02263387348</v>
      </c>
    </row>
    <row r="1108">
      <c r="A1108" s="6"/>
      <c r="D1108" s="5">
        <f>IFERROR(__xludf.DUMMYFUNCTION("""COMPUTED_VALUE"""),43328.66666666667)</f>
        <v>43328.66667</v>
      </c>
      <c r="E1108" s="3">
        <f>IFERROR(__xludf.DUMMYFUNCTION("""COMPUTED_VALUE"""),60.32)</f>
        <v>60.32</v>
      </c>
      <c r="F1108" s="3">
        <f t="shared" si="1"/>
        <v>-0.006609409388</v>
      </c>
    </row>
    <row r="1109">
      <c r="A1109" s="6"/>
      <c r="D1109" s="5">
        <f>IFERROR(__xludf.DUMMYFUNCTION("""COMPUTED_VALUE"""),43329.66666666667)</f>
        <v>43329.66667</v>
      </c>
      <c r="E1109" s="3">
        <f>IFERROR(__xludf.DUMMYFUNCTION("""COMPUTED_VALUE"""),60.05)</f>
        <v>60.05</v>
      </c>
      <c r="F1109" s="3">
        <f t="shared" si="1"/>
        <v>-0.004486175174</v>
      </c>
    </row>
    <row r="1110">
      <c r="A1110" s="6"/>
      <c r="D1110" s="5">
        <f>IFERROR(__xludf.DUMMYFUNCTION("""COMPUTED_VALUE"""),43332.66666666667)</f>
        <v>43332.66667</v>
      </c>
      <c r="E1110" s="3">
        <f>IFERROR(__xludf.DUMMYFUNCTION("""COMPUTED_VALUE"""),60.39)</f>
        <v>60.39</v>
      </c>
      <c r="F1110" s="3">
        <f t="shared" si="1"/>
        <v>0.005645979794</v>
      </c>
    </row>
    <row r="1111">
      <c r="A1111" s="6"/>
      <c r="D1111" s="5">
        <f>IFERROR(__xludf.DUMMYFUNCTION("""COMPUTED_VALUE"""),43333.66666666667)</f>
        <v>43333.66667</v>
      </c>
      <c r="E1111" s="3">
        <f>IFERROR(__xludf.DUMMYFUNCTION("""COMPUTED_VALUE"""),60.08)</f>
        <v>60.08</v>
      </c>
      <c r="F1111" s="3">
        <f t="shared" si="1"/>
        <v>-0.005146520864</v>
      </c>
    </row>
    <row r="1112">
      <c r="A1112" s="6"/>
      <c r="D1112" s="5">
        <f>IFERROR(__xludf.DUMMYFUNCTION("""COMPUTED_VALUE"""),43334.66666666667)</f>
        <v>43334.66667</v>
      </c>
      <c r="E1112" s="3">
        <f>IFERROR(__xludf.DUMMYFUNCTION("""COMPUTED_VALUE"""),60.37)</f>
        <v>60.37</v>
      </c>
      <c r="F1112" s="3">
        <f t="shared" si="1"/>
        <v>0.004815285352</v>
      </c>
    </row>
    <row r="1113">
      <c r="A1113" s="6"/>
      <c r="D1113" s="5">
        <f>IFERROR(__xludf.DUMMYFUNCTION("""COMPUTED_VALUE"""),43335.66666666667)</f>
        <v>43335.66667</v>
      </c>
      <c r="E1113" s="3">
        <f>IFERROR(__xludf.DUMMYFUNCTION("""COMPUTED_VALUE"""),60.27)</f>
        <v>60.27</v>
      </c>
      <c r="F1113" s="3">
        <f t="shared" si="1"/>
        <v>-0.001657825313</v>
      </c>
    </row>
    <row r="1114">
      <c r="A1114" s="6"/>
      <c r="D1114" s="5">
        <f>IFERROR(__xludf.DUMMYFUNCTION("""COMPUTED_VALUE"""),43336.66666666667)</f>
        <v>43336.66667</v>
      </c>
      <c r="E1114" s="3">
        <f>IFERROR(__xludf.DUMMYFUNCTION("""COMPUTED_VALUE"""),61.03)</f>
        <v>61.03</v>
      </c>
      <c r="F1114" s="3">
        <f t="shared" si="1"/>
        <v>0.01253107906</v>
      </c>
    </row>
    <row r="1115">
      <c r="A1115" s="6"/>
      <c r="D1115" s="5">
        <f>IFERROR(__xludf.DUMMYFUNCTION("""COMPUTED_VALUE"""),43339.66666666667)</f>
        <v>43339.66667</v>
      </c>
      <c r="E1115" s="3">
        <f>IFERROR(__xludf.DUMMYFUNCTION("""COMPUTED_VALUE"""),62.09)</f>
        <v>62.09</v>
      </c>
      <c r="F1115" s="3">
        <f t="shared" si="1"/>
        <v>0.01721939882</v>
      </c>
    </row>
    <row r="1116">
      <c r="A1116" s="6"/>
      <c r="D1116" s="5">
        <f>IFERROR(__xludf.DUMMYFUNCTION("""COMPUTED_VALUE"""),43340.66666666667)</f>
        <v>43340.66667</v>
      </c>
      <c r="E1116" s="3">
        <f>IFERROR(__xludf.DUMMYFUNCTION("""COMPUTED_VALUE"""),61.56)</f>
        <v>61.56</v>
      </c>
      <c r="F1116" s="3">
        <f t="shared" si="1"/>
        <v>-0.008572636406</v>
      </c>
    </row>
    <row r="1117">
      <c r="A1117" s="6"/>
      <c r="D1117" s="5">
        <f>IFERROR(__xludf.DUMMYFUNCTION("""COMPUTED_VALUE"""),43341.66666666667)</f>
        <v>43341.66667</v>
      </c>
      <c r="E1117" s="3">
        <f>IFERROR(__xludf.DUMMYFUNCTION("""COMPUTED_VALUE"""),62.47)</f>
        <v>62.47</v>
      </c>
      <c r="F1117" s="3">
        <f t="shared" si="1"/>
        <v>0.01467413253</v>
      </c>
    </row>
    <row r="1118">
      <c r="A1118" s="6"/>
      <c r="D1118" s="5">
        <f>IFERROR(__xludf.DUMMYFUNCTION("""COMPUTED_VALUE"""),43342.66666666667)</f>
        <v>43342.66667</v>
      </c>
      <c r="E1118" s="3">
        <f>IFERROR(__xludf.DUMMYFUNCTION("""COMPUTED_VALUE"""),61.96)</f>
        <v>61.96</v>
      </c>
      <c r="F1118" s="3">
        <f t="shared" si="1"/>
        <v>-0.008197425957</v>
      </c>
    </row>
    <row r="1119">
      <c r="A1119" s="6"/>
      <c r="D1119" s="5">
        <f>IFERROR(__xludf.DUMMYFUNCTION("""COMPUTED_VALUE"""),43343.66666666667)</f>
        <v>43343.66667</v>
      </c>
      <c r="E1119" s="3">
        <f>IFERROR(__xludf.DUMMYFUNCTION("""COMPUTED_VALUE"""),60.91)</f>
        <v>60.91</v>
      </c>
      <c r="F1119" s="3">
        <f t="shared" si="1"/>
        <v>-0.0170916507</v>
      </c>
    </row>
    <row r="1120">
      <c r="A1120" s="6"/>
      <c r="D1120" s="5">
        <f>IFERROR(__xludf.DUMMYFUNCTION("""COMPUTED_VALUE"""),43347.66666666667)</f>
        <v>43347.66667</v>
      </c>
      <c r="E1120" s="3">
        <f>IFERROR(__xludf.DUMMYFUNCTION("""COMPUTED_VALUE"""),59.85)</f>
        <v>59.85</v>
      </c>
      <c r="F1120" s="3">
        <f t="shared" si="1"/>
        <v>-0.01755593284</v>
      </c>
    </row>
    <row r="1121">
      <c r="A1121" s="6"/>
      <c r="D1121" s="5">
        <f>IFERROR(__xludf.DUMMYFUNCTION("""COMPUTED_VALUE"""),43348.66666666667)</f>
        <v>43348.66667</v>
      </c>
      <c r="E1121" s="3">
        <f>IFERROR(__xludf.DUMMYFUNCTION("""COMPUTED_VALUE"""),59.32)</f>
        <v>59.32</v>
      </c>
      <c r="F1121" s="3">
        <f t="shared" si="1"/>
        <v>-0.008894914734</v>
      </c>
    </row>
    <row r="1122">
      <c r="A1122" s="6"/>
      <c r="D1122" s="5">
        <f>IFERROR(__xludf.DUMMYFUNCTION("""COMPUTED_VALUE"""),43349.66666666667)</f>
        <v>43349.66667</v>
      </c>
      <c r="E1122" s="3">
        <f>IFERROR(__xludf.DUMMYFUNCTION("""COMPUTED_VALUE"""),58.57)</f>
        <v>58.57</v>
      </c>
      <c r="F1122" s="3">
        <f t="shared" si="1"/>
        <v>-0.01272389717</v>
      </c>
    </row>
    <row r="1123">
      <c r="A1123" s="6"/>
      <c r="D1123" s="5">
        <f>IFERROR(__xludf.DUMMYFUNCTION("""COMPUTED_VALUE"""),43350.66666666667)</f>
        <v>43350.66667</v>
      </c>
      <c r="E1123" s="3">
        <f>IFERROR(__xludf.DUMMYFUNCTION("""COMPUTED_VALUE"""),58.24)</f>
        <v>58.24</v>
      </c>
      <c r="F1123" s="3">
        <f t="shared" si="1"/>
        <v>-0.005650216213</v>
      </c>
    </row>
    <row r="1124">
      <c r="A1124" s="6"/>
      <c r="D1124" s="5">
        <f>IFERROR(__xludf.DUMMYFUNCTION("""COMPUTED_VALUE"""),43353.66666666667)</f>
        <v>43353.66667</v>
      </c>
      <c r="E1124" s="3">
        <f>IFERROR(__xludf.DUMMYFUNCTION("""COMPUTED_VALUE"""),58.23)</f>
        <v>58.23</v>
      </c>
      <c r="F1124" s="3">
        <f t="shared" si="1"/>
        <v>-0.0001717180394</v>
      </c>
    </row>
    <row r="1125">
      <c r="A1125" s="6"/>
      <c r="D1125" s="5">
        <f>IFERROR(__xludf.DUMMYFUNCTION("""COMPUTED_VALUE"""),43354.66666666667)</f>
        <v>43354.66667</v>
      </c>
      <c r="E1125" s="3">
        <f>IFERROR(__xludf.DUMMYFUNCTION("""COMPUTED_VALUE"""),58.87)</f>
        <v>58.87</v>
      </c>
      <c r="F1125" s="3">
        <f t="shared" si="1"/>
        <v>0.01093093719</v>
      </c>
    </row>
    <row r="1126">
      <c r="A1126" s="6"/>
      <c r="D1126" s="5">
        <f>IFERROR(__xludf.DUMMYFUNCTION("""COMPUTED_VALUE"""),43355.66666666667)</f>
        <v>43355.66667</v>
      </c>
      <c r="E1126" s="3">
        <f>IFERROR(__xludf.DUMMYFUNCTION("""COMPUTED_VALUE"""),58.14)</f>
        <v>58.14</v>
      </c>
      <c r="F1126" s="3">
        <f t="shared" si="1"/>
        <v>-0.01247772791</v>
      </c>
    </row>
    <row r="1127">
      <c r="A1127" s="6"/>
      <c r="D1127" s="5">
        <f>IFERROR(__xludf.DUMMYFUNCTION("""COMPUTED_VALUE"""),43356.66666666667)</f>
        <v>43356.66667</v>
      </c>
      <c r="E1127" s="3">
        <f>IFERROR(__xludf.DUMMYFUNCTION("""COMPUTED_VALUE"""),58.77)</f>
        <v>58.77</v>
      </c>
      <c r="F1127" s="3">
        <f t="shared" si="1"/>
        <v>0.01077762549</v>
      </c>
    </row>
    <row r="1128">
      <c r="A1128" s="6"/>
      <c r="D1128" s="5">
        <f>IFERROR(__xludf.DUMMYFUNCTION("""COMPUTED_VALUE"""),43357.66666666667)</f>
        <v>43357.66667</v>
      </c>
      <c r="E1128" s="3">
        <f>IFERROR(__xludf.DUMMYFUNCTION("""COMPUTED_VALUE"""),58.63)</f>
        <v>58.63</v>
      </c>
      <c r="F1128" s="3">
        <f t="shared" si="1"/>
        <v>-0.002385009648</v>
      </c>
    </row>
    <row r="1129">
      <c r="A1129" s="6"/>
      <c r="D1129" s="5">
        <f>IFERROR(__xludf.DUMMYFUNCTION("""COMPUTED_VALUE"""),43360.66666666667)</f>
        <v>43360.66667</v>
      </c>
      <c r="E1129" s="3">
        <f>IFERROR(__xludf.DUMMYFUNCTION("""COMPUTED_VALUE"""),57.8)</f>
        <v>57.8</v>
      </c>
      <c r="F1129" s="3">
        <f t="shared" si="1"/>
        <v>-0.0142577353</v>
      </c>
    </row>
    <row r="1130">
      <c r="A1130" s="6"/>
      <c r="D1130" s="5">
        <f>IFERROR(__xludf.DUMMYFUNCTION("""COMPUTED_VALUE"""),43361.66666666667)</f>
        <v>43361.66667</v>
      </c>
      <c r="E1130" s="3">
        <f>IFERROR(__xludf.DUMMYFUNCTION("""COMPUTED_VALUE"""),58.06)</f>
        <v>58.06</v>
      </c>
      <c r="F1130" s="3">
        <f t="shared" si="1"/>
        <v>0.004488182918</v>
      </c>
    </row>
    <row r="1131">
      <c r="A1131" s="6"/>
      <c r="D1131" s="5">
        <f>IFERROR(__xludf.DUMMYFUNCTION("""COMPUTED_VALUE"""),43362.66666666667)</f>
        <v>43362.66667</v>
      </c>
      <c r="E1131" s="3">
        <f>IFERROR(__xludf.DUMMYFUNCTION("""COMPUTED_VALUE"""),58.55)</f>
        <v>58.55</v>
      </c>
      <c r="F1131" s="3">
        <f t="shared" si="1"/>
        <v>0.008404131447</v>
      </c>
    </row>
    <row r="1132">
      <c r="A1132" s="6"/>
      <c r="D1132" s="5">
        <f>IFERROR(__xludf.DUMMYFUNCTION("""COMPUTED_VALUE"""),43363.66666666667)</f>
        <v>43363.66667</v>
      </c>
      <c r="E1132" s="3">
        <f>IFERROR(__xludf.DUMMYFUNCTION("""COMPUTED_VALUE"""),59.34)</f>
        <v>59.34</v>
      </c>
      <c r="F1132" s="3">
        <f t="shared" si="1"/>
        <v>0.01340252482</v>
      </c>
    </row>
    <row r="1133">
      <c r="A1133" s="6"/>
      <c r="D1133" s="5">
        <f>IFERROR(__xludf.DUMMYFUNCTION("""COMPUTED_VALUE"""),43364.66666666667)</f>
        <v>43364.66667</v>
      </c>
      <c r="E1133" s="3">
        <f>IFERROR(__xludf.DUMMYFUNCTION("""COMPUTED_VALUE"""),58.3)</f>
        <v>58.3</v>
      </c>
      <c r="F1133" s="3">
        <f t="shared" si="1"/>
        <v>-0.01768152151</v>
      </c>
    </row>
    <row r="1134">
      <c r="A1134" s="6"/>
      <c r="D1134" s="5">
        <f>IFERROR(__xludf.DUMMYFUNCTION("""COMPUTED_VALUE"""),43367.66666666667)</f>
        <v>43367.66667</v>
      </c>
      <c r="E1134" s="3">
        <f>IFERROR(__xludf.DUMMYFUNCTION("""COMPUTED_VALUE"""),58.67)</f>
        <v>58.67</v>
      </c>
      <c r="F1134" s="3">
        <f t="shared" si="1"/>
        <v>0.006326429581</v>
      </c>
    </row>
    <row r="1135">
      <c r="A1135" s="6"/>
      <c r="D1135" s="5">
        <f>IFERROR(__xludf.DUMMYFUNCTION("""COMPUTED_VALUE"""),43368.66666666667)</f>
        <v>43368.66667</v>
      </c>
      <c r="E1135" s="3">
        <f>IFERROR(__xludf.DUMMYFUNCTION("""COMPUTED_VALUE"""),59.23)</f>
        <v>59.23</v>
      </c>
      <c r="F1135" s="3">
        <f t="shared" si="1"/>
        <v>0.009499647351</v>
      </c>
    </row>
    <row r="1136">
      <c r="A1136" s="6"/>
      <c r="D1136" s="5">
        <f>IFERROR(__xludf.DUMMYFUNCTION("""COMPUTED_VALUE"""),43369.66666666667)</f>
        <v>43369.66667</v>
      </c>
      <c r="E1136" s="3">
        <f>IFERROR(__xludf.DUMMYFUNCTION("""COMPUTED_VALUE"""),59.02)</f>
        <v>59.02</v>
      </c>
      <c r="F1136" s="3">
        <f t="shared" si="1"/>
        <v>-0.003551800774</v>
      </c>
    </row>
    <row r="1137">
      <c r="A1137" s="6"/>
      <c r="D1137" s="5">
        <f>IFERROR(__xludf.DUMMYFUNCTION("""COMPUTED_VALUE"""),43370.66666666667)</f>
        <v>43370.66667</v>
      </c>
      <c r="E1137" s="3">
        <f>IFERROR(__xludf.DUMMYFUNCTION("""COMPUTED_VALUE"""),59.73)</f>
        <v>59.73</v>
      </c>
      <c r="F1137" s="3">
        <f t="shared" si="1"/>
        <v>0.01195803723</v>
      </c>
    </row>
    <row r="1138">
      <c r="A1138" s="6"/>
      <c r="D1138" s="5">
        <f>IFERROR(__xludf.DUMMYFUNCTION("""COMPUTED_VALUE"""),43371.66666666667)</f>
        <v>43371.66667</v>
      </c>
      <c r="E1138" s="3">
        <f>IFERROR(__xludf.DUMMYFUNCTION("""COMPUTED_VALUE"""),59.67)</f>
        <v>59.67</v>
      </c>
      <c r="F1138" s="3">
        <f t="shared" si="1"/>
        <v>-0.00100502521</v>
      </c>
    </row>
    <row r="1139">
      <c r="A1139" s="6"/>
      <c r="D1139" s="5">
        <f>IFERROR(__xludf.DUMMYFUNCTION("""COMPUTED_VALUE"""),43374.66666666667)</f>
        <v>43374.66667</v>
      </c>
      <c r="E1139" s="3">
        <f>IFERROR(__xludf.DUMMYFUNCTION("""COMPUTED_VALUE"""),59.77)</f>
        <v>59.77</v>
      </c>
      <c r="F1139" s="3">
        <f t="shared" si="1"/>
        <v>0.001674481302</v>
      </c>
    </row>
    <row r="1140">
      <c r="A1140" s="6"/>
      <c r="D1140" s="5">
        <f>IFERROR(__xludf.DUMMYFUNCTION("""COMPUTED_VALUE"""),43375.66666666667)</f>
        <v>43375.66667</v>
      </c>
      <c r="E1140" s="3">
        <f>IFERROR(__xludf.DUMMYFUNCTION("""COMPUTED_VALUE"""),60.01)</f>
        <v>60.01</v>
      </c>
      <c r="F1140" s="3">
        <f t="shared" si="1"/>
        <v>0.004007352165</v>
      </c>
    </row>
    <row r="1141">
      <c r="A1141" s="6"/>
      <c r="D1141" s="5">
        <f>IFERROR(__xludf.DUMMYFUNCTION("""COMPUTED_VALUE"""),43376.66666666667)</f>
        <v>43376.66667</v>
      </c>
      <c r="E1141" s="3">
        <f>IFERROR(__xludf.DUMMYFUNCTION("""COMPUTED_VALUE"""),60.15)</f>
        <v>60.15</v>
      </c>
      <c r="F1141" s="3">
        <f t="shared" si="1"/>
        <v>0.002330227419</v>
      </c>
    </row>
    <row r="1142">
      <c r="A1142" s="6"/>
      <c r="D1142" s="5">
        <f>IFERROR(__xludf.DUMMYFUNCTION("""COMPUTED_VALUE"""),43377.66666666667)</f>
        <v>43377.66667</v>
      </c>
      <c r="E1142" s="3">
        <f>IFERROR(__xludf.DUMMYFUNCTION("""COMPUTED_VALUE"""),58.41)</f>
        <v>58.41</v>
      </c>
      <c r="F1142" s="3">
        <f t="shared" si="1"/>
        <v>-0.02935433437</v>
      </c>
    </row>
    <row r="1143">
      <c r="A1143" s="6"/>
      <c r="D1143" s="5">
        <f>IFERROR(__xludf.DUMMYFUNCTION("""COMPUTED_VALUE"""),43378.66666666667)</f>
        <v>43378.66667</v>
      </c>
      <c r="E1143" s="3">
        <f>IFERROR(__xludf.DUMMYFUNCTION("""COMPUTED_VALUE"""),57.87)</f>
        <v>57.87</v>
      </c>
      <c r="F1143" s="3">
        <f t="shared" si="1"/>
        <v>-0.009287992466</v>
      </c>
    </row>
    <row r="1144">
      <c r="A1144" s="6"/>
      <c r="D1144" s="5">
        <f>IFERROR(__xludf.DUMMYFUNCTION("""COMPUTED_VALUE"""),43381.66666666667)</f>
        <v>43381.66667</v>
      </c>
      <c r="E1144" s="3">
        <f>IFERROR(__xludf.DUMMYFUNCTION("""COMPUTED_VALUE"""),57.45)</f>
        <v>57.45</v>
      </c>
      <c r="F1144" s="3">
        <f t="shared" si="1"/>
        <v>-0.007284111291</v>
      </c>
    </row>
    <row r="1145">
      <c r="A1145" s="6"/>
      <c r="D1145" s="5">
        <f>IFERROR(__xludf.DUMMYFUNCTION("""COMPUTED_VALUE"""),43382.66666666667)</f>
        <v>43382.66667</v>
      </c>
      <c r="E1145" s="3">
        <f>IFERROR(__xludf.DUMMYFUNCTION("""COMPUTED_VALUE"""),56.94)</f>
        <v>56.94</v>
      </c>
      <c r="F1145" s="3">
        <f t="shared" si="1"/>
        <v>-0.008916922445</v>
      </c>
    </row>
    <row r="1146">
      <c r="A1146" s="6"/>
      <c r="D1146" s="5">
        <f>IFERROR(__xludf.DUMMYFUNCTION("""COMPUTED_VALUE"""),43383.66666666667)</f>
        <v>43383.66667</v>
      </c>
      <c r="E1146" s="3">
        <f>IFERROR(__xludf.DUMMYFUNCTION("""COMPUTED_VALUE"""),54.06)</f>
        <v>54.06</v>
      </c>
      <c r="F1146" s="3">
        <f t="shared" si="1"/>
        <v>-0.051903541</v>
      </c>
    </row>
    <row r="1147">
      <c r="A1147" s="6"/>
      <c r="D1147" s="5">
        <f>IFERROR(__xludf.DUMMYFUNCTION("""COMPUTED_VALUE"""),43384.66666666667)</f>
        <v>43384.66667</v>
      </c>
      <c r="E1147" s="3">
        <f>IFERROR(__xludf.DUMMYFUNCTION("""COMPUTED_VALUE"""),53.97)</f>
        <v>53.97</v>
      </c>
      <c r="F1147" s="3">
        <f t="shared" si="1"/>
        <v>-0.001666204218</v>
      </c>
    </row>
    <row r="1148">
      <c r="A1148" s="6"/>
      <c r="D1148" s="5">
        <f>IFERROR(__xludf.DUMMYFUNCTION("""COMPUTED_VALUE"""),43385.66666666667)</f>
        <v>43385.66667</v>
      </c>
      <c r="E1148" s="3">
        <f>IFERROR(__xludf.DUMMYFUNCTION("""COMPUTED_VALUE"""),55.5)</f>
        <v>55.5</v>
      </c>
      <c r="F1148" s="3">
        <f t="shared" si="1"/>
        <v>0.02795468412</v>
      </c>
    </row>
    <row r="1149">
      <c r="A1149" s="6"/>
      <c r="D1149" s="5">
        <f>IFERROR(__xludf.DUMMYFUNCTION("""COMPUTED_VALUE"""),43388.66666666667)</f>
        <v>43388.66667</v>
      </c>
      <c r="E1149" s="3">
        <f>IFERROR(__xludf.DUMMYFUNCTION("""COMPUTED_VALUE"""),54.61)</f>
        <v>54.61</v>
      </c>
      <c r="F1149" s="3">
        <f t="shared" si="1"/>
        <v>-0.01616600459</v>
      </c>
    </row>
    <row r="1150">
      <c r="A1150" s="6"/>
      <c r="D1150" s="5">
        <f>IFERROR(__xludf.DUMMYFUNCTION("""COMPUTED_VALUE"""),43389.66666666667)</f>
        <v>43389.66667</v>
      </c>
      <c r="E1150" s="3">
        <f>IFERROR(__xludf.DUMMYFUNCTION("""COMPUTED_VALUE"""),56.06)</f>
        <v>56.06</v>
      </c>
      <c r="F1150" s="3">
        <f t="shared" si="1"/>
        <v>0.02620552957</v>
      </c>
    </row>
    <row r="1151">
      <c r="A1151" s="6"/>
      <c r="D1151" s="5">
        <f>IFERROR(__xludf.DUMMYFUNCTION("""COMPUTED_VALUE"""),43390.66666666667)</f>
        <v>43390.66667</v>
      </c>
      <c r="E1151" s="3">
        <f>IFERROR(__xludf.DUMMYFUNCTION("""COMPUTED_VALUE"""),55.78)</f>
        <v>55.78</v>
      </c>
      <c r="F1151" s="3">
        <f t="shared" si="1"/>
        <v>-0.005007163537</v>
      </c>
    </row>
    <row r="1152">
      <c r="A1152" s="6"/>
      <c r="D1152" s="5">
        <f>IFERROR(__xludf.DUMMYFUNCTION("""COMPUTED_VALUE"""),43391.66666666667)</f>
        <v>43391.66667</v>
      </c>
      <c r="E1152" s="3">
        <f>IFERROR(__xludf.DUMMYFUNCTION("""COMPUTED_VALUE"""),54.4)</f>
        <v>54.4</v>
      </c>
      <c r="F1152" s="3">
        <f t="shared" si="1"/>
        <v>-0.02505122834</v>
      </c>
    </row>
    <row r="1153">
      <c r="A1153" s="6"/>
      <c r="D1153" s="5">
        <f>IFERROR(__xludf.DUMMYFUNCTION("""COMPUTED_VALUE"""),43392.66666666667)</f>
        <v>43392.66667</v>
      </c>
      <c r="E1153" s="3">
        <f>IFERROR(__xludf.DUMMYFUNCTION("""COMPUTED_VALUE"""),54.82)</f>
        <v>54.82</v>
      </c>
      <c r="F1153" s="3">
        <f t="shared" si="1"/>
        <v>0.007690937013</v>
      </c>
    </row>
    <row r="1154">
      <c r="A1154" s="6"/>
      <c r="D1154" s="5">
        <f>IFERROR(__xludf.DUMMYFUNCTION("""COMPUTED_VALUE"""),43395.66666666667)</f>
        <v>43395.66667</v>
      </c>
      <c r="E1154" s="3">
        <f>IFERROR(__xludf.DUMMYFUNCTION("""COMPUTED_VALUE"""),55.06)</f>
        <v>55.06</v>
      </c>
      <c r="F1154" s="3">
        <f t="shared" si="1"/>
        <v>0.00436840884</v>
      </c>
    </row>
    <row r="1155">
      <c r="A1155" s="6"/>
      <c r="D1155" s="5">
        <f>IFERROR(__xludf.DUMMYFUNCTION("""COMPUTED_VALUE"""),43396.66666666667)</f>
        <v>43396.66667</v>
      </c>
      <c r="E1155" s="3">
        <f>IFERROR(__xludf.DUMMYFUNCTION("""COMPUTED_VALUE"""),55.18)</f>
        <v>55.18</v>
      </c>
      <c r="F1155" s="3">
        <f t="shared" si="1"/>
        <v>0.002177069075</v>
      </c>
    </row>
    <row r="1156">
      <c r="A1156" s="6"/>
      <c r="D1156" s="5">
        <f>IFERROR(__xludf.DUMMYFUNCTION("""COMPUTED_VALUE"""),43397.66666666667)</f>
        <v>43397.66667</v>
      </c>
      <c r="E1156" s="3">
        <f>IFERROR(__xludf.DUMMYFUNCTION("""COMPUTED_VALUE"""),52.54)</f>
        <v>52.54</v>
      </c>
      <c r="F1156" s="3">
        <f t="shared" si="1"/>
        <v>-0.04902578453</v>
      </c>
    </row>
    <row r="1157">
      <c r="A1157" s="6"/>
      <c r="D1157" s="5">
        <f>IFERROR(__xludf.DUMMYFUNCTION("""COMPUTED_VALUE"""),43398.66666666667)</f>
        <v>43398.66667</v>
      </c>
      <c r="E1157" s="3">
        <f>IFERROR(__xludf.DUMMYFUNCTION("""COMPUTED_VALUE"""),54.78)</f>
        <v>54.78</v>
      </c>
      <c r="F1157" s="3">
        <f t="shared" si="1"/>
        <v>0.04175037958</v>
      </c>
    </row>
    <row r="1158">
      <c r="A1158" s="6"/>
      <c r="D1158" s="5">
        <f>IFERROR(__xludf.DUMMYFUNCTION("""COMPUTED_VALUE"""),43399.66666666667)</f>
        <v>43399.66667</v>
      </c>
      <c r="E1158" s="3">
        <f>IFERROR(__xludf.DUMMYFUNCTION("""COMPUTED_VALUE"""),53.57)</f>
        <v>53.57</v>
      </c>
      <c r="F1158" s="3">
        <f t="shared" si="1"/>
        <v>-0.02233595394</v>
      </c>
    </row>
    <row r="1159">
      <c r="A1159" s="6"/>
      <c r="D1159" s="5">
        <f>IFERROR(__xludf.DUMMYFUNCTION("""COMPUTED_VALUE"""),43402.66666666667)</f>
        <v>43402.66667</v>
      </c>
      <c r="E1159" s="3">
        <f>IFERROR(__xludf.DUMMYFUNCTION("""COMPUTED_VALUE"""),51.0)</f>
        <v>51</v>
      </c>
      <c r="F1159" s="3">
        <f t="shared" si="1"/>
        <v>-0.04916357717</v>
      </c>
    </row>
    <row r="1160">
      <c r="A1160" s="6"/>
      <c r="D1160" s="5">
        <f>IFERROR(__xludf.DUMMYFUNCTION("""COMPUTED_VALUE"""),43403.66666666667)</f>
        <v>43403.66667</v>
      </c>
      <c r="E1160" s="3">
        <f>IFERROR(__xludf.DUMMYFUNCTION("""COMPUTED_VALUE"""),51.81)</f>
        <v>51.81</v>
      </c>
      <c r="F1160" s="3">
        <f t="shared" si="1"/>
        <v>0.0157575481</v>
      </c>
    </row>
    <row r="1161">
      <c r="A1161" s="6"/>
      <c r="D1161" s="5">
        <f>IFERROR(__xludf.DUMMYFUNCTION("""COMPUTED_VALUE"""),43404.66666666667)</f>
        <v>43404.66667</v>
      </c>
      <c r="E1161" s="3">
        <f>IFERROR(__xludf.DUMMYFUNCTION("""COMPUTED_VALUE"""),53.84)</f>
        <v>53.84</v>
      </c>
      <c r="F1161" s="3">
        <f t="shared" si="1"/>
        <v>0.03843350451</v>
      </c>
    </row>
    <row r="1162">
      <c r="A1162" s="6"/>
      <c r="D1162" s="5">
        <f>IFERROR(__xludf.DUMMYFUNCTION("""COMPUTED_VALUE"""),43405.66666666667)</f>
        <v>43405.66667</v>
      </c>
      <c r="E1162" s="3">
        <f>IFERROR(__xludf.DUMMYFUNCTION("""COMPUTED_VALUE"""),53.5)</f>
        <v>53.5</v>
      </c>
      <c r="F1162" s="3">
        <f t="shared" si="1"/>
        <v>-0.006335031435</v>
      </c>
    </row>
    <row r="1163">
      <c r="A1163" s="6"/>
      <c r="D1163" s="5">
        <f>IFERROR(__xludf.DUMMYFUNCTION("""COMPUTED_VALUE"""),43406.66666666667)</f>
        <v>43406.66667</v>
      </c>
      <c r="E1163" s="3">
        <f>IFERROR(__xludf.DUMMYFUNCTION("""COMPUTED_VALUE"""),52.89)</f>
        <v>52.89</v>
      </c>
      <c r="F1163" s="3">
        <f t="shared" si="1"/>
        <v>-0.01146736882</v>
      </c>
    </row>
    <row r="1164">
      <c r="A1164" s="6"/>
      <c r="D1164" s="5">
        <f>IFERROR(__xludf.DUMMYFUNCTION("""COMPUTED_VALUE"""),43409.66666666667)</f>
        <v>43409.66667</v>
      </c>
      <c r="E1164" s="3">
        <f>IFERROR(__xludf.DUMMYFUNCTION("""COMPUTED_VALUE"""),52.0)</f>
        <v>52</v>
      </c>
      <c r="F1164" s="3">
        <f t="shared" si="1"/>
        <v>-0.0169705665</v>
      </c>
    </row>
    <row r="1165">
      <c r="A1165" s="6"/>
      <c r="D1165" s="5">
        <f>IFERROR(__xludf.DUMMYFUNCTION("""COMPUTED_VALUE"""),43410.66666666667)</f>
        <v>43410.66667</v>
      </c>
      <c r="E1165" s="3">
        <f>IFERROR(__xludf.DUMMYFUNCTION("""COMPUTED_VALUE"""),52.79)</f>
        <v>52.79</v>
      </c>
      <c r="F1165" s="3">
        <f t="shared" si="1"/>
        <v>0.01507806025</v>
      </c>
    </row>
    <row r="1166">
      <c r="A1166" s="6"/>
      <c r="D1166" s="5">
        <f>IFERROR(__xludf.DUMMYFUNCTION("""COMPUTED_VALUE"""),43411.66666666667)</f>
        <v>43411.66667</v>
      </c>
      <c r="E1166" s="3">
        <f>IFERROR(__xludf.DUMMYFUNCTION("""COMPUTED_VALUE"""),54.67)</f>
        <v>54.67</v>
      </c>
      <c r="F1166" s="3">
        <f t="shared" si="1"/>
        <v>0.03499333407</v>
      </c>
    </row>
    <row r="1167">
      <c r="A1167" s="6"/>
      <c r="D1167" s="5">
        <f>IFERROR(__xludf.DUMMYFUNCTION("""COMPUTED_VALUE"""),43412.66666666667)</f>
        <v>43412.66667</v>
      </c>
      <c r="E1167" s="3">
        <f>IFERROR(__xludf.DUMMYFUNCTION("""COMPUTED_VALUE"""),54.12)</f>
        <v>54.12</v>
      </c>
      <c r="F1167" s="3">
        <f t="shared" si="1"/>
        <v>-0.0101113096</v>
      </c>
    </row>
    <row r="1168">
      <c r="A1168" s="6"/>
      <c r="D1168" s="5">
        <f>IFERROR(__xludf.DUMMYFUNCTION("""COMPUTED_VALUE"""),43413.66666666667)</f>
        <v>43413.66667</v>
      </c>
      <c r="E1168" s="3">
        <f>IFERROR(__xludf.DUMMYFUNCTION("""COMPUTED_VALUE"""),53.31)</f>
        <v>53.31</v>
      </c>
      <c r="F1168" s="3">
        <f t="shared" si="1"/>
        <v>-0.01507987247</v>
      </c>
    </row>
    <row r="1169">
      <c r="A1169" s="6"/>
      <c r="D1169" s="5">
        <f>IFERROR(__xludf.DUMMYFUNCTION("""COMPUTED_VALUE"""),43416.66666666667)</f>
        <v>43416.66667</v>
      </c>
      <c r="E1169" s="3">
        <f>IFERROR(__xludf.DUMMYFUNCTION("""COMPUTED_VALUE"""),51.93)</f>
        <v>51.93</v>
      </c>
      <c r="F1169" s="3">
        <f t="shared" si="1"/>
        <v>-0.02622727298</v>
      </c>
    </row>
    <row r="1170">
      <c r="A1170" s="6"/>
      <c r="D1170" s="5">
        <f>IFERROR(__xludf.DUMMYFUNCTION("""COMPUTED_VALUE"""),43417.66666666667)</f>
        <v>43417.66667</v>
      </c>
      <c r="E1170" s="3">
        <f>IFERROR(__xludf.DUMMYFUNCTION("""COMPUTED_VALUE"""),51.8)</f>
        <v>51.8</v>
      </c>
      <c r="F1170" s="3">
        <f t="shared" si="1"/>
        <v>-0.002506508591</v>
      </c>
    </row>
    <row r="1171">
      <c r="A1171" s="6"/>
      <c r="D1171" s="5">
        <f>IFERROR(__xludf.DUMMYFUNCTION("""COMPUTED_VALUE"""),43418.66666666667)</f>
        <v>43418.66667</v>
      </c>
      <c r="E1171" s="3">
        <f>IFERROR(__xludf.DUMMYFUNCTION("""COMPUTED_VALUE"""),52.18)</f>
        <v>52.18</v>
      </c>
      <c r="F1171" s="3">
        <f t="shared" si="1"/>
        <v>0.007309130443</v>
      </c>
    </row>
    <row r="1172">
      <c r="A1172" s="6"/>
      <c r="D1172" s="5">
        <f>IFERROR(__xludf.DUMMYFUNCTION("""COMPUTED_VALUE"""),43419.66666666667)</f>
        <v>43419.66667</v>
      </c>
      <c r="E1172" s="3">
        <f>IFERROR(__xludf.DUMMYFUNCTION("""COMPUTED_VALUE"""),53.24)</f>
        <v>53.24</v>
      </c>
      <c r="F1172" s="3">
        <f t="shared" si="1"/>
        <v>0.02011071382</v>
      </c>
    </row>
    <row r="1173">
      <c r="A1173" s="6"/>
      <c r="D1173" s="5">
        <f>IFERROR(__xludf.DUMMYFUNCTION("""COMPUTED_VALUE"""),43420.66666666667)</f>
        <v>43420.66667</v>
      </c>
      <c r="E1173" s="3">
        <f>IFERROR(__xludf.DUMMYFUNCTION("""COMPUTED_VALUE"""),53.07)</f>
        <v>53.07</v>
      </c>
      <c r="F1173" s="3">
        <f t="shared" si="1"/>
        <v>-0.003198196687</v>
      </c>
    </row>
    <row r="1174">
      <c r="A1174" s="6"/>
      <c r="D1174" s="5">
        <f>IFERROR(__xludf.DUMMYFUNCTION("""COMPUTED_VALUE"""),43423.66666666667)</f>
        <v>43423.66667</v>
      </c>
      <c r="E1174" s="3">
        <f>IFERROR(__xludf.DUMMYFUNCTION("""COMPUTED_VALUE"""),51.0)</f>
        <v>51</v>
      </c>
      <c r="F1174" s="3">
        <f t="shared" si="1"/>
        <v>-0.03978616412</v>
      </c>
    </row>
    <row r="1175">
      <c r="A1175" s="6"/>
      <c r="D1175" s="5">
        <f>IFERROR(__xludf.DUMMYFUNCTION("""COMPUTED_VALUE"""),43424.66666666667)</f>
        <v>43424.66667</v>
      </c>
      <c r="E1175" s="3">
        <f>IFERROR(__xludf.DUMMYFUNCTION("""COMPUTED_VALUE"""),51.29)</f>
        <v>51.29</v>
      </c>
      <c r="F1175" s="3">
        <f t="shared" si="1"/>
        <v>0.005670168677</v>
      </c>
    </row>
    <row r="1176">
      <c r="A1176" s="6"/>
      <c r="D1176" s="5">
        <f>IFERROR(__xludf.DUMMYFUNCTION("""COMPUTED_VALUE"""),43425.66666666667)</f>
        <v>43425.66667</v>
      </c>
      <c r="E1176" s="3">
        <f>IFERROR(__xludf.DUMMYFUNCTION("""COMPUTED_VALUE"""),51.88)</f>
        <v>51.88</v>
      </c>
      <c r="F1176" s="3">
        <f t="shared" si="1"/>
        <v>0.01143755805</v>
      </c>
    </row>
    <row r="1177">
      <c r="A1177" s="6"/>
      <c r="D1177" s="5">
        <f>IFERROR(__xludf.DUMMYFUNCTION("""COMPUTED_VALUE"""),43427.54166666667)</f>
        <v>43427.54167</v>
      </c>
      <c r="E1177" s="3">
        <f>IFERROR(__xludf.DUMMYFUNCTION("""COMPUTED_VALUE"""),51.19)</f>
        <v>51.19</v>
      </c>
      <c r="F1177" s="3">
        <f t="shared" si="1"/>
        <v>-0.01338915898</v>
      </c>
    </row>
    <row r="1178">
      <c r="A1178" s="6"/>
      <c r="D1178" s="5">
        <f>IFERROR(__xludf.DUMMYFUNCTION("""COMPUTED_VALUE"""),43430.66666666667)</f>
        <v>43430.66667</v>
      </c>
      <c r="E1178" s="3">
        <f>IFERROR(__xludf.DUMMYFUNCTION("""COMPUTED_VALUE"""),52.43)</f>
        <v>52.43</v>
      </c>
      <c r="F1178" s="3">
        <f t="shared" si="1"/>
        <v>0.02393474611</v>
      </c>
    </row>
    <row r="1179">
      <c r="A1179" s="6"/>
      <c r="D1179" s="5">
        <f>IFERROR(__xludf.DUMMYFUNCTION("""COMPUTED_VALUE"""),43431.66666666667)</f>
        <v>43431.66667</v>
      </c>
      <c r="E1179" s="3">
        <f>IFERROR(__xludf.DUMMYFUNCTION("""COMPUTED_VALUE"""),52.22)</f>
        <v>52.22</v>
      </c>
      <c r="F1179" s="3">
        <f t="shared" si="1"/>
        <v>-0.004013383313</v>
      </c>
    </row>
    <row r="1180">
      <c r="A1180" s="6"/>
      <c r="D1180" s="5">
        <f>IFERROR(__xludf.DUMMYFUNCTION("""COMPUTED_VALUE"""),43432.66666666667)</f>
        <v>43432.66667</v>
      </c>
      <c r="E1180" s="3">
        <f>IFERROR(__xludf.DUMMYFUNCTION("""COMPUTED_VALUE"""),54.31)</f>
        <v>54.31</v>
      </c>
      <c r="F1180" s="3">
        <f t="shared" si="1"/>
        <v>0.03924280878</v>
      </c>
    </row>
    <row r="1181">
      <c r="A1181" s="6"/>
      <c r="D1181" s="5">
        <f>IFERROR(__xludf.DUMMYFUNCTION("""COMPUTED_VALUE"""),43433.66666666667)</f>
        <v>43433.66667</v>
      </c>
      <c r="E1181" s="3">
        <f>IFERROR(__xludf.DUMMYFUNCTION("""COMPUTED_VALUE"""),54.42)</f>
        <v>54.42</v>
      </c>
      <c r="F1181" s="3">
        <f t="shared" si="1"/>
        <v>0.002023361308</v>
      </c>
    </row>
    <row r="1182">
      <c r="A1182" s="6"/>
      <c r="D1182" s="5">
        <f>IFERROR(__xludf.DUMMYFUNCTION("""COMPUTED_VALUE"""),43434.66666666667)</f>
        <v>43434.66667</v>
      </c>
      <c r="E1182" s="3">
        <f>IFERROR(__xludf.DUMMYFUNCTION("""COMPUTED_VALUE"""),54.72)</f>
        <v>54.72</v>
      </c>
      <c r="F1182" s="3">
        <f t="shared" si="1"/>
        <v>0.005497539959</v>
      </c>
    </row>
    <row r="1183">
      <c r="A1183" s="6"/>
      <c r="D1183" s="5">
        <f>IFERROR(__xludf.DUMMYFUNCTION("""COMPUTED_VALUE"""),43437.66666666667)</f>
        <v>43437.66667</v>
      </c>
      <c r="E1183" s="3">
        <f>IFERROR(__xludf.DUMMYFUNCTION("""COMPUTED_VALUE"""),55.32)</f>
        <v>55.32</v>
      </c>
      <c r="F1183" s="3">
        <f t="shared" si="1"/>
        <v>0.01090523348</v>
      </c>
    </row>
    <row r="1184">
      <c r="A1184" s="6"/>
      <c r="D1184" s="5">
        <f>IFERROR(__xludf.DUMMYFUNCTION("""COMPUTED_VALUE"""),43438.66666666667)</f>
        <v>43438.66667</v>
      </c>
      <c r="E1184" s="3">
        <f>IFERROR(__xludf.DUMMYFUNCTION("""COMPUTED_VALUE"""),52.54)</f>
        <v>52.54</v>
      </c>
      <c r="F1184" s="3">
        <f t="shared" si="1"/>
        <v>-0.05155972254</v>
      </c>
    </row>
    <row r="1185">
      <c r="A1185" s="6"/>
      <c r="D1185" s="5">
        <f>IFERROR(__xludf.DUMMYFUNCTION("""COMPUTED_VALUE"""),43440.66666666667)</f>
        <v>43440.66667</v>
      </c>
      <c r="E1185" s="3">
        <f>IFERROR(__xludf.DUMMYFUNCTION("""COMPUTED_VALUE"""),53.44)</f>
        <v>53.44</v>
      </c>
      <c r="F1185" s="3">
        <f t="shared" si="1"/>
        <v>0.01698474497</v>
      </c>
    </row>
    <row r="1186">
      <c r="A1186" s="6"/>
      <c r="D1186" s="5">
        <f>IFERROR(__xludf.DUMMYFUNCTION("""COMPUTED_VALUE"""),43441.66666666667)</f>
        <v>43441.66667</v>
      </c>
      <c r="E1186" s="3">
        <f>IFERROR(__xludf.DUMMYFUNCTION("""COMPUTED_VALUE"""),51.83)</f>
        <v>51.83</v>
      </c>
      <c r="F1186" s="3">
        <f t="shared" si="1"/>
        <v>-0.03059039703</v>
      </c>
    </row>
    <row r="1187">
      <c r="A1187" s="6"/>
      <c r="D1187" s="5">
        <f>IFERROR(__xludf.DUMMYFUNCTION("""COMPUTED_VALUE"""),43444.66666666667)</f>
        <v>43444.66667</v>
      </c>
      <c r="E1187" s="3">
        <f>IFERROR(__xludf.DUMMYFUNCTION("""COMPUTED_VALUE"""),51.98)</f>
        <v>51.98</v>
      </c>
      <c r="F1187" s="3">
        <f t="shared" si="1"/>
        <v>0.002889897012</v>
      </c>
    </row>
    <row r="1188">
      <c r="A1188" s="6"/>
      <c r="D1188" s="5">
        <f>IFERROR(__xludf.DUMMYFUNCTION("""COMPUTED_VALUE"""),43445.66666666667)</f>
        <v>43445.66667</v>
      </c>
      <c r="E1188" s="3">
        <f>IFERROR(__xludf.DUMMYFUNCTION("""COMPUTED_VALUE"""),52.59)</f>
        <v>52.59</v>
      </c>
      <c r="F1188" s="3">
        <f t="shared" si="1"/>
        <v>0.01166695839</v>
      </c>
    </row>
    <row r="1189">
      <c r="A1189" s="6"/>
      <c r="D1189" s="5">
        <f>IFERROR(__xludf.DUMMYFUNCTION("""COMPUTED_VALUE"""),43446.66666666667)</f>
        <v>43446.66667</v>
      </c>
      <c r="E1189" s="3">
        <f>IFERROR(__xludf.DUMMYFUNCTION("""COMPUTED_VALUE"""),53.18)</f>
        <v>53.18</v>
      </c>
      <c r="F1189" s="3">
        <f t="shared" si="1"/>
        <v>0.01115639821</v>
      </c>
    </row>
    <row r="1190">
      <c r="A1190" s="6"/>
      <c r="D1190" s="5">
        <f>IFERROR(__xludf.DUMMYFUNCTION("""COMPUTED_VALUE"""),43447.66666666667)</f>
        <v>43447.66667</v>
      </c>
      <c r="E1190" s="3">
        <f>IFERROR(__xludf.DUMMYFUNCTION("""COMPUTED_VALUE"""),53.1)</f>
        <v>53.1</v>
      </c>
      <c r="F1190" s="3">
        <f t="shared" si="1"/>
        <v>-0.001505457567</v>
      </c>
    </row>
    <row r="1191">
      <c r="A1191" s="6"/>
      <c r="D1191" s="5">
        <f>IFERROR(__xludf.DUMMYFUNCTION("""COMPUTED_VALUE"""),43448.66666666667)</f>
        <v>43448.66667</v>
      </c>
      <c r="E1191" s="3">
        <f>IFERROR(__xludf.DUMMYFUNCTION("""COMPUTED_VALUE"""),52.11)</f>
        <v>52.11</v>
      </c>
      <c r="F1191" s="3">
        <f t="shared" si="1"/>
        <v>-0.01882005933</v>
      </c>
    </row>
    <row r="1192">
      <c r="A1192" s="6"/>
      <c r="D1192" s="5">
        <f>IFERROR(__xludf.DUMMYFUNCTION("""COMPUTED_VALUE"""),43451.66666666667)</f>
        <v>43451.66667</v>
      </c>
      <c r="E1192" s="3">
        <f>IFERROR(__xludf.DUMMYFUNCTION("""COMPUTED_VALUE"""),50.83)</f>
        <v>50.83</v>
      </c>
      <c r="F1192" s="3">
        <f t="shared" si="1"/>
        <v>-0.02487013746</v>
      </c>
    </row>
    <row r="1193">
      <c r="A1193" s="6"/>
      <c r="D1193" s="5">
        <f>IFERROR(__xludf.DUMMYFUNCTION("""COMPUTED_VALUE"""),43452.66666666667)</f>
        <v>43452.66667</v>
      </c>
      <c r="E1193" s="3">
        <f>IFERROR(__xludf.DUMMYFUNCTION("""COMPUTED_VALUE"""),51.44)</f>
        <v>51.44</v>
      </c>
      <c r="F1193" s="3">
        <f t="shared" si="1"/>
        <v>0.01192934847</v>
      </c>
    </row>
    <row r="1194">
      <c r="A1194" s="6"/>
      <c r="D1194" s="5">
        <f>IFERROR(__xludf.DUMMYFUNCTION("""COMPUTED_VALUE"""),43453.66666666667)</f>
        <v>43453.66667</v>
      </c>
      <c r="E1194" s="3">
        <f>IFERROR(__xludf.DUMMYFUNCTION("""COMPUTED_VALUE"""),51.15)</f>
        <v>51.15</v>
      </c>
      <c r="F1194" s="3">
        <f t="shared" si="1"/>
        <v>-0.005653587532</v>
      </c>
    </row>
    <row r="1195">
      <c r="A1195" s="6"/>
      <c r="D1195" s="5">
        <f>IFERROR(__xludf.DUMMYFUNCTION("""COMPUTED_VALUE"""),43454.66666666667)</f>
        <v>43454.66667</v>
      </c>
      <c r="E1195" s="3">
        <f>IFERROR(__xludf.DUMMYFUNCTION("""COMPUTED_VALUE"""),50.47)</f>
        <v>50.47</v>
      </c>
      <c r="F1195" s="3">
        <f t="shared" si="1"/>
        <v>-0.01338339205</v>
      </c>
    </row>
    <row r="1196">
      <c r="A1196" s="6"/>
      <c r="D1196" s="5">
        <f>IFERROR(__xludf.DUMMYFUNCTION("""COMPUTED_VALUE"""),43455.66666666667)</f>
        <v>43455.66667</v>
      </c>
      <c r="E1196" s="3">
        <f>IFERROR(__xludf.DUMMYFUNCTION("""COMPUTED_VALUE"""),48.98)</f>
        <v>48.98</v>
      </c>
      <c r="F1196" s="3">
        <f t="shared" si="1"/>
        <v>-0.02996704883</v>
      </c>
    </row>
    <row r="1197">
      <c r="A1197" s="6"/>
      <c r="D1197" s="5">
        <f>IFERROR(__xludf.DUMMYFUNCTION("""COMPUTED_VALUE"""),43458.54166666667)</f>
        <v>43458.54167</v>
      </c>
      <c r="E1197" s="3">
        <f>IFERROR(__xludf.DUMMYFUNCTION("""COMPUTED_VALUE"""),48.81)</f>
        <v>48.81</v>
      </c>
      <c r="F1197" s="3">
        <f t="shared" si="1"/>
        <v>-0.003476841625</v>
      </c>
    </row>
    <row r="1198">
      <c r="A1198" s="6"/>
      <c r="D1198" s="5">
        <f>IFERROR(__xludf.DUMMYFUNCTION("""COMPUTED_VALUE"""),43460.66666666667)</f>
        <v>43460.66667</v>
      </c>
      <c r="E1198" s="3">
        <f>IFERROR(__xludf.DUMMYFUNCTION("""COMPUTED_VALUE"""),51.97)</f>
        <v>51.97</v>
      </c>
      <c r="F1198" s="3">
        <f t="shared" si="1"/>
        <v>0.06273141912</v>
      </c>
    </row>
    <row r="1199">
      <c r="A1199" s="6"/>
      <c r="D1199" s="5">
        <f>IFERROR(__xludf.DUMMYFUNCTION("""COMPUTED_VALUE"""),43461.66666666667)</f>
        <v>43461.66667</v>
      </c>
      <c r="E1199" s="3">
        <f>IFERROR(__xludf.DUMMYFUNCTION("""COMPUTED_VALUE"""),52.19)</f>
        <v>52.19</v>
      </c>
      <c r="F1199" s="3">
        <f t="shared" si="1"/>
        <v>0.004224276635</v>
      </c>
    </row>
    <row r="1200">
      <c r="A1200" s="6"/>
      <c r="D1200" s="5">
        <f>IFERROR(__xludf.DUMMYFUNCTION("""COMPUTED_VALUE"""),43462.66666666667)</f>
        <v>43462.66667</v>
      </c>
      <c r="E1200" s="3">
        <f>IFERROR(__xludf.DUMMYFUNCTION("""COMPUTED_VALUE"""),51.85)</f>
        <v>51.85</v>
      </c>
      <c r="F1200" s="3">
        <f t="shared" si="1"/>
        <v>-0.00653597098</v>
      </c>
    </row>
    <row r="1201">
      <c r="A1201" s="6"/>
      <c r="D1201" s="5">
        <f>IFERROR(__xludf.DUMMYFUNCTION("""COMPUTED_VALUE"""),43465.66666666667)</f>
        <v>43465.66667</v>
      </c>
      <c r="E1201" s="3">
        <f>IFERROR(__xludf.DUMMYFUNCTION("""COMPUTED_VALUE"""),51.78)</f>
        <v>51.78</v>
      </c>
      <c r="F1201" s="3">
        <f t="shared" si="1"/>
        <v>-0.001350960352</v>
      </c>
    </row>
    <row r="1202">
      <c r="A1202" s="6"/>
      <c r="D1202" s="5">
        <f>IFERROR(__xludf.DUMMYFUNCTION("""COMPUTED_VALUE"""),43467.66666666667)</f>
        <v>43467.66667</v>
      </c>
      <c r="E1202" s="3">
        <f>IFERROR(__xludf.DUMMYFUNCTION("""COMPUTED_VALUE"""),52.29)</f>
        <v>52.29</v>
      </c>
      <c r="F1202" s="3">
        <f t="shared" si="1"/>
        <v>0.009801173877</v>
      </c>
    </row>
    <row r="1203">
      <c r="A1203" s="6"/>
      <c r="D1203" s="5">
        <f>IFERROR(__xludf.DUMMYFUNCTION("""COMPUTED_VALUE"""),43468.66666666667)</f>
        <v>43468.66667</v>
      </c>
      <c r="E1203" s="3">
        <f>IFERROR(__xludf.DUMMYFUNCTION("""COMPUTED_VALUE"""),50.8)</f>
        <v>50.8</v>
      </c>
      <c r="F1203" s="3">
        <f t="shared" si="1"/>
        <v>-0.02890879362</v>
      </c>
    </row>
    <row r="1204">
      <c r="A1204" s="6"/>
      <c r="D1204" s="5">
        <f>IFERROR(__xludf.DUMMYFUNCTION("""COMPUTED_VALUE"""),43469.66666666667)</f>
        <v>43469.66667</v>
      </c>
      <c r="E1204" s="3">
        <f>IFERROR(__xludf.DUMMYFUNCTION("""COMPUTED_VALUE"""),53.54)</f>
        <v>53.54</v>
      </c>
      <c r="F1204" s="3">
        <f t="shared" si="1"/>
        <v>0.05253268351</v>
      </c>
    </row>
    <row r="1205">
      <c r="A1205" s="6"/>
      <c r="D1205" s="5">
        <f>IFERROR(__xludf.DUMMYFUNCTION("""COMPUTED_VALUE"""),43472.66666666667)</f>
        <v>43472.66667</v>
      </c>
      <c r="E1205" s="3">
        <f>IFERROR(__xludf.DUMMYFUNCTION("""COMPUTED_VALUE"""),53.42)</f>
        <v>53.42</v>
      </c>
      <c r="F1205" s="3">
        <f t="shared" si="1"/>
        <v>-0.00224383041</v>
      </c>
    </row>
    <row r="1206">
      <c r="A1206" s="6"/>
      <c r="D1206" s="5">
        <f>IFERROR(__xludf.DUMMYFUNCTION("""COMPUTED_VALUE"""),43473.66666666667)</f>
        <v>43473.66667</v>
      </c>
      <c r="E1206" s="3">
        <f>IFERROR(__xludf.DUMMYFUNCTION("""COMPUTED_VALUE"""),53.81)</f>
        <v>53.81</v>
      </c>
      <c r="F1206" s="3">
        <f t="shared" si="1"/>
        <v>0.00727411582</v>
      </c>
    </row>
    <row r="1207">
      <c r="A1207" s="6"/>
      <c r="D1207" s="5">
        <f>IFERROR(__xludf.DUMMYFUNCTION("""COMPUTED_VALUE"""),43474.66666666667)</f>
        <v>43474.66667</v>
      </c>
      <c r="E1207" s="3">
        <f>IFERROR(__xludf.DUMMYFUNCTION("""COMPUTED_VALUE"""),53.73)</f>
        <v>53.73</v>
      </c>
      <c r="F1207" s="3">
        <f t="shared" si="1"/>
        <v>-0.001487818761</v>
      </c>
    </row>
    <row r="1208">
      <c r="A1208" s="6"/>
      <c r="D1208" s="5">
        <f>IFERROR(__xludf.DUMMYFUNCTION("""COMPUTED_VALUE"""),43475.66666666667)</f>
        <v>43475.66667</v>
      </c>
      <c r="E1208" s="3">
        <f>IFERROR(__xludf.DUMMYFUNCTION("""COMPUTED_VALUE"""),53.52)</f>
        <v>53.52</v>
      </c>
      <c r="F1208" s="3">
        <f t="shared" si="1"/>
        <v>-0.003916088921</v>
      </c>
    </row>
    <row r="1209">
      <c r="A1209" s="6"/>
      <c r="D1209" s="5">
        <f>IFERROR(__xludf.DUMMYFUNCTION("""COMPUTED_VALUE"""),43476.66666666667)</f>
        <v>43476.66667</v>
      </c>
      <c r="E1209" s="3">
        <f>IFERROR(__xludf.DUMMYFUNCTION("""COMPUTED_VALUE"""),52.86)</f>
        <v>52.86</v>
      </c>
      <c r="F1209" s="3">
        <f t="shared" si="1"/>
        <v>-0.01240850664</v>
      </c>
    </row>
    <row r="1210">
      <c r="A1210" s="6"/>
      <c r="D1210" s="5">
        <f>IFERROR(__xludf.DUMMYFUNCTION("""COMPUTED_VALUE"""),43479.66666666667)</f>
        <v>43479.66667</v>
      </c>
      <c r="E1210" s="3">
        <f>IFERROR(__xludf.DUMMYFUNCTION("""COMPUTED_VALUE"""),52.23)</f>
        <v>52.23</v>
      </c>
      <c r="F1210" s="3">
        <f t="shared" si="1"/>
        <v>-0.01198986673</v>
      </c>
    </row>
    <row r="1211">
      <c r="A1211" s="6"/>
      <c r="D1211" s="5">
        <f>IFERROR(__xludf.DUMMYFUNCTION("""COMPUTED_VALUE"""),43480.66666666667)</f>
        <v>43480.66667</v>
      </c>
      <c r="E1211" s="3">
        <f>IFERROR(__xludf.DUMMYFUNCTION("""COMPUTED_VALUE"""),53.86)</f>
        <v>53.86</v>
      </c>
      <c r="F1211" s="3">
        <f t="shared" si="1"/>
        <v>0.03073104494</v>
      </c>
    </row>
    <row r="1212">
      <c r="A1212" s="6"/>
      <c r="D1212" s="5">
        <f>IFERROR(__xludf.DUMMYFUNCTION("""COMPUTED_VALUE"""),43481.66666666667)</f>
        <v>43481.66667</v>
      </c>
      <c r="E1212" s="3">
        <f>IFERROR(__xludf.DUMMYFUNCTION("""COMPUTED_VALUE"""),54.05)</f>
        <v>54.05</v>
      </c>
      <c r="F1212" s="3">
        <f t="shared" si="1"/>
        <v>0.003521456702</v>
      </c>
    </row>
    <row r="1213">
      <c r="A1213" s="6"/>
      <c r="D1213" s="5">
        <f>IFERROR(__xludf.DUMMYFUNCTION("""COMPUTED_VALUE"""),43482.66666666667)</f>
        <v>43482.66667</v>
      </c>
      <c r="E1213" s="3">
        <f>IFERROR(__xludf.DUMMYFUNCTION("""COMPUTED_VALUE"""),54.5)</f>
        <v>54.5</v>
      </c>
      <c r="F1213" s="3">
        <f t="shared" si="1"/>
        <v>0.008291157584</v>
      </c>
    </row>
    <row r="1214">
      <c r="A1214" s="6"/>
      <c r="D1214" s="5">
        <f>IFERROR(__xludf.DUMMYFUNCTION("""COMPUTED_VALUE"""),43483.66666666667)</f>
        <v>43483.66667</v>
      </c>
      <c r="E1214" s="3">
        <f>IFERROR(__xludf.DUMMYFUNCTION("""COMPUTED_VALUE"""),54.91)</f>
        <v>54.91</v>
      </c>
      <c r="F1214" s="3">
        <f t="shared" si="1"/>
        <v>0.007494779622</v>
      </c>
    </row>
    <row r="1215">
      <c r="A1215" s="6"/>
      <c r="D1215" s="5">
        <f>IFERROR(__xludf.DUMMYFUNCTION("""COMPUTED_VALUE"""),43487.66666666667)</f>
        <v>43487.66667</v>
      </c>
      <c r="E1215" s="3">
        <f>IFERROR(__xludf.DUMMYFUNCTION("""COMPUTED_VALUE"""),53.53)</f>
        <v>53.53</v>
      </c>
      <c r="F1215" s="3">
        <f t="shared" si="1"/>
        <v>-0.02545323689</v>
      </c>
    </row>
    <row r="1216">
      <c r="A1216" s="6"/>
      <c r="D1216" s="5">
        <f>IFERROR(__xludf.DUMMYFUNCTION("""COMPUTED_VALUE"""),43488.66666666667)</f>
        <v>43488.66667</v>
      </c>
      <c r="E1216" s="3">
        <f>IFERROR(__xludf.DUMMYFUNCTION("""COMPUTED_VALUE"""),53.78)</f>
        <v>53.78</v>
      </c>
      <c r="F1216" s="3">
        <f t="shared" si="1"/>
        <v>0.004659406435</v>
      </c>
    </row>
    <row r="1217">
      <c r="A1217" s="6"/>
      <c r="D1217" s="5">
        <f>IFERROR(__xludf.DUMMYFUNCTION("""COMPUTED_VALUE"""),43489.66666666667)</f>
        <v>43489.66667</v>
      </c>
      <c r="E1217" s="3">
        <f>IFERROR(__xludf.DUMMYFUNCTION("""COMPUTED_VALUE"""),53.7)</f>
        <v>53.7</v>
      </c>
      <c r="F1217" s="3">
        <f t="shared" si="1"/>
        <v>-0.001488649326</v>
      </c>
    </row>
    <row r="1218">
      <c r="A1218" s="6"/>
      <c r="D1218" s="5">
        <f>IFERROR(__xludf.DUMMYFUNCTION("""COMPUTED_VALUE"""),43490.66666666667)</f>
        <v>43490.66667</v>
      </c>
      <c r="E1218" s="3">
        <f>IFERROR(__xludf.DUMMYFUNCTION("""COMPUTED_VALUE"""),54.55)</f>
        <v>54.55</v>
      </c>
      <c r="F1218" s="3">
        <f t="shared" si="1"/>
        <v>0.01570471076</v>
      </c>
    </row>
    <row r="1219">
      <c r="A1219" s="6"/>
      <c r="D1219" s="5">
        <f>IFERROR(__xludf.DUMMYFUNCTION("""COMPUTED_VALUE"""),43493.66666666667)</f>
        <v>43493.66667</v>
      </c>
      <c r="E1219" s="3">
        <f>IFERROR(__xludf.DUMMYFUNCTION("""COMPUTED_VALUE"""),53.5)</f>
        <v>53.5</v>
      </c>
      <c r="F1219" s="3">
        <f t="shared" si="1"/>
        <v>-0.01943605838</v>
      </c>
    </row>
    <row r="1220">
      <c r="A1220" s="6"/>
      <c r="D1220" s="5">
        <f>IFERROR(__xludf.DUMMYFUNCTION("""COMPUTED_VALUE"""),43494.66666666667)</f>
        <v>43494.66667</v>
      </c>
      <c r="E1220" s="3">
        <f>IFERROR(__xludf.DUMMYFUNCTION("""COMPUTED_VALUE"""),53.03)</f>
        <v>53.03</v>
      </c>
      <c r="F1220" s="3">
        <f t="shared" si="1"/>
        <v>-0.008823862753</v>
      </c>
    </row>
    <row r="1221">
      <c r="A1221" s="6"/>
      <c r="D1221" s="5">
        <f>IFERROR(__xludf.DUMMYFUNCTION("""COMPUTED_VALUE"""),43495.66666666667)</f>
        <v>43495.66667</v>
      </c>
      <c r="E1221" s="3">
        <f>IFERROR(__xludf.DUMMYFUNCTION("""COMPUTED_VALUE"""),54.45)</f>
        <v>54.45</v>
      </c>
      <c r="F1221" s="3">
        <f t="shared" si="1"/>
        <v>0.02642505823</v>
      </c>
    </row>
    <row r="1222">
      <c r="A1222" s="6"/>
      <c r="D1222" s="5">
        <f>IFERROR(__xludf.DUMMYFUNCTION("""COMPUTED_VALUE"""),43496.66666666667)</f>
        <v>43496.66667</v>
      </c>
      <c r="E1222" s="3">
        <f>IFERROR(__xludf.DUMMYFUNCTION("""COMPUTED_VALUE"""),55.82)</f>
        <v>55.82</v>
      </c>
      <c r="F1222" s="3">
        <f t="shared" si="1"/>
        <v>0.02484937873</v>
      </c>
    </row>
    <row r="1223">
      <c r="A1223" s="6"/>
      <c r="D1223" s="5">
        <f>IFERROR(__xludf.DUMMYFUNCTION("""COMPUTED_VALUE"""),43497.66666666667)</f>
        <v>43497.66667</v>
      </c>
      <c r="E1223" s="3">
        <f>IFERROR(__xludf.DUMMYFUNCTION("""COMPUTED_VALUE"""),55.54)</f>
        <v>55.54</v>
      </c>
      <c r="F1223" s="3">
        <f t="shared" si="1"/>
        <v>-0.00502874623</v>
      </c>
    </row>
    <row r="1224">
      <c r="A1224" s="6"/>
      <c r="D1224" s="5">
        <f>IFERROR(__xludf.DUMMYFUNCTION("""COMPUTED_VALUE"""),43500.66666666667)</f>
        <v>43500.66667</v>
      </c>
      <c r="E1224" s="3">
        <f>IFERROR(__xludf.DUMMYFUNCTION("""COMPUTED_VALUE"""),56.64)</f>
        <v>56.64</v>
      </c>
      <c r="F1224" s="3">
        <f t="shared" si="1"/>
        <v>0.01961196751</v>
      </c>
    </row>
    <row r="1225">
      <c r="A1225" s="6"/>
      <c r="D1225" s="5">
        <f>IFERROR(__xludf.DUMMYFUNCTION("""COMPUTED_VALUE"""),43501.66666666667)</f>
        <v>43501.66667</v>
      </c>
      <c r="E1225" s="3">
        <f>IFERROR(__xludf.DUMMYFUNCTION("""COMPUTED_VALUE"""),57.3)</f>
        <v>57.3</v>
      </c>
      <c r="F1225" s="3">
        <f t="shared" si="1"/>
        <v>0.01158517434</v>
      </c>
    </row>
    <row r="1226">
      <c r="A1226" s="6"/>
      <c r="D1226" s="5">
        <f>IFERROR(__xludf.DUMMYFUNCTION("""COMPUTED_VALUE"""),43502.66666666667)</f>
        <v>43502.66667</v>
      </c>
      <c r="E1226" s="3">
        <f>IFERROR(__xludf.DUMMYFUNCTION("""COMPUTED_VALUE"""),55.76)</f>
        <v>55.76</v>
      </c>
      <c r="F1226" s="3">
        <f t="shared" si="1"/>
        <v>-0.02724385727</v>
      </c>
    </row>
    <row r="1227">
      <c r="A1227" s="6"/>
      <c r="D1227" s="5">
        <f>IFERROR(__xludf.DUMMYFUNCTION("""COMPUTED_VALUE"""),43503.66666666667)</f>
        <v>43503.66667</v>
      </c>
      <c r="E1227" s="3">
        <f>IFERROR(__xludf.DUMMYFUNCTION("""COMPUTED_VALUE"""),54.94)</f>
        <v>54.94</v>
      </c>
      <c r="F1227" s="3">
        <f t="shared" si="1"/>
        <v>-0.01481508579</v>
      </c>
    </row>
    <row r="1228">
      <c r="A1228" s="6"/>
      <c r="D1228" s="5">
        <f>IFERROR(__xludf.DUMMYFUNCTION("""COMPUTED_VALUE"""),43504.66666666667)</f>
        <v>43504.66667</v>
      </c>
      <c r="E1228" s="3">
        <f>IFERROR(__xludf.DUMMYFUNCTION("""COMPUTED_VALUE"""),54.75)</f>
        <v>54.75</v>
      </c>
      <c r="F1228" s="3">
        <f t="shared" si="1"/>
        <v>-0.003464311971</v>
      </c>
    </row>
    <row r="1229">
      <c r="A1229" s="6"/>
      <c r="D1229" s="5">
        <f>IFERROR(__xludf.DUMMYFUNCTION("""COMPUTED_VALUE"""),43507.66666666667)</f>
        <v>43507.66667</v>
      </c>
      <c r="E1229" s="3">
        <f>IFERROR(__xludf.DUMMYFUNCTION("""COMPUTED_VALUE"""),54.75)</f>
        <v>54.75</v>
      </c>
      <c r="F1229" s="3">
        <f t="shared" si="1"/>
        <v>0</v>
      </c>
    </row>
    <row r="1230">
      <c r="A1230" s="6"/>
      <c r="D1230" s="5">
        <f>IFERROR(__xludf.DUMMYFUNCTION("""COMPUTED_VALUE"""),43508.66666666667)</f>
        <v>43508.66667</v>
      </c>
      <c r="E1230" s="3">
        <f>IFERROR(__xludf.DUMMYFUNCTION("""COMPUTED_VALUE"""),56.07)</f>
        <v>56.07</v>
      </c>
      <c r="F1230" s="3">
        <f t="shared" si="1"/>
        <v>0.02382354144</v>
      </c>
    </row>
    <row r="1231">
      <c r="A1231" s="6"/>
      <c r="D1231" s="5">
        <f>IFERROR(__xludf.DUMMYFUNCTION("""COMPUTED_VALUE"""),43509.66666666667)</f>
        <v>43509.66667</v>
      </c>
      <c r="E1231" s="3">
        <f>IFERROR(__xludf.DUMMYFUNCTION("""COMPUTED_VALUE"""),56.01)</f>
        <v>56.01</v>
      </c>
      <c r="F1231" s="3">
        <f t="shared" si="1"/>
        <v>-0.001070663914</v>
      </c>
    </row>
    <row r="1232">
      <c r="A1232" s="6"/>
      <c r="D1232" s="5">
        <f>IFERROR(__xludf.DUMMYFUNCTION("""COMPUTED_VALUE"""),43510.66666666667)</f>
        <v>43510.66667</v>
      </c>
      <c r="E1232" s="3">
        <f>IFERROR(__xludf.DUMMYFUNCTION("""COMPUTED_VALUE"""),56.08)</f>
        <v>56.08</v>
      </c>
      <c r="F1232" s="3">
        <f t="shared" si="1"/>
        <v>0.001248996505</v>
      </c>
    </row>
    <row r="1233">
      <c r="A1233" s="6"/>
      <c r="D1233" s="5">
        <f>IFERROR(__xludf.DUMMYFUNCTION("""COMPUTED_VALUE"""),43511.66666666667)</f>
        <v>43511.66667</v>
      </c>
      <c r="E1233" s="3">
        <f>IFERROR(__xludf.DUMMYFUNCTION("""COMPUTED_VALUE"""),55.68)</f>
        <v>55.68</v>
      </c>
      <c r="F1233" s="3">
        <f t="shared" si="1"/>
        <v>-0.0071582267</v>
      </c>
    </row>
    <row r="1234">
      <c r="A1234" s="6"/>
      <c r="D1234" s="5">
        <f>IFERROR(__xludf.DUMMYFUNCTION("""COMPUTED_VALUE"""),43515.66666666667)</f>
        <v>43515.66667</v>
      </c>
      <c r="E1234" s="3">
        <f>IFERROR(__xludf.DUMMYFUNCTION("""COMPUTED_VALUE"""),55.93)</f>
        <v>55.93</v>
      </c>
      <c r="F1234" s="3">
        <f t="shared" si="1"/>
        <v>0.004479892807</v>
      </c>
    </row>
    <row r="1235">
      <c r="A1235" s="6"/>
      <c r="D1235" s="5">
        <f>IFERROR(__xludf.DUMMYFUNCTION("""COMPUTED_VALUE"""),43516.66666666667)</f>
        <v>43516.66667</v>
      </c>
      <c r="E1235" s="3">
        <f>IFERROR(__xludf.DUMMYFUNCTION("""COMPUTED_VALUE"""),55.69)</f>
        <v>55.69</v>
      </c>
      <c r="F1235" s="3">
        <f t="shared" si="1"/>
        <v>-0.004300311232</v>
      </c>
    </row>
    <row r="1236">
      <c r="A1236" s="6"/>
      <c r="D1236" s="5">
        <f>IFERROR(__xludf.DUMMYFUNCTION("""COMPUTED_VALUE"""),43517.66666666667)</f>
        <v>43517.66667</v>
      </c>
      <c r="E1236" s="3">
        <f>IFERROR(__xludf.DUMMYFUNCTION("""COMPUTED_VALUE"""),54.85)</f>
        <v>54.85</v>
      </c>
      <c r="F1236" s="3">
        <f t="shared" si="1"/>
        <v>-0.01519841088</v>
      </c>
    </row>
    <row r="1237">
      <c r="A1237" s="6"/>
      <c r="D1237" s="5">
        <f>IFERROR(__xludf.DUMMYFUNCTION("""COMPUTED_VALUE"""),43518.66666666667)</f>
        <v>43518.66667</v>
      </c>
      <c r="E1237" s="3">
        <f>IFERROR(__xludf.DUMMYFUNCTION("""COMPUTED_VALUE"""),55.52)</f>
        <v>55.52</v>
      </c>
      <c r="F1237" s="3">
        <f t="shared" si="1"/>
        <v>0.01214112948</v>
      </c>
    </row>
    <row r="1238">
      <c r="A1238" s="6"/>
      <c r="D1238" s="5">
        <f>IFERROR(__xludf.DUMMYFUNCTION("""COMPUTED_VALUE"""),43521.66666666667)</f>
        <v>43521.66667</v>
      </c>
      <c r="E1238" s="3">
        <f>IFERROR(__xludf.DUMMYFUNCTION("""COMPUTED_VALUE"""),55.47)</f>
        <v>55.47</v>
      </c>
      <c r="F1238" s="3">
        <f t="shared" si="1"/>
        <v>-0.0009009821314</v>
      </c>
    </row>
    <row r="1239">
      <c r="A1239" s="6"/>
      <c r="D1239" s="5">
        <f>IFERROR(__xludf.DUMMYFUNCTION("""COMPUTED_VALUE"""),43522.66666666667)</f>
        <v>43522.66667</v>
      </c>
      <c r="E1239" s="3">
        <f>IFERROR(__xludf.DUMMYFUNCTION("""COMPUTED_VALUE"""),55.76)</f>
        <v>55.76</v>
      </c>
      <c r="F1239" s="3">
        <f t="shared" si="1"/>
        <v>0.005214432385</v>
      </c>
    </row>
    <row r="1240">
      <c r="A1240" s="6"/>
      <c r="D1240" s="5">
        <f>IFERROR(__xludf.DUMMYFUNCTION("""COMPUTED_VALUE"""),43523.66666666667)</f>
        <v>43523.66667</v>
      </c>
      <c r="E1240" s="3">
        <f>IFERROR(__xludf.DUMMYFUNCTION("""COMPUTED_VALUE"""),55.8)</f>
        <v>55.8</v>
      </c>
      <c r="F1240" s="3">
        <f t="shared" si="1"/>
        <v>0.000717102935</v>
      </c>
    </row>
    <row r="1241">
      <c r="A1241" s="6"/>
      <c r="D1241" s="5">
        <f>IFERROR(__xludf.DUMMYFUNCTION("""COMPUTED_VALUE"""),43524.66666666667)</f>
        <v>43524.66667</v>
      </c>
      <c r="E1241" s="3">
        <f>IFERROR(__xludf.DUMMYFUNCTION("""COMPUTED_VALUE"""),56.0)</f>
        <v>56</v>
      </c>
      <c r="F1241" s="3">
        <f t="shared" si="1"/>
        <v>0.003577821348</v>
      </c>
    </row>
    <row r="1242">
      <c r="A1242" s="6"/>
      <c r="D1242" s="5">
        <f>IFERROR(__xludf.DUMMYFUNCTION("""COMPUTED_VALUE"""),43525.66666666667)</f>
        <v>43525.66667</v>
      </c>
      <c r="E1242" s="3">
        <f>IFERROR(__xludf.DUMMYFUNCTION("""COMPUTED_VALUE"""),57.05)</f>
        <v>57.05</v>
      </c>
      <c r="F1242" s="3">
        <f t="shared" si="1"/>
        <v>0.01857638557</v>
      </c>
    </row>
    <row r="1243">
      <c r="A1243" s="6"/>
      <c r="D1243" s="5">
        <f>IFERROR(__xludf.DUMMYFUNCTION("""COMPUTED_VALUE"""),43528.66666666667)</f>
        <v>43528.66667</v>
      </c>
      <c r="E1243" s="3">
        <f>IFERROR(__xludf.DUMMYFUNCTION("""COMPUTED_VALUE"""),57.39)</f>
        <v>57.39</v>
      </c>
      <c r="F1243" s="3">
        <f t="shared" si="1"/>
        <v>0.005941995812</v>
      </c>
    </row>
    <row r="1244">
      <c r="A1244" s="6"/>
      <c r="D1244" s="5">
        <f>IFERROR(__xludf.DUMMYFUNCTION("""COMPUTED_VALUE"""),43529.66666666667)</f>
        <v>43529.66667</v>
      </c>
      <c r="E1244" s="3">
        <f>IFERROR(__xludf.DUMMYFUNCTION("""COMPUTED_VALUE"""),58.1)</f>
        <v>58.1</v>
      </c>
      <c r="F1244" s="3">
        <f t="shared" si="1"/>
        <v>0.01229559174</v>
      </c>
    </row>
    <row r="1245">
      <c r="A1245" s="6"/>
      <c r="D1245" s="5">
        <f>IFERROR(__xludf.DUMMYFUNCTION("""COMPUTED_VALUE"""),43530.66666666667)</f>
        <v>43530.66667</v>
      </c>
      <c r="E1245" s="3">
        <f>IFERROR(__xludf.DUMMYFUNCTION("""COMPUTED_VALUE"""),57.89)</f>
        <v>57.89</v>
      </c>
      <c r="F1245" s="3">
        <f t="shared" si="1"/>
        <v>-0.003621005767</v>
      </c>
    </row>
    <row r="1246">
      <c r="A1246" s="6"/>
      <c r="D1246" s="5">
        <f>IFERROR(__xludf.DUMMYFUNCTION("""COMPUTED_VALUE"""),43531.66666666667)</f>
        <v>43531.66667</v>
      </c>
      <c r="E1246" s="3">
        <f>IFERROR(__xludf.DUMMYFUNCTION("""COMPUTED_VALUE"""),57.17)</f>
        <v>57.17</v>
      </c>
      <c r="F1246" s="3">
        <f t="shared" si="1"/>
        <v>-0.01251537282</v>
      </c>
    </row>
    <row r="1247">
      <c r="A1247" s="6"/>
      <c r="D1247" s="5">
        <f>IFERROR(__xludf.DUMMYFUNCTION("""COMPUTED_VALUE"""),43532.66666666667)</f>
        <v>43532.66667</v>
      </c>
      <c r="E1247" s="3">
        <f>IFERROR(__xludf.DUMMYFUNCTION("""COMPUTED_VALUE"""),57.12)</f>
        <v>57.12</v>
      </c>
      <c r="F1247" s="3">
        <f t="shared" si="1"/>
        <v>-0.0008749672446</v>
      </c>
    </row>
    <row r="1248">
      <c r="A1248" s="6"/>
      <c r="D1248" s="5">
        <f>IFERROR(__xludf.DUMMYFUNCTION("""COMPUTED_VALUE"""),43535.66666666667)</f>
        <v>43535.66667</v>
      </c>
      <c r="E1248" s="3">
        <f>IFERROR(__xludf.DUMMYFUNCTION("""COMPUTED_VALUE"""),58.79)</f>
        <v>58.79</v>
      </c>
      <c r="F1248" s="3">
        <f t="shared" si="1"/>
        <v>0.02881745438</v>
      </c>
    </row>
    <row r="1249">
      <c r="A1249" s="6"/>
      <c r="D1249" s="5">
        <f>IFERROR(__xludf.DUMMYFUNCTION("""COMPUTED_VALUE"""),43536.66666666667)</f>
        <v>43536.66667</v>
      </c>
      <c r="E1249" s="3">
        <f>IFERROR(__xludf.DUMMYFUNCTION("""COMPUTED_VALUE"""),59.66)</f>
        <v>59.66</v>
      </c>
      <c r="F1249" s="3">
        <f t="shared" si="1"/>
        <v>0.01469000667</v>
      </c>
    </row>
    <row r="1250">
      <c r="A1250" s="6"/>
      <c r="D1250" s="5">
        <f>IFERROR(__xludf.DUMMYFUNCTION("""COMPUTED_VALUE"""),43537.66666666667)</f>
        <v>43537.66667</v>
      </c>
      <c r="E1250" s="3">
        <f>IFERROR(__xludf.DUMMYFUNCTION("""COMPUTED_VALUE"""),59.67)</f>
        <v>59.67</v>
      </c>
      <c r="F1250" s="3">
        <f t="shared" si="1"/>
        <v>0.0001676024474</v>
      </c>
    </row>
    <row r="1251">
      <c r="A1251" s="6"/>
      <c r="D1251" s="5">
        <f>IFERROR(__xludf.DUMMYFUNCTION("""COMPUTED_VALUE"""),43538.66666666667)</f>
        <v>43538.66667</v>
      </c>
      <c r="E1251" s="3">
        <f>IFERROR(__xludf.DUMMYFUNCTION("""COMPUTED_VALUE"""),59.28)</f>
        <v>59.28</v>
      </c>
      <c r="F1251" s="3">
        <f t="shared" si="1"/>
        <v>-0.006557400546</v>
      </c>
    </row>
    <row r="1252">
      <c r="A1252" s="6"/>
      <c r="D1252" s="5">
        <f>IFERROR(__xludf.DUMMYFUNCTION("""COMPUTED_VALUE"""),43539.66666666667)</f>
        <v>43539.66667</v>
      </c>
      <c r="E1252" s="3">
        <f>IFERROR(__xludf.DUMMYFUNCTION("""COMPUTED_VALUE"""),59.22)</f>
        <v>59.22</v>
      </c>
      <c r="F1252" s="3">
        <f t="shared" si="1"/>
        <v>-0.001012658314</v>
      </c>
    </row>
    <row r="1253">
      <c r="A1253" s="6"/>
      <c r="D1253" s="5">
        <f>IFERROR(__xludf.DUMMYFUNCTION("""COMPUTED_VALUE"""),43542.66666666667)</f>
        <v>43542.66667</v>
      </c>
      <c r="E1253" s="3">
        <f>IFERROR(__xludf.DUMMYFUNCTION("""COMPUTED_VALUE"""),59.21)</f>
        <v>59.21</v>
      </c>
      <c r="F1253" s="3">
        <f t="shared" si="1"/>
        <v>-0.0001688761298</v>
      </c>
    </row>
    <row r="1254">
      <c r="A1254" s="6"/>
      <c r="D1254" s="5">
        <f>IFERROR(__xludf.DUMMYFUNCTION("""COMPUTED_VALUE"""),43543.66666666667)</f>
        <v>43543.66667</v>
      </c>
      <c r="E1254" s="3">
        <f>IFERROR(__xludf.DUMMYFUNCTION("""COMPUTED_VALUE"""),59.94)</f>
        <v>59.94</v>
      </c>
      <c r="F1254" s="3">
        <f t="shared" si="1"/>
        <v>0.01225361534</v>
      </c>
    </row>
    <row r="1255">
      <c r="A1255" s="6"/>
      <c r="D1255" s="5">
        <f>IFERROR(__xludf.DUMMYFUNCTION("""COMPUTED_VALUE"""),43544.66666666667)</f>
        <v>43544.66667</v>
      </c>
      <c r="E1255" s="3">
        <f>IFERROR(__xludf.DUMMYFUNCTION("""COMPUTED_VALUE"""),61.2)</f>
        <v>61.2</v>
      </c>
      <c r="F1255" s="3">
        <f t="shared" si="1"/>
        <v>0.02080312763</v>
      </c>
    </row>
    <row r="1256">
      <c r="A1256" s="6"/>
      <c r="D1256" s="5">
        <f>IFERROR(__xludf.DUMMYFUNCTION("""COMPUTED_VALUE"""),43545.66666666667)</f>
        <v>43545.66667</v>
      </c>
      <c r="E1256" s="3">
        <f>IFERROR(__xludf.DUMMYFUNCTION("""COMPUTED_VALUE"""),61.58)</f>
        <v>61.58</v>
      </c>
      <c r="F1256" s="3">
        <f t="shared" si="1"/>
        <v>0.006189952978</v>
      </c>
    </row>
    <row r="1257">
      <c r="A1257" s="6"/>
      <c r="D1257" s="5">
        <f>IFERROR(__xludf.DUMMYFUNCTION("""COMPUTED_VALUE"""),43546.66666666667)</f>
        <v>43546.66667</v>
      </c>
      <c r="E1257" s="3">
        <f>IFERROR(__xludf.DUMMYFUNCTION("""COMPUTED_VALUE"""),60.28)</f>
        <v>60.28</v>
      </c>
      <c r="F1257" s="3">
        <f t="shared" si="1"/>
        <v>-0.02133676874</v>
      </c>
    </row>
    <row r="1258">
      <c r="A1258" s="6"/>
      <c r="D1258" s="5">
        <f>IFERROR(__xludf.DUMMYFUNCTION("""COMPUTED_VALUE"""),43549.66666666667)</f>
        <v>43549.66667</v>
      </c>
      <c r="E1258" s="3">
        <f>IFERROR(__xludf.DUMMYFUNCTION("""COMPUTED_VALUE"""),59.65)</f>
        <v>59.65</v>
      </c>
      <c r="F1258" s="3">
        <f t="shared" si="1"/>
        <v>-0.01050622521</v>
      </c>
    </row>
    <row r="1259">
      <c r="A1259" s="6"/>
      <c r="D1259" s="5">
        <f>IFERROR(__xludf.DUMMYFUNCTION("""COMPUTED_VALUE"""),43550.66666666667)</f>
        <v>43550.66667</v>
      </c>
      <c r="E1259" s="3">
        <f>IFERROR(__xludf.DUMMYFUNCTION("""COMPUTED_VALUE"""),59.23)</f>
        <v>59.23</v>
      </c>
      <c r="F1259" s="3">
        <f t="shared" si="1"/>
        <v>-0.007065978255</v>
      </c>
    </row>
    <row r="1260">
      <c r="A1260" s="6"/>
      <c r="D1260" s="5">
        <f>IFERROR(__xludf.DUMMYFUNCTION("""COMPUTED_VALUE"""),43551.66666666667)</f>
        <v>43551.66667</v>
      </c>
      <c r="E1260" s="3">
        <f>IFERROR(__xludf.DUMMYFUNCTION("""COMPUTED_VALUE"""),58.65)</f>
        <v>58.65</v>
      </c>
      <c r="F1260" s="3">
        <f t="shared" si="1"/>
        <v>-0.009840595189</v>
      </c>
    </row>
    <row r="1261">
      <c r="A1261" s="6"/>
      <c r="D1261" s="5">
        <f>IFERROR(__xludf.DUMMYFUNCTION("""COMPUTED_VALUE"""),43552.66666666667)</f>
        <v>43552.66667</v>
      </c>
      <c r="E1261" s="3">
        <f>IFERROR(__xludf.DUMMYFUNCTION("""COMPUTED_VALUE"""),58.42)</f>
        <v>58.42</v>
      </c>
      <c r="F1261" s="3">
        <f t="shared" si="1"/>
        <v>-0.00392927814</v>
      </c>
    </row>
    <row r="1262">
      <c r="A1262" s="6"/>
      <c r="D1262" s="5">
        <f>IFERROR(__xludf.DUMMYFUNCTION("""COMPUTED_VALUE"""),43553.66666666667)</f>
        <v>43553.66667</v>
      </c>
      <c r="E1262" s="3">
        <f>IFERROR(__xludf.DUMMYFUNCTION("""COMPUTED_VALUE"""),58.67)</f>
        <v>58.67</v>
      </c>
      <c r="F1262" s="3">
        <f t="shared" si="1"/>
        <v>0.004270225978</v>
      </c>
    </row>
    <row r="1263">
      <c r="A1263" s="6"/>
      <c r="D1263" s="5">
        <f>IFERROR(__xludf.DUMMYFUNCTION("""COMPUTED_VALUE"""),43556.66666666667)</f>
        <v>43556.66667</v>
      </c>
      <c r="E1263" s="3">
        <f>IFERROR(__xludf.DUMMYFUNCTION("""COMPUTED_VALUE"""),59.72)</f>
        <v>59.72</v>
      </c>
      <c r="F1263" s="3">
        <f t="shared" si="1"/>
        <v>0.01773844973</v>
      </c>
    </row>
    <row r="1264">
      <c r="A1264" s="6"/>
      <c r="D1264" s="5">
        <f>IFERROR(__xludf.DUMMYFUNCTION("""COMPUTED_VALUE"""),43557.66666666667)</f>
        <v>43557.66667</v>
      </c>
      <c r="E1264" s="3">
        <f>IFERROR(__xludf.DUMMYFUNCTION("""COMPUTED_VALUE"""),60.02)</f>
        <v>60.02</v>
      </c>
      <c r="F1264" s="3">
        <f t="shared" si="1"/>
        <v>0.005010867341</v>
      </c>
    </row>
    <row r="1265">
      <c r="A1265" s="6"/>
      <c r="D1265" s="5">
        <f>IFERROR(__xludf.DUMMYFUNCTION("""COMPUTED_VALUE"""),43558.66666666667)</f>
        <v>43558.66667</v>
      </c>
      <c r="E1265" s="3">
        <f>IFERROR(__xludf.DUMMYFUNCTION("""COMPUTED_VALUE"""),60.3)</f>
        <v>60.3</v>
      </c>
      <c r="F1265" s="3">
        <f t="shared" si="1"/>
        <v>0.004654263721</v>
      </c>
    </row>
    <row r="1266">
      <c r="A1266" s="6"/>
      <c r="D1266" s="5">
        <f>IFERROR(__xludf.DUMMYFUNCTION("""COMPUTED_VALUE"""),43559.66666666667)</f>
        <v>43559.66667</v>
      </c>
      <c r="E1266" s="3">
        <f>IFERROR(__xludf.DUMMYFUNCTION("""COMPUTED_VALUE"""),60.75)</f>
        <v>60.75</v>
      </c>
      <c r="F1266" s="3">
        <f t="shared" si="1"/>
        <v>0.007434978488</v>
      </c>
    </row>
    <row r="1267">
      <c r="A1267" s="6"/>
      <c r="D1267" s="5">
        <f>IFERROR(__xludf.DUMMYFUNCTION("""COMPUTED_VALUE"""),43560.66666666667)</f>
        <v>43560.66667</v>
      </c>
      <c r="E1267" s="3">
        <f>IFERROR(__xludf.DUMMYFUNCTION("""COMPUTED_VALUE"""),60.36)</f>
        <v>60.36</v>
      </c>
      <c r="F1267" s="3">
        <f t="shared" si="1"/>
        <v>-0.006440448321</v>
      </c>
    </row>
    <row r="1268">
      <c r="A1268" s="6"/>
      <c r="D1268" s="5">
        <f>IFERROR(__xludf.DUMMYFUNCTION("""COMPUTED_VALUE"""),43563.66666666667)</f>
        <v>43563.66667</v>
      </c>
      <c r="E1268" s="3">
        <f>IFERROR(__xludf.DUMMYFUNCTION("""COMPUTED_VALUE"""),60.19)</f>
        <v>60.19</v>
      </c>
      <c r="F1268" s="3">
        <f t="shared" si="1"/>
        <v>-0.00282040834</v>
      </c>
    </row>
    <row r="1269">
      <c r="A1269" s="6"/>
      <c r="D1269" s="5">
        <f>IFERROR(__xludf.DUMMYFUNCTION("""COMPUTED_VALUE"""),43564.66666666667)</f>
        <v>43564.66667</v>
      </c>
      <c r="E1269" s="3">
        <f>IFERROR(__xludf.DUMMYFUNCTION("""COMPUTED_VALUE"""),59.86)</f>
        <v>59.86</v>
      </c>
      <c r="F1269" s="3">
        <f t="shared" si="1"/>
        <v>-0.005497723135</v>
      </c>
    </row>
    <row r="1270">
      <c r="A1270" s="6"/>
      <c r="D1270" s="5">
        <f>IFERROR(__xludf.DUMMYFUNCTION("""COMPUTED_VALUE"""),43565.66666666667)</f>
        <v>43565.66667</v>
      </c>
      <c r="E1270" s="3">
        <f>IFERROR(__xludf.DUMMYFUNCTION("""COMPUTED_VALUE"""),60.11)</f>
        <v>60.11</v>
      </c>
      <c r="F1270" s="3">
        <f t="shared" si="1"/>
        <v>0.004167714627</v>
      </c>
    </row>
    <row r="1271">
      <c r="A1271" s="6"/>
      <c r="D1271" s="5">
        <f>IFERROR(__xludf.DUMMYFUNCTION("""COMPUTED_VALUE"""),43566.66666666667)</f>
        <v>43566.66667</v>
      </c>
      <c r="E1271" s="3">
        <f>IFERROR(__xludf.DUMMYFUNCTION("""COMPUTED_VALUE"""),60.23)</f>
        <v>60.23</v>
      </c>
      <c r="F1271" s="3">
        <f t="shared" si="1"/>
        <v>0.001994350005</v>
      </c>
    </row>
    <row r="1272">
      <c r="A1272" s="6"/>
      <c r="D1272" s="5">
        <f>IFERROR(__xludf.DUMMYFUNCTION("""COMPUTED_VALUE"""),43567.66666666667)</f>
        <v>43567.66667</v>
      </c>
      <c r="E1272" s="3">
        <f>IFERROR(__xludf.DUMMYFUNCTION("""COMPUTED_VALUE"""),60.89)</f>
        <v>60.89</v>
      </c>
      <c r="F1272" s="3">
        <f t="shared" si="1"/>
        <v>0.01089839056</v>
      </c>
    </row>
    <row r="1273">
      <c r="A1273" s="6"/>
      <c r="D1273" s="5">
        <f>IFERROR(__xludf.DUMMYFUNCTION("""COMPUTED_VALUE"""),43570.66666666667)</f>
        <v>43570.66667</v>
      </c>
      <c r="E1273" s="3">
        <f>IFERROR(__xludf.DUMMYFUNCTION("""COMPUTED_VALUE"""),61.06)</f>
        <v>61.06</v>
      </c>
      <c r="F1273" s="3">
        <f t="shared" si="1"/>
        <v>0.002788029686</v>
      </c>
    </row>
    <row r="1274">
      <c r="A1274" s="6"/>
      <c r="D1274" s="5">
        <f>IFERROR(__xludf.DUMMYFUNCTION("""COMPUTED_VALUE"""),43571.66666666667)</f>
        <v>43571.66667</v>
      </c>
      <c r="E1274" s="3">
        <f>IFERROR(__xludf.DUMMYFUNCTION("""COMPUTED_VALUE"""),61.36)</f>
        <v>61.36</v>
      </c>
      <c r="F1274" s="3">
        <f t="shared" si="1"/>
        <v>0.004901169752</v>
      </c>
    </row>
    <row r="1275">
      <c r="A1275" s="6"/>
      <c r="D1275" s="5">
        <f>IFERROR(__xludf.DUMMYFUNCTION("""COMPUTED_VALUE"""),43572.66666666667)</f>
        <v>43572.66667</v>
      </c>
      <c r="E1275" s="3">
        <f>IFERROR(__xludf.DUMMYFUNCTION("""COMPUTED_VALUE"""),61.82)</f>
        <v>61.82</v>
      </c>
      <c r="F1275" s="3">
        <f t="shared" si="1"/>
        <v>0.007468779645</v>
      </c>
    </row>
    <row r="1276">
      <c r="A1276" s="6"/>
      <c r="D1276" s="5">
        <f>IFERROR(__xludf.DUMMYFUNCTION("""COMPUTED_VALUE"""),43573.66666666667)</f>
        <v>43573.66667</v>
      </c>
      <c r="E1276" s="3">
        <f>IFERROR(__xludf.DUMMYFUNCTION("""COMPUTED_VALUE"""),61.82)</f>
        <v>61.82</v>
      </c>
      <c r="F1276" s="3">
        <f t="shared" si="1"/>
        <v>0</v>
      </c>
    </row>
    <row r="1277">
      <c r="A1277" s="6"/>
      <c r="D1277" s="5">
        <f>IFERROR(__xludf.DUMMYFUNCTION("""COMPUTED_VALUE"""),43577.66666666667)</f>
        <v>43577.66667</v>
      </c>
      <c r="E1277" s="3">
        <f>IFERROR(__xludf.DUMMYFUNCTION("""COMPUTED_VALUE"""),62.44)</f>
        <v>62.44</v>
      </c>
      <c r="F1277" s="3">
        <f t="shared" si="1"/>
        <v>0.009979158943</v>
      </c>
    </row>
    <row r="1278">
      <c r="A1278" s="6"/>
      <c r="D1278" s="5">
        <f>IFERROR(__xludf.DUMMYFUNCTION("""COMPUTED_VALUE"""),43578.66666666667)</f>
        <v>43578.66667</v>
      </c>
      <c r="E1278" s="3">
        <f>IFERROR(__xludf.DUMMYFUNCTION("""COMPUTED_VALUE"""),63.23)</f>
        <v>63.23</v>
      </c>
      <c r="F1278" s="3">
        <f t="shared" si="1"/>
        <v>0.01257277642</v>
      </c>
    </row>
    <row r="1279">
      <c r="A1279" s="6"/>
      <c r="D1279" s="5">
        <f>IFERROR(__xludf.DUMMYFUNCTION("""COMPUTED_VALUE"""),43579.66666666667)</f>
        <v>43579.66667</v>
      </c>
      <c r="E1279" s="3">
        <f>IFERROR(__xludf.DUMMYFUNCTION("""COMPUTED_VALUE"""),62.8)</f>
        <v>62.8</v>
      </c>
      <c r="F1279" s="3">
        <f t="shared" si="1"/>
        <v>-0.006823798596</v>
      </c>
    </row>
    <row r="1280">
      <c r="A1280" s="6"/>
      <c r="D1280" s="5">
        <f>IFERROR(__xludf.DUMMYFUNCTION("""COMPUTED_VALUE"""),43580.66666666667)</f>
        <v>43580.66667</v>
      </c>
      <c r="E1280" s="3">
        <f>IFERROR(__xludf.DUMMYFUNCTION("""COMPUTED_VALUE"""),63.17)</f>
        <v>63.17</v>
      </c>
      <c r="F1280" s="3">
        <f t="shared" si="1"/>
        <v>0.005874431436</v>
      </c>
    </row>
    <row r="1281">
      <c r="A1281" s="6"/>
      <c r="D1281" s="5">
        <f>IFERROR(__xludf.DUMMYFUNCTION("""COMPUTED_VALUE"""),43581.66666666667)</f>
        <v>43581.66667</v>
      </c>
      <c r="E1281" s="3">
        <f>IFERROR(__xludf.DUMMYFUNCTION("""COMPUTED_VALUE"""),63.61)</f>
        <v>63.61</v>
      </c>
      <c r="F1281" s="3">
        <f t="shared" si="1"/>
        <v>0.00694118578</v>
      </c>
    </row>
    <row r="1282">
      <c r="A1282" s="6"/>
      <c r="D1282" s="5">
        <f>IFERROR(__xludf.DUMMYFUNCTION("""COMPUTED_VALUE"""),43584.66666666667)</f>
        <v>43584.66667</v>
      </c>
      <c r="E1282" s="3">
        <f>IFERROR(__xludf.DUMMYFUNCTION("""COMPUTED_VALUE"""),64.38)</f>
        <v>64.38</v>
      </c>
      <c r="F1282" s="3">
        <f t="shared" si="1"/>
        <v>0.01203233518</v>
      </c>
    </row>
    <row r="1283">
      <c r="A1283" s="6"/>
      <c r="D1283" s="5">
        <f>IFERROR(__xludf.DUMMYFUNCTION("""COMPUTED_VALUE"""),43585.66666666667)</f>
        <v>43585.66667</v>
      </c>
      <c r="E1283" s="3">
        <f>IFERROR(__xludf.DUMMYFUNCTION("""COMPUTED_VALUE"""),59.42)</f>
        <v>59.42</v>
      </c>
      <c r="F1283" s="3">
        <f t="shared" si="1"/>
        <v>-0.08017215584</v>
      </c>
    </row>
    <row r="1284">
      <c r="A1284" s="6"/>
      <c r="D1284" s="5">
        <f>IFERROR(__xludf.DUMMYFUNCTION("""COMPUTED_VALUE"""),43586.66666666667)</f>
        <v>43586.66667</v>
      </c>
      <c r="E1284" s="3">
        <f>IFERROR(__xludf.DUMMYFUNCTION("""COMPUTED_VALUE"""),58.4)</f>
        <v>58.4</v>
      </c>
      <c r="F1284" s="3">
        <f t="shared" si="1"/>
        <v>-0.0173149802</v>
      </c>
    </row>
    <row r="1285">
      <c r="A1285" s="6"/>
      <c r="D1285" s="5">
        <f>IFERROR(__xludf.DUMMYFUNCTION("""COMPUTED_VALUE"""),43587.66666666667)</f>
        <v>43587.66667</v>
      </c>
      <c r="E1285" s="3">
        <f>IFERROR(__xludf.DUMMYFUNCTION("""COMPUTED_VALUE"""),58.13)</f>
        <v>58.13</v>
      </c>
      <c r="F1285" s="3">
        <f t="shared" si="1"/>
        <v>-0.004634008121</v>
      </c>
    </row>
    <row r="1286">
      <c r="A1286" s="6"/>
      <c r="D1286" s="5">
        <f>IFERROR(__xludf.DUMMYFUNCTION("""COMPUTED_VALUE"""),43588.66666666667)</f>
        <v>43588.66667</v>
      </c>
      <c r="E1286" s="3">
        <f>IFERROR(__xludf.DUMMYFUNCTION("""COMPUTED_VALUE"""),59.27)</f>
        <v>59.27</v>
      </c>
      <c r="F1286" s="3">
        <f t="shared" si="1"/>
        <v>0.01942139409</v>
      </c>
    </row>
    <row r="1287">
      <c r="A1287" s="6"/>
      <c r="D1287" s="5">
        <f>IFERROR(__xludf.DUMMYFUNCTION("""COMPUTED_VALUE"""),43591.66666666667)</f>
        <v>43591.66667</v>
      </c>
      <c r="E1287" s="3">
        <f>IFERROR(__xludf.DUMMYFUNCTION("""COMPUTED_VALUE"""),59.47)</f>
        <v>59.47</v>
      </c>
      <c r="F1287" s="3">
        <f t="shared" si="1"/>
        <v>0.003368707919</v>
      </c>
    </row>
    <row r="1288">
      <c r="A1288" s="6"/>
      <c r="D1288" s="5">
        <f>IFERROR(__xludf.DUMMYFUNCTION("""COMPUTED_VALUE"""),43592.66666666667)</f>
        <v>43592.66667</v>
      </c>
      <c r="E1288" s="3">
        <f>IFERROR(__xludf.DUMMYFUNCTION("""COMPUTED_VALUE"""),58.71)</f>
        <v>58.71</v>
      </c>
      <c r="F1288" s="3">
        <f t="shared" si="1"/>
        <v>-0.01286191364</v>
      </c>
    </row>
    <row r="1289">
      <c r="A1289" s="6"/>
      <c r="D1289" s="5">
        <f>IFERROR(__xludf.DUMMYFUNCTION("""COMPUTED_VALUE"""),43593.66666666667)</f>
        <v>43593.66667</v>
      </c>
      <c r="E1289" s="3">
        <f>IFERROR(__xludf.DUMMYFUNCTION("""COMPUTED_VALUE"""),58.31)</f>
        <v>58.31</v>
      </c>
      <c r="F1289" s="3">
        <f t="shared" si="1"/>
        <v>-0.006836464842</v>
      </c>
    </row>
    <row r="1290">
      <c r="A1290" s="6"/>
      <c r="D1290" s="5">
        <f>IFERROR(__xludf.DUMMYFUNCTION("""COMPUTED_VALUE"""),43594.66666666667)</f>
        <v>43594.66667</v>
      </c>
      <c r="E1290" s="3">
        <f>IFERROR(__xludf.DUMMYFUNCTION("""COMPUTED_VALUE"""),58.12)</f>
        <v>58.12</v>
      </c>
      <c r="F1290" s="3">
        <f t="shared" si="1"/>
        <v>-0.003263766532</v>
      </c>
    </row>
    <row r="1291">
      <c r="A1291" s="6"/>
      <c r="D1291" s="5">
        <f>IFERROR(__xludf.DUMMYFUNCTION("""COMPUTED_VALUE"""),43595.66666666667)</f>
        <v>43595.66667</v>
      </c>
      <c r="E1291" s="3">
        <f>IFERROR(__xludf.DUMMYFUNCTION("""COMPUTED_VALUE"""),58.21)</f>
        <v>58.21</v>
      </c>
      <c r="F1291" s="3">
        <f t="shared" si="1"/>
        <v>0.001547322582</v>
      </c>
    </row>
    <row r="1292">
      <c r="A1292" s="6"/>
      <c r="D1292" s="5">
        <f>IFERROR(__xludf.DUMMYFUNCTION("""COMPUTED_VALUE"""),43598.66666666667)</f>
        <v>43598.66667</v>
      </c>
      <c r="E1292" s="3">
        <f>IFERROR(__xludf.DUMMYFUNCTION("""COMPUTED_VALUE"""),56.6)</f>
        <v>56.6</v>
      </c>
      <c r="F1292" s="3">
        <f t="shared" si="1"/>
        <v>-0.02804817607</v>
      </c>
    </row>
    <row r="1293">
      <c r="A1293" s="6"/>
      <c r="D1293" s="5">
        <f>IFERROR(__xludf.DUMMYFUNCTION("""COMPUTED_VALUE"""),43599.66666666667)</f>
        <v>43599.66667</v>
      </c>
      <c r="E1293" s="3">
        <f>IFERROR(__xludf.DUMMYFUNCTION("""COMPUTED_VALUE"""),56.02)</f>
        <v>56.02</v>
      </c>
      <c r="F1293" s="3">
        <f t="shared" si="1"/>
        <v>-0.01030021538</v>
      </c>
    </row>
    <row r="1294">
      <c r="A1294" s="6"/>
      <c r="D1294" s="5">
        <f>IFERROR(__xludf.DUMMYFUNCTION("""COMPUTED_VALUE"""),43600.66666666667)</f>
        <v>43600.66667</v>
      </c>
      <c r="E1294" s="3">
        <f>IFERROR(__xludf.DUMMYFUNCTION("""COMPUTED_VALUE"""),58.21)</f>
        <v>58.21</v>
      </c>
      <c r="F1294" s="3">
        <f t="shared" si="1"/>
        <v>0.03834839145</v>
      </c>
    </row>
    <row r="1295">
      <c r="A1295" s="6"/>
      <c r="D1295" s="5">
        <f>IFERROR(__xludf.DUMMYFUNCTION("""COMPUTED_VALUE"""),43601.66666666667)</f>
        <v>43601.66667</v>
      </c>
      <c r="E1295" s="3">
        <f>IFERROR(__xludf.DUMMYFUNCTION("""COMPUTED_VALUE"""),58.95)</f>
        <v>58.95</v>
      </c>
      <c r="F1295" s="3">
        <f t="shared" si="1"/>
        <v>0.0126324657</v>
      </c>
    </row>
    <row r="1296">
      <c r="A1296" s="6"/>
      <c r="D1296" s="5">
        <f>IFERROR(__xludf.DUMMYFUNCTION("""COMPUTED_VALUE"""),43602.66666666667)</f>
        <v>43602.66667</v>
      </c>
      <c r="E1296" s="3">
        <f>IFERROR(__xludf.DUMMYFUNCTION("""COMPUTED_VALUE"""),58.12)</f>
        <v>58.12</v>
      </c>
      <c r="F1296" s="3">
        <f t="shared" si="1"/>
        <v>-0.01417978828</v>
      </c>
    </row>
    <row r="1297">
      <c r="A1297" s="6"/>
      <c r="D1297" s="5">
        <f>IFERROR(__xludf.DUMMYFUNCTION("""COMPUTED_VALUE"""),43605.66666666667)</f>
        <v>43605.66667</v>
      </c>
      <c r="E1297" s="3">
        <f>IFERROR(__xludf.DUMMYFUNCTION("""COMPUTED_VALUE"""),56.94)</f>
        <v>56.94</v>
      </c>
      <c r="F1297" s="3">
        <f t="shared" si="1"/>
        <v>-0.02051175685</v>
      </c>
    </row>
    <row r="1298">
      <c r="A1298" s="6"/>
      <c r="D1298" s="5">
        <f>IFERROR(__xludf.DUMMYFUNCTION("""COMPUTED_VALUE"""),43606.66666666667)</f>
        <v>43606.66667</v>
      </c>
      <c r="E1298" s="3">
        <f>IFERROR(__xludf.DUMMYFUNCTION("""COMPUTED_VALUE"""),57.48)</f>
        <v>57.48</v>
      </c>
      <c r="F1298" s="3">
        <f t="shared" si="1"/>
        <v>0.009438979361</v>
      </c>
    </row>
    <row r="1299">
      <c r="A1299" s="6"/>
      <c r="D1299" s="5">
        <f>IFERROR(__xludf.DUMMYFUNCTION("""COMPUTED_VALUE"""),43607.66666666667)</f>
        <v>43607.66667</v>
      </c>
      <c r="E1299" s="3">
        <f>IFERROR(__xludf.DUMMYFUNCTION("""COMPUTED_VALUE"""),57.57)</f>
        <v>57.57</v>
      </c>
      <c r="F1299" s="3">
        <f t="shared" si="1"/>
        <v>0.001564537477</v>
      </c>
    </row>
    <row r="1300">
      <c r="A1300" s="6"/>
      <c r="D1300" s="5">
        <f>IFERROR(__xludf.DUMMYFUNCTION("""COMPUTED_VALUE"""),43608.66666666667)</f>
        <v>43608.66667</v>
      </c>
      <c r="E1300" s="3">
        <f>IFERROR(__xludf.DUMMYFUNCTION("""COMPUTED_VALUE"""),57.04)</f>
        <v>57.04</v>
      </c>
      <c r="F1300" s="3">
        <f t="shared" si="1"/>
        <v>-0.009248822582</v>
      </c>
    </row>
    <row r="1301">
      <c r="A1301" s="6"/>
      <c r="D1301" s="5">
        <f>IFERROR(__xludf.DUMMYFUNCTION("""COMPUTED_VALUE"""),43609.66666666667)</f>
        <v>43609.66667</v>
      </c>
      <c r="E1301" s="3">
        <f>IFERROR(__xludf.DUMMYFUNCTION("""COMPUTED_VALUE"""),56.67)</f>
        <v>56.67</v>
      </c>
      <c r="F1301" s="3">
        <f t="shared" si="1"/>
        <v>-0.006507805925</v>
      </c>
    </row>
    <row r="1302">
      <c r="A1302" s="6"/>
      <c r="D1302" s="5">
        <f>IFERROR(__xludf.DUMMYFUNCTION("""COMPUTED_VALUE"""),43613.66666666667)</f>
        <v>43613.66667</v>
      </c>
      <c r="E1302" s="3">
        <f>IFERROR(__xludf.DUMMYFUNCTION("""COMPUTED_VALUE"""),56.71)</f>
        <v>56.71</v>
      </c>
      <c r="F1302" s="3">
        <f t="shared" si="1"/>
        <v>0.0007055918444</v>
      </c>
    </row>
    <row r="1303">
      <c r="A1303" s="6"/>
      <c r="D1303" s="5">
        <f>IFERROR(__xludf.DUMMYFUNCTION("""COMPUTED_VALUE"""),43614.66666666667)</f>
        <v>43614.66667</v>
      </c>
      <c r="E1303" s="3">
        <f>IFERROR(__xludf.DUMMYFUNCTION("""COMPUTED_VALUE"""),55.82)</f>
        <v>55.82</v>
      </c>
      <c r="F1303" s="3">
        <f t="shared" si="1"/>
        <v>-0.01581833392</v>
      </c>
    </row>
    <row r="1304">
      <c r="A1304" s="6"/>
      <c r="D1304" s="5">
        <f>IFERROR(__xludf.DUMMYFUNCTION("""COMPUTED_VALUE"""),43615.66666666667)</f>
        <v>43615.66667</v>
      </c>
      <c r="E1304" s="3">
        <f>IFERROR(__xludf.DUMMYFUNCTION("""COMPUTED_VALUE"""),55.9)</f>
        <v>55.9</v>
      </c>
      <c r="F1304" s="3">
        <f t="shared" si="1"/>
        <v>0.001432152053</v>
      </c>
    </row>
    <row r="1305">
      <c r="A1305" s="6"/>
      <c r="D1305" s="5">
        <f>IFERROR(__xludf.DUMMYFUNCTION("""COMPUTED_VALUE"""),43616.66666666667)</f>
        <v>43616.66667</v>
      </c>
      <c r="E1305" s="3">
        <f>IFERROR(__xludf.DUMMYFUNCTION("""COMPUTED_VALUE"""),55.18)</f>
        <v>55.18</v>
      </c>
      <c r="F1305" s="3">
        <f t="shared" si="1"/>
        <v>-0.01296381137</v>
      </c>
    </row>
    <row r="1306">
      <c r="A1306" s="6"/>
      <c r="D1306" s="5">
        <f>IFERROR(__xludf.DUMMYFUNCTION("""COMPUTED_VALUE"""),43619.66666666667)</f>
        <v>43619.66667</v>
      </c>
      <c r="E1306" s="3">
        <f>IFERROR(__xludf.DUMMYFUNCTION("""COMPUTED_VALUE"""),51.81)</f>
        <v>51.81</v>
      </c>
      <c r="F1306" s="3">
        <f t="shared" si="1"/>
        <v>-0.06301738796</v>
      </c>
    </row>
    <row r="1307">
      <c r="A1307" s="6"/>
      <c r="D1307" s="5">
        <f>IFERROR(__xludf.DUMMYFUNCTION("""COMPUTED_VALUE"""),43620.66666666667)</f>
        <v>43620.66667</v>
      </c>
      <c r="E1307" s="3">
        <f>IFERROR(__xludf.DUMMYFUNCTION("""COMPUTED_VALUE"""),52.65)</f>
        <v>52.65</v>
      </c>
      <c r="F1307" s="3">
        <f t="shared" si="1"/>
        <v>0.01608305775</v>
      </c>
    </row>
    <row r="1308">
      <c r="A1308" s="6"/>
      <c r="D1308" s="5">
        <f>IFERROR(__xludf.DUMMYFUNCTION("""COMPUTED_VALUE"""),43621.66666666667)</f>
        <v>43621.66667</v>
      </c>
      <c r="E1308" s="3">
        <f>IFERROR(__xludf.DUMMYFUNCTION("""COMPUTED_VALUE"""),52.11)</f>
        <v>52.11</v>
      </c>
      <c r="F1308" s="3">
        <f t="shared" si="1"/>
        <v>-0.01030936966</v>
      </c>
    </row>
    <row r="1309">
      <c r="A1309" s="6"/>
      <c r="D1309" s="5">
        <f>IFERROR(__xludf.DUMMYFUNCTION("""COMPUTED_VALUE"""),43622.66666666667)</f>
        <v>43622.66667</v>
      </c>
      <c r="E1309" s="3">
        <f>IFERROR(__xludf.DUMMYFUNCTION("""COMPUTED_VALUE"""),52.22)</f>
        <v>52.22</v>
      </c>
      <c r="F1309" s="3">
        <f t="shared" si="1"/>
        <v>0.00210869435</v>
      </c>
    </row>
    <row r="1310">
      <c r="A1310" s="6"/>
      <c r="D1310" s="5">
        <f>IFERROR(__xludf.DUMMYFUNCTION("""COMPUTED_VALUE"""),43623.66666666667)</f>
        <v>43623.66667</v>
      </c>
      <c r="E1310" s="3">
        <f>IFERROR(__xludf.DUMMYFUNCTION("""COMPUTED_VALUE"""),53.3)</f>
        <v>53.3</v>
      </c>
      <c r="F1310" s="3">
        <f t="shared" si="1"/>
        <v>0.0204707679</v>
      </c>
    </row>
    <row r="1311">
      <c r="A1311" s="6"/>
      <c r="D1311" s="5">
        <f>IFERROR(__xludf.DUMMYFUNCTION("""COMPUTED_VALUE"""),43626.66666666667)</f>
        <v>43626.66667</v>
      </c>
      <c r="E1311" s="3">
        <f>IFERROR(__xludf.DUMMYFUNCTION("""COMPUTED_VALUE"""),54.02)</f>
        <v>54.02</v>
      </c>
      <c r="F1311" s="3">
        <f t="shared" si="1"/>
        <v>0.01341801719</v>
      </c>
    </row>
    <row r="1312">
      <c r="A1312" s="6"/>
      <c r="D1312" s="5">
        <f>IFERROR(__xludf.DUMMYFUNCTION("""COMPUTED_VALUE"""),43627.66666666667)</f>
        <v>43627.66667</v>
      </c>
      <c r="E1312" s="3">
        <f>IFERROR(__xludf.DUMMYFUNCTION("""COMPUTED_VALUE"""),53.94)</f>
        <v>53.94</v>
      </c>
      <c r="F1312" s="3">
        <f t="shared" si="1"/>
        <v>-0.001482030653</v>
      </c>
    </row>
    <row r="1313">
      <c r="A1313" s="6"/>
      <c r="D1313" s="5">
        <f>IFERROR(__xludf.DUMMYFUNCTION("""COMPUTED_VALUE"""),43628.66666666667)</f>
        <v>43628.66667</v>
      </c>
      <c r="E1313" s="3">
        <f>IFERROR(__xludf.DUMMYFUNCTION("""COMPUTED_VALUE"""),53.85)</f>
        <v>53.85</v>
      </c>
      <c r="F1313" s="3">
        <f t="shared" si="1"/>
        <v>-0.001669914109</v>
      </c>
    </row>
    <row r="1314">
      <c r="A1314" s="6"/>
      <c r="D1314" s="5">
        <f>IFERROR(__xludf.DUMMYFUNCTION("""COMPUTED_VALUE"""),43629.66666666667)</f>
        <v>43629.66667</v>
      </c>
      <c r="E1314" s="3">
        <f>IFERROR(__xludf.DUMMYFUNCTION("""COMPUTED_VALUE"""),54.44)</f>
        <v>54.44</v>
      </c>
      <c r="F1314" s="3">
        <f t="shared" si="1"/>
        <v>0.01089677418</v>
      </c>
    </row>
    <row r="1315">
      <c r="A1315" s="6"/>
      <c r="D1315" s="5">
        <f>IFERROR(__xludf.DUMMYFUNCTION("""COMPUTED_VALUE"""),43630.66666666667)</f>
        <v>43630.66667</v>
      </c>
      <c r="E1315" s="3">
        <f>IFERROR(__xludf.DUMMYFUNCTION("""COMPUTED_VALUE"""),54.27)</f>
        <v>54.27</v>
      </c>
      <c r="F1315" s="3">
        <f t="shared" si="1"/>
        <v>-0.003127589708</v>
      </c>
    </row>
    <row r="1316">
      <c r="A1316" s="6"/>
      <c r="D1316" s="5">
        <f>IFERROR(__xludf.DUMMYFUNCTION("""COMPUTED_VALUE"""),43633.66666666667)</f>
        <v>43633.66667</v>
      </c>
      <c r="E1316" s="3">
        <f>IFERROR(__xludf.DUMMYFUNCTION("""COMPUTED_VALUE"""),54.63)</f>
        <v>54.63</v>
      </c>
      <c r="F1316" s="3">
        <f t="shared" si="1"/>
        <v>0.006611594332</v>
      </c>
    </row>
    <row r="1317">
      <c r="A1317" s="6"/>
      <c r="D1317" s="5">
        <f>IFERROR(__xludf.DUMMYFUNCTION("""COMPUTED_VALUE"""),43634.66666666667)</f>
        <v>43634.66667</v>
      </c>
      <c r="E1317" s="3">
        <f>IFERROR(__xludf.DUMMYFUNCTION("""COMPUTED_VALUE"""),55.18)</f>
        <v>55.18</v>
      </c>
      <c r="F1317" s="3">
        <f t="shared" si="1"/>
        <v>0.01001738638</v>
      </c>
    </row>
    <row r="1318">
      <c r="A1318" s="6"/>
      <c r="D1318" s="5">
        <f>IFERROR(__xludf.DUMMYFUNCTION("""COMPUTED_VALUE"""),43635.66666666667)</f>
        <v>43635.66667</v>
      </c>
      <c r="E1318" s="3">
        <f>IFERROR(__xludf.DUMMYFUNCTION("""COMPUTED_VALUE"""),55.12)</f>
        <v>55.12</v>
      </c>
      <c r="F1318" s="3">
        <f t="shared" si="1"/>
        <v>-0.001087942084</v>
      </c>
    </row>
    <row r="1319">
      <c r="A1319" s="6"/>
      <c r="D1319" s="5">
        <f>IFERROR(__xludf.DUMMYFUNCTION("""COMPUTED_VALUE"""),43636.66666666667)</f>
        <v>43636.66667</v>
      </c>
      <c r="E1319" s="3">
        <f>IFERROR(__xludf.DUMMYFUNCTION("""COMPUTED_VALUE"""),55.57)</f>
        <v>55.57</v>
      </c>
      <c r="F1319" s="3">
        <f t="shared" si="1"/>
        <v>0.008130860586</v>
      </c>
    </row>
    <row r="1320">
      <c r="A1320" s="6"/>
      <c r="D1320" s="5">
        <f>IFERROR(__xludf.DUMMYFUNCTION("""COMPUTED_VALUE"""),43637.66666666667)</f>
        <v>43637.66667</v>
      </c>
      <c r="E1320" s="3">
        <f>IFERROR(__xludf.DUMMYFUNCTION("""COMPUTED_VALUE"""),56.09)</f>
        <v>56.09</v>
      </c>
      <c r="F1320" s="3">
        <f t="shared" si="1"/>
        <v>0.009314056228</v>
      </c>
    </row>
    <row r="1321">
      <c r="A1321" s="6"/>
      <c r="D1321" s="5">
        <f>IFERROR(__xludf.DUMMYFUNCTION("""COMPUTED_VALUE"""),43640.66666666667)</f>
        <v>43640.66667</v>
      </c>
      <c r="E1321" s="3">
        <f>IFERROR(__xludf.DUMMYFUNCTION("""COMPUTED_VALUE"""),55.78)</f>
        <v>55.78</v>
      </c>
      <c r="F1321" s="3">
        <f t="shared" si="1"/>
        <v>-0.005542161321</v>
      </c>
    </row>
    <row r="1322">
      <c r="A1322" s="6"/>
      <c r="D1322" s="5">
        <f>IFERROR(__xludf.DUMMYFUNCTION("""COMPUTED_VALUE"""),43641.66666666667)</f>
        <v>43641.66667</v>
      </c>
      <c r="E1322" s="3">
        <f>IFERROR(__xludf.DUMMYFUNCTION("""COMPUTED_VALUE"""),54.32)</f>
        <v>54.32</v>
      </c>
      <c r="F1322" s="3">
        <f t="shared" si="1"/>
        <v>-0.02652289895</v>
      </c>
    </row>
    <row r="1323">
      <c r="A1323" s="6"/>
      <c r="D1323" s="5">
        <f>IFERROR(__xludf.DUMMYFUNCTION("""COMPUTED_VALUE"""),43642.66666666667)</f>
        <v>43642.66667</v>
      </c>
      <c r="E1323" s="3">
        <f>IFERROR(__xludf.DUMMYFUNCTION("""COMPUTED_VALUE"""),53.99)</f>
        <v>53.99</v>
      </c>
      <c r="F1323" s="3">
        <f t="shared" si="1"/>
        <v>-0.00609363902</v>
      </c>
    </row>
    <row r="1324">
      <c r="A1324" s="6"/>
      <c r="D1324" s="5">
        <f>IFERROR(__xludf.DUMMYFUNCTION("""COMPUTED_VALUE"""),43643.66666666667)</f>
        <v>43643.66667</v>
      </c>
      <c r="E1324" s="3">
        <f>IFERROR(__xludf.DUMMYFUNCTION("""COMPUTED_VALUE"""),53.8)</f>
        <v>53.8</v>
      </c>
      <c r="F1324" s="3">
        <f t="shared" si="1"/>
        <v>-0.003525377062</v>
      </c>
    </row>
    <row r="1325">
      <c r="A1325" s="6"/>
      <c r="D1325" s="5">
        <f>IFERROR(__xludf.DUMMYFUNCTION("""COMPUTED_VALUE"""),43644.66666666667)</f>
        <v>43644.66667</v>
      </c>
      <c r="E1325" s="3">
        <f>IFERROR(__xludf.DUMMYFUNCTION("""COMPUTED_VALUE"""),54.05)</f>
        <v>54.05</v>
      </c>
      <c r="F1325" s="3">
        <f t="shared" si="1"/>
        <v>0.004636076917</v>
      </c>
    </row>
    <row r="1326">
      <c r="A1326" s="6"/>
      <c r="D1326" s="5">
        <f>IFERROR(__xludf.DUMMYFUNCTION("""COMPUTED_VALUE"""),43647.66666666667)</f>
        <v>43647.66667</v>
      </c>
      <c r="E1326" s="3">
        <f>IFERROR(__xludf.DUMMYFUNCTION("""COMPUTED_VALUE"""),54.9)</f>
        <v>54.9</v>
      </c>
      <c r="F1326" s="3">
        <f t="shared" si="1"/>
        <v>0.01560380443</v>
      </c>
    </row>
    <row r="1327">
      <c r="A1327" s="6"/>
      <c r="D1327" s="5">
        <f>IFERROR(__xludf.DUMMYFUNCTION("""COMPUTED_VALUE"""),43648.66666666667)</f>
        <v>43648.66667</v>
      </c>
      <c r="E1327" s="3">
        <f>IFERROR(__xludf.DUMMYFUNCTION("""COMPUTED_VALUE"""),55.56)</f>
        <v>55.56</v>
      </c>
      <c r="F1327" s="3">
        <f t="shared" si="1"/>
        <v>0.01195016937</v>
      </c>
    </row>
    <row r="1328">
      <c r="A1328" s="6"/>
      <c r="D1328" s="5">
        <f>IFERROR(__xludf.DUMMYFUNCTION("""COMPUTED_VALUE"""),43649.54166666667)</f>
        <v>43649.54167</v>
      </c>
      <c r="E1328" s="3">
        <f>IFERROR(__xludf.DUMMYFUNCTION("""COMPUTED_VALUE"""),56.08)</f>
        <v>56.08</v>
      </c>
      <c r="F1328" s="3">
        <f t="shared" si="1"/>
        <v>0.00931572484</v>
      </c>
    </row>
    <row r="1329">
      <c r="A1329" s="6"/>
      <c r="D1329" s="5">
        <f>IFERROR(__xludf.DUMMYFUNCTION("""COMPUTED_VALUE"""),43651.66666666667)</f>
        <v>43651.66667</v>
      </c>
      <c r="E1329" s="3">
        <f>IFERROR(__xludf.DUMMYFUNCTION("""COMPUTED_VALUE"""),56.58)</f>
        <v>56.58</v>
      </c>
      <c r="F1329" s="3">
        <f t="shared" si="1"/>
        <v>0.008876323147</v>
      </c>
    </row>
    <row r="1330">
      <c r="A1330" s="6"/>
      <c r="D1330" s="5">
        <f>IFERROR(__xludf.DUMMYFUNCTION("""COMPUTED_VALUE"""),43654.66666666667)</f>
        <v>43654.66667</v>
      </c>
      <c r="E1330" s="3">
        <f>IFERROR(__xludf.DUMMYFUNCTION("""COMPUTED_VALUE"""),55.82)</f>
        <v>55.82</v>
      </c>
      <c r="F1330" s="3">
        <f t="shared" si="1"/>
        <v>-0.01352333777</v>
      </c>
    </row>
    <row r="1331">
      <c r="A1331" s="6"/>
      <c r="D1331" s="5">
        <f>IFERROR(__xludf.DUMMYFUNCTION("""COMPUTED_VALUE"""),43655.66666666667)</f>
        <v>43655.66667</v>
      </c>
      <c r="E1331" s="3">
        <f>IFERROR(__xludf.DUMMYFUNCTION("""COMPUTED_VALUE"""),56.24)</f>
        <v>56.24</v>
      </c>
      <c r="F1331" s="3">
        <f t="shared" si="1"/>
        <v>0.007496019394</v>
      </c>
    </row>
    <row r="1332">
      <c r="A1332" s="6"/>
      <c r="D1332" s="5">
        <f>IFERROR(__xludf.DUMMYFUNCTION("""COMPUTED_VALUE"""),43656.66666666667)</f>
        <v>43656.66667</v>
      </c>
      <c r="E1332" s="3">
        <f>IFERROR(__xludf.DUMMYFUNCTION("""COMPUTED_VALUE"""),57.02)</f>
        <v>57.02</v>
      </c>
      <c r="F1332" s="3">
        <f t="shared" si="1"/>
        <v>0.01377383598</v>
      </c>
    </row>
    <row r="1333">
      <c r="A1333" s="6"/>
      <c r="D1333" s="5">
        <f>IFERROR(__xludf.DUMMYFUNCTION("""COMPUTED_VALUE"""),43657.66666666667)</f>
        <v>43657.66667</v>
      </c>
      <c r="E1333" s="3">
        <f>IFERROR(__xludf.DUMMYFUNCTION("""COMPUTED_VALUE"""),57.21)</f>
        <v>57.21</v>
      </c>
      <c r="F1333" s="3">
        <f t="shared" si="1"/>
        <v>0.003326624796</v>
      </c>
    </row>
    <row r="1334">
      <c r="A1334" s="6"/>
      <c r="D1334" s="5">
        <f>IFERROR(__xludf.DUMMYFUNCTION("""COMPUTED_VALUE"""),43658.66666666667)</f>
        <v>43658.66667</v>
      </c>
      <c r="E1334" s="3">
        <f>IFERROR(__xludf.DUMMYFUNCTION("""COMPUTED_VALUE"""),57.25)</f>
        <v>57.25</v>
      </c>
      <c r="F1334" s="3">
        <f t="shared" si="1"/>
        <v>0.0006989341539</v>
      </c>
    </row>
    <row r="1335">
      <c r="A1335" s="6"/>
      <c r="D1335" s="5">
        <f>IFERROR(__xludf.DUMMYFUNCTION("""COMPUTED_VALUE"""),43661.66666666667)</f>
        <v>43661.66667</v>
      </c>
      <c r="E1335" s="3">
        <f>IFERROR(__xludf.DUMMYFUNCTION("""COMPUTED_VALUE"""),57.52)</f>
        <v>57.52</v>
      </c>
      <c r="F1335" s="3">
        <f t="shared" si="1"/>
        <v>0.004705070978</v>
      </c>
    </row>
    <row r="1336">
      <c r="A1336" s="6"/>
      <c r="D1336" s="5">
        <f>IFERROR(__xludf.DUMMYFUNCTION("""COMPUTED_VALUE"""),43662.66666666667)</f>
        <v>43662.66667</v>
      </c>
      <c r="E1336" s="3">
        <f>IFERROR(__xludf.DUMMYFUNCTION("""COMPUTED_VALUE"""),57.68)</f>
        <v>57.68</v>
      </c>
      <c r="F1336" s="3">
        <f t="shared" si="1"/>
        <v>0.002777779564</v>
      </c>
    </row>
    <row r="1337">
      <c r="A1337" s="6"/>
      <c r="D1337" s="5">
        <f>IFERROR(__xludf.DUMMYFUNCTION("""COMPUTED_VALUE"""),43663.66666666667)</f>
        <v>43663.66667</v>
      </c>
      <c r="E1337" s="3">
        <f>IFERROR(__xludf.DUMMYFUNCTION("""COMPUTED_VALUE"""),57.32)</f>
        <v>57.32</v>
      </c>
      <c r="F1337" s="3">
        <f t="shared" si="1"/>
        <v>-0.006260890017</v>
      </c>
    </row>
    <row r="1338">
      <c r="A1338" s="6"/>
      <c r="D1338" s="5">
        <f>IFERROR(__xludf.DUMMYFUNCTION("""COMPUTED_VALUE"""),43664.66666666667)</f>
        <v>43664.66667</v>
      </c>
      <c r="E1338" s="3">
        <f>IFERROR(__xludf.DUMMYFUNCTION("""COMPUTED_VALUE"""),57.32)</f>
        <v>57.32</v>
      </c>
      <c r="F1338" s="3">
        <f t="shared" si="1"/>
        <v>0</v>
      </c>
    </row>
    <row r="1339">
      <c r="A1339" s="6"/>
      <c r="D1339" s="5">
        <f>IFERROR(__xludf.DUMMYFUNCTION("""COMPUTED_VALUE"""),43665.66666666667)</f>
        <v>43665.66667</v>
      </c>
      <c r="E1339" s="3">
        <f>IFERROR(__xludf.DUMMYFUNCTION("""COMPUTED_VALUE"""),56.51)</f>
        <v>56.51</v>
      </c>
      <c r="F1339" s="3">
        <f t="shared" si="1"/>
        <v>-0.01423198932</v>
      </c>
    </row>
    <row r="1340">
      <c r="A1340" s="6"/>
      <c r="D1340" s="5">
        <f>IFERROR(__xludf.DUMMYFUNCTION("""COMPUTED_VALUE"""),43668.66666666667)</f>
        <v>43668.66667</v>
      </c>
      <c r="E1340" s="3">
        <f>IFERROR(__xludf.DUMMYFUNCTION("""COMPUTED_VALUE"""),56.9)</f>
        <v>56.9</v>
      </c>
      <c r="F1340" s="3">
        <f t="shared" si="1"/>
        <v>0.006877727491</v>
      </c>
    </row>
    <row r="1341">
      <c r="A1341" s="6"/>
      <c r="D1341" s="5">
        <f>IFERROR(__xludf.DUMMYFUNCTION("""COMPUTED_VALUE"""),43669.66666666667)</f>
        <v>43669.66667</v>
      </c>
      <c r="E1341" s="3">
        <f>IFERROR(__xludf.DUMMYFUNCTION("""COMPUTED_VALUE"""),57.31)</f>
        <v>57.31</v>
      </c>
      <c r="F1341" s="3">
        <f t="shared" si="1"/>
        <v>0.007179787431</v>
      </c>
    </row>
    <row r="1342">
      <c r="A1342" s="6"/>
      <c r="D1342" s="5">
        <f>IFERROR(__xludf.DUMMYFUNCTION("""COMPUTED_VALUE"""),43670.66666666667)</f>
        <v>43670.66667</v>
      </c>
      <c r="E1342" s="3">
        <f>IFERROR(__xludf.DUMMYFUNCTION("""COMPUTED_VALUE"""),56.89)</f>
        <v>56.89</v>
      </c>
      <c r="F1342" s="3">
        <f t="shared" si="1"/>
        <v>-0.007355549801</v>
      </c>
    </row>
    <row r="1343">
      <c r="A1343" s="6"/>
      <c r="D1343" s="5">
        <f>IFERROR(__xludf.DUMMYFUNCTION("""COMPUTED_VALUE"""),43671.66666666667)</f>
        <v>43671.66667</v>
      </c>
      <c r="E1343" s="3">
        <f>IFERROR(__xludf.DUMMYFUNCTION("""COMPUTED_VALUE"""),56.61)</f>
        <v>56.61</v>
      </c>
      <c r="F1343" s="3">
        <f t="shared" si="1"/>
        <v>-0.004933930714</v>
      </c>
    </row>
    <row r="1344">
      <c r="A1344" s="6"/>
      <c r="D1344" s="5">
        <f>IFERROR(__xludf.DUMMYFUNCTION("""COMPUTED_VALUE"""),43672.66666666667)</f>
        <v>43672.66667</v>
      </c>
      <c r="E1344" s="3">
        <f>IFERROR(__xludf.DUMMYFUNCTION("""COMPUTED_VALUE"""),62.52)</f>
        <v>62.52</v>
      </c>
      <c r="F1344" s="3">
        <f t="shared" si="1"/>
        <v>0.0993008575</v>
      </c>
    </row>
    <row r="1345">
      <c r="A1345" s="6"/>
      <c r="D1345" s="5">
        <f>IFERROR(__xludf.DUMMYFUNCTION("""COMPUTED_VALUE"""),43675.66666666667)</f>
        <v>43675.66667</v>
      </c>
      <c r="E1345" s="3">
        <f>IFERROR(__xludf.DUMMYFUNCTION("""COMPUTED_VALUE"""),61.97)</f>
        <v>61.97</v>
      </c>
      <c r="F1345" s="3">
        <f t="shared" si="1"/>
        <v>-0.008836108579</v>
      </c>
    </row>
    <row r="1346">
      <c r="A1346" s="6"/>
      <c r="D1346" s="5">
        <f>IFERROR(__xludf.DUMMYFUNCTION("""COMPUTED_VALUE"""),43676.66666666667)</f>
        <v>43676.66667</v>
      </c>
      <c r="E1346" s="3">
        <f>IFERROR(__xludf.DUMMYFUNCTION("""COMPUTED_VALUE"""),61.26)</f>
        <v>61.26</v>
      </c>
      <c r="F1346" s="3">
        <f t="shared" si="1"/>
        <v>-0.01152329557</v>
      </c>
    </row>
    <row r="1347">
      <c r="A1347" s="6"/>
      <c r="D1347" s="5">
        <f>IFERROR(__xludf.DUMMYFUNCTION("""COMPUTED_VALUE"""),43677.66666666667)</f>
        <v>43677.66667</v>
      </c>
      <c r="E1347" s="3">
        <f>IFERROR(__xludf.DUMMYFUNCTION("""COMPUTED_VALUE"""),60.83)</f>
        <v>60.83</v>
      </c>
      <c r="F1347" s="3">
        <f t="shared" si="1"/>
        <v>-0.007044013072</v>
      </c>
    </row>
    <row r="1348">
      <c r="A1348" s="6"/>
      <c r="D1348" s="5">
        <f>IFERROR(__xludf.DUMMYFUNCTION("""COMPUTED_VALUE"""),43678.66666666667)</f>
        <v>43678.66667</v>
      </c>
      <c r="E1348" s="3">
        <f>IFERROR(__xludf.DUMMYFUNCTION("""COMPUTED_VALUE"""),60.45)</f>
        <v>60.45</v>
      </c>
      <c r="F1348" s="3">
        <f t="shared" si="1"/>
        <v>-0.006266511272</v>
      </c>
    </row>
    <row r="1349">
      <c r="A1349" s="6"/>
      <c r="D1349" s="5">
        <f>IFERROR(__xludf.DUMMYFUNCTION("""COMPUTED_VALUE"""),43679.66666666667)</f>
        <v>43679.66667</v>
      </c>
      <c r="E1349" s="3">
        <f>IFERROR(__xludf.DUMMYFUNCTION("""COMPUTED_VALUE"""),59.7)</f>
        <v>59.7</v>
      </c>
      <c r="F1349" s="3">
        <f t="shared" si="1"/>
        <v>-0.01248455666</v>
      </c>
    </row>
    <row r="1350">
      <c r="A1350" s="6"/>
      <c r="D1350" s="5">
        <f>IFERROR(__xludf.DUMMYFUNCTION("""COMPUTED_VALUE"""),43682.66666666667)</f>
        <v>43682.66667</v>
      </c>
      <c r="E1350" s="3">
        <f>IFERROR(__xludf.DUMMYFUNCTION("""COMPUTED_VALUE"""),57.62)</f>
        <v>57.62</v>
      </c>
      <c r="F1350" s="3">
        <f t="shared" si="1"/>
        <v>-0.03546229074</v>
      </c>
    </row>
    <row r="1351">
      <c r="A1351" s="6"/>
      <c r="D1351" s="5">
        <f>IFERROR(__xludf.DUMMYFUNCTION("""COMPUTED_VALUE"""),43683.66666666667)</f>
        <v>43683.66667</v>
      </c>
      <c r="E1351" s="3">
        <f>IFERROR(__xludf.DUMMYFUNCTION("""COMPUTED_VALUE"""),58.5)</f>
        <v>58.5</v>
      </c>
      <c r="F1351" s="3">
        <f t="shared" si="1"/>
        <v>0.01515702458</v>
      </c>
    </row>
    <row r="1352">
      <c r="A1352" s="6"/>
      <c r="D1352" s="5">
        <f>IFERROR(__xludf.DUMMYFUNCTION("""COMPUTED_VALUE"""),43684.66666666667)</f>
        <v>43684.66667</v>
      </c>
      <c r="E1352" s="3">
        <f>IFERROR(__xludf.DUMMYFUNCTION("""COMPUTED_VALUE"""),58.7)</f>
        <v>58.7</v>
      </c>
      <c r="F1352" s="3">
        <f t="shared" si="1"/>
        <v>0.003412972596</v>
      </c>
    </row>
    <row r="1353">
      <c r="A1353" s="6"/>
      <c r="D1353" s="5">
        <f>IFERROR(__xludf.DUMMYFUNCTION("""COMPUTED_VALUE"""),43685.66666666667)</f>
        <v>43685.66667</v>
      </c>
      <c r="E1353" s="3">
        <f>IFERROR(__xludf.DUMMYFUNCTION("""COMPUTED_VALUE"""),60.24)</f>
        <v>60.24</v>
      </c>
      <c r="F1353" s="3">
        <f t="shared" si="1"/>
        <v>0.02589685666</v>
      </c>
    </row>
    <row r="1354">
      <c r="A1354" s="6"/>
      <c r="D1354" s="5">
        <f>IFERROR(__xludf.DUMMYFUNCTION("""COMPUTED_VALUE"""),43686.66666666667)</f>
        <v>43686.66667</v>
      </c>
      <c r="E1354" s="3">
        <f>IFERROR(__xludf.DUMMYFUNCTION("""COMPUTED_VALUE"""),59.4)</f>
        <v>59.4</v>
      </c>
      <c r="F1354" s="3">
        <f t="shared" si="1"/>
        <v>-0.01404235712</v>
      </c>
    </row>
    <row r="1355">
      <c r="A1355" s="6"/>
      <c r="D1355" s="5">
        <f>IFERROR(__xludf.DUMMYFUNCTION("""COMPUTED_VALUE"""),43689.66666666667)</f>
        <v>43689.66667</v>
      </c>
      <c r="E1355" s="3">
        <f>IFERROR(__xludf.DUMMYFUNCTION("""COMPUTED_VALUE"""),58.74)</f>
        <v>58.74</v>
      </c>
      <c r="F1355" s="3">
        <f t="shared" si="1"/>
        <v>-0.0111733006</v>
      </c>
    </row>
    <row r="1356">
      <c r="A1356" s="6"/>
      <c r="D1356" s="5">
        <f>IFERROR(__xludf.DUMMYFUNCTION("""COMPUTED_VALUE"""),43690.66666666667)</f>
        <v>43690.66667</v>
      </c>
      <c r="E1356" s="3">
        <f>IFERROR(__xludf.DUMMYFUNCTION("""COMPUTED_VALUE"""),59.86)</f>
        <v>59.86</v>
      </c>
      <c r="F1356" s="3">
        <f t="shared" si="1"/>
        <v>0.01888757665</v>
      </c>
    </row>
    <row r="1357">
      <c r="A1357" s="6"/>
      <c r="D1357" s="5">
        <f>IFERROR(__xludf.DUMMYFUNCTION("""COMPUTED_VALUE"""),43691.66666666667)</f>
        <v>43691.66667</v>
      </c>
      <c r="E1357" s="3">
        <f>IFERROR(__xludf.DUMMYFUNCTION("""COMPUTED_VALUE"""),58.21)</f>
        <v>58.21</v>
      </c>
      <c r="F1357" s="3">
        <f t="shared" si="1"/>
        <v>-0.02795134114</v>
      </c>
    </row>
    <row r="1358">
      <c r="A1358" s="6"/>
      <c r="D1358" s="5">
        <f>IFERROR(__xludf.DUMMYFUNCTION("""COMPUTED_VALUE"""),43692.66666666667)</f>
        <v>43692.66667</v>
      </c>
      <c r="E1358" s="3">
        <f>IFERROR(__xludf.DUMMYFUNCTION("""COMPUTED_VALUE"""),58.36)</f>
        <v>58.36</v>
      </c>
      <c r="F1358" s="3">
        <f t="shared" si="1"/>
        <v>0.002573562371</v>
      </c>
    </row>
    <row r="1359">
      <c r="A1359" s="6"/>
      <c r="D1359" s="5">
        <f>IFERROR(__xludf.DUMMYFUNCTION("""COMPUTED_VALUE"""),43693.66666666667)</f>
        <v>43693.66667</v>
      </c>
      <c r="E1359" s="3">
        <f>IFERROR(__xludf.DUMMYFUNCTION("""COMPUTED_VALUE"""),58.88)</f>
        <v>58.88</v>
      </c>
      <c r="F1359" s="3">
        <f t="shared" si="1"/>
        <v>0.008870750766</v>
      </c>
    </row>
    <row r="1360">
      <c r="A1360" s="6"/>
      <c r="D1360" s="5">
        <f>IFERROR(__xludf.DUMMYFUNCTION("""COMPUTED_VALUE"""),43696.66666666667)</f>
        <v>43696.66667</v>
      </c>
      <c r="E1360" s="3">
        <f>IFERROR(__xludf.DUMMYFUNCTION("""COMPUTED_VALUE"""),59.92)</f>
        <v>59.92</v>
      </c>
      <c r="F1360" s="3">
        <f t="shared" si="1"/>
        <v>0.01750886479</v>
      </c>
    </row>
    <row r="1361">
      <c r="A1361" s="6"/>
      <c r="D1361" s="5">
        <f>IFERROR(__xludf.DUMMYFUNCTION("""COMPUTED_VALUE"""),43697.66666666667)</f>
        <v>43697.66667</v>
      </c>
      <c r="E1361" s="3">
        <f>IFERROR(__xludf.DUMMYFUNCTION("""COMPUTED_VALUE"""),59.13)</f>
        <v>59.13</v>
      </c>
      <c r="F1361" s="3">
        <f t="shared" si="1"/>
        <v>-0.01327192938</v>
      </c>
    </row>
    <row r="1362">
      <c r="A1362" s="6"/>
      <c r="D1362" s="5">
        <f>IFERROR(__xludf.DUMMYFUNCTION("""COMPUTED_VALUE"""),43698.66666666667)</f>
        <v>43698.66667</v>
      </c>
      <c r="E1362" s="3">
        <f>IFERROR(__xludf.DUMMYFUNCTION("""COMPUTED_VALUE"""),59.56)</f>
        <v>59.56</v>
      </c>
      <c r="F1362" s="3">
        <f t="shared" si="1"/>
        <v>0.007245797983</v>
      </c>
    </row>
    <row r="1363">
      <c r="A1363" s="6"/>
      <c r="D1363" s="5">
        <f>IFERROR(__xludf.DUMMYFUNCTION("""COMPUTED_VALUE"""),43699.66666666667)</f>
        <v>43699.66667</v>
      </c>
      <c r="E1363" s="3">
        <f>IFERROR(__xludf.DUMMYFUNCTION("""COMPUTED_VALUE"""),59.48)</f>
        <v>59.48</v>
      </c>
      <c r="F1363" s="3">
        <f t="shared" si="1"/>
        <v>-0.001344086224</v>
      </c>
    </row>
    <row r="1364">
      <c r="A1364" s="6"/>
      <c r="D1364" s="5">
        <f>IFERROR(__xludf.DUMMYFUNCTION("""COMPUTED_VALUE"""),43700.66666666667)</f>
        <v>43700.66667</v>
      </c>
      <c r="E1364" s="3">
        <f>IFERROR(__xludf.DUMMYFUNCTION("""COMPUTED_VALUE"""),57.56)</f>
        <v>57.56</v>
      </c>
      <c r="F1364" s="3">
        <f t="shared" si="1"/>
        <v>-0.03281223957</v>
      </c>
    </row>
    <row r="1365">
      <c r="A1365" s="6"/>
      <c r="D1365" s="5">
        <f>IFERROR(__xludf.DUMMYFUNCTION("""COMPUTED_VALUE"""),43703.66666666667)</f>
        <v>43703.66667</v>
      </c>
      <c r="E1365" s="3">
        <f>IFERROR(__xludf.DUMMYFUNCTION("""COMPUTED_VALUE"""),58.44)</f>
        <v>58.44</v>
      </c>
      <c r="F1365" s="3">
        <f t="shared" si="1"/>
        <v>0.01517270486</v>
      </c>
    </row>
    <row r="1366">
      <c r="A1366" s="6"/>
      <c r="D1366" s="5">
        <f>IFERROR(__xludf.DUMMYFUNCTION("""COMPUTED_VALUE"""),43704.66666666667)</f>
        <v>43704.66667</v>
      </c>
      <c r="E1366" s="3">
        <f>IFERROR(__xludf.DUMMYFUNCTION("""COMPUTED_VALUE"""),58.39)</f>
        <v>58.39</v>
      </c>
      <c r="F1366" s="3">
        <f t="shared" si="1"/>
        <v>-0.0008559445871</v>
      </c>
    </row>
    <row r="1367">
      <c r="A1367" s="6"/>
      <c r="D1367" s="5">
        <f>IFERROR(__xludf.DUMMYFUNCTION("""COMPUTED_VALUE"""),43705.66666666667)</f>
        <v>43705.66667</v>
      </c>
      <c r="E1367" s="3">
        <f>IFERROR(__xludf.DUMMYFUNCTION("""COMPUTED_VALUE"""),58.55)</f>
        <v>58.55</v>
      </c>
      <c r="F1367" s="3">
        <f t="shared" si="1"/>
        <v>0.002736447748</v>
      </c>
    </row>
    <row r="1368">
      <c r="A1368" s="6"/>
      <c r="D1368" s="5">
        <f>IFERROR(__xludf.DUMMYFUNCTION("""COMPUTED_VALUE"""),43706.66666666667)</f>
        <v>43706.66667</v>
      </c>
      <c r="E1368" s="3">
        <f>IFERROR(__xludf.DUMMYFUNCTION("""COMPUTED_VALUE"""),59.64)</f>
        <v>59.64</v>
      </c>
      <c r="F1368" s="3">
        <f t="shared" si="1"/>
        <v>0.01844539985</v>
      </c>
    </row>
    <row r="1369">
      <c r="A1369" s="6"/>
      <c r="D1369" s="5">
        <f>IFERROR(__xludf.DUMMYFUNCTION("""COMPUTED_VALUE"""),43707.66666666667)</f>
        <v>43707.66667</v>
      </c>
      <c r="E1369" s="3">
        <f>IFERROR(__xludf.DUMMYFUNCTION("""COMPUTED_VALUE"""),59.41)</f>
        <v>59.41</v>
      </c>
      <c r="F1369" s="3">
        <f t="shared" si="1"/>
        <v>-0.003863927529</v>
      </c>
    </row>
    <row r="1370">
      <c r="A1370" s="6"/>
      <c r="D1370" s="5">
        <f>IFERROR(__xludf.DUMMYFUNCTION("""COMPUTED_VALUE"""),43711.66666666667)</f>
        <v>43711.66667</v>
      </c>
      <c r="E1370" s="3">
        <f>IFERROR(__xludf.DUMMYFUNCTION("""COMPUTED_VALUE"""),58.42)</f>
        <v>58.42</v>
      </c>
      <c r="F1370" s="3">
        <f t="shared" si="1"/>
        <v>-0.01680426541</v>
      </c>
    </row>
    <row r="1371">
      <c r="A1371" s="6"/>
      <c r="D1371" s="5">
        <f>IFERROR(__xludf.DUMMYFUNCTION("""COMPUTED_VALUE"""),43712.66666666667)</f>
        <v>43712.66667</v>
      </c>
      <c r="E1371" s="3">
        <f>IFERROR(__xludf.DUMMYFUNCTION("""COMPUTED_VALUE"""),59.07)</f>
        <v>59.07</v>
      </c>
      <c r="F1371" s="3">
        <f t="shared" si="1"/>
        <v>0.01106488436</v>
      </c>
    </row>
    <row r="1372">
      <c r="A1372" s="6"/>
      <c r="D1372" s="5">
        <f>IFERROR(__xludf.DUMMYFUNCTION("""COMPUTED_VALUE"""),43713.66666666667)</f>
        <v>43713.66667</v>
      </c>
      <c r="E1372" s="3">
        <f>IFERROR(__xludf.DUMMYFUNCTION("""COMPUTED_VALUE"""),60.57)</f>
        <v>60.57</v>
      </c>
      <c r="F1372" s="3">
        <f t="shared" si="1"/>
        <v>0.02507653967</v>
      </c>
    </row>
    <row r="1373">
      <c r="A1373" s="6"/>
      <c r="D1373" s="5">
        <f>IFERROR(__xludf.DUMMYFUNCTION("""COMPUTED_VALUE"""),43714.66666666667)</f>
        <v>43714.66667</v>
      </c>
      <c r="E1373" s="3">
        <f>IFERROR(__xludf.DUMMYFUNCTION("""COMPUTED_VALUE"""),60.25)</f>
        <v>60.25</v>
      </c>
      <c r="F1373" s="3">
        <f t="shared" si="1"/>
        <v>-0.005297148622</v>
      </c>
    </row>
    <row r="1374">
      <c r="A1374" s="6"/>
      <c r="D1374" s="5">
        <f>IFERROR(__xludf.DUMMYFUNCTION("""COMPUTED_VALUE"""),43717.66666666667)</f>
        <v>43717.66667</v>
      </c>
      <c r="E1374" s="3">
        <f>IFERROR(__xludf.DUMMYFUNCTION("""COMPUTED_VALUE"""),60.22)</f>
        <v>60.22</v>
      </c>
      <c r="F1374" s="3">
        <f t="shared" si="1"/>
        <v>-0.0004980493172</v>
      </c>
    </row>
    <row r="1375">
      <c r="A1375" s="6"/>
      <c r="D1375" s="5">
        <f>IFERROR(__xludf.DUMMYFUNCTION("""COMPUTED_VALUE"""),43718.66666666667)</f>
        <v>43718.66667</v>
      </c>
      <c r="E1375" s="3">
        <f>IFERROR(__xludf.DUMMYFUNCTION("""COMPUTED_VALUE"""),60.3)</f>
        <v>60.3</v>
      </c>
      <c r="F1375" s="3">
        <f t="shared" si="1"/>
        <v>0.00132758068</v>
      </c>
    </row>
    <row r="1376">
      <c r="A1376" s="6"/>
      <c r="D1376" s="5">
        <f>IFERROR(__xludf.DUMMYFUNCTION("""COMPUTED_VALUE"""),43719.66666666667)</f>
        <v>43719.66667</v>
      </c>
      <c r="E1376" s="3">
        <f>IFERROR(__xludf.DUMMYFUNCTION("""COMPUTED_VALUE"""),61.01)</f>
        <v>61.01</v>
      </c>
      <c r="F1376" s="3">
        <f t="shared" si="1"/>
        <v>0.01170568143</v>
      </c>
    </row>
    <row r="1377">
      <c r="A1377" s="6"/>
      <c r="D1377" s="5">
        <f>IFERROR(__xludf.DUMMYFUNCTION("""COMPUTED_VALUE"""),43720.66666666667)</f>
        <v>43720.66667</v>
      </c>
      <c r="E1377" s="3">
        <f>IFERROR(__xludf.DUMMYFUNCTION("""COMPUTED_VALUE"""),61.71)</f>
        <v>61.71</v>
      </c>
      <c r="F1377" s="3">
        <f t="shared" si="1"/>
        <v>0.01140820717</v>
      </c>
    </row>
    <row r="1378">
      <c r="A1378" s="6"/>
      <c r="D1378" s="5">
        <f>IFERROR(__xludf.DUMMYFUNCTION("""COMPUTED_VALUE"""),43721.66666666667)</f>
        <v>43721.66667</v>
      </c>
      <c r="E1378" s="3">
        <f>IFERROR(__xludf.DUMMYFUNCTION("""COMPUTED_VALUE"""),61.98)</f>
        <v>61.98</v>
      </c>
      <c r="F1378" s="3">
        <f t="shared" si="1"/>
        <v>0.004365760027</v>
      </c>
    </row>
    <row r="1379">
      <c r="A1379" s="6"/>
      <c r="D1379" s="5">
        <f>IFERROR(__xludf.DUMMYFUNCTION("""COMPUTED_VALUE"""),43724.66666666667)</f>
        <v>43724.66667</v>
      </c>
      <c r="E1379" s="3">
        <f>IFERROR(__xludf.DUMMYFUNCTION("""COMPUTED_VALUE"""),61.57)</f>
        <v>61.57</v>
      </c>
      <c r="F1379" s="3">
        <f t="shared" si="1"/>
        <v>-0.006637013436</v>
      </c>
    </row>
    <row r="1380">
      <c r="A1380" s="6"/>
      <c r="D1380" s="5">
        <f>IFERROR(__xludf.DUMMYFUNCTION("""COMPUTED_VALUE"""),43725.66666666667)</f>
        <v>43725.66667</v>
      </c>
      <c r="E1380" s="3">
        <f>IFERROR(__xludf.DUMMYFUNCTION("""COMPUTED_VALUE"""),61.46)</f>
        <v>61.46</v>
      </c>
      <c r="F1380" s="3">
        <f t="shared" si="1"/>
        <v>-0.001788182221</v>
      </c>
    </row>
    <row r="1381">
      <c r="A1381" s="6"/>
      <c r="D1381" s="5">
        <f>IFERROR(__xludf.DUMMYFUNCTION("""COMPUTED_VALUE"""),43726.66666666667)</f>
        <v>43726.66667</v>
      </c>
      <c r="E1381" s="3">
        <f>IFERROR(__xludf.DUMMYFUNCTION("""COMPUTED_VALUE"""),61.62)</f>
        <v>61.62</v>
      </c>
      <c r="F1381" s="3">
        <f t="shared" si="1"/>
        <v>0.002599936466</v>
      </c>
    </row>
    <row r="1382">
      <c r="A1382" s="6"/>
      <c r="D1382" s="5">
        <f>IFERROR(__xludf.DUMMYFUNCTION("""COMPUTED_VALUE"""),43727.66666666667)</f>
        <v>43727.66667</v>
      </c>
      <c r="E1382" s="3">
        <f>IFERROR(__xludf.DUMMYFUNCTION("""COMPUTED_VALUE"""),61.94)</f>
        <v>61.94</v>
      </c>
      <c r="F1382" s="3">
        <f t="shared" si="1"/>
        <v>0.005179681377</v>
      </c>
    </row>
    <row r="1383">
      <c r="A1383" s="6"/>
      <c r="D1383" s="5">
        <f>IFERROR(__xludf.DUMMYFUNCTION("""COMPUTED_VALUE"""),43728.66666666667)</f>
        <v>43728.66667</v>
      </c>
      <c r="E1383" s="3">
        <f>IFERROR(__xludf.DUMMYFUNCTION("""COMPUTED_VALUE"""),61.5)</f>
        <v>61.5</v>
      </c>
      <c r="F1383" s="3">
        <f t="shared" si="1"/>
        <v>-0.007128999733</v>
      </c>
    </row>
    <row r="1384">
      <c r="A1384" s="6"/>
      <c r="D1384" s="5">
        <f>IFERROR(__xludf.DUMMYFUNCTION("""COMPUTED_VALUE"""),43731.66666666667)</f>
        <v>43731.66667</v>
      </c>
      <c r="E1384" s="3">
        <f>IFERROR(__xludf.DUMMYFUNCTION("""COMPUTED_VALUE"""),61.7)</f>
        <v>61.7</v>
      </c>
      <c r="F1384" s="3">
        <f t="shared" si="1"/>
        <v>0.003246756099</v>
      </c>
    </row>
    <row r="1385">
      <c r="A1385" s="6"/>
      <c r="D1385" s="5">
        <f>IFERROR(__xludf.DUMMYFUNCTION("""COMPUTED_VALUE"""),43732.66666666667)</f>
        <v>43732.66667</v>
      </c>
      <c r="E1385" s="3">
        <f>IFERROR(__xludf.DUMMYFUNCTION("""COMPUTED_VALUE"""),60.94)</f>
        <v>60.94</v>
      </c>
      <c r="F1385" s="3">
        <f t="shared" si="1"/>
        <v>-0.01239415735</v>
      </c>
    </row>
    <row r="1386">
      <c r="A1386" s="6"/>
      <c r="D1386" s="5">
        <f>IFERROR(__xludf.DUMMYFUNCTION("""COMPUTED_VALUE"""),43733.66666666667)</f>
        <v>43733.66667</v>
      </c>
      <c r="E1386" s="3">
        <f>IFERROR(__xludf.DUMMYFUNCTION("""COMPUTED_VALUE"""),62.33)</f>
        <v>62.33</v>
      </c>
      <c r="F1386" s="3">
        <f t="shared" si="1"/>
        <v>0.02255307726</v>
      </c>
    </row>
    <row r="1387">
      <c r="A1387" s="6"/>
      <c r="D1387" s="5">
        <f>IFERROR(__xludf.DUMMYFUNCTION("""COMPUTED_VALUE"""),43734.66666666667)</f>
        <v>43734.66667</v>
      </c>
      <c r="E1387" s="3">
        <f>IFERROR(__xludf.DUMMYFUNCTION("""COMPUTED_VALUE"""),62.07)</f>
        <v>62.07</v>
      </c>
      <c r="F1387" s="3">
        <f t="shared" si="1"/>
        <v>-0.004180070395</v>
      </c>
    </row>
    <row r="1388">
      <c r="A1388" s="6"/>
      <c r="D1388" s="5">
        <f>IFERROR(__xludf.DUMMYFUNCTION("""COMPUTED_VALUE"""),43735.66666666667)</f>
        <v>43735.66667</v>
      </c>
      <c r="E1388" s="3">
        <f>IFERROR(__xludf.DUMMYFUNCTION("""COMPUTED_VALUE"""),61.25)</f>
        <v>61.25</v>
      </c>
      <c r="F1388" s="3">
        <f t="shared" si="1"/>
        <v>-0.013298931</v>
      </c>
    </row>
    <row r="1389">
      <c r="A1389" s="6"/>
      <c r="D1389" s="5">
        <f>IFERROR(__xludf.DUMMYFUNCTION("""COMPUTED_VALUE"""),43738.66666666667)</f>
        <v>43738.66667</v>
      </c>
      <c r="E1389" s="3">
        <f>IFERROR(__xludf.DUMMYFUNCTION("""COMPUTED_VALUE"""),60.95)</f>
        <v>60.95</v>
      </c>
      <c r="F1389" s="3">
        <f t="shared" si="1"/>
        <v>-0.004909993498</v>
      </c>
    </row>
    <row r="1390">
      <c r="A1390" s="6"/>
      <c r="D1390" s="5">
        <f>IFERROR(__xludf.DUMMYFUNCTION("""COMPUTED_VALUE"""),43739.66666666667)</f>
        <v>43739.66667</v>
      </c>
      <c r="E1390" s="3">
        <f>IFERROR(__xludf.DUMMYFUNCTION("""COMPUTED_VALUE"""),60.26)</f>
        <v>60.26</v>
      </c>
      <c r="F1390" s="3">
        <f t="shared" si="1"/>
        <v>-0.01138532223</v>
      </c>
    </row>
    <row r="1391">
      <c r="A1391" s="6"/>
      <c r="D1391" s="5">
        <f>IFERROR(__xludf.DUMMYFUNCTION("""COMPUTED_VALUE"""),43740.66666666667)</f>
        <v>43740.66667</v>
      </c>
      <c r="E1391" s="3">
        <f>IFERROR(__xludf.DUMMYFUNCTION("""COMPUTED_VALUE"""),58.83)</f>
        <v>58.83</v>
      </c>
      <c r="F1391" s="3">
        <f t="shared" si="1"/>
        <v>-0.02401660483</v>
      </c>
    </row>
    <row r="1392">
      <c r="A1392" s="6"/>
      <c r="D1392" s="5">
        <f>IFERROR(__xludf.DUMMYFUNCTION("""COMPUTED_VALUE"""),43741.66666666667)</f>
        <v>43741.66667</v>
      </c>
      <c r="E1392" s="3">
        <f>IFERROR(__xludf.DUMMYFUNCTION("""COMPUTED_VALUE"""),59.39)</f>
        <v>59.39</v>
      </c>
      <c r="F1392" s="3">
        <f t="shared" si="1"/>
        <v>0.009473933151</v>
      </c>
    </row>
    <row r="1393">
      <c r="A1393" s="6"/>
      <c r="D1393" s="5">
        <f>IFERROR(__xludf.DUMMYFUNCTION("""COMPUTED_VALUE"""),43742.66666666667)</f>
        <v>43742.66667</v>
      </c>
      <c r="E1393" s="3">
        <f>IFERROR(__xludf.DUMMYFUNCTION("""COMPUTED_VALUE"""),60.45)</f>
        <v>60.45</v>
      </c>
      <c r="F1393" s="3">
        <f t="shared" si="1"/>
        <v>0.01769071503</v>
      </c>
    </row>
    <row r="1394">
      <c r="A1394" s="6"/>
      <c r="D1394" s="5">
        <f>IFERROR(__xludf.DUMMYFUNCTION("""COMPUTED_VALUE"""),43745.66666666667)</f>
        <v>43745.66667</v>
      </c>
      <c r="E1394" s="3">
        <f>IFERROR(__xludf.DUMMYFUNCTION("""COMPUTED_VALUE"""),60.38)</f>
        <v>60.38</v>
      </c>
      <c r="F1394" s="3">
        <f t="shared" si="1"/>
        <v>-0.001158652782</v>
      </c>
    </row>
    <row r="1395">
      <c r="A1395" s="6"/>
      <c r="D1395" s="5">
        <f>IFERROR(__xludf.DUMMYFUNCTION("""COMPUTED_VALUE"""),43746.66666666667)</f>
        <v>43746.66667</v>
      </c>
      <c r="E1395" s="3">
        <f>IFERROR(__xludf.DUMMYFUNCTION("""COMPUTED_VALUE"""),59.46)</f>
        <v>59.46</v>
      </c>
      <c r="F1395" s="3">
        <f t="shared" si="1"/>
        <v>-0.01535410671</v>
      </c>
    </row>
    <row r="1396">
      <c r="A1396" s="6"/>
      <c r="D1396" s="5">
        <f>IFERROR(__xludf.DUMMYFUNCTION("""COMPUTED_VALUE"""),43747.66666666667)</f>
        <v>43747.66667</v>
      </c>
      <c r="E1396" s="3">
        <f>IFERROR(__xludf.DUMMYFUNCTION("""COMPUTED_VALUE"""),60.12)</f>
        <v>60.12</v>
      </c>
      <c r="F1396" s="3">
        <f t="shared" si="1"/>
        <v>0.01103874731</v>
      </c>
    </row>
    <row r="1397">
      <c r="A1397" s="6"/>
      <c r="D1397" s="5">
        <f>IFERROR(__xludf.DUMMYFUNCTION("""COMPUTED_VALUE"""),43748.66666666667)</f>
        <v>43748.66667</v>
      </c>
      <c r="E1397" s="3">
        <f>IFERROR(__xludf.DUMMYFUNCTION("""COMPUTED_VALUE"""),60.43)</f>
        <v>60.43</v>
      </c>
      <c r="F1397" s="3">
        <f t="shared" si="1"/>
        <v>0.005143105489</v>
      </c>
    </row>
    <row r="1398">
      <c r="A1398" s="6"/>
      <c r="D1398" s="5">
        <f>IFERROR(__xludf.DUMMYFUNCTION("""COMPUTED_VALUE"""),43749.66666666667)</f>
        <v>43749.66667</v>
      </c>
      <c r="E1398" s="3">
        <f>IFERROR(__xludf.DUMMYFUNCTION("""COMPUTED_VALUE"""),60.77)</f>
        <v>60.77</v>
      </c>
      <c r="F1398" s="3">
        <f t="shared" si="1"/>
        <v>0.005610575774</v>
      </c>
    </row>
    <row r="1399">
      <c r="A1399" s="6"/>
      <c r="D1399" s="5">
        <f>IFERROR(__xludf.DUMMYFUNCTION("""COMPUTED_VALUE"""),43752.66666666667)</f>
        <v>43752.66667</v>
      </c>
      <c r="E1399" s="3">
        <f>IFERROR(__xludf.DUMMYFUNCTION("""COMPUTED_VALUE"""),60.86)</f>
        <v>60.86</v>
      </c>
      <c r="F1399" s="3">
        <f t="shared" si="1"/>
        <v>0.001479898322</v>
      </c>
    </row>
    <row r="1400">
      <c r="A1400" s="6"/>
      <c r="D1400" s="5">
        <f>IFERROR(__xludf.DUMMYFUNCTION("""COMPUTED_VALUE"""),43753.66666666667)</f>
        <v>43753.66667</v>
      </c>
      <c r="E1400" s="3">
        <f>IFERROR(__xludf.DUMMYFUNCTION("""COMPUTED_VALUE"""),62.15)</f>
        <v>62.15</v>
      </c>
      <c r="F1400" s="3">
        <f t="shared" si="1"/>
        <v>0.02097467349</v>
      </c>
    </row>
    <row r="1401">
      <c r="A1401" s="6"/>
      <c r="D1401" s="5">
        <f>IFERROR(__xludf.DUMMYFUNCTION("""COMPUTED_VALUE"""),43754.66666666667)</f>
        <v>43754.66667</v>
      </c>
      <c r="E1401" s="3">
        <f>IFERROR(__xludf.DUMMYFUNCTION("""COMPUTED_VALUE"""),62.18)</f>
        <v>62.18</v>
      </c>
      <c r="F1401" s="3">
        <f t="shared" si="1"/>
        <v>0.0004825866739</v>
      </c>
    </row>
    <row r="1402">
      <c r="A1402" s="6"/>
      <c r="D1402" s="5">
        <f>IFERROR(__xludf.DUMMYFUNCTION("""COMPUTED_VALUE"""),43755.66666666667)</f>
        <v>43755.66667</v>
      </c>
      <c r="E1402" s="3">
        <f>IFERROR(__xludf.DUMMYFUNCTION("""COMPUTED_VALUE"""),62.65)</f>
        <v>62.65</v>
      </c>
      <c r="F1402" s="3">
        <f t="shared" si="1"/>
        <v>0.007530276711</v>
      </c>
    </row>
    <row r="1403">
      <c r="A1403" s="6"/>
      <c r="D1403" s="5">
        <f>IFERROR(__xludf.DUMMYFUNCTION("""COMPUTED_VALUE"""),43756.66666666667)</f>
        <v>43756.66667</v>
      </c>
      <c r="E1403" s="3">
        <f>IFERROR(__xludf.DUMMYFUNCTION("""COMPUTED_VALUE"""),62.27)</f>
        <v>62.27</v>
      </c>
      <c r="F1403" s="3">
        <f t="shared" si="1"/>
        <v>-0.006083912458</v>
      </c>
    </row>
    <row r="1404">
      <c r="A1404" s="6"/>
      <c r="D1404" s="5">
        <f>IFERROR(__xludf.DUMMYFUNCTION("""COMPUTED_VALUE"""),43759.66666666667)</f>
        <v>43759.66667</v>
      </c>
      <c r="E1404" s="3">
        <f>IFERROR(__xludf.DUMMYFUNCTION("""COMPUTED_VALUE"""),62.31)</f>
        <v>62.31</v>
      </c>
      <c r="F1404" s="3">
        <f t="shared" si="1"/>
        <v>0.0006421576718</v>
      </c>
    </row>
    <row r="1405">
      <c r="A1405" s="6"/>
      <c r="D1405" s="5">
        <f>IFERROR(__xludf.DUMMYFUNCTION("""COMPUTED_VALUE"""),43760.66666666667)</f>
        <v>43760.66667</v>
      </c>
      <c r="E1405" s="3">
        <f>IFERROR(__xludf.DUMMYFUNCTION("""COMPUTED_VALUE"""),62.14)</f>
        <v>62.14</v>
      </c>
      <c r="F1405" s="3">
        <f t="shared" si="1"/>
        <v>-0.002732022591</v>
      </c>
    </row>
    <row r="1406">
      <c r="A1406" s="6"/>
      <c r="D1406" s="5">
        <f>IFERROR(__xludf.DUMMYFUNCTION("""COMPUTED_VALUE"""),43761.66666666667)</f>
        <v>43761.66667</v>
      </c>
      <c r="E1406" s="3">
        <f>IFERROR(__xludf.DUMMYFUNCTION("""COMPUTED_VALUE"""),62.96)</f>
        <v>62.96</v>
      </c>
      <c r="F1406" s="3">
        <f t="shared" si="1"/>
        <v>0.01310970014</v>
      </c>
    </row>
    <row r="1407">
      <c r="A1407" s="6"/>
      <c r="D1407" s="5">
        <f>IFERROR(__xludf.DUMMYFUNCTION("""COMPUTED_VALUE"""),43762.66666666667)</f>
        <v>43762.66667</v>
      </c>
      <c r="E1407" s="3">
        <f>IFERROR(__xludf.DUMMYFUNCTION("""COMPUTED_VALUE"""),63.05)</f>
        <v>63.05</v>
      </c>
      <c r="F1407" s="3">
        <f t="shared" si="1"/>
        <v>0.001428458302</v>
      </c>
    </row>
    <row r="1408">
      <c r="A1408" s="6"/>
      <c r="D1408" s="5">
        <f>IFERROR(__xludf.DUMMYFUNCTION("""COMPUTED_VALUE"""),43763.66666666667)</f>
        <v>43763.66667</v>
      </c>
      <c r="E1408" s="3">
        <f>IFERROR(__xludf.DUMMYFUNCTION("""COMPUTED_VALUE"""),63.26)</f>
        <v>63.26</v>
      </c>
      <c r="F1408" s="3">
        <f t="shared" si="1"/>
        <v>0.003325155467</v>
      </c>
    </row>
    <row r="1409">
      <c r="A1409" s="6"/>
      <c r="D1409" s="5">
        <f>IFERROR(__xludf.DUMMYFUNCTION("""COMPUTED_VALUE"""),43766.66666666667)</f>
        <v>43766.66667</v>
      </c>
      <c r="E1409" s="3">
        <f>IFERROR(__xludf.DUMMYFUNCTION("""COMPUTED_VALUE"""),64.5)</f>
        <v>64.5</v>
      </c>
      <c r="F1409" s="3">
        <f t="shared" si="1"/>
        <v>0.01941200592</v>
      </c>
    </row>
    <row r="1410">
      <c r="A1410" s="6"/>
      <c r="D1410" s="5">
        <f>IFERROR(__xludf.DUMMYFUNCTION("""COMPUTED_VALUE"""),43767.66666666667)</f>
        <v>43767.66667</v>
      </c>
      <c r="E1410" s="3">
        <f>IFERROR(__xludf.DUMMYFUNCTION("""COMPUTED_VALUE"""),63.13)</f>
        <v>63.13</v>
      </c>
      <c r="F1410" s="3">
        <f t="shared" si="1"/>
        <v>-0.02146913142</v>
      </c>
    </row>
    <row r="1411">
      <c r="A1411" s="6"/>
      <c r="D1411" s="5">
        <f>IFERROR(__xludf.DUMMYFUNCTION("""COMPUTED_VALUE"""),43768.66666666667)</f>
        <v>43768.66667</v>
      </c>
      <c r="E1411" s="3">
        <f>IFERROR(__xludf.DUMMYFUNCTION("""COMPUTED_VALUE"""),63.06)</f>
        <v>63.06</v>
      </c>
      <c r="F1411" s="3">
        <f t="shared" si="1"/>
        <v>-0.001109438263</v>
      </c>
    </row>
    <row r="1412">
      <c r="A1412" s="6"/>
      <c r="D1412" s="5">
        <f>IFERROR(__xludf.DUMMYFUNCTION("""COMPUTED_VALUE"""),43769.66666666667)</f>
        <v>43769.66667</v>
      </c>
      <c r="E1412" s="3">
        <f>IFERROR(__xludf.DUMMYFUNCTION("""COMPUTED_VALUE"""),63.01)</f>
        <v>63.01</v>
      </c>
      <c r="F1412" s="3">
        <f t="shared" si="1"/>
        <v>-0.000793210163</v>
      </c>
    </row>
    <row r="1413">
      <c r="A1413" s="6"/>
      <c r="D1413" s="5">
        <f>IFERROR(__xludf.DUMMYFUNCTION("""COMPUTED_VALUE"""),43770.66666666667)</f>
        <v>43770.66667</v>
      </c>
      <c r="E1413" s="3">
        <f>IFERROR(__xludf.DUMMYFUNCTION("""COMPUTED_VALUE"""),63.69)</f>
        <v>63.69</v>
      </c>
      <c r="F1413" s="3">
        <f t="shared" si="1"/>
        <v>0.01073412043</v>
      </c>
    </row>
    <row r="1414">
      <c r="A1414" s="6"/>
      <c r="D1414" s="5">
        <f>IFERROR(__xludf.DUMMYFUNCTION("""COMPUTED_VALUE"""),43773.66666666667)</f>
        <v>43773.66667</v>
      </c>
      <c r="E1414" s="3">
        <f>IFERROR(__xludf.DUMMYFUNCTION("""COMPUTED_VALUE"""),64.57)</f>
        <v>64.57</v>
      </c>
      <c r="F1414" s="3">
        <f t="shared" si="1"/>
        <v>0.01372234226</v>
      </c>
    </row>
    <row r="1415">
      <c r="A1415" s="6"/>
      <c r="D1415" s="5">
        <f>IFERROR(__xludf.DUMMYFUNCTION("""COMPUTED_VALUE"""),43774.66666666667)</f>
        <v>43774.66667</v>
      </c>
      <c r="E1415" s="3">
        <f>IFERROR(__xludf.DUMMYFUNCTION("""COMPUTED_VALUE"""),64.6)</f>
        <v>64.6</v>
      </c>
      <c r="F1415" s="3">
        <f t="shared" si="1"/>
        <v>0.0004645041502</v>
      </c>
    </row>
    <row r="1416">
      <c r="A1416" s="6"/>
      <c r="D1416" s="5">
        <f>IFERROR(__xludf.DUMMYFUNCTION("""COMPUTED_VALUE"""),43775.66666666667)</f>
        <v>43775.66667</v>
      </c>
      <c r="E1416" s="3">
        <f>IFERROR(__xludf.DUMMYFUNCTION("""COMPUTED_VALUE"""),64.59)</f>
        <v>64.59</v>
      </c>
      <c r="F1416" s="3">
        <f t="shared" si="1"/>
        <v>-0.0001548107442</v>
      </c>
    </row>
    <row r="1417">
      <c r="A1417" s="6"/>
      <c r="D1417" s="5">
        <f>IFERROR(__xludf.DUMMYFUNCTION("""COMPUTED_VALUE"""),43776.66666666667)</f>
        <v>43776.66667</v>
      </c>
      <c r="E1417" s="3">
        <f>IFERROR(__xludf.DUMMYFUNCTION("""COMPUTED_VALUE"""),65.44)</f>
        <v>65.44</v>
      </c>
      <c r="F1417" s="3">
        <f t="shared" si="1"/>
        <v>0.01307409225</v>
      </c>
    </row>
    <row r="1418">
      <c r="A1418" s="6"/>
      <c r="D1418" s="5">
        <f>IFERROR(__xludf.DUMMYFUNCTION("""COMPUTED_VALUE"""),43777.66666666667)</f>
        <v>43777.66667</v>
      </c>
      <c r="E1418" s="3">
        <f>IFERROR(__xludf.DUMMYFUNCTION("""COMPUTED_VALUE"""),65.57)</f>
        <v>65.57</v>
      </c>
      <c r="F1418" s="3">
        <f t="shared" si="1"/>
        <v>0.001984581981</v>
      </c>
    </row>
    <row r="1419">
      <c r="A1419" s="6"/>
      <c r="D1419" s="5">
        <f>IFERROR(__xludf.DUMMYFUNCTION("""COMPUTED_VALUE"""),43780.66666666667)</f>
        <v>43780.66667</v>
      </c>
      <c r="E1419" s="3">
        <f>IFERROR(__xludf.DUMMYFUNCTION("""COMPUTED_VALUE"""),64.96)</f>
        <v>64.96</v>
      </c>
      <c r="F1419" s="3">
        <f t="shared" si="1"/>
        <v>-0.009346578422</v>
      </c>
    </row>
    <row r="1420">
      <c r="A1420" s="6"/>
      <c r="D1420" s="5">
        <f>IFERROR(__xludf.DUMMYFUNCTION("""COMPUTED_VALUE"""),43781.66666666667)</f>
        <v>43781.66667</v>
      </c>
      <c r="E1420" s="3">
        <f>IFERROR(__xludf.DUMMYFUNCTION("""COMPUTED_VALUE"""),64.94)</f>
        <v>64.94</v>
      </c>
      <c r="F1420" s="3">
        <f t="shared" si="1"/>
        <v>-0.0003079291787</v>
      </c>
    </row>
    <row r="1421">
      <c r="A1421" s="6"/>
      <c r="D1421" s="5">
        <f>IFERROR(__xludf.DUMMYFUNCTION("""COMPUTED_VALUE"""),43782.66666666667)</f>
        <v>43782.66667</v>
      </c>
      <c r="E1421" s="3">
        <f>IFERROR(__xludf.DUMMYFUNCTION("""COMPUTED_VALUE"""),64.9)</f>
        <v>64.9</v>
      </c>
      <c r="F1421" s="3">
        <f t="shared" si="1"/>
        <v>-0.0006161429647</v>
      </c>
    </row>
    <row r="1422">
      <c r="A1422" s="6"/>
      <c r="D1422" s="5">
        <f>IFERROR(__xludf.DUMMYFUNCTION("""COMPUTED_VALUE"""),43783.66666666667)</f>
        <v>43783.66667</v>
      </c>
      <c r="E1422" s="3">
        <f>IFERROR(__xludf.DUMMYFUNCTION("""COMPUTED_VALUE"""),65.57)</f>
        <v>65.57</v>
      </c>
      <c r="F1422" s="3">
        <f t="shared" si="1"/>
        <v>0.01027065057</v>
      </c>
    </row>
    <row r="1423">
      <c r="A1423" s="6"/>
      <c r="D1423" s="5">
        <f>IFERROR(__xludf.DUMMYFUNCTION("""COMPUTED_VALUE"""),43784.66666666667)</f>
        <v>43784.66667</v>
      </c>
      <c r="E1423" s="3">
        <f>IFERROR(__xludf.DUMMYFUNCTION("""COMPUTED_VALUE"""),66.74)</f>
        <v>66.74</v>
      </c>
      <c r="F1423" s="3">
        <f t="shared" si="1"/>
        <v>0.01768619905</v>
      </c>
    </row>
    <row r="1424">
      <c r="A1424" s="6"/>
      <c r="D1424" s="5">
        <f>IFERROR(__xludf.DUMMYFUNCTION("""COMPUTED_VALUE"""),43787.66666666667)</f>
        <v>43787.66667</v>
      </c>
      <c r="E1424" s="3">
        <f>IFERROR(__xludf.DUMMYFUNCTION("""COMPUTED_VALUE"""),66.04)</f>
        <v>66.04</v>
      </c>
      <c r="F1424" s="3">
        <f t="shared" si="1"/>
        <v>-0.01054385427</v>
      </c>
    </row>
    <row r="1425">
      <c r="A1425" s="6"/>
      <c r="D1425" s="5">
        <f>IFERROR(__xludf.DUMMYFUNCTION("""COMPUTED_VALUE"""),43788.66666666667)</f>
        <v>43788.66667</v>
      </c>
      <c r="E1425" s="3">
        <f>IFERROR(__xludf.DUMMYFUNCTION("""COMPUTED_VALUE"""),65.77)</f>
        <v>65.77</v>
      </c>
      <c r="F1425" s="3">
        <f t="shared" si="1"/>
        <v>-0.004096811739</v>
      </c>
    </row>
    <row r="1426">
      <c r="A1426" s="6"/>
      <c r="D1426" s="5">
        <f>IFERROR(__xludf.DUMMYFUNCTION("""COMPUTED_VALUE"""),43789.66666666667)</f>
        <v>43789.66667</v>
      </c>
      <c r="E1426" s="3">
        <f>IFERROR(__xludf.DUMMYFUNCTION("""COMPUTED_VALUE"""),65.15)</f>
        <v>65.15</v>
      </c>
      <c r="F1426" s="3">
        <f t="shared" si="1"/>
        <v>-0.009471503742</v>
      </c>
    </row>
    <row r="1427">
      <c r="A1427" s="6"/>
      <c r="D1427" s="5">
        <f>IFERROR(__xludf.DUMMYFUNCTION("""COMPUTED_VALUE"""),43790.66666666667)</f>
        <v>43790.66667</v>
      </c>
      <c r="E1427" s="3">
        <f>IFERROR(__xludf.DUMMYFUNCTION("""COMPUTED_VALUE"""),65.07)</f>
        <v>65.07</v>
      </c>
      <c r="F1427" s="3">
        <f t="shared" si="1"/>
        <v>-0.001228690064</v>
      </c>
    </row>
    <row r="1428">
      <c r="A1428" s="6"/>
      <c r="D1428" s="5">
        <f>IFERROR(__xludf.DUMMYFUNCTION("""COMPUTED_VALUE"""),43791.66666666667)</f>
        <v>43791.66667</v>
      </c>
      <c r="E1428" s="3">
        <f>IFERROR(__xludf.DUMMYFUNCTION("""COMPUTED_VALUE"""),64.77)</f>
        <v>64.77</v>
      </c>
      <c r="F1428" s="3">
        <f t="shared" si="1"/>
        <v>-0.004621080312</v>
      </c>
    </row>
    <row r="1429">
      <c r="A1429" s="6"/>
      <c r="D1429" s="5">
        <f>IFERROR(__xludf.DUMMYFUNCTION("""COMPUTED_VALUE"""),43794.66666666667)</f>
        <v>43794.66667</v>
      </c>
      <c r="E1429" s="3">
        <f>IFERROR(__xludf.DUMMYFUNCTION("""COMPUTED_VALUE"""),65.33)</f>
        <v>65.33</v>
      </c>
      <c r="F1429" s="3">
        <f t="shared" si="1"/>
        <v>0.008608815658</v>
      </c>
    </row>
    <row r="1430">
      <c r="A1430" s="6"/>
      <c r="D1430" s="5">
        <f>IFERROR(__xludf.DUMMYFUNCTION("""COMPUTED_VALUE"""),43795.66666666667)</f>
        <v>43795.66667</v>
      </c>
      <c r="E1430" s="3">
        <f>IFERROR(__xludf.DUMMYFUNCTION("""COMPUTED_VALUE"""),65.68)</f>
        <v>65.68</v>
      </c>
      <c r="F1430" s="3">
        <f t="shared" si="1"/>
        <v>0.005343116292</v>
      </c>
    </row>
    <row r="1431">
      <c r="A1431" s="6"/>
      <c r="D1431" s="5">
        <f>IFERROR(__xludf.DUMMYFUNCTION("""COMPUTED_VALUE"""),43796.66666666667)</f>
        <v>43796.66667</v>
      </c>
      <c r="E1431" s="3">
        <f>IFERROR(__xludf.DUMMYFUNCTION("""COMPUTED_VALUE"""),65.65)</f>
        <v>65.65</v>
      </c>
      <c r="F1431" s="3">
        <f t="shared" si="1"/>
        <v>-0.0004568643954</v>
      </c>
    </row>
    <row r="1432">
      <c r="A1432" s="6"/>
      <c r="D1432" s="5">
        <f>IFERROR(__xludf.DUMMYFUNCTION("""COMPUTED_VALUE"""),43798.54166666667)</f>
        <v>43798.54167</v>
      </c>
      <c r="E1432" s="3">
        <f>IFERROR(__xludf.DUMMYFUNCTION("""COMPUTED_VALUE"""),65.25)</f>
        <v>65.25</v>
      </c>
      <c r="F1432" s="3">
        <f t="shared" si="1"/>
        <v>-0.006111554546</v>
      </c>
    </row>
    <row r="1433">
      <c r="A1433" s="6"/>
      <c r="D1433" s="5">
        <f>IFERROR(__xludf.DUMMYFUNCTION("""COMPUTED_VALUE"""),43801.66666666667)</f>
        <v>43801.66667</v>
      </c>
      <c r="E1433" s="3">
        <f>IFERROR(__xludf.DUMMYFUNCTION("""COMPUTED_VALUE"""),64.5)</f>
        <v>64.5</v>
      </c>
      <c r="F1433" s="3">
        <f t="shared" si="1"/>
        <v>-0.0115608224</v>
      </c>
    </row>
    <row r="1434">
      <c r="A1434" s="6"/>
      <c r="D1434" s="5">
        <f>IFERROR(__xludf.DUMMYFUNCTION("""COMPUTED_VALUE"""),43802.66666666667)</f>
        <v>43802.66667</v>
      </c>
      <c r="E1434" s="3">
        <f>IFERROR(__xludf.DUMMYFUNCTION("""COMPUTED_VALUE"""),64.76)</f>
        <v>64.76</v>
      </c>
      <c r="F1434" s="3">
        <f t="shared" si="1"/>
        <v>0.004022905008</v>
      </c>
    </row>
    <row r="1435">
      <c r="A1435" s="6"/>
      <c r="D1435" s="5">
        <f>IFERROR(__xludf.DUMMYFUNCTION("""COMPUTED_VALUE"""),43803.66666666667)</f>
        <v>43803.66667</v>
      </c>
      <c r="E1435" s="3">
        <f>IFERROR(__xludf.DUMMYFUNCTION("""COMPUTED_VALUE"""),66.03)</f>
        <v>66.03</v>
      </c>
      <c r="F1435" s="3">
        <f t="shared" si="1"/>
        <v>0.0194210554</v>
      </c>
    </row>
    <row r="1436">
      <c r="A1436" s="6"/>
      <c r="D1436" s="5">
        <f>IFERROR(__xludf.DUMMYFUNCTION("""COMPUTED_VALUE"""),43804.66666666667)</f>
        <v>43804.66667</v>
      </c>
      <c r="E1436" s="3">
        <f>IFERROR(__xludf.DUMMYFUNCTION("""COMPUTED_VALUE"""),66.41)</f>
        <v>66.41</v>
      </c>
      <c r="F1436" s="3">
        <f t="shared" si="1"/>
        <v>0.005738463346</v>
      </c>
    </row>
    <row r="1437">
      <c r="A1437" s="6"/>
      <c r="D1437" s="5">
        <f>IFERROR(__xludf.DUMMYFUNCTION("""COMPUTED_VALUE"""),43805.66666666667)</f>
        <v>43805.66667</v>
      </c>
      <c r="E1437" s="3">
        <f>IFERROR(__xludf.DUMMYFUNCTION("""COMPUTED_VALUE"""),67.03)</f>
        <v>67.03</v>
      </c>
      <c r="F1437" s="3">
        <f t="shared" si="1"/>
        <v>0.009292632817</v>
      </c>
    </row>
    <row r="1438">
      <c r="A1438" s="6"/>
      <c r="D1438" s="5">
        <f>IFERROR(__xludf.DUMMYFUNCTION("""COMPUTED_VALUE"""),43808.66666666667)</f>
        <v>43808.66667</v>
      </c>
      <c r="E1438" s="3">
        <f>IFERROR(__xludf.DUMMYFUNCTION("""COMPUTED_VALUE"""),67.18)</f>
        <v>67.18</v>
      </c>
      <c r="F1438" s="3">
        <f t="shared" si="1"/>
        <v>0.002235303814</v>
      </c>
    </row>
    <row r="1439">
      <c r="A1439" s="6"/>
      <c r="D1439" s="5">
        <f>IFERROR(__xludf.DUMMYFUNCTION("""COMPUTED_VALUE"""),43809.66666666667)</f>
        <v>43809.66667</v>
      </c>
      <c r="E1439" s="3">
        <f>IFERROR(__xludf.DUMMYFUNCTION("""COMPUTED_VALUE"""),67.23)</f>
        <v>67.23</v>
      </c>
      <c r="F1439" s="3">
        <f t="shared" si="1"/>
        <v>0.0007439922968</v>
      </c>
    </row>
    <row r="1440">
      <c r="A1440" s="6"/>
      <c r="D1440" s="5">
        <f>IFERROR(__xludf.DUMMYFUNCTION("""COMPUTED_VALUE"""),43810.66666666667)</f>
        <v>43810.66667</v>
      </c>
      <c r="E1440" s="3">
        <f>IFERROR(__xludf.DUMMYFUNCTION("""COMPUTED_VALUE"""),67.25)</f>
        <v>67.25</v>
      </c>
      <c r="F1440" s="3">
        <f t="shared" si="1"/>
        <v>0.000297442001</v>
      </c>
    </row>
    <row r="1441">
      <c r="A1441" s="6"/>
      <c r="D1441" s="5">
        <f>IFERROR(__xludf.DUMMYFUNCTION("""COMPUTED_VALUE"""),43811.66666666667)</f>
        <v>43811.66667</v>
      </c>
      <c r="E1441" s="3">
        <f>IFERROR(__xludf.DUMMYFUNCTION("""COMPUTED_VALUE"""),67.51)</f>
        <v>67.51</v>
      </c>
      <c r="F1441" s="3">
        <f t="shared" si="1"/>
        <v>0.003858716572</v>
      </c>
    </row>
    <row r="1442">
      <c r="A1442" s="6"/>
      <c r="D1442" s="5">
        <f>IFERROR(__xludf.DUMMYFUNCTION("""COMPUTED_VALUE"""),43812.66666666667)</f>
        <v>43812.66667</v>
      </c>
      <c r="E1442" s="3">
        <f>IFERROR(__xludf.DUMMYFUNCTION("""COMPUTED_VALUE"""),67.39)</f>
        <v>67.39</v>
      </c>
      <c r="F1442" s="3">
        <f t="shared" si="1"/>
        <v>-0.001779096096</v>
      </c>
    </row>
    <row r="1443">
      <c r="A1443" s="6"/>
      <c r="D1443" s="5">
        <f>IFERROR(__xludf.DUMMYFUNCTION("""COMPUTED_VALUE"""),43815.66666666667)</f>
        <v>43815.66667</v>
      </c>
      <c r="E1443" s="3">
        <f>IFERROR(__xludf.DUMMYFUNCTION("""COMPUTED_VALUE"""),68.06)</f>
        <v>68.06</v>
      </c>
      <c r="F1443" s="3">
        <f t="shared" si="1"/>
        <v>0.009893030115</v>
      </c>
    </row>
    <row r="1444">
      <c r="A1444" s="6"/>
      <c r="D1444" s="5">
        <f>IFERROR(__xludf.DUMMYFUNCTION("""COMPUTED_VALUE"""),43816.66666666667)</f>
        <v>43816.66667</v>
      </c>
      <c r="E1444" s="3">
        <f>IFERROR(__xludf.DUMMYFUNCTION("""COMPUTED_VALUE"""),67.76)</f>
        <v>67.76</v>
      </c>
      <c r="F1444" s="3">
        <f t="shared" si="1"/>
        <v>-0.004417618729</v>
      </c>
    </row>
    <row r="1445">
      <c r="A1445" s="6"/>
      <c r="D1445" s="5">
        <f>IFERROR(__xludf.DUMMYFUNCTION("""COMPUTED_VALUE"""),43817.66666666667)</f>
        <v>43817.66667</v>
      </c>
      <c r="E1445" s="3">
        <f>IFERROR(__xludf.DUMMYFUNCTION("""COMPUTED_VALUE"""),67.63)</f>
        <v>67.63</v>
      </c>
      <c r="F1445" s="3">
        <f t="shared" si="1"/>
        <v>-0.001920378757</v>
      </c>
    </row>
    <row r="1446">
      <c r="A1446" s="6"/>
      <c r="D1446" s="5">
        <f>IFERROR(__xludf.DUMMYFUNCTION("""COMPUTED_VALUE"""),43818.66666666667)</f>
        <v>43818.66667</v>
      </c>
      <c r="E1446" s="3">
        <f>IFERROR(__xludf.DUMMYFUNCTION("""COMPUTED_VALUE"""),67.8)</f>
        <v>67.8</v>
      </c>
      <c r="F1446" s="3">
        <f t="shared" si="1"/>
        <v>0.00251052336</v>
      </c>
    </row>
    <row r="1447">
      <c r="A1447" s="6"/>
      <c r="D1447" s="5">
        <f>IFERROR(__xludf.DUMMYFUNCTION("""COMPUTED_VALUE"""),43819.66666666667)</f>
        <v>43819.66667</v>
      </c>
      <c r="E1447" s="3">
        <f>IFERROR(__xludf.DUMMYFUNCTION("""COMPUTED_VALUE"""),67.48)</f>
        <v>67.48</v>
      </c>
      <c r="F1447" s="3">
        <f t="shared" si="1"/>
        <v>-0.004730937269</v>
      </c>
    </row>
    <row r="1448">
      <c r="A1448" s="6"/>
      <c r="D1448" s="5">
        <f>IFERROR(__xludf.DUMMYFUNCTION("""COMPUTED_VALUE"""),43822.66666666667)</f>
        <v>43822.66667</v>
      </c>
      <c r="E1448" s="3">
        <f>IFERROR(__xludf.DUMMYFUNCTION("""COMPUTED_VALUE"""),67.44)</f>
        <v>67.44</v>
      </c>
      <c r="F1448" s="3">
        <f t="shared" si="1"/>
        <v>-0.0005929439842</v>
      </c>
    </row>
    <row r="1449">
      <c r="A1449" s="6"/>
      <c r="D1449" s="5">
        <f>IFERROR(__xludf.DUMMYFUNCTION("""COMPUTED_VALUE"""),43823.54166666667)</f>
        <v>43823.54167</v>
      </c>
      <c r="E1449" s="3">
        <f>IFERROR(__xludf.DUMMYFUNCTION("""COMPUTED_VALUE"""),67.18)</f>
        <v>67.18</v>
      </c>
      <c r="F1449" s="3">
        <f t="shared" si="1"/>
        <v>-0.003862729509</v>
      </c>
    </row>
    <row r="1450">
      <c r="A1450" s="6"/>
      <c r="D1450" s="5">
        <f>IFERROR(__xludf.DUMMYFUNCTION("""COMPUTED_VALUE"""),43825.66666666667)</f>
        <v>43825.66667</v>
      </c>
      <c r="E1450" s="3">
        <f>IFERROR(__xludf.DUMMYFUNCTION("""COMPUTED_VALUE"""),68.02)</f>
        <v>68.02</v>
      </c>
      <c r="F1450" s="3">
        <f t="shared" si="1"/>
        <v>0.01242619539</v>
      </c>
    </row>
    <row r="1451">
      <c r="A1451" s="6"/>
      <c r="D1451" s="5">
        <f>IFERROR(__xludf.DUMMYFUNCTION("""COMPUTED_VALUE"""),43826.66666666667)</f>
        <v>43826.66667</v>
      </c>
      <c r="E1451" s="3">
        <f>IFERROR(__xludf.DUMMYFUNCTION("""COMPUTED_VALUE"""),67.59)</f>
        <v>67.59</v>
      </c>
      <c r="F1451" s="3">
        <f t="shared" si="1"/>
        <v>-0.006341736467</v>
      </c>
    </row>
    <row r="1452">
      <c r="A1452" s="6"/>
      <c r="D1452" s="5">
        <f>IFERROR(__xludf.DUMMYFUNCTION("""COMPUTED_VALUE"""),43829.66666666667)</f>
        <v>43829.66667</v>
      </c>
      <c r="E1452" s="3">
        <f>IFERROR(__xludf.DUMMYFUNCTION("""COMPUTED_VALUE"""),66.81)</f>
        <v>66.81</v>
      </c>
      <c r="F1452" s="3">
        <f t="shared" si="1"/>
        <v>-0.01160727317</v>
      </c>
    </row>
    <row r="1453">
      <c r="A1453" s="6"/>
      <c r="D1453" s="5">
        <f>IFERROR(__xludf.DUMMYFUNCTION("""COMPUTED_VALUE"""),43830.66666666667)</f>
        <v>43830.66667</v>
      </c>
      <c r="E1453" s="3">
        <f>IFERROR(__xludf.DUMMYFUNCTION("""COMPUTED_VALUE"""),66.85)</f>
        <v>66.85</v>
      </c>
      <c r="F1453" s="3">
        <f t="shared" si="1"/>
        <v>0.0005985336106</v>
      </c>
    </row>
    <row r="1454">
      <c r="A1454" s="6"/>
      <c r="D1454" s="5">
        <f>IFERROR(__xludf.DUMMYFUNCTION("""COMPUTED_VALUE"""),43832.66666666667)</f>
        <v>43832.66667</v>
      </c>
      <c r="E1454" s="3">
        <f>IFERROR(__xludf.DUMMYFUNCTION("""COMPUTED_VALUE"""),68.37)</f>
        <v>68.37</v>
      </c>
      <c r="F1454" s="3">
        <f t="shared" si="1"/>
        <v>0.02248282838</v>
      </c>
    </row>
    <row r="1455">
      <c r="A1455" s="6"/>
      <c r="D1455" s="5">
        <f>IFERROR(__xludf.DUMMYFUNCTION("""COMPUTED_VALUE"""),43833.66666666667)</f>
        <v>43833.66667</v>
      </c>
      <c r="E1455" s="3">
        <f>IFERROR(__xludf.DUMMYFUNCTION("""COMPUTED_VALUE"""),68.03)</f>
        <v>68.03</v>
      </c>
      <c r="F1455" s="3">
        <f t="shared" si="1"/>
        <v>-0.004985347569</v>
      </c>
    </row>
    <row r="1456">
      <c r="A1456" s="6"/>
      <c r="D1456" s="5">
        <f>IFERROR(__xludf.DUMMYFUNCTION("""COMPUTED_VALUE"""),43836.66666666667)</f>
        <v>43836.66667</v>
      </c>
      <c r="E1456" s="3">
        <f>IFERROR(__xludf.DUMMYFUNCTION("""COMPUTED_VALUE"""),69.71)</f>
        <v>69.71</v>
      </c>
      <c r="F1456" s="3">
        <f t="shared" si="1"/>
        <v>0.02439499514</v>
      </c>
    </row>
    <row r="1457">
      <c r="A1457" s="6"/>
      <c r="D1457" s="5">
        <f>IFERROR(__xludf.DUMMYFUNCTION("""COMPUTED_VALUE"""),43837.66666666667)</f>
        <v>43837.66667</v>
      </c>
      <c r="E1457" s="3">
        <f>IFERROR(__xludf.DUMMYFUNCTION("""COMPUTED_VALUE"""),69.67)</f>
        <v>69.67</v>
      </c>
      <c r="F1457" s="3">
        <f t="shared" si="1"/>
        <v>-0.0005739704563</v>
      </c>
    </row>
    <row r="1458">
      <c r="A1458" s="6"/>
      <c r="D1458" s="5">
        <f>IFERROR(__xludf.DUMMYFUNCTION("""COMPUTED_VALUE"""),43838.66666666667)</f>
        <v>43838.66667</v>
      </c>
      <c r="E1458" s="3">
        <f>IFERROR(__xludf.DUMMYFUNCTION("""COMPUTED_VALUE"""),70.22)</f>
        <v>70.22</v>
      </c>
      <c r="F1458" s="3">
        <f t="shared" si="1"/>
        <v>0.007863361698</v>
      </c>
    </row>
    <row r="1459">
      <c r="A1459" s="6"/>
      <c r="D1459" s="5">
        <f>IFERROR(__xludf.DUMMYFUNCTION("""COMPUTED_VALUE"""),43839.66666666667)</f>
        <v>43839.66667</v>
      </c>
      <c r="E1459" s="3">
        <f>IFERROR(__xludf.DUMMYFUNCTION("""COMPUTED_VALUE"""),70.99)</f>
        <v>70.99</v>
      </c>
      <c r="F1459" s="3">
        <f t="shared" si="1"/>
        <v>0.01090585131</v>
      </c>
    </row>
    <row r="1460">
      <c r="A1460" s="6"/>
      <c r="D1460" s="5">
        <f>IFERROR(__xludf.DUMMYFUNCTION("""COMPUTED_VALUE"""),43840.66666666667)</f>
        <v>43840.66667</v>
      </c>
      <c r="E1460" s="3">
        <f>IFERROR(__xludf.DUMMYFUNCTION("""COMPUTED_VALUE"""),71.49)</f>
        <v>71.49</v>
      </c>
      <c r="F1460" s="3">
        <f t="shared" si="1"/>
        <v>0.007018557727</v>
      </c>
    </row>
    <row r="1461">
      <c r="A1461" s="6"/>
      <c r="D1461" s="5">
        <f>IFERROR(__xludf.DUMMYFUNCTION("""COMPUTED_VALUE"""),43843.66666666667)</f>
        <v>43843.66667</v>
      </c>
      <c r="E1461" s="3">
        <f>IFERROR(__xludf.DUMMYFUNCTION("""COMPUTED_VALUE"""),71.96)</f>
        <v>71.96</v>
      </c>
      <c r="F1461" s="3">
        <f t="shared" si="1"/>
        <v>0.006552829304</v>
      </c>
    </row>
    <row r="1462">
      <c r="A1462" s="6"/>
      <c r="D1462" s="5">
        <f>IFERROR(__xludf.DUMMYFUNCTION("""COMPUTED_VALUE"""),43844.66666666667)</f>
        <v>43844.66667</v>
      </c>
      <c r="E1462" s="3">
        <f>IFERROR(__xludf.DUMMYFUNCTION("""COMPUTED_VALUE"""),71.54)</f>
        <v>71.54</v>
      </c>
      <c r="F1462" s="3">
        <f t="shared" si="1"/>
        <v>-0.005853675251</v>
      </c>
    </row>
    <row r="1463">
      <c r="A1463" s="6"/>
      <c r="D1463" s="5">
        <f>IFERROR(__xludf.DUMMYFUNCTION("""COMPUTED_VALUE"""),43845.66666666667)</f>
        <v>43845.66667</v>
      </c>
      <c r="E1463" s="3">
        <f>IFERROR(__xludf.DUMMYFUNCTION("""COMPUTED_VALUE"""),71.96)</f>
        <v>71.96</v>
      </c>
      <c r="F1463" s="3">
        <f t="shared" si="1"/>
        <v>0.005853675251</v>
      </c>
    </row>
    <row r="1464">
      <c r="A1464" s="6"/>
      <c r="D1464" s="5">
        <f>IFERROR(__xludf.DUMMYFUNCTION("""COMPUTED_VALUE"""),43846.66666666667)</f>
        <v>43846.66667</v>
      </c>
      <c r="E1464" s="3">
        <f>IFERROR(__xludf.DUMMYFUNCTION("""COMPUTED_VALUE"""),72.58)</f>
        <v>72.58</v>
      </c>
      <c r="F1464" s="3">
        <f t="shared" si="1"/>
        <v>0.008578992703</v>
      </c>
    </row>
    <row r="1465">
      <c r="A1465" s="6"/>
      <c r="D1465" s="5">
        <f>IFERROR(__xludf.DUMMYFUNCTION("""COMPUTED_VALUE"""),43847.66666666667)</f>
        <v>43847.66667</v>
      </c>
      <c r="E1465" s="3">
        <f>IFERROR(__xludf.DUMMYFUNCTION("""COMPUTED_VALUE"""),74.02)</f>
        <v>74.02</v>
      </c>
      <c r="F1465" s="3">
        <f t="shared" si="1"/>
        <v>0.01964592517</v>
      </c>
    </row>
    <row r="1466">
      <c r="A1466" s="6"/>
      <c r="D1466" s="5">
        <f>IFERROR(__xludf.DUMMYFUNCTION("""COMPUTED_VALUE"""),43851.66666666667)</f>
        <v>43851.66667</v>
      </c>
      <c r="E1466" s="3">
        <f>IFERROR(__xludf.DUMMYFUNCTION("""COMPUTED_VALUE"""),74.22)</f>
        <v>74.22</v>
      </c>
      <c r="F1466" s="3">
        <f t="shared" si="1"/>
        <v>0.002698328674</v>
      </c>
    </row>
    <row r="1467">
      <c r="A1467" s="6"/>
      <c r="D1467" s="5">
        <f>IFERROR(__xludf.DUMMYFUNCTION("""COMPUTED_VALUE"""),43852.66666666667)</f>
        <v>43852.66667</v>
      </c>
      <c r="E1467" s="3">
        <f>IFERROR(__xludf.DUMMYFUNCTION("""COMPUTED_VALUE"""),74.3)</f>
        <v>74.3</v>
      </c>
      <c r="F1467" s="3">
        <f t="shared" si="1"/>
        <v>0.001077296091</v>
      </c>
    </row>
    <row r="1468">
      <c r="A1468" s="6"/>
      <c r="D1468" s="5">
        <f>IFERROR(__xludf.DUMMYFUNCTION("""COMPUTED_VALUE"""),43853.66666666667)</f>
        <v>43853.66667</v>
      </c>
      <c r="E1468" s="3">
        <f>IFERROR(__xludf.DUMMYFUNCTION("""COMPUTED_VALUE"""),74.33)</f>
        <v>74.33</v>
      </c>
      <c r="F1468" s="3">
        <f t="shared" si="1"/>
        <v>0.0004036870135</v>
      </c>
    </row>
    <row r="1469">
      <c r="A1469" s="6"/>
      <c r="D1469" s="5">
        <f>IFERROR(__xludf.DUMMYFUNCTION("""COMPUTED_VALUE"""),43854.66666666667)</f>
        <v>43854.66667</v>
      </c>
      <c r="E1469" s="3">
        <f>IFERROR(__xludf.DUMMYFUNCTION("""COMPUTED_VALUE"""),73.34)</f>
        <v>73.34</v>
      </c>
      <c r="F1469" s="3">
        <f t="shared" si="1"/>
        <v>-0.01340847609</v>
      </c>
    </row>
    <row r="1470">
      <c r="A1470" s="6"/>
      <c r="D1470" s="5">
        <f>IFERROR(__xludf.DUMMYFUNCTION("""COMPUTED_VALUE"""),43857.66666666667)</f>
        <v>43857.66667</v>
      </c>
      <c r="E1470" s="3">
        <f>IFERROR(__xludf.DUMMYFUNCTION("""COMPUTED_VALUE"""),71.69)</f>
        <v>71.69</v>
      </c>
      <c r="F1470" s="3">
        <f t="shared" si="1"/>
        <v>-0.02275489478</v>
      </c>
    </row>
    <row r="1471">
      <c r="A1471" s="6"/>
      <c r="D1471" s="5">
        <f>IFERROR(__xludf.DUMMYFUNCTION("""COMPUTED_VALUE"""),43858.66666666667)</f>
        <v>43858.66667</v>
      </c>
      <c r="E1471" s="3">
        <f>IFERROR(__xludf.DUMMYFUNCTION("""COMPUTED_VALUE"""),72.63)</f>
        <v>72.63</v>
      </c>
      <c r="F1471" s="3">
        <f t="shared" si="1"/>
        <v>0.01302679175</v>
      </c>
    </row>
    <row r="1472">
      <c r="A1472" s="6"/>
      <c r="D1472" s="5">
        <f>IFERROR(__xludf.DUMMYFUNCTION("""COMPUTED_VALUE"""),43859.66666666667)</f>
        <v>43859.66667</v>
      </c>
      <c r="E1472" s="3">
        <f>IFERROR(__xludf.DUMMYFUNCTION("""COMPUTED_VALUE"""),72.93)</f>
        <v>72.93</v>
      </c>
      <c r="F1472" s="3">
        <f t="shared" si="1"/>
        <v>0.004122017378</v>
      </c>
    </row>
    <row r="1473">
      <c r="A1473" s="6"/>
      <c r="D1473" s="5">
        <f>IFERROR(__xludf.DUMMYFUNCTION("""COMPUTED_VALUE"""),43860.66666666667)</f>
        <v>43860.66667</v>
      </c>
      <c r="E1473" s="3">
        <f>IFERROR(__xludf.DUMMYFUNCTION("""COMPUTED_VALUE"""),72.79)</f>
        <v>72.79</v>
      </c>
      <c r="F1473" s="3">
        <f t="shared" si="1"/>
        <v>-0.001921493866</v>
      </c>
    </row>
    <row r="1474">
      <c r="A1474" s="6"/>
      <c r="D1474" s="5">
        <f>IFERROR(__xludf.DUMMYFUNCTION("""COMPUTED_VALUE"""),43861.66666666667)</f>
        <v>43861.66667</v>
      </c>
      <c r="E1474" s="3">
        <f>IFERROR(__xludf.DUMMYFUNCTION("""COMPUTED_VALUE"""),71.71)</f>
        <v>71.71</v>
      </c>
      <c r="F1474" s="3">
        <f t="shared" si="1"/>
        <v>-0.01494837524</v>
      </c>
    </row>
    <row r="1475">
      <c r="A1475" s="6"/>
      <c r="D1475" s="5">
        <f>IFERROR(__xludf.DUMMYFUNCTION("""COMPUTED_VALUE"""),43864.66666666667)</f>
        <v>43864.66667</v>
      </c>
      <c r="E1475" s="3">
        <f>IFERROR(__xludf.DUMMYFUNCTION("""COMPUTED_VALUE"""),74.3)</f>
        <v>74.3</v>
      </c>
      <c r="F1475" s="3">
        <f t="shared" si="1"/>
        <v>0.03548074383</v>
      </c>
    </row>
    <row r="1476">
      <c r="A1476" s="6"/>
      <c r="D1476" s="5">
        <f>IFERROR(__xludf.DUMMYFUNCTION("""COMPUTED_VALUE"""),43865.66666666667)</f>
        <v>43865.66667</v>
      </c>
      <c r="E1476" s="3">
        <f>IFERROR(__xludf.DUMMYFUNCTION("""COMPUTED_VALUE"""),72.35)</f>
        <v>72.35</v>
      </c>
      <c r="F1476" s="3">
        <f t="shared" si="1"/>
        <v>-0.02659549865</v>
      </c>
    </row>
    <row r="1477">
      <c r="A1477" s="6"/>
      <c r="D1477" s="5">
        <f>IFERROR(__xludf.DUMMYFUNCTION("""COMPUTED_VALUE"""),43866.66666666667)</f>
        <v>43866.66667</v>
      </c>
      <c r="E1477" s="3">
        <f>IFERROR(__xludf.DUMMYFUNCTION("""COMPUTED_VALUE"""),72.41)</f>
        <v>72.41</v>
      </c>
      <c r="F1477" s="3">
        <f t="shared" si="1"/>
        <v>0.0008289583232</v>
      </c>
    </row>
    <row r="1478">
      <c r="A1478" s="6"/>
      <c r="D1478" s="5">
        <f>IFERROR(__xludf.DUMMYFUNCTION("""COMPUTED_VALUE"""),43867.66666666667)</f>
        <v>43867.66667</v>
      </c>
      <c r="E1478" s="3">
        <f>IFERROR(__xludf.DUMMYFUNCTION("""COMPUTED_VALUE"""),73.81)</f>
        <v>73.81</v>
      </c>
      <c r="F1478" s="3">
        <f t="shared" si="1"/>
        <v>0.01914981238</v>
      </c>
    </row>
    <row r="1479">
      <c r="A1479" s="6"/>
      <c r="D1479" s="5">
        <f>IFERROR(__xludf.DUMMYFUNCTION("""COMPUTED_VALUE"""),43868.66666666667)</f>
        <v>43868.66667</v>
      </c>
      <c r="E1479" s="3">
        <f>IFERROR(__xludf.DUMMYFUNCTION("""COMPUTED_VALUE"""),73.96)</f>
        <v>73.96</v>
      </c>
      <c r="F1479" s="3">
        <f t="shared" si="1"/>
        <v>0.002030182737</v>
      </c>
    </row>
    <row r="1480">
      <c r="A1480" s="6"/>
      <c r="D1480" s="5">
        <f>IFERROR(__xludf.DUMMYFUNCTION("""COMPUTED_VALUE"""),43871.66666666667)</f>
        <v>43871.66667</v>
      </c>
      <c r="E1480" s="3">
        <f>IFERROR(__xludf.DUMMYFUNCTION("""COMPUTED_VALUE"""),75.43)</f>
        <v>75.43</v>
      </c>
      <c r="F1480" s="3">
        <f t="shared" si="1"/>
        <v>0.01968066735</v>
      </c>
    </row>
    <row r="1481">
      <c r="A1481" s="6"/>
      <c r="D1481" s="5">
        <f>IFERROR(__xludf.DUMMYFUNCTION("""COMPUTED_VALUE"""),43872.66666666667)</f>
        <v>43872.66667</v>
      </c>
      <c r="E1481" s="3">
        <f>IFERROR(__xludf.DUMMYFUNCTION("""COMPUTED_VALUE"""),75.44)</f>
        <v>75.44</v>
      </c>
      <c r="F1481" s="3">
        <f t="shared" si="1"/>
        <v>0.0001325644597</v>
      </c>
    </row>
    <row r="1482">
      <c r="A1482" s="6"/>
      <c r="D1482" s="5">
        <f>IFERROR(__xludf.DUMMYFUNCTION("""COMPUTED_VALUE"""),43873.66666666667)</f>
        <v>43873.66667</v>
      </c>
      <c r="E1482" s="3">
        <f>IFERROR(__xludf.DUMMYFUNCTION("""COMPUTED_VALUE"""),75.91)</f>
        <v>75.91</v>
      </c>
      <c r="F1482" s="3">
        <f t="shared" si="1"/>
        <v>0.006210789703</v>
      </c>
    </row>
    <row r="1483">
      <c r="A1483" s="6"/>
      <c r="D1483" s="5">
        <f>IFERROR(__xludf.DUMMYFUNCTION("""COMPUTED_VALUE"""),43874.66666666667)</f>
        <v>43874.66667</v>
      </c>
      <c r="E1483" s="3">
        <f>IFERROR(__xludf.DUMMYFUNCTION("""COMPUTED_VALUE"""),75.73)</f>
        <v>75.73</v>
      </c>
      <c r="F1483" s="3">
        <f t="shared" si="1"/>
        <v>-0.002374044903</v>
      </c>
    </row>
    <row r="1484">
      <c r="A1484" s="6"/>
      <c r="D1484" s="5">
        <f>IFERROR(__xludf.DUMMYFUNCTION("""COMPUTED_VALUE"""),43875.66666666667)</f>
        <v>43875.66667</v>
      </c>
      <c r="E1484" s="3">
        <f>IFERROR(__xludf.DUMMYFUNCTION("""COMPUTED_VALUE"""),76.04)</f>
        <v>76.04</v>
      </c>
      <c r="F1484" s="3">
        <f t="shared" si="1"/>
        <v>0.004085134494</v>
      </c>
    </row>
    <row r="1485">
      <c r="A1485" s="6"/>
      <c r="D1485" s="5">
        <f>IFERROR(__xludf.DUMMYFUNCTION("""COMPUTED_VALUE"""),43879.66666666667)</f>
        <v>43879.66667</v>
      </c>
      <c r="E1485" s="3">
        <f>IFERROR(__xludf.DUMMYFUNCTION("""COMPUTED_VALUE"""),75.98)</f>
        <v>75.98</v>
      </c>
      <c r="F1485" s="3">
        <f t="shared" si="1"/>
        <v>-0.0007893698607</v>
      </c>
    </row>
    <row r="1486">
      <c r="A1486" s="6"/>
      <c r="D1486" s="5">
        <f>IFERROR(__xludf.DUMMYFUNCTION("""COMPUTED_VALUE"""),43880.66666666667)</f>
        <v>43880.66667</v>
      </c>
      <c r="E1486" s="3">
        <f>IFERROR(__xludf.DUMMYFUNCTION("""COMPUTED_VALUE"""),76.33)</f>
        <v>76.33</v>
      </c>
      <c r="F1486" s="3">
        <f t="shared" si="1"/>
        <v>0.004595898051</v>
      </c>
    </row>
    <row r="1487">
      <c r="A1487" s="6"/>
      <c r="D1487" s="5">
        <f>IFERROR(__xludf.DUMMYFUNCTION("""COMPUTED_VALUE"""),43881.66666666667)</f>
        <v>43881.66667</v>
      </c>
      <c r="E1487" s="3">
        <f>IFERROR(__xludf.DUMMYFUNCTION("""COMPUTED_VALUE"""),75.91)</f>
        <v>75.91</v>
      </c>
      <c r="F1487" s="3">
        <f t="shared" si="1"/>
        <v>-0.005517617782</v>
      </c>
    </row>
    <row r="1488">
      <c r="A1488" s="6"/>
      <c r="D1488" s="5">
        <f>IFERROR(__xludf.DUMMYFUNCTION("""COMPUTED_VALUE"""),43882.66666666667)</f>
        <v>43882.66667</v>
      </c>
      <c r="E1488" s="3">
        <f>IFERROR(__xludf.DUMMYFUNCTION("""COMPUTED_VALUE"""),74.26)</f>
        <v>74.26</v>
      </c>
      <c r="F1488" s="3">
        <f t="shared" si="1"/>
        <v>-0.02197597928</v>
      </c>
    </row>
    <row r="1489">
      <c r="A1489" s="6"/>
      <c r="D1489" s="5">
        <f>IFERROR(__xludf.DUMMYFUNCTION("""COMPUTED_VALUE"""),43885.66666666667)</f>
        <v>43885.66667</v>
      </c>
      <c r="E1489" s="3">
        <f>IFERROR(__xludf.DUMMYFUNCTION("""COMPUTED_VALUE"""),71.08)</f>
        <v>71.08</v>
      </c>
      <c r="F1489" s="3">
        <f t="shared" si="1"/>
        <v>-0.04376644546</v>
      </c>
    </row>
    <row r="1490">
      <c r="A1490" s="6"/>
      <c r="D1490" s="5">
        <f>IFERROR(__xludf.DUMMYFUNCTION("""COMPUTED_VALUE"""),43886.66666666667)</f>
        <v>43886.66667</v>
      </c>
      <c r="E1490" s="3">
        <f>IFERROR(__xludf.DUMMYFUNCTION("""COMPUTED_VALUE"""),69.42)</f>
        <v>69.42</v>
      </c>
      <c r="F1490" s="3">
        <f t="shared" si="1"/>
        <v>-0.02363099285</v>
      </c>
    </row>
    <row r="1491">
      <c r="A1491" s="6"/>
      <c r="D1491" s="5">
        <f>IFERROR(__xludf.DUMMYFUNCTION("""COMPUTED_VALUE"""),43887.66666666667)</f>
        <v>43887.66667</v>
      </c>
      <c r="E1491" s="3">
        <f>IFERROR(__xludf.DUMMYFUNCTION("""COMPUTED_VALUE"""),69.66)</f>
        <v>69.66</v>
      </c>
      <c r="F1491" s="3">
        <f t="shared" si="1"/>
        <v>0.003451254504</v>
      </c>
    </row>
    <row r="1492">
      <c r="A1492" s="6"/>
      <c r="D1492" s="5">
        <f>IFERROR(__xludf.DUMMYFUNCTION("""COMPUTED_VALUE"""),43888.66666666667)</f>
        <v>43888.66667</v>
      </c>
      <c r="E1492" s="3">
        <f>IFERROR(__xludf.DUMMYFUNCTION("""COMPUTED_VALUE"""),65.9)</f>
        <v>65.9</v>
      </c>
      <c r="F1492" s="3">
        <f t="shared" si="1"/>
        <v>-0.05548782343</v>
      </c>
    </row>
    <row r="1493">
      <c r="A1493" s="6"/>
      <c r="D1493" s="5">
        <f>IFERROR(__xludf.DUMMYFUNCTION("""COMPUTED_VALUE"""),43889.66666666667)</f>
        <v>43889.66667</v>
      </c>
      <c r="E1493" s="3">
        <f>IFERROR(__xludf.DUMMYFUNCTION("""COMPUTED_VALUE"""),66.97)</f>
        <v>66.97</v>
      </c>
      <c r="F1493" s="3">
        <f t="shared" si="1"/>
        <v>0.01610631641</v>
      </c>
    </row>
    <row r="1494">
      <c r="A1494" s="6"/>
      <c r="D1494" s="5">
        <f>IFERROR(__xludf.DUMMYFUNCTION("""COMPUTED_VALUE"""),43892.66666666667)</f>
        <v>43892.66667</v>
      </c>
      <c r="E1494" s="3">
        <f>IFERROR(__xludf.DUMMYFUNCTION("""COMPUTED_VALUE"""),69.46)</f>
        <v>69.46</v>
      </c>
      <c r="F1494" s="3">
        <f t="shared" si="1"/>
        <v>0.03650628939</v>
      </c>
    </row>
    <row r="1495">
      <c r="A1495" s="6"/>
      <c r="D1495" s="5">
        <f>IFERROR(__xludf.DUMMYFUNCTION("""COMPUTED_VALUE"""),43893.66666666667)</f>
        <v>43893.66667</v>
      </c>
      <c r="E1495" s="3">
        <f>IFERROR(__xludf.DUMMYFUNCTION("""COMPUTED_VALUE"""),67.07)</f>
        <v>67.07</v>
      </c>
      <c r="F1495" s="3">
        <f t="shared" si="1"/>
        <v>-0.0350141972</v>
      </c>
    </row>
    <row r="1496">
      <c r="A1496" s="6"/>
      <c r="D1496" s="5">
        <f>IFERROR(__xludf.DUMMYFUNCTION("""COMPUTED_VALUE"""),43894.66666666667)</f>
        <v>43894.66667</v>
      </c>
      <c r="E1496" s="3">
        <f>IFERROR(__xludf.DUMMYFUNCTION("""COMPUTED_VALUE"""),69.33)</f>
        <v>69.33</v>
      </c>
      <c r="F1496" s="3">
        <f t="shared" si="1"/>
        <v>0.03314086284</v>
      </c>
    </row>
    <row r="1497">
      <c r="A1497" s="6"/>
      <c r="D1497" s="5">
        <f>IFERROR(__xludf.DUMMYFUNCTION("""COMPUTED_VALUE"""),43895.66666666667)</f>
        <v>43895.66667</v>
      </c>
      <c r="E1497" s="3">
        <f>IFERROR(__xludf.DUMMYFUNCTION("""COMPUTED_VALUE"""),65.95)</f>
        <v>65.95</v>
      </c>
      <c r="F1497" s="3">
        <f t="shared" si="1"/>
        <v>-0.04998083379</v>
      </c>
    </row>
    <row r="1498">
      <c r="A1498" s="6"/>
      <c r="D1498" s="5">
        <f>IFERROR(__xludf.DUMMYFUNCTION("""COMPUTED_VALUE"""),43896.66666666667)</f>
        <v>43896.66667</v>
      </c>
      <c r="E1498" s="3">
        <f>IFERROR(__xludf.DUMMYFUNCTION("""COMPUTED_VALUE"""),64.92)</f>
        <v>64.92</v>
      </c>
      <c r="F1498" s="3">
        <f t="shared" si="1"/>
        <v>-0.01574113652</v>
      </c>
    </row>
    <row r="1499">
      <c r="A1499" s="6"/>
      <c r="D1499" s="5">
        <f>IFERROR(__xludf.DUMMYFUNCTION("""COMPUTED_VALUE"""),43899.66666666667)</f>
        <v>43899.66667</v>
      </c>
      <c r="E1499" s="3">
        <f>IFERROR(__xludf.DUMMYFUNCTION("""COMPUTED_VALUE"""),60.78)</f>
        <v>60.78</v>
      </c>
      <c r="F1499" s="3">
        <f t="shared" si="1"/>
        <v>-0.06589495516</v>
      </c>
    </row>
    <row r="1500">
      <c r="A1500" s="6"/>
      <c r="D1500" s="5">
        <f>IFERROR(__xludf.DUMMYFUNCTION("""COMPUTED_VALUE"""),43900.66666666667)</f>
        <v>43900.66667</v>
      </c>
      <c r="E1500" s="3">
        <f>IFERROR(__xludf.DUMMYFUNCTION("""COMPUTED_VALUE"""),64.02)</f>
        <v>64.02</v>
      </c>
      <c r="F1500" s="3">
        <f t="shared" si="1"/>
        <v>0.05193474705</v>
      </c>
    </row>
    <row r="1501">
      <c r="A1501" s="6"/>
      <c r="D1501" s="5">
        <f>IFERROR(__xludf.DUMMYFUNCTION("""COMPUTED_VALUE"""),43901.66666666667)</f>
        <v>43901.66667</v>
      </c>
      <c r="E1501" s="3">
        <f>IFERROR(__xludf.DUMMYFUNCTION("""COMPUTED_VALUE"""),60.77)</f>
        <v>60.77</v>
      </c>
      <c r="F1501" s="3">
        <f t="shared" si="1"/>
        <v>-0.05209928839</v>
      </c>
    </row>
    <row r="1502">
      <c r="A1502" s="6"/>
      <c r="D1502" s="5">
        <f>IFERROR(__xludf.DUMMYFUNCTION("""COMPUTED_VALUE"""),43902.66666666667)</f>
        <v>43902.66667</v>
      </c>
      <c r="E1502" s="3">
        <f>IFERROR(__xludf.DUMMYFUNCTION("""COMPUTED_VALUE"""),55.75)</f>
        <v>55.75</v>
      </c>
      <c r="F1502" s="3">
        <f t="shared" si="1"/>
        <v>-0.08621883581</v>
      </c>
    </row>
    <row r="1503">
      <c r="A1503" s="6"/>
      <c r="D1503" s="5">
        <f>IFERROR(__xludf.DUMMYFUNCTION("""COMPUTED_VALUE"""),43903.66666666667)</f>
        <v>43903.66667</v>
      </c>
      <c r="E1503" s="3">
        <f>IFERROR(__xludf.DUMMYFUNCTION("""COMPUTED_VALUE"""),60.99)</f>
        <v>60.99</v>
      </c>
      <c r="F1503" s="3">
        <f t="shared" si="1"/>
        <v>0.08983250597</v>
      </c>
    </row>
    <row r="1504">
      <c r="A1504" s="6"/>
      <c r="D1504" s="5">
        <f>IFERROR(__xludf.DUMMYFUNCTION("""COMPUTED_VALUE"""),43906.66666666667)</f>
        <v>43906.66667</v>
      </c>
      <c r="E1504" s="3">
        <f>IFERROR(__xludf.DUMMYFUNCTION("""COMPUTED_VALUE"""),54.22)</f>
        <v>54.22</v>
      </c>
      <c r="F1504" s="3">
        <f t="shared" si="1"/>
        <v>-0.1176600722</v>
      </c>
    </row>
    <row r="1505">
      <c r="A1505" s="6"/>
      <c r="D1505" s="5">
        <f>IFERROR(__xludf.DUMMYFUNCTION("""COMPUTED_VALUE"""),43907.66666666667)</f>
        <v>43907.66667</v>
      </c>
      <c r="E1505" s="3">
        <f>IFERROR(__xludf.DUMMYFUNCTION("""COMPUTED_VALUE"""),55.99)</f>
        <v>55.99</v>
      </c>
      <c r="F1505" s="3">
        <f t="shared" si="1"/>
        <v>0.03212325929</v>
      </c>
    </row>
    <row r="1506">
      <c r="A1506" s="6"/>
      <c r="D1506" s="5">
        <f>IFERROR(__xludf.DUMMYFUNCTION("""COMPUTED_VALUE"""),43908.66666666667)</f>
        <v>43908.66667</v>
      </c>
      <c r="E1506" s="3">
        <f>IFERROR(__xludf.DUMMYFUNCTION("""COMPUTED_VALUE"""),54.84)</f>
        <v>54.84</v>
      </c>
      <c r="F1506" s="3">
        <f t="shared" si="1"/>
        <v>-0.02075324867</v>
      </c>
    </row>
    <row r="1507">
      <c r="A1507" s="6"/>
      <c r="D1507" s="5">
        <f>IFERROR(__xludf.DUMMYFUNCTION("""COMPUTED_VALUE"""),43909.66666666667)</f>
        <v>43909.66667</v>
      </c>
      <c r="E1507" s="3">
        <f>IFERROR(__xludf.DUMMYFUNCTION("""COMPUTED_VALUE"""),55.76)</f>
        <v>55.76</v>
      </c>
      <c r="F1507" s="3">
        <f t="shared" si="1"/>
        <v>0.01663691176</v>
      </c>
    </row>
    <row r="1508">
      <c r="A1508" s="6"/>
      <c r="D1508" s="5">
        <f>IFERROR(__xludf.DUMMYFUNCTION("""COMPUTED_VALUE"""),43910.66666666667)</f>
        <v>43910.66667</v>
      </c>
      <c r="E1508" s="3">
        <f>IFERROR(__xludf.DUMMYFUNCTION("""COMPUTED_VALUE"""),53.62)</f>
        <v>53.62</v>
      </c>
      <c r="F1508" s="3">
        <f t="shared" si="1"/>
        <v>-0.03913463364</v>
      </c>
    </row>
    <row r="1509">
      <c r="A1509" s="6"/>
      <c r="D1509" s="5">
        <f>IFERROR(__xludf.DUMMYFUNCTION("""COMPUTED_VALUE"""),43913.66666666667)</f>
        <v>43913.66667</v>
      </c>
      <c r="E1509" s="3">
        <f>IFERROR(__xludf.DUMMYFUNCTION("""COMPUTED_VALUE"""),52.83)</f>
        <v>52.83</v>
      </c>
      <c r="F1509" s="3">
        <f t="shared" si="1"/>
        <v>-0.01484292163</v>
      </c>
    </row>
    <row r="1510">
      <c r="A1510" s="6"/>
      <c r="D1510" s="5">
        <f>IFERROR(__xludf.DUMMYFUNCTION("""COMPUTED_VALUE"""),43914.66666666667)</f>
        <v>43914.66667</v>
      </c>
      <c r="E1510" s="3">
        <f>IFERROR(__xludf.DUMMYFUNCTION("""COMPUTED_VALUE"""),56.72)</f>
        <v>56.72</v>
      </c>
      <c r="F1510" s="3">
        <f t="shared" si="1"/>
        <v>0.07104767105</v>
      </c>
    </row>
    <row r="1511">
      <c r="A1511" s="6"/>
      <c r="D1511" s="5">
        <f>IFERROR(__xludf.DUMMYFUNCTION("""COMPUTED_VALUE"""),43915.66666666667)</f>
        <v>43915.66667</v>
      </c>
      <c r="E1511" s="3">
        <f>IFERROR(__xludf.DUMMYFUNCTION("""COMPUTED_VALUE"""),55.12)</f>
        <v>55.12</v>
      </c>
      <c r="F1511" s="3">
        <f t="shared" si="1"/>
        <v>-0.02861425552</v>
      </c>
    </row>
    <row r="1512">
      <c r="A1512" s="6"/>
      <c r="D1512" s="5">
        <f>IFERROR(__xludf.DUMMYFUNCTION("""COMPUTED_VALUE"""),43916.66666666667)</f>
        <v>43916.66667</v>
      </c>
      <c r="E1512" s="3">
        <f>IFERROR(__xludf.DUMMYFUNCTION("""COMPUTED_VALUE"""),58.09)</f>
        <v>58.09</v>
      </c>
      <c r="F1512" s="3">
        <f t="shared" si="1"/>
        <v>0.0524809053</v>
      </c>
    </row>
    <row r="1513">
      <c r="A1513" s="6"/>
      <c r="D1513" s="5">
        <f>IFERROR(__xludf.DUMMYFUNCTION("""COMPUTED_VALUE"""),43917.66666666667)</f>
        <v>43917.66667</v>
      </c>
      <c r="E1513" s="3">
        <f>IFERROR(__xludf.DUMMYFUNCTION("""COMPUTED_VALUE"""),55.54)</f>
        <v>55.54</v>
      </c>
      <c r="F1513" s="3">
        <f t="shared" si="1"/>
        <v>-0.04489005013</v>
      </c>
    </row>
    <row r="1514">
      <c r="A1514" s="6"/>
      <c r="D1514" s="5">
        <f>IFERROR(__xludf.DUMMYFUNCTION("""COMPUTED_VALUE"""),43920.66666666667)</f>
        <v>43920.66667</v>
      </c>
      <c r="E1514" s="3">
        <f>IFERROR(__xludf.DUMMYFUNCTION("""COMPUTED_VALUE"""),57.34)</f>
        <v>57.34</v>
      </c>
      <c r="F1514" s="3">
        <f t="shared" si="1"/>
        <v>0.03189497858</v>
      </c>
    </row>
    <row r="1515">
      <c r="A1515" s="6"/>
      <c r="D1515" s="5">
        <f>IFERROR(__xludf.DUMMYFUNCTION("""COMPUTED_VALUE"""),43921.66666666667)</f>
        <v>43921.66667</v>
      </c>
      <c r="E1515" s="3">
        <f>IFERROR(__xludf.DUMMYFUNCTION("""COMPUTED_VALUE"""),58.14)</f>
        <v>58.14</v>
      </c>
      <c r="F1515" s="3">
        <f t="shared" si="1"/>
        <v>0.01385543468</v>
      </c>
    </row>
    <row r="1516">
      <c r="A1516" s="6"/>
      <c r="D1516" s="5">
        <f>IFERROR(__xludf.DUMMYFUNCTION("""COMPUTED_VALUE"""),43922.66666666667)</f>
        <v>43922.66667</v>
      </c>
      <c r="E1516" s="3">
        <f>IFERROR(__xludf.DUMMYFUNCTION("""COMPUTED_VALUE"""),55.28)</f>
        <v>55.28</v>
      </c>
      <c r="F1516" s="3">
        <f t="shared" si="1"/>
        <v>-0.05044271567</v>
      </c>
    </row>
    <row r="1517">
      <c r="A1517" s="6"/>
      <c r="D1517" s="5">
        <f>IFERROR(__xludf.DUMMYFUNCTION("""COMPUTED_VALUE"""),43923.66666666667)</f>
        <v>43923.66667</v>
      </c>
      <c r="E1517" s="3">
        <f>IFERROR(__xludf.DUMMYFUNCTION("""COMPUTED_VALUE"""),56.04)</f>
        <v>56.04</v>
      </c>
      <c r="F1517" s="3">
        <f t="shared" si="1"/>
        <v>0.01365454201</v>
      </c>
    </row>
    <row r="1518">
      <c r="A1518" s="6"/>
      <c r="D1518" s="5">
        <f>IFERROR(__xludf.DUMMYFUNCTION("""COMPUTED_VALUE"""),43924.66666666667)</f>
        <v>43924.66667</v>
      </c>
      <c r="E1518" s="3">
        <f>IFERROR(__xludf.DUMMYFUNCTION("""COMPUTED_VALUE"""),54.89)</f>
        <v>54.89</v>
      </c>
      <c r="F1518" s="3">
        <f t="shared" si="1"/>
        <v>-0.02073453891</v>
      </c>
    </row>
    <row r="1519">
      <c r="A1519" s="6"/>
      <c r="D1519" s="5">
        <f>IFERROR(__xludf.DUMMYFUNCTION("""COMPUTED_VALUE"""),43927.66666666667)</f>
        <v>43927.66667</v>
      </c>
      <c r="E1519" s="3">
        <f>IFERROR(__xludf.DUMMYFUNCTION("""COMPUTED_VALUE"""),59.35)</f>
        <v>59.35</v>
      </c>
      <c r="F1519" s="3">
        <f t="shared" si="1"/>
        <v>0.07812093849</v>
      </c>
    </row>
    <row r="1520">
      <c r="A1520" s="6"/>
      <c r="D1520" s="5">
        <f>IFERROR(__xludf.DUMMYFUNCTION("""COMPUTED_VALUE"""),43928.66666666667)</f>
        <v>43928.66667</v>
      </c>
      <c r="E1520" s="3">
        <f>IFERROR(__xludf.DUMMYFUNCTION("""COMPUTED_VALUE"""),59.33)</f>
        <v>59.33</v>
      </c>
      <c r="F1520" s="3">
        <f t="shared" si="1"/>
        <v>-0.0003370407851</v>
      </c>
    </row>
    <row r="1521">
      <c r="A1521" s="6"/>
      <c r="D1521" s="5">
        <f>IFERROR(__xludf.DUMMYFUNCTION("""COMPUTED_VALUE"""),43929.66666666667)</f>
        <v>43929.66667</v>
      </c>
      <c r="E1521" s="3">
        <f>IFERROR(__xludf.DUMMYFUNCTION("""COMPUTED_VALUE"""),60.51)</f>
        <v>60.51</v>
      </c>
      <c r="F1521" s="3">
        <f t="shared" si="1"/>
        <v>0.01969356036</v>
      </c>
    </row>
    <row r="1522">
      <c r="A1522" s="6"/>
      <c r="D1522" s="5">
        <f>IFERROR(__xludf.DUMMYFUNCTION("""COMPUTED_VALUE"""),43930.66666666667)</f>
        <v>43930.66667</v>
      </c>
      <c r="E1522" s="3">
        <f>IFERROR(__xludf.DUMMYFUNCTION("""COMPUTED_VALUE"""),60.57)</f>
        <v>60.57</v>
      </c>
      <c r="F1522" s="3">
        <f t="shared" si="1"/>
        <v>0.0009910803586</v>
      </c>
    </row>
    <row r="1523">
      <c r="A1523" s="6"/>
      <c r="D1523" s="5">
        <f>IFERROR(__xludf.DUMMYFUNCTION("""COMPUTED_VALUE"""),43934.66666666667)</f>
        <v>43934.66667</v>
      </c>
      <c r="E1523" s="3">
        <f>IFERROR(__xludf.DUMMYFUNCTION("""COMPUTED_VALUE"""),60.88)</f>
        <v>60.88</v>
      </c>
      <c r="F1523" s="3">
        <f t="shared" si="1"/>
        <v>0.005104992561</v>
      </c>
    </row>
    <row r="1524">
      <c r="A1524" s="6"/>
      <c r="D1524" s="5">
        <f>IFERROR(__xludf.DUMMYFUNCTION("""COMPUTED_VALUE"""),43935.66666666667)</f>
        <v>43935.66667</v>
      </c>
      <c r="E1524" s="3">
        <f>IFERROR(__xludf.DUMMYFUNCTION("""COMPUTED_VALUE"""),63.46)</f>
        <v>63.46</v>
      </c>
      <c r="F1524" s="3">
        <f t="shared" si="1"/>
        <v>0.0415050726</v>
      </c>
    </row>
    <row r="1525">
      <c r="A1525" s="6"/>
      <c r="D1525" s="5">
        <f>IFERROR(__xludf.DUMMYFUNCTION("""COMPUTED_VALUE"""),43936.66666666667)</f>
        <v>43936.66667</v>
      </c>
      <c r="E1525" s="3">
        <f>IFERROR(__xludf.DUMMYFUNCTION("""COMPUTED_VALUE"""),63.12)</f>
        <v>63.12</v>
      </c>
      <c r="F1525" s="3">
        <f t="shared" si="1"/>
        <v>-0.005372109617</v>
      </c>
    </row>
    <row r="1526">
      <c r="A1526" s="6"/>
      <c r="D1526" s="5">
        <f>IFERROR(__xludf.DUMMYFUNCTION("""COMPUTED_VALUE"""),43937.66666666667)</f>
        <v>43937.66667</v>
      </c>
      <c r="E1526" s="3">
        <f>IFERROR(__xludf.DUMMYFUNCTION("""COMPUTED_VALUE"""),63.17)</f>
        <v>63.17</v>
      </c>
      <c r="F1526" s="3">
        <f t="shared" si="1"/>
        <v>0.000791828373</v>
      </c>
    </row>
    <row r="1527">
      <c r="A1527" s="6"/>
      <c r="D1527" s="5">
        <f>IFERROR(__xludf.DUMMYFUNCTION("""COMPUTED_VALUE"""),43938.66666666667)</f>
        <v>43938.66667</v>
      </c>
      <c r="E1527" s="3">
        <f>IFERROR(__xludf.DUMMYFUNCTION("""COMPUTED_VALUE"""),64.16)</f>
        <v>64.16</v>
      </c>
      <c r="F1527" s="3">
        <f t="shared" si="1"/>
        <v>0.01555045865</v>
      </c>
    </row>
    <row r="1528">
      <c r="A1528" s="6"/>
      <c r="D1528" s="5">
        <f>IFERROR(__xludf.DUMMYFUNCTION("""COMPUTED_VALUE"""),43941.66666666667)</f>
        <v>43941.66667</v>
      </c>
      <c r="E1528" s="3">
        <f>IFERROR(__xludf.DUMMYFUNCTION("""COMPUTED_VALUE"""),63.33)</f>
        <v>63.33</v>
      </c>
      <c r="F1528" s="3">
        <f t="shared" si="1"/>
        <v>-0.01302081303</v>
      </c>
    </row>
    <row r="1529">
      <c r="A1529" s="6"/>
      <c r="D1529" s="5">
        <f>IFERROR(__xludf.DUMMYFUNCTION("""COMPUTED_VALUE"""),43942.66666666667)</f>
        <v>43942.66667</v>
      </c>
      <c r="E1529" s="3">
        <f>IFERROR(__xludf.DUMMYFUNCTION("""COMPUTED_VALUE"""),60.82)</f>
        <v>60.82</v>
      </c>
      <c r="F1529" s="3">
        <f t="shared" si="1"/>
        <v>-0.04044046828</v>
      </c>
    </row>
    <row r="1530">
      <c r="A1530" s="6"/>
      <c r="D1530" s="5">
        <f>IFERROR(__xludf.DUMMYFUNCTION("""COMPUTED_VALUE"""),43943.66666666667)</f>
        <v>43943.66667</v>
      </c>
      <c r="E1530" s="3">
        <f>IFERROR(__xludf.DUMMYFUNCTION("""COMPUTED_VALUE"""),63.16)</f>
        <v>63.16</v>
      </c>
      <c r="F1530" s="3">
        <f t="shared" si="1"/>
        <v>0.03775250714</v>
      </c>
    </row>
    <row r="1531">
      <c r="A1531" s="6"/>
      <c r="D1531" s="5">
        <f>IFERROR(__xludf.DUMMYFUNCTION("""COMPUTED_VALUE"""),43944.66666666667)</f>
        <v>43944.66667</v>
      </c>
      <c r="E1531" s="3">
        <f>IFERROR(__xludf.DUMMYFUNCTION("""COMPUTED_VALUE"""),63.82)</f>
        <v>63.82</v>
      </c>
      <c r="F1531" s="3">
        <f t="shared" si="1"/>
        <v>0.01039543146</v>
      </c>
    </row>
    <row r="1532">
      <c r="A1532" s="6"/>
      <c r="D1532" s="5">
        <f>IFERROR(__xludf.DUMMYFUNCTION("""COMPUTED_VALUE"""),43945.66666666667)</f>
        <v>43945.66667</v>
      </c>
      <c r="E1532" s="3">
        <f>IFERROR(__xludf.DUMMYFUNCTION("""COMPUTED_VALUE"""),63.97)</f>
        <v>63.97</v>
      </c>
      <c r="F1532" s="3">
        <f t="shared" si="1"/>
        <v>0.002347602612</v>
      </c>
    </row>
    <row r="1533">
      <c r="A1533" s="6"/>
      <c r="D1533" s="5">
        <f>IFERROR(__xludf.DUMMYFUNCTION("""COMPUTED_VALUE"""),43948.66666666667)</f>
        <v>43948.66667</v>
      </c>
      <c r="E1533" s="3">
        <f>IFERROR(__xludf.DUMMYFUNCTION("""COMPUTED_VALUE"""),63.79)</f>
        <v>63.79</v>
      </c>
      <c r="F1533" s="3">
        <f t="shared" si="1"/>
        <v>-0.002817785208</v>
      </c>
    </row>
    <row r="1534">
      <c r="A1534" s="6"/>
      <c r="D1534" s="5">
        <f>IFERROR(__xludf.DUMMYFUNCTION("""COMPUTED_VALUE"""),43949.66666666667)</f>
        <v>43949.66667</v>
      </c>
      <c r="E1534" s="3">
        <f>IFERROR(__xludf.DUMMYFUNCTION("""COMPUTED_VALUE"""),61.68)</f>
        <v>61.68</v>
      </c>
      <c r="F1534" s="3">
        <f t="shared" si="1"/>
        <v>-0.033636709</v>
      </c>
    </row>
    <row r="1535">
      <c r="A1535" s="6"/>
      <c r="D1535" s="5">
        <f>IFERROR(__xludf.DUMMYFUNCTION("""COMPUTED_VALUE"""),43950.66666666667)</f>
        <v>43950.66667</v>
      </c>
      <c r="E1535" s="3">
        <f>IFERROR(__xludf.DUMMYFUNCTION("""COMPUTED_VALUE"""),67.07)</f>
        <v>67.07</v>
      </c>
      <c r="F1535" s="3">
        <f t="shared" si="1"/>
        <v>0.08377712086</v>
      </c>
    </row>
    <row r="1536">
      <c r="A1536" s="6"/>
      <c r="D1536" s="5">
        <f>IFERROR(__xludf.DUMMYFUNCTION("""COMPUTED_VALUE"""),43951.66666666667)</f>
        <v>43951.66667</v>
      </c>
      <c r="E1536" s="3">
        <f>IFERROR(__xludf.DUMMYFUNCTION("""COMPUTED_VALUE"""),67.43)</f>
        <v>67.43</v>
      </c>
      <c r="F1536" s="3">
        <f t="shared" si="1"/>
        <v>0.005353172635</v>
      </c>
    </row>
    <row r="1537">
      <c r="A1537" s="6"/>
      <c r="D1537" s="5">
        <f>IFERROR(__xludf.DUMMYFUNCTION("""COMPUTED_VALUE"""),43952.66666666667)</f>
        <v>43952.66667</v>
      </c>
      <c r="E1537" s="3">
        <f>IFERROR(__xludf.DUMMYFUNCTION("""COMPUTED_VALUE"""),66.03)</f>
        <v>66.03</v>
      </c>
      <c r="F1537" s="3">
        <f t="shared" si="1"/>
        <v>-0.02098083854</v>
      </c>
    </row>
    <row r="1538">
      <c r="A1538" s="6"/>
      <c r="D1538" s="5">
        <f>IFERROR(__xludf.DUMMYFUNCTION("""COMPUTED_VALUE"""),43955.66666666667)</f>
        <v>43955.66667</v>
      </c>
      <c r="E1538" s="3">
        <f>IFERROR(__xludf.DUMMYFUNCTION("""COMPUTED_VALUE"""),66.34)</f>
        <v>66.34</v>
      </c>
      <c r="F1538" s="3">
        <f t="shared" si="1"/>
        <v>0.004683849312</v>
      </c>
    </row>
    <row r="1539">
      <c r="A1539" s="6"/>
      <c r="D1539" s="5">
        <f>IFERROR(__xludf.DUMMYFUNCTION("""COMPUTED_VALUE"""),43956.66666666667)</f>
        <v>43956.66667</v>
      </c>
      <c r="E1539" s="3">
        <f>IFERROR(__xludf.DUMMYFUNCTION("""COMPUTED_VALUE"""),67.56)</f>
        <v>67.56</v>
      </c>
      <c r="F1539" s="3">
        <f t="shared" si="1"/>
        <v>0.01822305842</v>
      </c>
    </row>
    <row r="1540">
      <c r="A1540" s="6"/>
      <c r="D1540" s="5">
        <f>IFERROR(__xludf.DUMMYFUNCTION("""COMPUTED_VALUE"""),43957.66666666667)</f>
        <v>43957.66667</v>
      </c>
      <c r="E1540" s="3">
        <f>IFERROR(__xludf.DUMMYFUNCTION("""COMPUTED_VALUE"""),67.36)</f>
        <v>67.36</v>
      </c>
      <c r="F1540" s="3">
        <f t="shared" si="1"/>
        <v>-0.002964722006</v>
      </c>
    </row>
    <row r="1541">
      <c r="A1541" s="6"/>
      <c r="D1541" s="5">
        <f>IFERROR(__xludf.DUMMYFUNCTION("""COMPUTED_VALUE"""),43958.66666666667)</f>
        <v>43958.66667</v>
      </c>
      <c r="E1541" s="3">
        <f>IFERROR(__xludf.DUMMYFUNCTION("""COMPUTED_VALUE"""),68.63)</f>
        <v>68.63</v>
      </c>
      <c r="F1541" s="3">
        <f t="shared" si="1"/>
        <v>0.01867838699</v>
      </c>
    </row>
    <row r="1542">
      <c r="A1542" s="6"/>
      <c r="D1542" s="5">
        <f>IFERROR(__xludf.DUMMYFUNCTION("""COMPUTED_VALUE"""),43959.66666666667)</f>
        <v>43959.66667</v>
      </c>
      <c r="E1542" s="3">
        <f>IFERROR(__xludf.DUMMYFUNCTION("""COMPUTED_VALUE"""),69.42)</f>
        <v>69.42</v>
      </c>
      <c r="F1542" s="3">
        <f t="shared" si="1"/>
        <v>0.01144525351</v>
      </c>
    </row>
    <row r="1543">
      <c r="A1543" s="6"/>
      <c r="D1543" s="5">
        <f>IFERROR(__xludf.DUMMYFUNCTION("""COMPUTED_VALUE"""),43962.66666666667)</f>
        <v>43962.66667</v>
      </c>
      <c r="E1543" s="3">
        <f>IFERROR(__xludf.DUMMYFUNCTION("""COMPUTED_VALUE"""),70.16)</f>
        <v>70.16</v>
      </c>
      <c r="F1543" s="3">
        <f t="shared" si="1"/>
        <v>0.01060333763</v>
      </c>
    </row>
    <row r="1544">
      <c r="A1544" s="6"/>
      <c r="D1544" s="5">
        <f>IFERROR(__xludf.DUMMYFUNCTION("""COMPUTED_VALUE"""),43963.66666666667)</f>
        <v>43963.66667</v>
      </c>
      <c r="E1544" s="3">
        <f>IFERROR(__xludf.DUMMYFUNCTION("""COMPUTED_VALUE"""),68.79)</f>
        <v>68.79</v>
      </c>
      <c r="F1544" s="3">
        <f t="shared" si="1"/>
        <v>-0.01971996253</v>
      </c>
    </row>
    <row r="1545">
      <c r="A1545" s="6"/>
      <c r="D1545" s="5">
        <f>IFERROR(__xludf.DUMMYFUNCTION("""COMPUTED_VALUE"""),43964.66666666667)</f>
        <v>43964.66667</v>
      </c>
      <c r="E1545" s="3">
        <f>IFERROR(__xludf.DUMMYFUNCTION("""COMPUTED_VALUE"""),67.47)</f>
        <v>67.47</v>
      </c>
      <c r="F1545" s="3">
        <f t="shared" si="1"/>
        <v>-0.0193753309</v>
      </c>
    </row>
    <row r="1546">
      <c r="A1546" s="6"/>
      <c r="D1546" s="5">
        <f>IFERROR(__xludf.DUMMYFUNCTION("""COMPUTED_VALUE"""),43965.66666666667)</f>
        <v>43965.66667</v>
      </c>
      <c r="E1546" s="3">
        <f>IFERROR(__xludf.DUMMYFUNCTION("""COMPUTED_VALUE"""),67.81)</f>
        <v>67.81</v>
      </c>
      <c r="F1546" s="3">
        <f t="shared" si="1"/>
        <v>0.005026622056</v>
      </c>
    </row>
    <row r="1547">
      <c r="A1547" s="6"/>
      <c r="D1547" s="5">
        <f>IFERROR(__xludf.DUMMYFUNCTION("""COMPUTED_VALUE"""),43966.66666666667)</f>
        <v>43966.66667</v>
      </c>
      <c r="E1547" s="3">
        <f>IFERROR(__xludf.DUMMYFUNCTION("""COMPUTED_VALUE"""),68.66)</f>
        <v>68.66</v>
      </c>
      <c r="F1547" s="3">
        <f t="shared" si="1"/>
        <v>0.01245711133</v>
      </c>
    </row>
    <row r="1548">
      <c r="A1548" s="6"/>
      <c r="D1548" s="5">
        <f>IFERROR(__xludf.DUMMYFUNCTION("""COMPUTED_VALUE"""),43969.66666666667)</f>
        <v>43969.66667</v>
      </c>
      <c r="E1548" s="3">
        <f>IFERROR(__xludf.DUMMYFUNCTION("""COMPUTED_VALUE"""),69.2)</f>
        <v>69.2</v>
      </c>
      <c r="F1548" s="3">
        <f t="shared" si="1"/>
        <v>0.007834074594</v>
      </c>
    </row>
    <row r="1549">
      <c r="A1549" s="6"/>
      <c r="D1549" s="5">
        <f>IFERROR(__xludf.DUMMYFUNCTION("""COMPUTED_VALUE"""),43970.66666666667)</f>
        <v>43970.66667</v>
      </c>
      <c r="E1549" s="3">
        <f>IFERROR(__xludf.DUMMYFUNCTION("""COMPUTED_VALUE"""),68.67)</f>
        <v>68.67</v>
      </c>
      <c r="F1549" s="3">
        <f t="shared" si="1"/>
        <v>-0.007688439991</v>
      </c>
    </row>
    <row r="1550">
      <c r="A1550" s="6"/>
      <c r="D1550" s="5">
        <f>IFERROR(__xludf.DUMMYFUNCTION("""COMPUTED_VALUE"""),43971.66666666667)</f>
        <v>43971.66667</v>
      </c>
      <c r="E1550" s="3">
        <f>IFERROR(__xludf.DUMMYFUNCTION("""COMPUTED_VALUE"""),70.34)</f>
        <v>70.34</v>
      </c>
      <c r="F1550" s="3">
        <f t="shared" si="1"/>
        <v>0.02402820441</v>
      </c>
    </row>
    <row r="1551">
      <c r="A1551" s="6"/>
      <c r="D1551" s="5">
        <f>IFERROR(__xludf.DUMMYFUNCTION("""COMPUTED_VALUE"""),43972.66666666667)</f>
        <v>43972.66667</v>
      </c>
      <c r="E1551" s="3">
        <f>IFERROR(__xludf.DUMMYFUNCTION("""COMPUTED_VALUE"""),70.14)</f>
        <v>70.14</v>
      </c>
      <c r="F1551" s="3">
        <f t="shared" si="1"/>
        <v>-0.002847382334</v>
      </c>
    </row>
    <row r="1552">
      <c r="A1552" s="6"/>
      <c r="D1552" s="5">
        <f>IFERROR(__xludf.DUMMYFUNCTION("""COMPUTED_VALUE"""),43973.66666666667)</f>
        <v>43973.66667</v>
      </c>
      <c r="E1552" s="3">
        <f>IFERROR(__xludf.DUMMYFUNCTION("""COMPUTED_VALUE"""),70.52)</f>
        <v>70.52</v>
      </c>
      <c r="F1552" s="3">
        <f t="shared" si="1"/>
        <v>0.005403112818</v>
      </c>
    </row>
    <row r="1553">
      <c r="A1553" s="6"/>
      <c r="D1553" s="5">
        <f>IFERROR(__xludf.DUMMYFUNCTION("""COMPUTED_VALUE"""),43977.66666666667)</f>
        <v>43977.66667</v>
      </c>
      <c r="E1553" s="3">
        <f>IFERROR(__xludf.DUMMYFUNCTION("""COMPUTED_VALUE"""),70.85)</f>
        <v>70.85</v>
      </c>
      <c r="F1553" s="3">
        <f t="shared" si="1"/>
        <v>0.004668608607</v>
      </c>
    </row>
    <row r="1554">
      <c r="A1554" s="6"/>
      <c r="D1554" s="5">
        <f>IFERROR(__xludf.DUMMYFUNCTION("""COMPUTED_VALUE"""),43978.66666666667)</f>
        <v>43978.66667</v>
      </c>
      <c r="E1554" s="3">
        <f>IFERROR(__xludf.DUMMYFUNCTION("""COMPUTED_VALUE"""),70.89)</f>
        <v>70.89</v>
      </c>
      <c r="F1554" s="3">
        <f t="shared" si="1"/>
        <v>0.0005644137302</v>
      </c>
    </row>
    <row r="1555">
      <c r="A1555" s="6"/>
      <c r="D1555" s="5">
        <f>IFERROR(__xludf.DUMMYFUNCTION("""COMPUTED_VALUE"""),43979.66666666667)</f>
        <v>43979.66667</v>
      </c>
      <c r="E1555" s="3">
        <f>IFERROR(__xludf.DUMMYFUNCTION("""COMPUTED_VALUE"""),70.84)</f>
        <v>70.84</v>
      </c>
      <c r="F1555" s="3">
        <f t="shared" si="1"/>
        <v>-0.0007055669523</v>
      </c>
    </row>
    <row r="1556">
      <c r="A1556" s="6"/>
      <c r="D1556" s="5">
        <f>IFERROR(__xludf.DUMMYFUNCTION("""COMPUTED_VALUE"""),43980.66666666667)</f>
        <v>43980.66667</v>
      </c>
      <c r="E1556" s="3">
        <f>IFERROR(__xludf.DUMMYFUNCTION("""COMPUTED_VALUE"""),71.45)</f>
        <v>71.45</v>
      </c>
      <c r="F1556" s="3">
        <f t="shared" si="1"/>
        <v>0.008574091461</v>
      </c>
    </row>
    <row r="1557">
      <c r="A1557" s="6"/>
      <c r="D1557" s="5">
        <f>IFERROR(__xludf.DUMMYFUNCTION("""COMPUTED_VALUE"""),43983.66666666667)</f>
        <v>43983.66667</v>
      </c>
      <c r="E1557" s="3">
        <f>IFERROR(__xludf.DUMMYFUNCTION("""COMPUTED_VALUE"""),71.59)</f>
        <v>71.59</v>
      </c>
      <c r="F1557" s="3">
        <f t="shared" si="1"/>
        <v>0.001957495032</v>
      </c>
    </row>
    <row r="1558">
      <c r="A1558" s="6"/>
      <c r="D1558" s="5">
        <f>IFERROR(__xludf.DUMMYFUNCTION("""COMPUTED_VALUE"""),43984.66666666667)</f>
        <v>43984.66667</v>
      </c>
      <c r="E1558" s="3">
        <f>IFERROR(__xludf.DUMMYFUNCTION("""COMPUTED_VALUE"""),71.96)</f>
        <v>71.96</v>
      </c>
      <c r="F1558" s="3">
        <f t="shared" si="1"/>
        <v>0.005155009674</v>
      </c>
    </row>
    <row r="1559">
      <c r="A1559" s="6"/>
      <c r="D1559" s="5">
        <f>IFERROR(__xludf.DUMMYFUNCTION("""COMPUTED_VALUE"""),43985.66666666667)</f>
        <v>43985.66667</v>
      </c>
      <c r="E1559" s="3">
        <f>IFERROR(__xludf.DUMMYFUNCTION("""COMPUTED_VALUE"""),71.82)</f>
        <v>71.82</v>
      </c>
      <c r="F1559" s="3">
        <f t="shared" si="1"/>
        <v>-0.001947420284</v>
      </c>
    </row>
    <row r="1560">
      <c r="A1560" s="6"/>
      <c r="D1560" s="5">
        <f>IFERROR(__xludf.DUMMYFUNCTION("""COMPUTED_VALUE"""),43986.66666666667)</f>
        <v>43986.66667</v>
      </c>
      <c r="E1560" s="3">
        <f>IFERROR(__xludf.DUMMYFUNCTION("""COMPUTED_VALUE"""),70.61)</f>
        <v>70.61</v>
      </c>
      <c r="F1560" s="3">
        <f t="shared" si="1"/>
        <v>-0.01699121127</v>
      </c>
    </row>
    <row r="1561">
      <c r="A1561" s="6"/>
      <c r="D1561" s="5">
        <f>IFERROR(__xludf.DUMMYFUNCTION("""COMPUTED_VALUE"""),43987.66666666667)</f>
        <v>43987.66667</v>
      </c>
      <c r="E1561" s="3">
        <f>IFERROR(__xludf.DUMMYFUNCTION("""COMPUTED_VALUE"""),71.92)</f>
        <v>71.92</v>
      </c>
      <c r="F1561" s="3">
        <f t="shared" si="1"/>
        <v>0.01838261264</v>
      </c>
    </row>
    <row r="1562">
      <c r="A1562" s="6"/>
      <c r="D1562" s="5">
        <f>IFERROR(__xludf.DUMMYFUNCTION("""COMPUTED_VALUE"""),43990.66666666667)</f>
        <v>43990.66667</v>
      </c>
      <c r="E1562" s="3">
        <f>IFERROR(__xludf.DUMMYFUNCTION("""COMPUTED_VALUE"""),72.33)</f>
        <v>72.33</v>
      </c>
      <c r="F1562" s="3">
        <f t="shared" si="1"/>
        <v>0.005684590698</v>
      </c>
    </row>
    <row r="1563">
      <c r="A1563" s="6"/>
      <c r="D1563" s="5">
        <f>IFERROR(__xludf.DUMMYFUNCTION("""COMPUTED_VALUE"""),43991.66666666667)</f>
        <v>43991.66667</v>
      </c>
      <c r="E1563" s="3">
        <f>IFERROR(__xludf.DUMMYFUNCTION("""COMPUTED_VALUE"""),72.81)</f>
        <v>72.81</v>
      </c>
      <c r="F1563" s="3">
        <f t="shared" si="1"/>
        <v>0.006614327545</v>
      </c>
    </row>
    <row r="1564">
      <c r="A1564" s="6"/>
      <c r="D1564" s="5">
        <f>IFERROR(__xludf.DUMMYFUNCTION("""COMPUTED_VALUE"""),43992.66666666667)</f>
        <v>43992.66667</v>
      </c>
      <c r="E1564" s="3">
        <f>IFERROR(__xludf.DUMMYFUNCTION("""COMPUTED_VALUE"""),73.29)</f>
        <v>73.29</v>
      </c>
      <c r="F1564" s="3">
        <f t="shared" si="1"/>
        <v>0.006570865531</v>
      </c>
    </row>
    <row r="1565">
      <c r="A1565" s="6"/>
      <c r="D1565" s="5">
        <f>IFERROR(__xludf.DUMMYFUNCTION("""COMPUTED_VALUE"""),43993.66666666667)</f>
        <v>43993.66667</v>
      </c>
      <c r="E1565" s="3">
        <f>IFERROR(__xludf.DUMMYFUNCTION("""COMPUTED_VALUE"""),70.19)</f>
        <v>70.19</v>
      </c>
      <c r="F1565" s="3">
        <f t="shared" si="1"/>
        <v>-0.0432183232</v>
      </c>
    </row>
    <row r="1566">
      <c r="A1566" s="6"/>
      <c r="D1566" s="5">
        <f>IFERROR(__xludf.DUMMYFUNCTION("""COMPUTED_VALUE"""),43994.66666666667)</f>
        <v>43994.66667</v>
      </c>
      <c r="E1566" s="3">
        <f>IFERROR(__xludf.DUMMYFUNCTION("""COMPUTED_VALUE"""),70.66)</f>
        <v>70.66</v>
      </c>
      <c r="F1566" s="3">
        <f t="shared" si="1"/>
        <v>0.006673791189</v>
      </c>
    </row>
    <row r="1567">
      <c r="A1567" s="6"/>
      <c r="D1567" s="5">
        <f>IFERROR(__xludf.DUMMYFUNCTION("""COMPUTED_VALUE"""),43997.66666666667)</f>
        <v>43997.66667</v>
      </c>
      <c r="E1567" s="3">
        <f>IFERROR(__xludf.DUMMYFUNCTION("""COMPUTED_VALUE"""),70.99)</f>
        <v>70.99</v>
      </c>
      <c r="F1567" s="3">
        <f t="shared" si="1"/>
        <v>0.00465938012</v>
      </c>
    </row>
    <row r="1568">
      <c r="A1568" s="6"/>
      <c r="D1568" s="5">
        <f>IFERROR(__xludf.DUMMYFUNCTION("""COMPUTED_VALUE"""),43998.66666666667)</f>
        <v>43998.66667</v>
      </c>
      <c r="E1568" s="3">
        <f>IFERROR(__xludf.DUMMYFUNCTION("""COMPUTED_VALUE"""),72.14)</f>
        <v>72.14</v>
      </c>
      <c r="F1568" s="3">
        <f t="shared" si="1"/>
        <v>0.01606965342</v>
      </c>
    </row>
    <row r="1569">
      <c r="A1569" s="6"/>
      <c r="D1569" s="5">
        <f>IFERROR(__xludf.DUMMYFUNCTION("""COMPUTED_VALUE"""),43999.66666666667)</f>
        <v>43999.66667</v>
      </c>
      <c r="E1569" s="3">
        <f>IFERROR(__xludf.DUMMYFUNCTION("""COMPUTED_VALUE"""),72.56)</f>
        <v>72.56</v>
      </c>
      <c r="F1569" s="3">
        <f t="shared" si="1"/>
        <v>0.005805130331</v>
      </c>
    </row>
    <row r="1570">
      <c r="A1570" s="6"/>
      <c r="D1570" s="5">
        <f>IFERROR(__xludf.DUMMYFUNCTION("""COMPUTED_VALUE"""),44000.66666666667)</f>
        <v>44000.66667</v>
      </c>
      <c r="E1570" s="3">
        <f>IFERROR(__xludf.DUMMYFUNCTION("""COMPUTED_VALUE"""),71.8)</f>
        <v>71.8</v>
      </c>
      <c r="F1570" s="3">
        <f t="shared" si="1"/>
        <v>-0.01052932975</v>
      </c>
    </row>
    <row r="1571">
      <c r="A1571" s="6"/>
      <c r="D1571" s="5">
        <f>IFERROR(__xludf.DUMMYFUNCTION("""COMPUTED_VALUE"""),44001.66666666667)</f>
        <v>44001.66667</v>
      </c>
      <c r="E1571" s="3">
        <f>IFERROR(__xludf.DUMMYFUNCTION("""COMPUTED_VALUE"""),71.59)</f>
        <v>71.59</v>
      </c>
      <c r="F1571" s="3">
        <f t="shared" si="1"/>
        <v>-0.002929076646</v>
      </c>
    </row>
    <row r="1572">
      <c r="A1572" s="6"/>
      <c r="D1572" s="5">
        <f>IFERROR(__xludf.DUMMYFUNCTION("""COMPUTED_VALUE"""),44004.66666666667)</f>
        <v>44004.66667</v>
      </c>
      <c r="E1572" s="3">
        <f>IFERROR(__xludf.DUMMYFUNCTION("""COMPUTED_VALUE"""),72.59)</f>
        <v>72.59</v>
      </c>
      <c r="F1572" s="3">
        <f t="shared" si="1"/>
        <v>0.01387177189</v>
      </c>
    </row>
    <row r="1573">
      <c r="A1573" s="6"/>
      <c r="D1573" s="5">
        <f>IFERROR(__xludf.DUMMYFUNCTION("""COMPUTED_VALUE"""),44005.66666666667)</f>
        <v>44005.66667</v>
      </c>
      <c r="E1573" s="3">
        <f>IFERROR(__xludf.DUMMYFUNCTION("""COMPUTED_VALUE"""),73.22)</f>
        <v>73.22</v>
      </c>
      <c r="F1573" s="3">
        <f t="shared" si="1"/>
        <v>0.008641436395</v>
      </c>
    </row>
    <row r="1574">
      <c r="A1574" s="6"/>
      <c r="D1574" s="5">
        <f>IFERROR(__xludf.DUMMYFUNCTION("""COMPUTED_VALUE"""),44006.66666666667)</f>
        <v>44006.66667</v>
      </c>
      <c r="E1574" s="3">
        <f>IFERROR(__xludf.DUMMYFUNCTION("""COMPUTED_VALUE"""),71.6)</f>
        <v>71.6</v>
      </c>
      <c r="F1574" s="3">
        <f t="shared" si="1"/>
        <v>-0.02237353373</v>
      </c>
    </row>
    <row r="1575">
      <c r="A1575" s="6"/>
      <c r="D1575" s="5">
        <f>IFERROR(__xludf.DUMMYFUNCTION("""COMPUTED_VALUE"""),44007.66666666667)</f>
        <v>44007.66667</v>
      </c>
      <c r="E1575" s="3">
        <f>IFERROR(__xludf.DUMMYFUNCTION("""COMPUTED_VALUE"""),72.07)</f>
        <v>72.07</v>
      </c>
      <c r="F1575" s="3">
        <f t="shared" si="1"/>
        <v>0.00654279497</v>
      </c>
    </row>
    <row r="1576">
      <c r="A1576" s="6"/>
      <c r="D1576" s="5">
        <f>IFERROR(__xludf.DUMMYFUNCTION("""COMPUTED_VALUE"""),44008.66666666667)</f>
        <v>44008.66667</v>
      </c>
      <c r="E1576" s="3">
        <f>IFERROR(__xludf.DUMMYFUNCTION("""COMPUTED_VALUE"""),68.0)</f>
        <v>68</v>
      </c>
      <c r="F1576" s="3">
        <f t="shared" si="1"/>
        <v>-0.05813016376</v>
      </c>
    </row>
    <row r="1577">
      <c r="A1577" s="6"/>
      <c r="D1577" s="5">
        <f>IFERROR(__xludf.DUMMYFUNCTION("""COMPUTED_VALUE"""),44011.66666666667)</f>
        <v>44011.66667</v>
      </c>
      <c r="E1577" s="3">
        <f>IFERROR(__xludf.DUMMYFUNCTION("""COMPUTED_VALUE"""),69.75)</f>
        <v>69.75</v>
      </c>
      <c r="F1577" s="3">
        <f t="shared" si="1"/>
        <v>0.02540971553</v>
      </c>
    </row>
    <row r="1578">
      <c r="A1578" s="6"/>
      <c r="D1578" s="5">
        <f>IFERROR(__xludf.DUMMYFUNCTION("""COMPUTED_VALUE"""),44012.66666666667)</f>
        <v>44012.66667</v>
      </c>
      <c r="E1578" s="3">
        <f>IFERROR(__xludf.DUMMYFUNCTION("""COMPUTED_VALUE"""),70.68)</f>
        <v>70.68</v>
      </c>
      <c r="F1578" s="3">
        <f t="shared" si="1"/>
        <v>0.01324522675</v>
      </c>
    </row>
    <row r="1579">
      <c r="A1579" s="6"/>
      <c r="D1579" s="5">
        <f>IFERROR(__xludf.DUMMYFUNCTION("""COMPUTED_VALUE"""),44013.66666666667)</f>
        <v>44013.66667</v>
      </c>
      <c r="E1579" s="3">
        <f>IFERROR(__xludf.DUMMYFUNCTION("""COMPUTED_VALUE"""),71.9)</f>
        <v>71.9</v>
      </c>
      <c r="F1579" s="3">
        <f t="shared" si="1"/>
        <v>0.01711361728</v>
      </c>
    </row>
    <row r="1580">
      <c r="A1580" s="6"/>
      <c r="D1580" s="5">
        <f>IFERROR(__xludf.DUMMYFUNCTION("""COMPUTED_VALUE"""),44014.66666666667)</f>
        <v>44014.66667</v>
      </c>
      <c r="E1580" s="3">
        <f>IFERROR(__xludf.DUMMYFUNCTION("""COMPUTED_VALUE"""),73.24)</f>
        <v>73.24</v>
      </c>
      <c r="F1580" s="3">
        <f t="shared" si="1"/>
        <v>0.01846545508</v>
      </c>
    </row>
    <row r="1581">
      <c r="A1581" s="6"/>
      <c r="D1581" s="5">
        <f>IFERROR(__xludf.DUMMYFUNCTION("""COMPUTED_VALUE"""),44018.66666666667)</f>
        <v>44018.66667</v>
      </c>
      <c r="E1581" s="3">
        <f>IFERROR(__xludf.DUMMYFUNCTION("""COMPUTED_VALUE"""),74.79)</f>
        <v>74.79</v>
      </c>
      <c r="F1581" s="3">
        <f t="shared" si="1"/>
        <v>0.0209424664</v>
      </c>
    </row>
    <row r="1582">
      <c r="A1582" s="6"/>
      <c r="D1582" s="5">
        <f>IFERROR(__xludf.DUMMYFUNCTION("""COMPUTED_VALUE"""),44019.66666666667)</f>
        <v>44019.66667</v>
      </c>
      <c r="E1582" s="3">
        <f>IFERROR(__xludf.DUMMYFUNCTION("""COMPUTED_VALUE"""),74.26)</f>
        <v>74.26</v>
      </c>
      <c r="F1582" s="3">
        <f t="shared" si="1"/>
        <v>-0.007111737455</v>
      </c>
    </row>
    <row r="1583">
      <c r="A1583" s="6"/>
      <c r="D1583" s="5">
        <f>IFERROR(__xludf.DUMMYFUNCTION("""COMPUTED_VALUE"""),44020.66666666667)</f>
        <v>44020.66667</v>
      </c>
      <c r="E1583" s="3">
        <f>IFERROR(__xludf.DUMMYFUNCTION("""COMPUTED_VALUE"""),74.8)</f>
        <v>74.8</v>
      </c>
      <c r="F1583" s="3">
        <f t="shared" si="1"/>
        <v>0.007245436231</v>
      </c>
    </row>
    <row r="1584">
      <c r="A1584" s="6"/>
      <c r="D1584" s="5">
        <f>IFERROR(__xludf.DUMMYFUNCTION("""COMPUTED_VALUE"""),44021.66666666667)</f>
        <v>44021.66667</v>
      </c>
      <c r="E1584" s="3">
        <f>IFERROR(__xludf.DUMMYFUNCTION("""COMPUTED_VALUE"""),75.55)</f>
        <v>75.55</v>
      </c>
      <c r="F1584" s="3">
        <f t="shared" si="1"/>
        <v>0.009976803738</v>
      </c>
    </row>
    <row r="1585">
      <c r="A1585" s="6"/>
      <c r="D1585" s="5">
        <f>IFERROR(__xludf.DUMMYFUNCTION("""COMPUTED_VALUE"""),44022.66666666667)</f>
        <v>44022.66667</v>
      </c>
      <c r="E1585" s="3">
        <f>IFERROR(__xludf.DUMMYFUNCTION("""COMPUTED_VALUE"""),77.09)</f>
        <v>77.09</v>
      </c>
      <c r="F1585" s="3">
        <f t="shared" si="1"/>
        <v>0.02017888175</v>
      </c>
    </row>
    <row r="1586">
      <c r="A1586" s="6"/>
      <c r="D1586" s="5">
        <f>IFERROR(__xludf.DUMMYFUNCTION("""COMPUTED_VALUE"""),44025.66666666667)</f>
        <v>44025.66667</v>
      </c>
      <c r="E1586" s="3">
        <f>IFERROR(__xludf.DUMMYFUNCTION("""COMPUTED_VALUE"""),75.57)</f>
        <v>75.57</v>
      </c>
      <c r="F1586" s="3">
        <f t="shared" si="1"/>
        <v>-0.01991419144</v>
      </c>
    </row>
    <row r="1587">
      <c r="A1587" s="6"/>
      <c r="D1587" s="5">
        <f>IFERROR(__xludf.DUMMYFUNCTION("""COMPUTED_VALUE"""),44026.66666666667)</f>
        <v>44026.66667</v>
      </c>
      <c r="E1587" s="3">
        <f>IFERROR(__xludf.DUMMYFUNCTION("""COMPUTED_VALUE"""),76.03)</f>
        <v>76.03</v>
      </c>
      <c r="F1587" s="3">
        <f t="shared" si="1"/>
        <v>0.006068620208</v>
      </c>
    </row>
    <row r="1588">
      <c r="A1588" s="6"/>
      <c r="D1588" s="5">
        <f>IFERROR(__xludf.DUMMYFUNCTION("""COMPUTED_VALUE"""),44027.66666666667)</f>
        <v>44027.66667</v>
      </c>
      <c r="E1588" s="3">
        <f>IFERROR(__xludf.DUMMYFUNCTION("""COMPUTED_VALUE"""),75.68)</f>
        <v>75.68</v>
      </c>
      <c r="F1588" s="3">
        <f t="shared" si="1"/>
        <v>-0.004614074497</v>
      </c>
    </row>
    <row r="1589">
      <c r="A1589" s="6"/>
      <c r="D1589" s="5">
        <f>IFERROR(__xludf.DUMMYFUNCTION("""COMPUTED_VALUE"""),44028.66666666667)</f>
        <v>44028.66667</v>
      </c>
      <c r="E1589" s="3">
        <f>IFERROR(__xludf.DUMMYFUNCTION("""COMPUTED_VALUE"""),75.9)</f>
        <v>75.9</v>
      </c>
      <c r="F1589" s="3">
        <f t="shared" si="1"/>
        <v>0.002902759658</v>
      </c>
    </row>
    <row r="1590">
      <c r="A1590" s="6"/>
      <c r="D1590" s="5">
        <f>IFERROR(__xludf.DUMMYFUNCTION("""COMPUTED_VALUE"""),44029.66666666667)</f>
        <v>44029.66667</v>
      </c>
      <c r="E1590" s="3">
        <f>IFERROR(__xludf.DUMMYFUNCTION("""COMPUTED_VALUE"""),75.78)</f>
        <v>75.78</v>
      </c>
      <c r="F1590" s="3">
        <f t="shared" si="1"/>
        <v>-0.001582278811</v>
      </c>
    </row>
    <row r="1591">
      <c r="A1591" s="6"/>
      <c r="D1591" s="5">
        <f>IFERROR(__xludf.DUMMYFUNCTION("""COMPUTED_VALUE"""),44032.66666666667)</f>
        <v>44032.66667</v>
      </c>
      <c r="E1591" s="3">
        <f>IFERROR(__xludf.DUMMYFUNCTION("""COMPUTED_VALUE"""),78.29)</f>
        <v>78.29</v>
      </c>
      <c r="F1591" s="3">
        <f t="shared" si="1"/>
        <v>0.03258547533</v>
      </c>
    </row>
    <row r="1592">
      <c r="A1592" s="6"/>
      <c r="D1592" s="5">
        <f>IFERROR(__xludf.DUMMYFUNCTION("""COMPUTED_VALUE"""),44033.66666666667)</f>
        <v>44033.66667</v>
      </c>
      <c r="E1592" s="3">
        <f>IFERROR(__xludf.DUMMYFUNCTION("""COMPUTED_VALUE"""),77.92)</f>
        <v>77.92</v>
      </c>
      <c r="F1592" s="3">
        <f t="shared" si="1"/>
        <v>-0.004737221586</v>
      </c>
    </row>
    <row r="1593">
      <c r="A1593" s="6"/>
      <c r="D1593" s="5">
        <f>IFERROR(__xludf.DUMMYFUNCTION("""COMPUTED_VALUE"""),44034.66666666667)</f>
        <v>44034.66667</v>
      </c>
      <c r="E1593" s="3">
        <f>IFERROR(__xludf.DUMMYFUNCTION("""COMPUTED_VALUE"""),78.42)</f>
        <v>78.42</v>
      </c>
      <c r="F1593" s="3">
        <f t="shared" si="1"/>
        <v>0.00639633753</v>
      </c>
    </row>
    <row r="1594">
      <c r="A1594" s="6"/>
      <c r="D1594" s="5">
        <f>IFERROR(__xludf.DUMMYFUNCTION("""COMPUTED_VALUE"""),44035.66666666667)</f>
        <v>44035.66667</v>
      </c>
      <c r="E1594" s="3">
        <f>IFERROR(__xludf.DUMMYFUNCTION("""COMPUTED_VALUE"""),75.78)</f>
        <v>75.78</v>
      </c>
      <c r="F1594" s="3">
        <f t="shared" si="1"/>
        <v>-0.03424459127</v>
      </c>
    </row>
    <row r="1595">
      <c r="A1595" s="6"/>
      <c r="D1595" s="5">
        <f>IFERROR(__xludf.DUMMYFUNCTION("""COMPUTED_VALUE"""),44036.66666666667)</f>
        <v>44036.66667</v>
      </c>
      <c r="E1595" s="3">
        <f>IFERROR(__xludf.DUMMYFUNCTION("""COMPUTED_VALUE"""),75.59)</f>
        <v>75.59</v>
      </c>
      <c r="F1595" s="3">
        <f t="shared" si="1"/>
        <v>-0.002510406286</v>
      </c>
    </row>
    <row r="1596">
      <c r="A1596" s="6"/>
      <c r="D1596" s="5">
        <f>IFERROR(__xludf.DUMMYFUNCTION("""COMPUTED_VALUE"""),44039.66666666667)</f>
        <v>44039.66667</v>
      </c>
      <c r="E1596" s="3">
        <f>IFERROR(__xludf.DUMMYFUNCTION("""COMPUTED_VALUE"""),76.51)</f>
        <v>76.51</v>
      </c>
      <c r="F1596" s="3">
        <f t="shared" si="1"/>
        <v>0.01209745194</v>
      </c>
    </row>
    <row r="1597">
      <c r="A1597" s="6"/>
      <c r="D1597" s="5">
        <f>IFERROR(__xludf.DUMMYFUNCTION("""COMPUTED_VALUE"""),44040.66666666667)</f>
        <v>44040.66667</v>
      </c>
      <c r="E1597" s="3">
        <f>IFERROR(__xludf.DUMMYFUNCTION("""COMPUTED_VALUE"""),75.02)</f>
        <v>75.02</v>
      </c>
      <c r="F1597" s="3">
        <f t="shared" si="1"/>
        <v>-0.01966670659</v>
      </c>
    </row>
    <row r="1598">
      <c r="A1598" s="6"/>
      <c r="D1598" s="5">
        <f>IFERROR(__xludf.DUMMYFUNCTION("""COMPUTED_VALUE"""),44041.66666666667)</f>
        <v>44041.66667</v>
      </c>
      <c r="E1598" s="3">
        <f>IFERROR(__xludf.DUMMYFUNCTION("""COMPUTED_VALUE"""),76.1)</f>
        <v>76.1</v>
      </c>
      <c r="F1598" s="3">
        <f t="shared" si="1"/>
        <v>0.01429352021</v>
      </c>
    </row>
    <row r="1599">
      <c r="A1599" s="6"/>
      <c r="D1599" s="5">
        <f>IFERROR(__xludf.DUMMYFUNCTION("""COMPUTED_VALUE"""),44042.66666666667)</f>
        <v>44042.66667</v>
      </c>
      <c r="E1599" s="3">
        <f>IFERROR(__xludf.DUMMYFUNCTION("""COMPUTED_VALUE"""),76.57)</f>
        <v>76.57</v>
      </c>
      <c r="F1599" s="3">
        <f t="shared" si="1"/>
        <v>0.006157090257</v>
      </c>
    </row>
    <row r="1600">
      <c r="A1600" s="6"/>
      <c r="D1600" s="5">
        <f>IFERROR(__xludf.DUMMYFUNCTION("""COMPUTED_VALUE"""),44043.66666666667)</f>
        <v>44043.66667</v>
      </c>
      <c r="E1600" s="3">
        <f>IFERROR(__xludf.DUMMYFUNCTION("""COMPUTED_VALUE"""),74.15)</f>
        <v>74.15</v>
      </c>
      <c r="F1600" s="3">
        <f t="shared" si="1"/>
        <v>-0.03211528654</v>
      </c>
    </row>
    <row r="1601">
      <c r="A1601" s="6"/>
      <c r="D1601" s="5">
        <f>IFERROR(__xludf.DUMMYFUNCTION("""COMPUTED_VALUE"""),44046.66666666667)</f>
        <v>44046.66667</v>
      </c>
      <c r="E1601" s="3">
        <f>IFERROR(__xludf.DUMMYFUNCTION("""COMPUTED_VALUE"""),73.72)</f>
        <v>73.72</v>
      </c>
      <c r="F1601" s="3">
        <f t="shared" si="1"/>
        <v>-0.005815935782</v>
      </c>
    </row>
    <row r="1602">
      <c r="A1602" s="6"/>
      <c r="D1602" s="5">
        <f>IFERROR(__xludf.DUMMYFUNCTION("""COMPUTED_VALUE"""),44047.66666666667)</f>
        <v>44047.66667</v>
      </c>
      <c r="E1602" s="3">
        <f>IFERROR(__xludf.DUMMYFUNCTION("""COMPUTED_VALUE"""),73.25)</f>
        <v>73.25</v>
      </c>
      <c r="F1602" s="3">
        <f t="shared" si="1"/>
        <v>-0.006395884904</v>
      </c>
    </row>
    <row r="1603">
      <c r="A1603" s="6"/>
      <c r="D1603" s="5">
        <f>IFERROR(__xludf.DUMMYFUNCTION("""COMPUTED_VALUE"""),44048.66666666667)</f>
        <v>44048.66667</v>
      </c>
      <c r="E1603" s="3">
        <f>IFERROR(__xludf.DUMMYFUNCTION("""COMPUTED_VALUE"""),73.68)</f>
        <v>73.68</v>
      </c>
      <c r="F1603" s="3">
        <f t="shared" si="1"/>
        <v>0.00585314405</v>
      </c>
    </row>
    <row r="1604">
      <c r="A1604" s="6"/>
      <c r="D1604" s="5">
        <f>IFERROR(__xludf.DUMMYFUNCTION("""COMPUTED_VALUE"""),44049.66666666667)</f>
        <v>44049.66667</v>
      </c>
      <c r="E1604" s="3">
        <f>IFERROR(__xludf.DUMMYFUNCTION("""COMPUTED_VALUE"""),75.01)</f>
        <v>75.01</v>
      </c>
      <c r="F1604" s="3">
        <f t="shared" si="1"/>
        <v>0.01789004603</v>
      </c>
    </row>
    <row r="1605">
      <c r="A1605" s="6"/>
      <c r="D1605" s="5">
        <f>IFERROR(__xludf.DUMMYFUNCTION("""COMPUTED_VALUE"""),44050.66666666667)</f>
        <v>44050.66667</v>
      </c>
      <c r="E1605" s="3">
        <f>IFERROR(__xludf.DUMMYFUNCTION("""COMPUTED_VALUE"""),74.72)</f>
        <v>74.72</v>
      </c>
      <c r="F1605" s="3">
        <f t="shared" si="1"/>
        <v>-0.003873644061</v>
      </c>
    </row>
    <row r="1606">
      <c r="A1606" s="6"/>
      <c r="D1606" s="5">
        <f>IFERROR(__xludf.DUMMYFUNCTION("""COMPUTED_VALUE"""),44053.66666666667)</f>
        <v>44053.66667</v>
      </c>
      <c r="E1606" s="3">
        <f>IFERROR(__xludf.DUMMYFUNCTION("""COMPUTED_VALUE"""),74.81)</f>
        <v>74.81</v>
      </c>
      <c r="F1606" s="3">
        <f t="shared" si="1"/>
        <v>0.001203771964</v>
      </c>
    </row>
    <row r="1607">
      <c r="A1607" s="6"/>
      <c r="D1607" s="5">
        <f>IFERROR(__xludf.DUMMYFUNCTION("""COMPUTED_VALUE"""),44054.66666666667)</f>
        <v>44054.66667</v>
      </c>
      <c r="E1607" s="3">
        <f>IFERROR(__xludf.DUMMYFUNCTION("""COMPUTED_VALUE"""),74.02)</f>
        <v>74.02</v>
      </c>
      <c r="F1607" s="3">
        <f t="shared" si="1"/>
        <v>-0.01061623893</v>
      </c>
    </row>
    <row r="1608">
      <c r="A1608" s="6"/>
      <c r="D1608" s="5">
        <f>IFERROR(__xludf.DUMMYFUNCTION("""COMPUTED_VALUE"""),44055.66666666667)</f>
        <v>44055.66667</v>
      </c>
      <c r="E1608" s="3">
        <f>IFERROR(__xludf.DUMMYFUNCTION("""COMPUTED_VALUE"""),75.33)</f>
        <v>75.33</v>
      </c>
      <c r="F1608" s="3">
        <f t="shared" si="1"/>
        <v>0.01754313488</v>
      </c>
    </row>
    <row r="1609">
      <c r="A1609" s="6"/>
      <c r="D1609" s="5">
        <f>IFERROR(__xludf.DUMMYFUNCTION("""COMPUTED_VALUE"""),44056.66666666667)</f>
        <v>44056.66667</v>
      </c>
      <c r="E1609" s="3">
        <f>IFERROR(__xludf.DUMMYFUNCTION("""COMPUTED_VALUE"""),75.92)</f>
        <v>75.92</v>
      </c>
      <c r="F1609" s="3">
        <f t="shared" si="1"/>
        <v>0.007801692464</v>
      </c>
    </row>
    <row r="1610">
      <c r="A1610" s="6"/>
      <c r="D1610" s="5">
        <f>IFERROR(__xludf.DUMMYFUNCTION("""COMPUTED_VALUE"""),44057.66666666667)</f>
        <v>44057.66667</v>
      </c>
      <c r="E1610" s="3">
        <f>IFERROR(__xludf.DUMMYFUNCTION("""COMPUTED_VALUE"""),75.39)</f>
        <v>75.39</v>
      </c>
      <c r="F1610" s="3">
        <f t="shared" si="1"/>
        <v>-0.007005514078</v>
      </c>
    </row>
    <row r="1611">
      <c r="A1611" s="6"/>
      <c r="D1611" s="5">
        <f>IFERROR(__xludf.DUMMYFUNCTION("""COMPUTED_VALUE"""),44060.66666666667)</f>
        <v>44060.66667</v>
      </c>
      <c r="E1611" s="3">
        <f>IFERROR(__xludf.DUMMYFUNCTION("""COMPUTED_VALUE"""),75.9)</f>
        <v>75.9</v>
      </c>
      <c r="F1611" s="3">
        <f t="shared" si="1"/>
        <v>0.006742044178</v>
      </c>
    </row>
    <row r="1612">
      <c r="A1612" s="6"/>
      <c r="D1612" s="5">
        <f>IFERROR(__xludf.DUMMYFUNCTION("""COMPUTED_VALUE"""),44061.66666666667)</f>
        <v>44061.66667</v>
      </c>
      <c r="E1612" s="3">
        <f>IFERROR(__xludf.DUMMYFUNCTION("""COMPUTED_VALUE"""),77.93)</f>
        <v>77.93</v>
      </c>
      <c r="F1612" s="3">
        <f t="shared" si="1"/>
        <v>0.02639430345</v>
      </c>
    </row>
    <row r="1613">
      <c r="A1613" s="6"/>
      <c r="D1613" s="5">
        <f>IFERROR(__xludf.DUMMYFUNCTION("""COMPUTED_VALUE"""),44062.66666666667)</f>
        <v>44062.66667</v>
      </c>
      <c r="E1613" s="3">
        <f>IFERROR(__xludf.DUMMYFUNCTION("""COMPUTED_VALUE"""),77.38)</f>
        <v>77.38</v>
      </c>
      <c r="F1613" s="3">
        <f t="shared" si="1"/>
        <v>-0.007082638583</v>
      </c>
    </row>
    <row r="1614">
      <c r="A1614" s="6"/>
      <c r="D1614" s="5">
        <f>IFERROR(__xludf.DUMMYFUNCTION("""COMPUTED_VALUE"""),44063.66666666667)</f>
        <v>44063.66667</v>
      </c>
      <c r="E1614" s="3">
        <f>IFERROR(__xludf.DUMMYFUNCTION("""COMPUTED_VALUE"""),79.09)</f>
        <v>79.09</v>
      </c>
      <c r="F1614" s="3">
        <f t="shared" si="1"/>
        <v>0.02185809526</v>
      </c>
    </row>
    <row r="1615">
      <c r="A1615" s="6"/>
      <c r="D1615" s="5">
        <f>IFERROR(__xludf.DUMMYFUNCTION("""COMPUTED_VALUE"""),44064.66666666667)</f>
        <v>44064.66667</v>
      </c>
      <c r="E1615" s="3">
        <f>IFERROR(__xludf.DUMMYFUNCTION("""COMPUTED_VALUE"""),79.02)</f>
        <v>79.02</v>
      </c>
      <c r="F1615" s="3">
        <f t="shared" si="1"/>
        <v>-0.0008854595481</v>
      </c>
    </row>
    <row r="1616">
      <c r="A1616" s="6"/>
      <c r="D1616" s="5">
        <f>IFERROR(__xludf.DUMMYFUNCTION("""COMPUTED_VALUE"""),44067.66666666667)</f>
        <v>44067.66667</v>
      </c>
      <c r="E1616" s="3">
        <f>IFERROR(__xludf.DUMMYFUNCTION("""COMPUTED_VALUE"""),79.41)</f>
        <v>79.41</v>
      </c>
      <c r="F1616" s="3">
        <f t="shared" si="1"/>
        <v>0.004923319924</v>
      </c>
    </row>
    <row r="1617">
      <c r="A1617" s="6"/>
      <c r="D1617" s="5">
        <f>IFERROR(__xludf.DUMMYFUNCTION("""COMPUTED_VALUE"""),44068.66666666667)</f>
        <v>44068.66667</v>
      </c>
      <c r="E1617" s="3">
        <f>IFERROR(__xludf.DUMMYFUNCTION("""COMPUTED_VALUE"""),80.41)</f>
        <v>80.41</v>
      </c>
      <c r="F1617" s="3">
        <f t="shared" si="1"/>
        <v>0.01251424165</v>
      </c>
    </row>
    <row r="1618">
      <c r="A1618" s="6"/>
      <c r="D1618" s="5">
        <f>IFERROR(__xludf.DUMMYFUNCTION("""COMPUTED_VALUE"""),44069.66666666667)</f>
        <v>44069.66667</v>
      </c>
      <c r="E1618" s="3">
        <f>IFERROR(__xludf.DUMMYFUNCTION("""COMPUTED_VALUE"""),82.62)</f>
        <v>82.62</v>
      </c>
      <c r="F1618" s="3">
        <f t="shared" si="1"/>
        <v>0.02711323541</v>
      </c>
    </row>
    <row r="1619">
      <c r="A1619" s="6"/>
      <c r="D1619" s="5">
        <f>IFERROR(__xludf.DUMMYFUNCTION("""COMPUTED_VALUE"""),44070.66666666667)</f>
        <v>44070.66667</v>
      </c>
      <c r="E1619" s="3">
        <f>IFERROR(__xludf.DUMMYFUNCTION("""COMPUTED_VALUE"""),81.72)</f>
        <v>81.72</v>
      </c>
      <c r="F1619" s="3">
        <f t="shared" si="1"/>
        <v>-0.01095301202</v>
      </c>
    </row>
    <row r="1620">
      <c r="A1620" s="6"/>
      <c r="D1620" s="5">
        <f>IFERROR(__xludf.DUMMYFUNCTION("""COMPUTED_VALUE"""),44071.66666666667)</f>
        <v>44071.66667</v>
      </c>
      <c r="E1620" s="3">
        <f>IFERROR(__xludf.DUMMYFUNCTION("""COMPUTED_VALUE"""),82.22)</f>
        <v>82.22</v>
      </c>
      <c r="F1620" s="3">
        <f t="shared" si="1"/>
        <v>0.00609981152</v>
      </c>
    </row>
    <row r="1621">
      <c r="A1621" s="6"/>
      <c r="D1621" s="5">
        <f>IFERROR(__xludf.DUMMYFUNCTION("""COMPUTED_VALUE"""),44074.66666666667)</f>
        <v>44074.66667</v>
      </c>
      <c r="E1621" s="3">
        <f>IFERROR(__xludf.DUMMYFUNCTION("""COMPUTED_VALUE"""),81.71)</f>
        <v>81.71</v>
      </c>
      <c r="F1621" s="3">
        <f t="shared" si="1"/>
        <v>-0.006222188073</v>
      </c>
    </row>
    <row r="1622">
      <c r="A1622" s="6"/>
      <c r="D1622" s="5">
        <f>IFERROR(__xludf.DUMMYFUNCTION("""COMPUTED_VALUE"""),44075.66666666667)</f>
        <v>44075.66667</v>
      </c>
      <c r="E1622" s="3">
        <f>IFERROR(__xludf.DUMMYFUNCTION("""COMPUTED_VALUE"""),83.04)</f>
        <v>83.04</v>
      </c>
      <c r="F1622" s="3">
        <f t="shared" si="1"/>
        <v>0.01614602602</v>
      </c>
    </row>
    <row r="1623">
      <c r="A1623" s="6"/>
      <c r="D1623" s="5">
        <f>IFERROR(__xludf.DUMMYFUNCTION("""COMPUTED_VALUE"""),44076.66666666667)</f>
        <v>44076.66667</v>
      </c>
      <c r="E1623" s="3">
        <f>IFERROR(__xludf.DUMMYFUNCTION("""COMPUTED_VALUE"""),86.41)</f>
        <v>86.41</v>
      </c>
      <c r="F1623" s="3">
        <f t="shared" si="1"/>
        <v>0.03978099044</v>
      </c>
    </row>
    <row r="1624">
      <c r="A1624" s="6"/>
      <c r="D1624" s="5">
        <f>IFERROR(__xludf.DUMMYFUNCTION("""COMPUTED_VALUE"""),44077.66666666667)</f>
        <v>44077.66667</v>
      </c>
      <c r="E1624" s="3">
        <f>IFERROR(__xludf.DUMMYFUNCTION("""COMPUTED_VALUE"""),82.09)</f>
        <v>82.09</v>
      </c>
      <c r="F1624" s="3">
        <f t="shared" si="1"/>
        <v>-0.05128720349</v>
      </c>
    </row>
    <row r="1625">
      <c r="A1625" s="6"/>
      <c r="D1625" s="5">
        <f>IFERROR(__xludf.DUMMYFUNCTION("""COMPUTED_VALUE"""),44078.66666666667)</f>
        <v>44078.66667</v>
      </c>
      <c r="E1625" s="3">
        <f>IFERROR(__xludf.DUMMYFUNCTION("""COMPUTED_VALUE"""),79.55)</f>
        <v>79.55</v>
      </c>
      <c r="F1625" s="3">
        <f t="shared" si="1"/>
        <v>-0.03143045158</v>
      </c>
    </row>
    <row r="1626">
      <c r="A1626" s="6"/>
      <c r="D1626" s="5">
        <f>IFERROR(__xludf.DUMMYFUNCTION("""COMPUTED_VALUE"""),44082.66666666667)</f>
        <v>44082.66667</v>
      </c>
      <c r="E1626" s="3">
        <f>IFERROR(__xludf.DUMMYFUNCTION("""COMPUTED_VALUE"""),76.62)</f>
        <v>76.62</v>
      </c>
      <c r="F1626" s="3">
        <f t="shared" si="1"/>
        <v>-0.03752761551</v>
      </c>
    </row>
    <row r="1627">
      <c r="A1627" s="6"/>
      <c r="D1627" s="5">
        <f>IFERROR(__xludf.DUMMYFUNCTION("""COMPUTED_VALUE"""),44083.66666666667)</f>
        <v>44083.66667</v>
      </c>
      <c r="E1627" s="3">
        <f>IFERROR(__xludf.DUMMYFUNCTION("""COMPUTED_VALUE"""),77.85)</f>
        <v>77.85</v>
      </c>
      <c r="F1627" s="3">
        <f t="shared" si="1"/>
        <v>0.01592575901</v>
      </c>
    </row>
    <row r="1628">
      <c r="A1628" s="6"/>
      <c r="D1628" s="5">
        <f>IFERROR(__xludf.DUMMYFUNCTION("""COMPUTED_VALUE"""),44084.66666666667)</f>
        <v>44084.66667</v>
      </c>
      <c r="E1628" s="3">
        <f>IFERROR(__xludf.DUMMYFUNCTION("""COMPUTED_VALUE"""),76.6)</f>
        <v>76.6</v>
      </c>
      <c r="F1628" s="3">
        <f t="shared" si="1"/>
        <v>-0.01618682153</v>
      </c>
    </row>
    <row r="1629">
      <c r="A1629" s="6"/>
      <c r="D1629" s="5">
        <f>IFERROR(__xludf.DUMMYFUNCTION("""COMPUTED_VALUE"""),44085.66666666667)</f>
        <v>44085.66667</v>
      </c>
      <c r="E1629" s="3">
        <f>IFERROR(__xludf.DUMMYFUNCTION("""COMPUTED_VALUE"""),76.04)</f>
        <v>76.04</v>
      </c>
      <c r="F1629" s="3">
        <f t="shared" si="1"/>
        <v>-0.007337559126</v>
      </c>
    </row>
    <row r="1630">
      <c r="A1630" s="6"/>
      <c r="D1630" s="5">
        <f>IFERROR(__xludf.DUMMYFUNCTION("""COMPUTED_VALUE"""),44088.66666666667)</f>
        <v>44088.66667</v>
      </c>
      <c r="E1630" s="3">
        <f>IFERROR(__xludf.DUMMYFUNCTION("""COMPUTED_VALUE"""),75.96)</f>
        <v>75.96</v>
      </c>
      <c r="F1630" s="3">
        <f t="shared" si="1"/>
        <v>-0.001052631676</v>
      </c>
    </row>
    <row r="1631">
      <c r="A1631" s="6"/>
      <c r="D1631" s="5">
        <f>IFERROR(__xludf.DUMMYFUNCTION("""COMPUTED_VALUE"""),44089.66666666667)</f>
        <v>44089.66667</v>
      </c>
      <c r="E1631" s="3">
        <f>IFERROR(__xludf.DUMMYFUNCTION("""COMPUTED_VALUE"""),77.07)</f>
        <v>77.07</v>
      </c>
      <c r="F1631" s="3">
        <f t="shared" si="1"/>
        <v>0.01450721385</v>
      </c>
    </row>
    <row r="1632">
      <c r="A1632" s="6"/>
      <c r="D1632" s="5">
        <f>IFERROR(__xludf.DUMMYFUNCTION("""COMPUTED_VALUE"""),44090.66666666667)</f>
        <v>44090.66667</v>
      </c>
      <c r="E1632" s="3">
        <f>IFERROR(__xludf.DUMMYFUNCTION("""COMPUTED_VALUE"""),76.05)</f>
        <v>76.05</v>
      </c>
      <c r="F1632" s="3">
        <f t="shared" si="1"/>
        <v>-0.01332308108</v>
      </c>
    </row>
    <row r="1633">
      <c r="A1633" s="6"/>
      <c r="D1633" s="5">
        <f>IFERROR(__xludf.DUMMYFUNCTION("""COMPUTED_VALUE"""),44091.66666666667)</f>
        <v>44091.66667</v>
      </c>
      <c r="E1633" s="3">
        <f>IFERROR(__xludf.DUMMYFUNCTION("""COMPUTED_VALUE"""),74.78)</f>
        <v>74.78</v>
      </c>
      <c r="F1633" s="3">
        <f t="shared" si="1"/>
        <v>-0.01684054916</v>
      </c>
    </row>
    <row r="1634">
      <c r="A1634" s="6"/>
      <c r="D1634" s="5">
        <f>IFERROR(__xludf.DUMMYFUNCTION("""COMPUTED_VALUE"""),44092.66666666667)</f>
        <v>44092.66667</v>
      </c>
      <c r="E1634" s="3">
        <f>IFERROR(__xludf.DUMMYFUNCTION("""COMPUTED_VALUE"""),73.0)</f>
        <v>73</v>
      </c>
      <c r="F1634" s="3">
        <f t="shared" si="1"/>
        <v>-0.0240910284</v>
      </c>
    </row>
    <row r="1635">
      <c r="A1635" s="6"/>
      <c r="D1635" s="5">
        <f>IFERROR(__xludf.DUMMYFUNCTION("""COMPUTED_VALUE"""),44095.66666666667)</f>
        <v>44095.66667</v>
      </c>
      <c r="E1635" s="3">
        <f>IFERROR(__xludf.DUMMYFUNCTION("""COMPUTED_VALUE"""),71.56)</f>
        <v>71.56</v>
      </c>
      <c r="F1635" s="3">
        <f t="shared" si="1"/>
        <v>-0.01992318251</v>
      </c>
    </row>
    <row r="1636">
      <c r="A1636" s="6"/>
      <c r="D1636" s="5">
        <f>IFERROR(__xludf.DUMMYFUNCTION("""COMPUTED_VALUE"""),44096.66666666667)</f>
        <v>44096.66667</v>
      </c>
      <c r="E1636" s="3">
        <f>IFERROR(__xludf.DUMMYFUNCTION("""COMPUTED_VALUE"""),73.27)</f>
        <v>73.27</v>
      </c>
      <c r="F1636" s="3">
        <f t="shared" si="1"/>
        <v>0.02361498953</v>
      </c>
    </row>
    <row r="1637">
      <c r="A1637" s="6"/>
      <c r="D1637" s="5">
        <f>IFERROR(__xludf.DUMMYFUNCTION("""COMPUTED_VALUE"""),44097.66666666667)</f>
        <v>44097.66667</v>
      </c>
      <c r="E1637" s="3">
        <f>IFERROR(__xludf.DUMMYFUNCTION("""COMPUTED_VALUE"""),70.76)</f>
        <v>70.76</v>
      </c>
      <c r="F1637" s="3">
        <f t="shared" si="1"/>
        <v>-0.03485737888</v>
      </c>
    </row>
    <row r="1638">
      <c r="A1638" s="6"/>
      <c r="D1638" s="5">
        <f>IFERROR(__xludf.DUMMYFUNCTION("""COMPUTED_VALUE"""),44098.66666666667)</f>
        <v>44098.66667</v>
      </c>
      <c r="E1638" s="3">
        <f>IFERROR(__xludf.DUMMYFUNCTION("""COMPUTED_VALUE"""),71.41)</f>
        <v>71.41</v>
      </c>
      <c r="F1638" s="3">
        <f t="shared" si="1"/>
        <v>0.009144046269</v>
      </c>
    </row>
    <row r="1639">
      <c r="A1639" s="6"/>
      <c r="D1639" s="5">
        <f>IFERROR(__xludf.DUMMYFUNCTION("""COMPUTED_VALUE"""),44099.66666666667)</f>
        <v>44099.66667</v>
      </c>
      <c r="E1639" s="3">
        <f>IFERROR(__xludf.DUMMYFUNCTION("""COMPUTED_VALUE"""),72.25)</f>
        <v>72.25</v>
      </c>
      <c r="F1639" s="3">
        <f t="shared" si="1"/>
        <v>0.01169441143</v>
      </c>
    </row>
    <row r="1640">
      <c r="A1640" s="6"/>
      <c r="D1640" s="5">
        <f>IFERROR(__xludf.DUMMYFUNCTION("""COMPUTED_VALUE"""),44102.66666666667)</f>
        <v>44102.66667</v>
      </c>
      <c r="E1640" s="3">
        <f>IFERROR(__xludf.DUMMYFUNCTION("""COMPUTED_VALUE"""),73.23)</f>
        <v>73.23</v>
      </c>
      <c r="F1640" s="3">
        <f t="shared" si="1"/>
        <v>0.01347284608</v>
      </c>
    </row>
    <row r="1641">
      <c r="A1641" s="6"/>
      <c r="D1641" s="5">
        <f>IFERROR(__xludf.DUMMYFUNCTION("""COMPUTED_VALUE"""),44103.66666666667)</f>
        <v>44103.66667</v>
      </c>
      <c r="E1641" s="3">
        <f>IFERROR(__xludf.DUMMYFUNCTION("""COMPUTED_VALUE"""),73.47)</f>
        <v>73.47</v>
      </c>
      <c r="F1641" s="3">
        <f t="shared" si="1"/>
        <v>0.003271986559</v>
      </c>
    </row>
    <row r="1642">
      <c r="A1642" s="6"/>
      <c r="D1642" s="5">
        <f>IFERROR(__xludf.DUMMYFUNCTION("""COMPUTED_VALUE"""),44104.66666666667)</f>
        <v>44104.66667</v>
      </c>
      <c r="E1642" s="3">
        <f>IFERROR(__xludf.DUMMYFUNCTION("""COMPUTED_VALUE"""),73.48)</f>
        <v>73.48</v>
      </c>
      <c r="F1642" s="3">
        <f t="shared" si="1"/>
        <v>0.0001361007147</v>
      </c>
    </row>
    <row r="1643">
      <c r="A1643" s="6"/>
      <c r="D1643" s="5">
        <f>IFERROR(__xludf.DUMMYFUNCTION("""COMPUTED_VALUE"""),44105.66666666667)</f>
        <v>44105.66667</v>
      </c>
      <c r="E1643" s="3">
        <f>IFERROR(__xludf.DUMMYFUNCTION("""COMPUTED_VALUE"""),74.5)</f>
        <v>74.5</v>
      </c>
      <c r="F1643" s="3">
        <f t="shared" si="1"/>
        <v>0.01378586504</v>
      </c>
    </row>
    <row r="1644">
      <c r="A1644" s="6"/>
      <c r="D1644" s="5">
        <f>IFERROR(__xludf.DUMMYFUNCTION("""COMPUTED_VALUE"""),44106.66666666667)</f>
        <v>44106.66667</v>
      </c>
      <c r="E1644" s="3">
        <f>IFERROR(__xludf.DUMMYFUNCTION("""COMPUTED_VALUE"""),72.92)</f>
        <v>72.92</v>
      </c>
      <c r="F1644" s="3">
        <f t="shared" si="1"/>
        <v>-0.02143617558</v>
      </c>
    </row>
    <row r="1645">
      <c r="A1645" s="6"/>
      <c r="D1645" s="5">
        <f>IFERROR(__xludf.DUMMYFUNCTION("""COMPUTED_VALUE"""),44109.66666666667)</f>
        <v>44109.66667</v>
      </c>
      <c r="E1645" s="3">
        <f>IFERROR(__xludf.DUMMYFUNCTION("""COMPUTED_VALUE"""),74.3)</f>
        <v>74.3</v>
      </c>
      <c r="F1645" s="3">
        <f t="shared" si="1"/>
        <v>0.01874800191</v>
      </c>
    </row>
    <row r="1646">
      <c r="A1646" s="6"/>
      <c r="D1646" s="5">
        <f>IFERROR(__xludf.DUMMYFUNCTION("""COMPUTED_VALUE"""),44110.66666666667)</f>
        <v>44110.66667</v>
      </c>
      <c r="E1646" s="3">
        <f>IFERROR(__xludf.DUMMYFUNCTION("""COMPUTED_VALUE"""),72.67)</f>
        <v>72.67</v>
      </c>
      <c r="F1646" s="3">
        <f t="shared" si="1"/>
        <v>-0.0221823071</v>
      </c>
    </row>
    <row r="1647">
      <c r="A1647" s="6"/>
      <c r="D1647" s="5">
        <f>IFERROR(__xludf.DUMMYFUNCTION("""COMPUTED_VALUE"""),44111.66666666667)</f>
        <v>44111.66667</v>
      </c>
      <c r="E1647" s="3">
        <f>IFERROR(__xludf.DUMMYFUNCTION("""COMPUTED_VALUE"""),73.01)</f>
        <v>73.01</v>
      </c>
      <c r="F1647" s="3">
        <f t="shared" si="1"/>
        <v>0.004667773439</v>
      </c>
    </row>
    <row r="1648">
      <c r="A1648" s="6"/>
      <c r="D1648" s="5">
        <f>IFERROR(__xludf.DUMMYFUNCTION("""COMPUTED_VALUE"""),44112.66666666667)</f>
        <v>44112.66667</v>
      </c>
      <c r="E1648" s="3">
        <f>IFERROR(__xludf.DUMMYFUNCTION("""COMPUTED_VALUE"""),74.3)</f>
        <v>74.3</v>
      </c>
      <c r="F1648" s="3">
        <f t="shared" si="1"/>
        <v>0.01751453366</v>
      </c>
    </row>
    <row r="1649">
      <c r="A1649" s="6"/>
      <c r="D1649" s="5">
        <f>IFERROR(__xludf.DUMMYFUNCTION("""COMPUTED_VALUE"""),44113.66666666667)</f>
        <v>44113.66667</v>
      </c>
      <c r="E1649" s="3">
        <f>IFERROR(__xludf.DUMMYFUNCTION("""COMPUTED_VALUE"""),75.76)</f>
        <v>75.76</v>
      </c>
      <c r="F1649" s="3">
        <f t="shared" si="1"/>
        <v>0.01945949715</v>
      </c>
    </row>
    <row r="1650">
      <c r="A1650" s="6"/>
      <c r="D1650" s="5">
        <f>IFERROR(__xludf.DUMMYFUNCTION("""COMPUTED_VALUE"""),44116.66666666667)</f>
        <v>44116.66667</v>
      </c>
      <c r="E1650" s="3">
        <f>IFERROR(__xludf.DUMMYFUNCTION("""COMPUTED_VALUE"""),78.46)</f>
        <v>78.46</v>
      </c>
      <c r="F1650" s="3">
        <f t="shared" si="1"/>
        <v>0.0350184919</v>
      </c>
    </row>
    <row r="1651">
      <c r="A1651" s="6"/>
      <c r="D1651" s="5">
        <f>IFERROR(__xludf.DUMMYFUNCTION("""COMPUTED_VALUE"""),44117.66666666667)</f>
        <v>44117.66667</v>
      </c>
      <c r="E1651" s="3">
        <f>IFERROR(__xludf.DUMMYFUNCTION("""COMPUTED_VALUE"""),78.58)</f>
        <v>78.58</v>
      </c>
      <c r="F1651" s="3">
        <f t="shared" si="1"/>
        <v>0.001528273349</v>
      </c>
    </row>
    <row r="1652">
      <c r="A1652" s="6"/>
      <c r="D1652" s="5">
        <f>IFERROR(__xludf.DUMMYFUNCTION("""COMPUTED_VALUE"""),44118.66666666667)</f>
        <v>44118.66667</v>
      </c>
      <c r="E1652" s="3">
        <f>IFERROR(__xludf.DUMMYFUNCTION("""COMPUTED_VALUE"""),78.4)</f>
        <v>78.4</v>
      </c>
      <c r="F1652" s="3">
        <f t="shared" si="1"/>
        <v>-0.002293286774</v>
      </c>
    </row>
    <row r="1653">
      <c r="A1653" s="6"/>
      <c r="D1653" s="5">
        <f>IFERROR(__xludf.DUMMYFUNCTION("""COMPUTED_VALUE"""),44119.66666666667)</f>
        <v>44119.66667</v>
      </c>
      <c r="E1653" s="3">
        <f>IFERROR(__xludf.DUMMYFUNCTION("""COMPUTED_VALUE"""),77.96)</f>
        <v>77.96</v>
      </c>
      <c r="F1653" s="3">
        <f t="shared" si="1"/>
        <v>-0.005628052717</v>
      </c>
    </row>
    <row r="1654">
      <c r="A1654" s="6"/>
      <c r="D1654" s="5">
        <f>IFERROR(__xludf.DUMMYFUNCTION("""COMPUTED_VALUE"""),44120.66666666667)</f>
        <v>44120.66667</v>
      </c>
      <c r="E1654" s="3">
        <f>IFERROR(__xludf.DUMMYFUNCTION("""COMPUTED_VALUE"""),78.65)</f>
        <v>78.65</v>
      </c>
      <c r="F1654" s="3">
        <f t="shared" si="1"/>
        <v>0.008811754865</v>
      </c>
    </row>
    <row r="1655">
      <c r="A1655" s="6"/>
      <c r="D1655" s="5">
        <f>IFERROR(__xludf.DUMMYFUNCTION("""COMPUTED_VALUE"""),44123.66666666667)</f>
        <v>44123.66667</v>
      </c>
      <c r="E1655" s="3">
        <f>IFERROR(__xludf.DUMMYFUNCTION("""COMPUTED_VALUE"""),76.73)</f>
        <v>76.73</v>
      </c>
      <c r="F1655" s="3">
        <f t="shared" si="1"/>
        <v>-0.02471486331</v>
      </c>
    </row>
    <row r="1656">
      <c r="A1656" s="6"/>
      <c r="D1656" s="5">
        <f>IFERROR(__xludf.DUMMYFUNCTION("""COMPUTED_VALUE"""),44124.66666666667)</f>
        <v>44124.66667</v>
      </c>
      <c r="E1656" s="3">
        <f>IFERROR(__xludf.DUMMYFUNCTION("""COMPUTED_VALUE"""),77.8)</f>
        <v>77.8</v>
      </c>
      <c r="F1656" s="3">
        <f t="shared" si="1"/>
        <v>0.01384866499</v>
      </c>
    </row>
    <row r="1657">
      <c r="A1657" s="6"/>
      <c r="D1657" s="5">
        <f>IFERROR(__xludf.DUMMYFUNCTION("""COMPUTED_VALUE"""),44125.66666666667)</f>
        <v>44125.66667</v>
      </c>
      <c r="E1657" s="3">
        <f>IFERROR(__xludf.DUMMYFUNCTION("""COMPUTED_VALUE"""),79.67)</f>
        <v>79.67</v>
      </c>
      <c r="F1657" s="3">
        <f t="shared" si="1"/>
        <v>0.02375167221</v>
      </c>
    </row>
    <row r="1658">
      <c r="A1658" s="6"/>
      <c r="D1658" s="5">
        <f>IFERROR(__xludf.DUMMYFUNCTION("""COMPUTED_VALUE"""),44126.66666666667)</f>
        <v>44126.66667</v>
      </c>
      <c r="E1658" s="3">
        <f>IFERROR(__xludf.DUMMYFUNCTION("""COMPUTED_VALUE"""),80.77)</f>
        <v>80.77</v>
      </c>
      <c r="F1658" s="3">
        <f t="shared" si="1"/>
        <v>0.01371250606</v>
      </c>
    </row>
    <row r="1659">
      <c r="A1659" s="6"/>
      <c r="D1659" s="5">
        <f>IFERROR(__xludf.DUMMYFUNCTION("""COMPUTED_VALUE"""),44127.66666666667)</f>
        <v>44127.66667</v>
      </c>
      <c r="E1659" s="3">
        <f>IFERROR(__xludf.DUMMYFUNCTION("""COMPUTED_VALUE"""),82.05)</f>
        <v>82.05</v>
      </c>
      <c r="F1659" s="3">
        <f t="shared" si="1"/>
        <v>0.01572320808</v>
      </c>
    </row>
    <row r="1660">
      <c r="A1660" s="6"/>
      <c r="D1660" s="5">
        <f>IFERROR(__xludf.DUMMYFUNCTION("""COMPUTED_VALUE"""),44130.66666666667)</f>
        <v>44130.66667</v>
      </c>
      <c r="E1660" s="3">
        <f>IFERROR(__xludf.DUMMYFUNCTION("""COMPUTED_VALUE"""),79.52)</f>
        <v>79.52</v>
      </c>
      <c r="F1660" s="3">
        <f t="shared" si="1"/>
        <v>-0.03132025519</v>
      </c>
    </row>
    <row r="1661">
      <c r="A1661" s="6"/>
      <c r="D1661" s="5">
        <f>IFERROR(__xludf.DUMMYFUNCTION("""COMPUTED_VALUE"""),44131.66666666667)</f>
        <v>44131.66667</v>
      </c>
      <c r="E1661" s="3">
        <f>IFERROR(__xludf.DUMMYFUNCTION("""COMPUTED_VALUE"""),80.21)</f>
        <v>80.21</v>
      </c>
      <c r="F1661" s="3">
        <f t="shared" si="1"/>
        <v>0.008639633031</v>
      </c>
    </row>
    <row r="1662">
      <c r="A1662" s="6"/>
      <c r="D1662" s="5">
        <f>IFERROR(__xludf.DUMMYFUNCTION("""COMPUTED_VALUE"""),44132.66666666667)</f>
        <v>44132.66667</v>
      </c>
      <c r="E1662" s="3">
        <f>IFERROR(__xludf.DUMMYFUNCTION("""COMPUTED_VALUE"""),75.83)</f>
        <v>75.83</v>
      </c>
      <c r="F1662" s="3">
        <f t="shared" si="1"/>
        <v>-0.05615420267</v>
      </c>
    </row>
    <row r="1663">
      <c r="A1663" s="6"/>
      <c r="D1663" s="5">
        <f>IFERROR(__xludf.DUMMYFUNCTION("""COMPUTED_VALUE"""),44133.66666666667)</f>
        <v>44133.66667</v>
      </c>
      <c r="E1663" s="3">
        <f>IFERROR(__xludf.DUMMYFUNCTION("""COMPUTED_VALUE"""),78.36)</f>
        <v>78.36</v>
      </c>
      <c r="F1663" s="3">
        <f t="shared" si="1"/>
        <v>0.03281960036</v>
      </c>
    </row>
    <row r="1664">
      <c r="A1664" s="6"/>
      <c r="D1664" s="5">
        <f>IFERROR(__xludf.DUMMYFUNCTION("""COMPUTED_VALUE"""),44134.66666666667)</f>
        <v>44134.66667</v>
      </c>
      <c r="E1664" s="3">
        <f>IFERROR(__xludf.DUMMYFUNCTION("""COMPUTED_VALUE"""),81.05)</f>
        <v>81.05</v>
      </c>
      <c r="F1664" s="3">
        <f t="shared" si="1"/>
        <v>0.03375265511</v>
      </c>
    </row>
    <row r="1665">
      <c r="A1665" s="6"/>
      <c r="D1665" s="5">
        <f>IFERROR(__xludf.DUMMYFUNCTION("""COMPUTED_VALUE"""),44137.66666666667)</f>
        <v>44137.66667</v>
      </c>
      <c r="E1665" s="3">
        <f>IFERROR(__xludf.DUMMYFUNCTION("""COMPUTED_VALUE"""),81.3)</f>
        <v>81.3</v>
      </c>
      <c r="F1665" s="3">
        <f t="shared" si="1"/>
        <v>0.003079768372</v>
      </c>
    </row>
    <row r="1666">
      <c r="A1666" s="6"/>
      <c r="D1666" s="5">
        <f>IFERROR(__xludf.DUMMYFUNCTION("""COMPUTED_VALUE"""),44138.66666666667)</f>
        <v>44138.66667</v>
      </c>
      <c r="E1666" s="3">
        <f>IFERROR(__xludf.DUMMYFUNCTION("""COMPUTED_VALUE"""),82.51)</f>
        <v>82.51</v>
      </c>
      <c r="F1666" s="3">
        <f t="shared" si="1"/>
        <v>0.01477348156</v>
      </c>
    </row>
    <row r="1667">
      <c r="A1667" s="6"/>
      <c r="D1667" s="5">
        <f>IFERROR(__xludf.DUMMYFUNCTION("""COMPUTED_VALUE"""),44139.66666666667)</f>
        <v>44139.66667</v>
      </c>
      <c r="E1667" s="3">
        <f>IFERROR(__xludf.DUMMYFUNCTION("""COMPUTED_VALUE"""),87.46)</f>
        <v>87.46</v>
      </c>
      <c r="F1667" s="3">
        <f t="shared" si="1"/>
        <v>0.05826204787</v>
      </c>
    </row>
    <row r="1668">
      <c r="A1668" s="6"/>
      <c r="D1668" s="5">
        <f>IFERROR(__xludf.DUMMYFUNCTION("""COMPUTED_VALUE"""),44140.66666666667)</f>
        <v>44140.66667</v>
      </c>
      <c r="E1668" s="3">
        <f>IFERROR(__xludf.DUMMYFUNCTION("""COMPUTED_VALUE"""),88.17)</f>
        <v>88.17</v>
      </c>
      <c r="F1668" s="3">
        <f t="shared" si="1"/>
        <v>0.008085223114</v>
      </c>
    </row>
    <row r="1669">
      <c r="A1669" s="6"/>
      <c r="D1669" s="5">
        <f>IFERROR(__xludf.DUMMYFUNCTION("""COMPUTED_VALUE"""),44141.66666666667)</f>
        <v>44141.66667</v>
      </c>
      <c r="E1669" s="3">
        <f>IFERROR(__xludf.DUMMYFUNCTION("""COMPUTED_VALUE"""),88.09)</f>
        <v>88.09</v>
      </c>
      <c r="F1669" s="3">
        <f t="shared" si="1"/>
        <v>-0.0009077499772</v>
      </c>
    </row>
    <row r="1670">
      <c r="A1670" s="6"/>
      <c r="D1670" s="5">
        <f>IFERROR(__xludf.DUMMYFUNCTION("""COMPUTED_VALUE"""),44144.66666666667)</f>
        <v>44144.66667</v>
      </c>
      <c r="E1670" s="3">
        <f>IFERROR(__xludf.DUMMYFUNCTION("""COMPUTED_VALUE"""),88.15)</f>
        <v>88.15</v>
      </c>
      <c r="F1670" s="3">
        <f t="shared" si="1"/>
        <v>0.0006808897222</v>
      </c>
    </row>
    <row r="1671">
      <c r="A1671" s="6"/>
      <c r="D1671" s="5">
        <f>IFERROR(__xludf.DUMMYFUNCTION("""COMPUTED_VALUE"""),44145.66666666667)</f>
        <v>44145.66667</v>
      </c>
      <c r="E1671" s="3">
        <f>IFERROR(__xludf.DUMMYFUNCTION("""COMPUTED_VALUE"""),87.02)</f>
        <v>87.02</v>
      </c>
      <c r="F1671" s="3">
        <f t="shared" si="1"/>
        <v>-0.01290193155</v>
      </c>
    </row>
    <row r="1672">
      <c r="A1672" s="6"/>
      <c r="D1672" s="5">
        <f>IFERROR(__xludf.DUMMYFUNCTION("""COMPUTED_VALUE"""),44146.66666666667)</f>
        <v>44146.66667</v>
      </c>
      <c r="E1672" s="3">
        <f>IFERROR(__xludf.DUMMYFUNCTION("""COMPUTED_VALUE"""),87.64)</f>
        <v>87.64</v>
      </c>
      <c r="F1672" s="3">
        <f t="shared" si="1"/>
        <v>0.007099537435</v>
      </c>
    </row>
    <row r="1673">
      <c r="A1673" s="6"/>
      <c r="D1673" s="5">
        <f>IFERROR(__xludf.DUMMYFUNCTION("""COMPUTED_VALUE"""),44147.66666666667)</f>
        <v>44147.66667</v>
      </c>
      <c r="E1673" s="3">
        <f>IFERROR(__xludf.DUMMYFUNCTION("""COMPUTED_VALUE"""),87.49)</f>
        <v>87.49</v>
      </c>
      <c r="F1673" s="3">
        <f t="shared" si="1"/>
        <v>-0.001713013609</v>
      </c>
    </row>
    <row r="1674">
      <c r="A1674" s="6"/>
      <c r="D1674" s="5">
        <f>IFERROR(__xludf.DUMMYFUNCTION("""COMPUTED_VALUE"""),44148.66666666667)</f>
        <v>44148.66667</v>
      </c>
      <c r="E1674" s="3">
        <f>IFERROR(__xludf.DUMMYFUNCTION("""COMPUTED_VALUE"""),88.85)</f>
        <v>88.85</v>
      </c>
      <c r="F1674" s="3">
        <f t="shared" si="1"/>
        <v>0.01542505348</v>
      </c>
    </row>
    <row r="1675">
      <c r="A1675" s="6"/>
      <c r="D1675" s="5">
        <f>IFERROR(__xludf.DUMMYFUNCTION("""COMPUTED_VALUE"""),44151.66666666667)</f>
        <v>44151.66667</v>
      </c>
      <c r="E1675" s="3">
        <f>IFERROR(__xludf.DUMMYFUNCTION("""COMPUTED_VALUE"""),89.07)</f>
        <v>89.07</v>
      </c>
      <c r="F1675" s="3">
        <f t="shared" si="1"/>
        <v>0.002473022843</v>
      </c>
    </row>
    <row r="1676">
      <c r="A1676" s="6"/>
      <c r="D1676" s="5">
        <f>IFERROR(__xludf.DUMMYFUNCTION("""COMPUTED_VALUE"""),44152.66666666667)</f>
        <v>44152.66667</v>
      </c>
      <c r="E1676" s="3">
        <f>IFERROR(__xludf.DUMMYFUNCTION("""COMPUTED_VALUE"""),88.51)</f>
        <v>88.51</v>
      </c>
      <c r="F1676" s="3">
        <f t="shared" si="1"/>
        <v>-0.006307037463</v>
      </c>
    </row>
    <row r="1677">
      <c r="A1677" s="6"/>
      <c r="D1677" s="5">
        <f>IFERROR(__xludf.DUMMYFUNCTION("""COMPUTED_VALUE"""),44153.66666666667)</f>
        <v>44153.66667</v>
      </c>
      <c r="E1677" s="3">
        <f>IFERROR(__xludf.DUMMYFUNCTION("""COMPUTED_VALUE"""),87.34)</f>
        <v>87.34</v>
      </c>
      <c r="F1677" s="3">
        <f t="shared" si="1"/>
        <v>-0.01330699192</v>
      </c>
    </row>
    <row r="1678">
      <c r="A1678" s="6"/>
      <c r="D1678" s="5">
        <f>IFERROR(__xludf.DUMMYFUNCTION("""COMPUTED_VALUE"""),44154.66666666667)</f>
        <v>44154.66667</v>
      </c>
      <c r="E1678" s="3">
        <f>IFERROR(__xludf.DUMMYFUNCTION("""COMPUTED_VALUE"""),88.2)</f>
        <v>88.2</v>
      </c>
      <c r="F1678" s="3">
        <f t="shared" si="1"/>
        <v>0.009798414955</v>
      </c>
    </row>
    <row r="1679">
      <c r="A1679" s="6"/>
      <c r="D1679" s="5">
        <f>IFERROR(__xludf.DUMMYFUNCTION("""COMPUTED_VALUE"""),44155.66666666667)</f>
        <v>44155.66667</v>
      </c>
      <c r="E1679" s="3">
        <f>IFERROR(__xludf.DUMMYFUNCTION("""COMPUTED_VALUE"""),87.11)</f>
        <v>87.11</v>
      </c>
      <c r="F1679" s="3">
        <f t="shared" si="1"/>
        <v>-0.01243527518</v>
      </c>
    </row>
    <row r="1680">
      <c r="A1680" s="6"/>
      <c r="D1680" s="5">
        <f>IFERROR(__xludf.DUMMYFUNCTION("""COMPUTED_VALUE"""),44158.66666666667)</f>
        <v>44158.66667</v>
      </c>
      <c r="E1680" s="3">
        <f>IFERROR(__xludf.DUMMYFUNCTION("""COMPUTED_VALUE"""),86.74)</f>
        <v>86.74</v>
      </c>
      <c r="F1680" s="3">
        <f t="shared" si="1"/>
        <v>-0.004256549424</v>
      </c>
    </row>
    <row r="1681">
      <c r="A1681" s="6"/>
      <c r="D1681" s="5">
        <f>IFERROR(__xludf.DUMMYFUNCTION("""COMPUTED_VALUE"""),44159.66666666667)</f>
        <v>44159.66667</v>
      </c>
      <c r="E1681" s="3">
        <f>IFERROR(__xludf.DUMMYFUNCTION("""COMPUTED_VALUE"""),88.44)</f>
        <v>88.44</v>
      </c>
      <c r="F1681" s="3">
        <f t="shared" si="1"/>
        <v>0.01940921758</v>
      </c>
    </row>
    <row r="1682">
      <c r="A1682" s="6"/>
      <c r="D1682" s="5">
        <f>IFERROR(__xludf.DUMMYFUNCTION("""COMPUTED_VALUE"""),44160.66666666667)</f>
        <v>44160.66667</v>
      </c>
      <c r="E1682" s="3">
        <f>IFERROR(__xludf.DUMMYFUNCTION("""COMPUTED_VALUE"""),88.57)</f>
        <v>88.57</v>
      </c>
      <c r="F1682" s="3">
        <f t="shared" si="1"/>
        <v>0.001468843832</v>
      </c>
    </row>
    <row r="1683">
      <c r="A1683" s="6"/>
      <c r="D1683" s="5">
        <f>IFERROR(__xludf.DUMMYFUNCTION("""COMPUTED_VALUE"""),44162.54166666667)</f>
        <v>44162.54167</v>
      </c>
      <c r="E1683" s="3">
        <f>IFERROR(__xludf.DUMMYFUNCTION("""COMPUTED_VALUE"""),89.66)</f>
        <v>89.66</v>
      </c>
      <c r="F1683" s="3">
        <f t="shared" si="1"/>
        <v>0.01223153891</v>
      </c>
    </row>
    <row r="1684">
      <c r="A1684" s="6"/>
      <c r="D1684" s="5">
        <f>IFERROR(__xludf.DUMMYFUNCTION("""COMPUTED_VALUE"""),44165.66666666667)</f>
        <v>44165.66667</v>
      </c>
      <c r="E1684" s="3">
        <f>IFERROR(__xludf.DUMMYFUNCTION("""COMPUTED_VALUE"""),88.04)</f>
        <v>88.04</v>
      </c>
      <c r="F1684" s="3">
        <f t="shared" si="1"/>
        <v>-0.01823348207</v>
      </c>
    </row>
    <row r="1685">
      <c r="A1685" s="6"/>
      <c r="D1685" s="5">
        <f>IFERROR(__xludf.DUMMYFUNCTION("""COMPUTED_VALUE"""),44166.66666666667)</f>
        <v>44166.66667</v>
      </c>
      <c r="E1685" s="3">
        <f>IFERROR(__xludf.DUMMYFUNCTION("""COMPUTED_VALUE"""),89.91)</f>
        <v>89.91</v>
      </c>
      <c r="F1685" s="3">
        <f t="shared" si="1"/>
        <v>0.02101791334</v>
      </c>
    </row>
    <row r="1686">
      <c r="A1686" s="6"/>
      <c r="D1686" s="5">
        <f>IFERROR(__xludf.DUMMYFUNCTION("""COMPUTED_VALUE"""),44167.66666666667)</f>
        <v>44167.66667</v>
      </c>
      <c r="E1686" s="3">
        <f>IFERROR(__xludf.DUMMYFUNCTION("""COMPUTED_VALUE"""),91.4)</f>
        <v>91.4</v>
      </c>
      <c r="F1686" s="3">
        <f t="shared" si="1"/>
        <v>0.01643630846</v>
      </c>
    </row>
    <row r="1687">
      <c r="A1687" s="6"/>
      <c r="D1687" s="5">
        <f>IFERROR(__xludf.DUMMYFUNCTION("""COMPUTED_VALUE"""),44168.66666666667)</f>
        <v>44168.66667</v>
      </c>
      <c r="E1687" s="3">
        <f>IFERROR(__xludf.DUMMYFUNCTION("""COMPUTED_VALUE"""),91.34)</f>
        <v>91.34</v>
      </c>
      <c r="F1687" s="3">
        <f t="shared" si="1"/>
        <v>-0.0006566707033</v>
      </c>
    </row>
    <row r="1688">
      <c r="A1688" s="6"/>
      <c r="D1688" s="5">
        <f>IFERROR(__xludf.DUMMYFUNCTION("""COMPUTED_VALUE"""),44169.66666666667)</f>
        <v>44169.66667</v>
      </c>
      <c r="E1688" s="3">
        <f>IFERROR(__xludf.DUMMYFUNCTION("""COMPUTED_VALUE"""),91.4)</f>
        <v>91.4</v>
      </c>
      <c r="F1688" s="3">
        <f t="shared" si="1"/>
        <v>0.0006566707033</v>
      </c>
    </row>
    <row r="1689">
      <c r="A1689" s="6"/>
      <c r="D1689" s="5">
        <f>IFERROR(__xludf.DUMMYFUNCTION("""COMPUTED_VALUE"""),44172.66666666667)</f>
        <v>44172.66667</v>
      </c>
      <c r="E1689" s="3">
        <f>IFERROR(__xludf.DUMMYFUNCTION("""COMPUTED_VALUE"""),90.97)</f>
        <v>90.97</v>
      </c>
      <c r="F1689" s="3">
        <f t="shared" si="1"/>
        <v>-0.004715696626</v>
      </c>
    </row>
    <row r="1690">
      <c r="A1690" s="6"/>
      <c r="D1690" s="5">
        <f>IFERROR(__xludf.DUMMYFUNCTION("""COMPUTED_VALUE"""),44173.66666666667)</f>
        <v>44173.66667</v>
      </c>
      <c r="E1690" s="3">
        <f>IFERROR(__xludf.DUMMYFUNCTION("""COMPUTED_VALUE"""),90.93)</f>
        <v>90.93</v>
      </c>
      <c r="F1690" s="3">
        <f t="shared" si="1"/>
        <v>-0.0004398020961</v>
      </c>
    </row>
    <row r="1691">
      <c r="A1691" s="6"/>
      <c r="D1691" s="5">
        <f>IFERROR(__xludf.DUMMYFUNCTION("""COMPUTED_VALUE"""),44174.66666666667)</f>
        <v>44174.66667</v>
      </c>
      <c r="E1691" s="3">
        <f>IFERROR(__xludf.DUMMYFUNCTION("""COMPUTED_VALUE"""),89.21)</f>
        <v>89.21</v>
      </c>
      <c r="F1691" s="3">
        <f t="shared" si="1"/>
        <v>-0.01909683881</v>
      </c>
    </row>
    <row r="1692">
      <c r="A1692" s="6"/>
      <c r="D1692" s="5">
        <f>IFERROR(__xludf.DUMMYFUNCTION("""COMPUTED_VALUE"""),44175.66666666667)</f>
        <v>44175.66667</v>
      </c>
      <c r="E1692" s="3">
        <f>IFERROR(__xludf.DUMMYFUNCTION("""COMPUTED_VALUE"""),88.77)</f>
        <v>88.77</v>
      </c>
      <c r="F1692" s="3">
        <f t="shared" si="1"/>
        <v>-0.004944385845</v>
      </c>
    </row>
    <row r="1693">
      <c r="A1693" s="6"/>
      <c r="D1693" s="5">
        <f>IFERROR(__xludf.DUMMYFUNCTION("""COMPUTED_VALUE"""),44176.66666666667)</f>
        <v>44176.66667</v>
      </c>
      <c r="E1693" s="3">
        <f>IFERROR(__xludf.DUMMYFUNCTION("""COMPUTED_VALUE"""),89.09)</f>
        <v>89.09</v>
      </c>
      <c r="F1693" s="3">
        <f t="shared" si="1"/>
        <v>0.003598339652</v>
      </c>
    </row>
    <row r="1694">
      <c r="A1694" s="6"/>
      <c r="D1694" s="5">
        <f>IFERROR(__xludf.DUMMYFUNCTION("""COMPUTED_VALUE"""),44179.66666666667)</f>
        <v>44179.66667</v>
      </c>
      <c r="E1694" s="3">
        <f>IFERROR(__xludf.DUMMYFUNCTION("""COMPUTED_VALUE"""),88.0)</f>
        <v>88</v>
      </c>
      <c r="F1694" s="3">
        <f t="shared" si="1"/>
        <v>-0.01231028025</v>
      </c>
    </row>
    <row r="1695">
      <c r="A1695" s="6"/>
      <c r="D1695" s="5">
        <f>IFERROR(__xludf.DUMMYFUNCTION("""COMPUTED_VALUE"""),44180.66666666667)</f>
        <v>44180.66667</v>
      </c>
      <c r="E1695" s="3">
        <f>IFERROR(__xludf.DUMMYFUNCTION("""COMPUTED_VALUE"""),88.39)</f>
        <v>88.39</v>
      </c>
      <c r="F1695" s="3">
        <f t="shared" si="1"/>
        <v>0.004422026595</v>
      </c>
    </row>
    <row r="1696">
      <c r="A1696" s="6"/>
      <c r="D1696" s="5">
        <f>IFERROR(__xludf.DUMMYFUNCTION("""COMPUTED_VALUE"""),44181.66666666667)</f>
        <v>44181.66667</v>
      </c>
      <c r="E1696" s="3">
        <f>IFERROR(__xludf.DUMMYFUNCTION("""COMPUTED_VALUE"""),88.15)</f>
        <v>88.15</v>
      </c>
      <c r="F1696" s="3">
        <f t="shared" si="1"/>
        <v>-0.002718932229</v>
      </c>
    </row>
    <row r="1697">
      <c r="A1697" s="6"/>
      <c r="D1697" s="5">
        <f>IFERROR(__xludf.DUMMYFUNCTION("""COMPUTED_VALUE"""),44182.66666666667)</f>
        <v>44182.66667</v>
      </c>
      <c r="E1697" s="3">
        <f>IFERROR(__xludf.DUMMYFUNCTION("""COMPUTED_VALUE"""),87.4)</f>
        <v>87.4</v>
      </c>
      <c r="F1697" s="3">
        <f t="shared" si="1"/>
        <v>-0.008544626182</v>
      </c>
    </row>
    <row r="1698">
      <c r="A1698" s="6"/>
      <c r="D1698" s="5">
        <f>IFERROR(__xludf.DUMMYFUNCTION("""COMPUTED_VALUE"""),44183.66666666667)</f>
        <v>44183.66667</v>
      </c>
      <c r="E1698" s="3">
        <f>IFERROR(__xludf.DUMMYFUNCTION("""COMPUTED_VALUE"""),86.55)</f>
        <v>86.55</v>
      </c>
      <c r="F1698" s="3">
        <f t="shared" si="1"/>
        <v>-0.009773001039</v>
      </c>
    </row>
    <row r="1699">
      <c r="A1699" s="6"/>
      <c r="D1699" s="5">
        <f>IFERROR(__xludf.DUMMYFUNCTION("""COMPUTED_VALUE"""),44186.66666666667)</f>
        <v>44186.66667</v>
      </c>
      <c r="E1699" s="3">
        <f>IFERROR(__xludf.DUMMYFUNCTION("""COMPUTED_VALUE"""),86.97)</f>
        <v>86.97</v>
      </c>
      <c r="F1699" s="3">
        <f t="shared" si="1"/>
        <v>0.004840949979</v>
      </c>
    </row>
    <row r="1700">
      <c r="A1700" s="6"/>
      <c r="D1700" s="5">
        <f>IFERROR(__xludf.DUMMYFUNCTION("""COMPUTED_VALUE"""),44187.66666666667)</f>
        <v>44187.66667</v>
      </c>
      <c r="E1700" s="3">
        <f>IFERROR(__xludf.DUMMYFUNCTION("""COMPUTED_VALUE"""),86.18)</f>
        <v>86.18</v>
      </c>
      <c r="F1700" s="3">
        <f t="shared" si="1"/>
        <v>-0.009125099414</v>
      </c>
    </row>
    <row r="1701">
      <c r="A1701" s="6"/>
      <c r="D1701" s="5">
        <f>IFERROR(__xludf.DUMMYFUNCTION("""COMPUTED_VALUE"""),44188.66666666667)</f>
        <v>44188.66667</v>
      </c>
      <c r="E1701" s="3">
        <f>IFERROR(__xludf.DUMMYFUNCTION("""COMPUTED_VALUE"""),86.62)</f>
        <v>86.62</v>
      </c>
      <c r="F1701" s="3">
        <f t="shared" si="1"/>
        <v>0.005092603599</v>
      </c>
    </row>
    <row r="1702">
      <c r="A1702" s="6"/>
      <c r="D1702" s="5">
        <f>IFERROR(__xludf.DUMMYFUNCTION("""COMPUTED_VALUE"""),44189.54166666667)</f>
        <v>44189.54167</v>
      </c>
      <c r="E1702" s="3">
        <f>IFERROR(__xludf.DUMMYFUNCTION("""COMPUTED_VALUE"""),86.94)</f>
        <v>86.94</v>
      </c>
      <c r="F1702" s="3">
        <f t="shared" si="1"/>
        <v>0.003687489774</v>
      </c>
    </row>
    <row r="1703">
      <c r="A1703" s="6"/>
      <c r="D1703" s="5">
        <f>IFERROR(__xludf.DUMMYFUNCTION("""COMPUTED_VALUE"""),44193.66666666667)</f>
        <v>44193.66667</v>
      </c>
      <c r="E1703" s="3">
        <f>IFERROR(__xludf.DUMMYFUNCTION("""COMPUTED_VALUE"""),88.8)</f>
        <v>88.8</v>
      </c>
      <c r="F1703" s="3">
        <f t="shared" si="1"/>
        <v>0.02116842444</v>
      </c>
    </row>
    <row r="1704">
      <c r="A1704" s="6"/>
      <c r="D1704" s="5">
        <f>IFERROR(__xludf.DUMMYFUNCTION("""COMPUTED_VALUE"""),44194.66666666667)</f>
        <v>44194.66667</v>
      </c>
      <c r="E1704" s="3">
        <f>IFERROR(__xludf.DUMMYFUNCTION("""COMPUTED_VALUE"""),87.94)</f>
        <v>87.94</v>
      </c>
      <c r="F1704" s="3">
        <f t="shared" si="1"/>
        <v>-0.009731886245</v>
      </c>
    </row>
    <row r="1705">
      <c r="A1705" s="6"/>
      <c r="D1705" s="5">
        <f>IFERROR(__xludf.DUMMYFUNCTION("""COMPUTED_VALUE"""),44195.66666666667)</f>
        <v>44195.66667</v>
      </c>
      <c r="E1705" s="3">
        <f>IFERROR(__xludf.DUMMYFUNCTION("""COMPUTED_VALUE"""),86.98)</f>
        <v>86.98</v>
      </c>
      <c r="F1705" s="3">
        <f t="shared" si="1"/>
        <v>-0.01097655658</v>
      </c>
    </row>
    <row r="1706">
      <c r="A1706" s="6"/>
      <c r="D1706" s="5">
        <f>IFERROR(__xludf.DUMMYFUNCTION("""COMPUTED_VALUE"""),44196.66666666667)</f>
        <v>44196.66667</v>
      </c>
      <c r="E1706" s="3">
        <f>IFERROR(__xludf.DUMMYFUNCTION("""COMPUTED_VALUE"""),87.59)</f>
        <v>87.59</v>
      </c>
      <c r="F1706" s="3">
        <f t="shared" si="1"/>
        <v>0.006988629006</v>
      </c>
    </row>
    <row r="1707">
      <c r="A1707" s="6"/>
      <c r="D1707" s="5">
        <f>IFERROR(__xludf.DUMMYFUNCTION("""COMPUTED_VALUE"""),44200.66666666667)</f>
        <v>44200.66667</v>
      </c>
      <c r="E1707" s="3">
        <f>IFERROR(__xludf.DUMMYFUNCTION("""COMPUTED_VALUE"""),86.41)</f>
        <v>86.41</v>
      </c>
      <c r="F1707" s="3">
        <f t="shared" si="1"/>
        <v>-0.01356342632</v>
      </c>
    </row>
    <row r="1708">
      <c r="A1708" s="6"/>
      <c r="D1708" s="5">
        <f>IFERROR(__xludf.DUMMYFUNCTION("""COMPUTED_VALUE"""),44201.66666666667)</f>
        <v>44201.66667</v>
      </c>
      <c r="E1708" s="3">
        <f>IFERROR(__xludf.DUMMYFUNCTION("""COMPUTED_VALUE"""),87.05)</f>
        <v>87.05</v>
      </c>
      <c r="F1708" s="3">
        <f t="shared" si="1"/>
        <v>0.007379256361</v>
      </c>
    </row>
    <row r="1709">
      <c r="A1709" s="6"/>
      <c r="D1709" s="5">
        <f>IFERROR(__xludf.DUMMYFUNCTION("""COMPUTED_VALUE"""),44202.66666666667)</f>
        <v>44202.66667</v>
      </c>
      <c r="E1709" s="3">
        <f>IFERROR(__xludf.DUMMYFUNCTION("""COMPUTED_VALUE"""),86.76)</f>
        <v>86.76</v>
      </c>
      <c r="F1709" s="3">
        <f t="shared" si="1"/>
        <v>-0.003336980256</v>
      </c>
    </row>
    <row r="1710">
      <c r="A1710" s="6"/>
      <c r="D1710" s="5">
        <f>IFERROR(__xludf.DUMMYFUNCTION("""COMPUTED_VALUE"""),44203.66666666667)</f>
        <v>44203.66667</v>
      </c>
      <c r="E1710" s="3">
        <f>IFERROR(__xludf.DUMMYFUNCTION("""COMPUTED_VALUE"""),89.36)</f>
        <v>89.36</v>
      </c>
      <c r="F1710" s="3">
        <f t="shared" si="1"/>
        <v>0.0295274688</v>
      </c>
    </row>
    <row r="1711">
      <c r="A1711" s="6"/>
      <c r="D1711" s="5">
        <f>IFERROR(__xludf.DUMMYFUNCTION("""COMPUTED_VALUE"""),44204.66666666667)</f>
        <v>44204.66667</v>
      </c>
      <c r="E1711" s="3">
        <f>IFERROR(__xludf.DUMMYFUNCTION("""COMPUTED_VALUE"""),90.36)</f>
        <v>90.36</v>
      </c>
      <c r="F1711" s="3">
        <f t="shared" si="1"/>
        <v>0.01112853684</v>
      </c>
    </row>
    <row r="1712">
      <c r="A1712" s="6"/>
      <c r="D1712" s="5">
        <f>IFERROR(__xludf.DUMMYFUNCTION("""COMPUTED_VALUE"""),44207.66666666667)</f>
        <v>44207.66667</v>
      </c>
      <c r="E1712" s="3">
        <f>IFERROR(__xludf.DUMMYFUNCTION("""COMPUTED_VALUE"""),88.34)</f>
        <v>88.34</v>
      </c>
      <c r="F1712" s="3">
        <f t="shared" si="1"/>
        <v>-0.02260868543</v>
      </c>
    </row>
    <row r="1713">
      <c r="A1713" s="6"/>
      <c r="D1713" s="5">
        <f>IFERROR(__xludf.DUMMYFUNCTION("""COMPUTED_VALUE"""),44208.66666666667)</f>
        <v>44208.66667</v>
      </c>
      <c r="E1713" s="3">
        <f>IFERROR(__xludf.DUMMYFUNCTION("""COMPUTED_VALUE"""),87.33)</f>
        <v>87.33</v>
      </c>
      <c r="F1713" s="3">
        <f t="shared" si="1"/>
        <v>-0.01149895974</v>
      </c>
    </row>
    <row r="1714">
      <c r="A1714" s="6"/>
      <c r="D1714" s="5">
        <f>IFERROR(__xludf.DUMMYFUNCTION("""COMPUTED_VALUE"""),44209.66666666667)</f>
        <v>44209.66667</v>
      </c>
      <c r="E1714" s="3">
        <f>IFERROR(__xludf.DUMMYFUNCTION("""COMPUTED_VALUE"""),87.72)</f>
        <v>87.72</v>
      </c>
      <c r="F1714" s="3">
        <f t="shared" si="1"/>
        <v>0.004455877124</v>
      </c>
    </row>
    <row r="1715">
      <c r="A1715" s="6"/>
      <c r="D1715" s="5">
        <f>IFERROR(__xludf.DUMMYFUNCTION("""COMPUTED_VALUE"""),44210.66666666667)</f>
        <v>44210.66667</v>
      </c>
      <c r="E1715" s="3">
        <f>IFERROR(__xludf.DUMMYFUNCTION("""COMPUTED_VALUE"""),87.01)</f>
        <v>87.01</v>
      </c>
      <c r="F1715" s="3">
        <f t="shared" si="1"/>
        <v>-0.008126868972</v>
      </c>
    </row>
    <row r="1716">
      <c r="A1716" s="6"/>
      <c r="D1716" s="5">
        <f>IFERROR(__xludf.DUMMYFUNCTION("""COMPUTED_VALUE"""),44211.66666666667)</f>
        <v>44211.66667</v>
      </c>
      <c r="E1716" s="3">
        <f>IFERROR(__xludf.DUMMYFUNCTION("""COMPUTED_VALUE"""),86.81)</f>
        <v>86.81</v>
      </c>
      <c r="F1716" s="3">
        <f t="shared" si="1"/>
        <v>-0.002301232174</v>
      </c>
    </row>
    <row r="1717">
      <c r="A1717" s="6"/>
      <c r="D1717" s="5">
        <f>IFERROR(__xludf.DUMMYFUNCTION("""COMPUTED_VALUE"""),44215.66666666667)</f>
        <v>44215.66667</v>
      </c>
      <c r="E1717" s="3">
        <f>IFERROR(__xludf.DUMMYFUNCTION("""COMPUTED_VALUE"""),89.54)</f>
        <v>89.54</v>
      </c>
      <c r="F1717" s="3">
        <f t="shared" si="1"/>
        <v>0.03096363041</v>
      </c>
    </row>
    <row r="1718">
      <c r="A1718" s="6"/>
      <c r="D1718" s="5">
        <f>IFERROR(__xludf.DUMMYFUNCTION("""COMPUTED_VALUE"""),44216.66666666667)</f>
        <v>44216.66667</v>
      </c>
      <c r="E1718" s="3">
        <f>IFERROR(__xludf.DUMMYFUNCTION("""COMPUTED_VALUE"""),94.35)</f>
        <v>94.35</v>
      </c>
      <c r="F1718" s="3">
        <f t="shared" si="1"/>
        <v>0.052325819</v>
      </c>
    </row>
    <row r="1719">
      <c r="A1719" s="6"/>
      <c r="D1719" s="5">
        <f>IFERROR(__xludf.DUMMYFUNCTION("""COMPUTED_VALUE"""),44217.66666666667)</f>
        <v>44217.66667</v>
      </c>
      <c r="E1719" s="3">
        <f>IFERROR(__xludf.DUMMYFUNCTION("""COMPUTED_VALUE"""),94.56)</f>
        <v>94.56</v>
      </c>
      <c r="F1719" s="3">
        <f t="shared" si="1"/>
        <v>0.002223281843</v>
      </c>
    </row>
    <row r="1720">
      <c r="A1720" s="6"/>
      <c r="D1720" s="5">
        <f>IFERROR(__xludf.DUMMYFUNCTION("""COMPUTED_VALUE"""),44218.66666666667)</f>
        <v>44218.66667</v>
      </c>
      <c r="E1720" s="3">
        <f>IFERROR(__xludf.DUMMYFUNCTION("""COMPUTED_VALUE"""),95.05)</f>
        <v>95.05</v>
      </c>
      <c r="F1720" s="3">
        <f t="shared" si="1"/>
        <v>0.005168515277</v>
      </c>
    </row>
    <row r="1721">
      <c r="A1721" s="6"/>
      <c r="D1721" s="5">
        <f>IFERROR(__xludf.DUMMYFUNCTION("""COMPUTED_VALUE"""),44221.66666666667)</f>
        <v>44221.66667</v>
      </c>
      <c r="E1721" s="3">
        <f>IFERROR(__xludf.DUMMYFUNCTION("""COMPUTED_VALUE"""),94.97)</f>
        <v>94.97</v>
      </c>
      <c r="F1721" s="3">
        <f t="shared" si="1"/>
        <v>-0.0008420166796</v>
      </c>
    </row>
    <row r="1722">
      <c r="A1722" s="6"/>
      <c r="D1722" s="5">
        <f>IFERROR(__xludf.DUMMYFUNCTION("""COMPUTED_VALUE"""),44222.66666666667)</f>
        <v>44222.66667</v>
      </c>
      <c r="E1722" s="3">
        <f>IFERROR(__xludf.DUMMYFUNCTION("""COMPUTED_VALUE"""),95.86)</f>
        <v>95.86</v>
      </c>
      <c r="F1722" s="3">
        <f t="shared" si="1"/>
        <v>0.009327741477</v>
      </c>
    </row>
    <row r="1723">
      <c r="A1723" s="6"/>
      <c r="D1723" s="5">
        <f>IFERROR(__xludf.DUMMYFUNCTION("""COMPUTED_VALUE"""),44223.66666666667)</f>
        <v>44223.66667</v>
      </c>
      <c r="E1723" s="3">
        <f>IFERROR(__xludf.DUMMYFUNCTION("""COMPUTED_VALUE"""),91.54)</f>
        <v>91.54</v>
      </c>
      <c r="F1723" s="3">
        <f t="shared" si="1"/>
        <v>-0.04611275851</v>
      </c>
    </row>
    <row r="1724">
      <c r="A1724" s="6"/>
      <c r="D1724" s="5">
        <f>IFERROR(__xludf.DUMMYFUNCTION("""COMPUTED_VALUE"""),44224.66666666667)</f>
        <v>44224.66667</v>
      </c>
      <c r="E1724" s="3">
        <f>IFERROR(__xludf.DUMMYFUNCTION("""COMPUTED_VALUE"""),93.16)</f>
        <v>93.16</v>
      </c>
      <c r="F1724" s="3">
        <f t="shared" si="1"/>
        <v>0.01754240979</v>
      </c>
    </row>
    <row r="1725">
      <c r="A1725" s="6"/>
      <c r="D1725" s="5">
        <f>IFERROR(__xludf.DUMMYFUNCTION("""COMPUTED_VALUE"""),44225.66666666667)</f>
        <v>44225.66667</v>
      </c>
      <c r="E1725" s="3">
        <f>IFERROR(__xludf.DUMMYFUNCTION("""COMPUTED_VALUE"""),91.79)</f>
        <v>91.79</v>
      </c>
      <c r="F1725" s="3">
        <f t="shared" si="1"/>
        <v>-0.01481508579</v>
      </c>
    </row>
    <row r="1726">
      <c r="A1726" s="6"/>
      <c r="D1726" s="5">
        <f>IFERROR(__xludf.DUMMYFUNCTION("""COMPUTED_VALUE"""),44228.66666666667)</f>
        <v>44228.66667</v>
      </c>
      <c r="E1726" s="3">
        <f>IFERROR(__xludf.DUMMYFUNCTION("""COMPUTED_VALUE"""),95.07)</f>
        <v>95.07</v>
      </c>
      <c r="F1726" s="3">
        <f t="shared" si="1"/>
        <v>0.03511010314</v>
      </c>
    </row>
    <row r="1727">
      <c r="A1727" s="6"/>
      <c r="D1727" s="5">
        <f>IFERROR(__xludf.DUMMYFUNCTION("""COMPUTED_VALUE"""),44229.66666666667)</f>
        <v>44229.66667</v>
      </c>
      <c r="E1727" s="3">
        <f>IFERROR(__xludf.DUMMYFUNCTION("""COMPUTED_VALUE"""),96.38)</f>
        <v>96.38</v>
      </c>
      <c r="F1727" s="3">
        <f t="shared" si="1"/>
        <v>0.01368524884</v>
      </c>
    </row>
    <row r="1728">
      <c r="A1728" s="6"/>
      <c r="D1728" s="5">
        <f>IFERROR(__xludf.DUMMYFUNCTION("""COMPUTED_VALUE"""),44230.66666666667)</f>
        <v>44230.66667</v>
      </c>
      <c r="E1728" s="3">
        <f>IFERROR(__xludf.DUMMYFUNCTION("""COMPUTED_VALUE"""),103.5)</f>
        <v>103.5</v>
      </c>
      <c r="F1728" s="3">
        <f t="shared" si="1"/>
        <v>0.07127290149</v>
      </c>
    </row>
    <row r="1729">
      <c r="A1729" s="6"/>
      <c r="D1729" s="5">
        <f>IFERROR(__xludf.DUMMYFUNCTION("""COMPUTED_VALUE"""),44231.66666666667)</f>
        <v>44231.66667</v>
      </c>
      <c r="E1729" s="3">
        <f>IFERROR(__xludf.DUMMYFUNCTION("""COMPUTED_VALUE"""),103.12)</f>
        <v>103.12</v>
      </c>
      <c r="F1729" s="3">
        <f t="shared" si="1"/>
        <v>-0.003678254074</v>
      </c>
    </row>
    <row r="1730">
      <c r="A1730" s="6"/>
      <c r="D1730" s="5">
        <f>IFERROR(__xludf.DUMMYFUNCTION("""COMPUTED_VALUE"""),44232.66666666667)</f>
        <v>44232.66667</v>
      </c>
      <c r="E1730" s="3">
        <f>IFERROR(__xludf.DUMMYFUNCTION("""COMPUTED_VALUE"""),104.9)</f>
        <v>104.9</v>
      </c>
      <c r="F1730" s="3">
        <f t="shared" si="1"/>
        <v>0.01711415677</v>
      </c>
    </row>
    <row r="1731">
      <c r="A1731" s="6"/>
      <c r="D1731" s="5">
        <f>IFERROR(__xludf.DUMMYFUNCTION("""COMPUTED_VALUE"""),44235.66666666667)</f>
        <v>44235.66667</v>
      </c>
      <c r="E1731" s="3">
        <f>IFERROR(__xludf.DUMMYFUNCTION("""COMPUTED_VALUE"""),104.65)</f>
        <v>104.65</v>
      </c>
      <c r="F1731" s="3">
        <f t="shared" si="1"/>
        <v>-0.00238606651</v>
      </c>
    </row>
    <row r="1732">
      <c r="A1732" s="6"/>
      <c r="D1732" s="5">
        <f>IFERROR(__xludf.DUMMYFUNCTION("""COMPUTED_VALUE"""),44236.66666666667)</f>
        <v>44236.66667</v>
      </c>
      <c r="E1732" s="3">
        <f>IFERROR(__xludf.DUMMYFUNCTION("""COMPUTED_VALUE"""),104.18)</f>
        <v>104.18</v>
      </c>
      <c r="F1732" s="3">
        <f t="shared" si="1"/>
        <v>-0.004501276575</v>
      </c>
    </row>
    <row r="1733">
      <c r="A1733" s="6"/>
      <c r="D1733" s="5">
        <f>IFERROR(__xludf.DUMMYFUNCTION("""COMPUTED_VALUE"""),44237.66666666667)</f>
        <v>44237.66667</v>
      </c>
      <c r="E1733" s="3">
        <f>IFERROR(__xludf.DUMMYFUNCTION("""COMPUTED_VALUE"""),104.77)</f>
        <v>104.77</v>
      </c>
      <c r="F1733" s="3">
        <f t="shared" si="1"/>
        <v>0.005647299048</v>
      </c>
    </row>
    <row r="1734">
      <c r="A1734" s="6"/>
      <c r="D1734" s="5">
        <f>IFERROR(__xludf.DUMMYFUNCTION("""COMPUTED_VALUE"""),44238.66666666667)</f>
        <v>44238.66667</v>
      </c>
      <c r="E1734" s="3">
        <f>IFERROR(__xludf.DUMMYFUNCTION("""COMPUTED_VALUE"""),104.79)</f>
        <v>104.79</v>
      </c>
      <c r="F1734" s="3">
        <f t="shared" si="1"/>
        <v>0.000190876122</v>
      </c>
    </row>
    <row r="1735">
      <c r="A1735" s="6"/>
      <c r="D1735" s="5">
        <f>IFERROR(__xludf.DUMMYFUNCTION("""COMPUTED_VALUE"""),44239.66666666667)</f>
        <v>44239.66667</v>
      </c>
      <c r="E1735" s="3">
        <f>IFERROR(__xludf.DUMMYFUNCTION("""COMPUTED_VALUE"""),105.21)</f>
        <v>105.21</v>
      </c>
      <c r="F1735" s="3">
        <f t="shared" si="1"/>
        <v>0.004000005333</v>
      </c>
    </row>
    <row r="1736">
      <c r="A1736" s="6"/>
      <c r="D1736" s="5">
        <f>IFERROR(__xludf.DUMMYFUNCTION("""COMPUTED_VALUE"""),44243.66666666667)</f>
        <v>44243.66667</v>
      </c>
      <c r="E1736" s="3">
        <f>IFERROR(__xludf.DUMMYFUNCTION("""COMPUTED_VALUE"""),106.1)</f>
        <v>106.1</v>
      </c>
      <c r="F1736" s="3">
        <f t="shared" si="1"/>
        <v>0.0084236928</v>
      </c>
    </row>
    <row r="1737">
      <c r="A1737" s="6"/>
      <c r="D1737" s="5">
        <f>IFERROR(__xludf.DUMMYFUNCTION("""COMPUTED_VALUE"""),44244.66666666667)</f>
        <v>44244.66667</v>
      </c>
      <c r="E1737" s="3">
        <f>IFERROR(__xludf.DUMMYFUNCTION("""COMPUTED_VALUE"""),106.42)</f>
        <v>106.42</v>
      </c>
      <c r="F1737" s="3">
        <f t="shared" si="1"/>
        <v>0.003011483548</v>
      </c>
    </row>
    <row r="1738">
      <c r="A1738" s="6"/>
      <c r="D1738" s="5">
        <f>IFERROR(__xludf.DUMMYFUNCTION("""COMPUTED_VALUE"""),44245.66666666667)</f>
        <v>44245.66667</v>
      </c>
      <c r="E1738" s="3">
        <f>IFERROR(__xludf.DUMMYFUNCTION("""COMPUTED_VALUE"""),105.86)</f>
        <v>105.86</v>
      </c>
      <c r="F1738" s="3">
        <f t="shared" si="1"/>
        <v>-0.005276062738</v>
      </c>
    </row>
    <row r="1739">
      <c r="A1739" s="6"/>
      <c r="D1739" s="5">
        <f>IFERROR(__xludf.DUMMYFUNCTION("""COMPUTED_VALUE"""),44246.66666666667)</f>
        <v>44246.66667</v>
      </c>
      <c r="E1739" s="3">
        <f>IFERROR(__xludf.DUMMYFUNCTION("""COMPUTED_VALUE"""),105.06)</f>
        <v>105.06</v>
      </c>
      <c r="F1739" s="3">
        <f t="shared" si="1"/>
        <v>-0.007585850904</v>
      </c>
    </row>
    <row r="1740">
      <c r="A1740" s="6"/>
      <c r="D1740" s="5">
        <f>IFERROR(__xludf.DUMMYFUNCTION("""COMPUTED_VALUE"""),44249.66666666667)</f>
        <v>44249.66667</v>
      </c>
      <c r="E1740" s="3">
        <f>IFERROR(__xludf.DUMMYFUNCTION("""COMPUTED_VALUE"""),103.24)</f>
        <v>103.24</v>
      </c>
      <c r="F1740" s="3">
        <f t="shared" si="1"/>
        <v>-0.01747524068</v>
      </c>
    </row>
    <row r="1741">
      <c r="A1741" s="6"/>
      <c r="D1741" s="5">
        <f>IFERROR(__xludf.DUMMYFUNCTION("""COMPUTED_VALUE"""),44250.66666666667)</f>
        <v>44250.66667</v>
      </c>
      <c r="E1741" s="3">
        <f>IFERROR(__xludf.DUMMYFUNCTION("""COMPUTED_VALUE"""),103.54)</f>
        <v>103.54</v>
      </c>
      <c r="F1741" s="3">
        <f t="shared" si="1"/>
        <v>0.002901636623</v>
      </c>
    </row>
    <row r="1742">
      <c r="A1742" s="6"/>
      <c r="D1742" s="5">
        <f>IFERROR(__xludf.DUMMYFUNCTION("""COMPUTED_VALUE"""),44251.66666666667)</f>
        <v>44251.66667</v>
      </c>
      <c r="E1742" s="3">
        <f>IFERROR(__xludf.DUMMYFUNCTION("""COMPUTED_VALUE"""),104.76)</f>
        <v>104.76</v>
      </c>
      <c r="F1742" s="3">
        <f t="shared" si="1"/>
        <v>0.01171400817</v>
      </c>
    </row>
    <row r="1743">
      <c r="A1743" s="6"/>
      <c r="D1743" s="5">
        <f>IFERROR(__xludf.DUMMYFUNCTION("""COMPUTED_VALUE"""),44252.66666666667)</f>
        <v>44252.66667</v>
      </c>
      <c r="E1743" s="3">
        <f>IFERROR(__xludf.DUMMYFUNCTION("""COMPUTED_VALUE"""),101.57)</f>
        <v>101.57</v>
      </c>
      <c r="F1743" s="3">
        <f t="shared" si="1"/>
        <v>-0.03092380369</v>
      </c>
    </row>
    <row r="1744">
      <c r="A1744" s="6"/>
      <c r="D1744" s="5">
        <f>IFERROR(__xludf.DUMMYFUNCTION("""COMPUTED_VALUE"""),44253.66666666667)</f>
        <v>44253.66667</v>
      </c>
      <c r="E1744" s="3">
        <f>IFERROR(__xludf.DUMMYFUNCTION("""COMPUTED_VALUE"""),101.84)</f>
        <v>101.84</v>
      </c>
      <c r="F1744" s="3">
        <f t="shared" si="1"/>
        <v>0.002654738298</v>
      </c>
    </row>
    <row r="1745">
      <c r="A1745" s="6"/>
      <c r="D1745" s="5">
        <f>IFERROR(__xludf.DUMMYFUNCTION("""COMPUTED_VALUE"""),44256.66666666667)</f>
        <v>44256.66667</v>
      </c>
      <c r="E1745" s="3">
        <f>IFERROR(__xludf.DUMMYFUNCTION("""COMPUTED_VALUE"""),104.08)</f>
        <v>104.08</v>
      </c>
      <c r="F1745" s="3">
        <f t="shared" si="1"/>
        <v>0.02175687996</v>
      </c>
    </row>
    <row r="1746">
      <c r="A1746" s="6"/>
      <c r="D1746" s="5">
        <f>IFERROR(__xludf.DUMMYFUNCTION("""COMPUTED_VALUE"""),44257.66666666667)</f>
        <v>44257.66667</v>
      </c>
      <c r="E1746" s="3">
        <f>IFERROR(__xludf.DUMMYFUNCTION("""COMPUTED_VALUE"""),103.79)</f>
        <v>103.79</v>
      </c>
      <c r="F1746" s="3">
        <f t="shared" si="1"/>
        <v>-0.002790207227</v>
      </c>
    </row>
    <row r="1747">
      <c r="A1747" s="6"/>
      <c r="D1747" s="5">
        <f>IFERROR(__xludf.DUMMYFUNCTION("""COMPUTED_VALUE"""),44258.66666666667)</f>
        <v>44258.66667</v>
      </c>
      <c r="E1747" s="3">
        <f>IFERROR(__xludf.DUMMYFUNCTION("""COMPUTED_VALUE"""),101.34)</f>
        <v>101.34</v>
      </c>
      <c r="F1747" s="3">
        <f t="shared" si="1"/>
        <v>-0.02388842693</v>
      </c>
    </row>
    <row r="1748">
      <c r="A1748" s="6"/>
      <c r="D1748" s="5">
        <f>IFERROR(__xludf.DUMMYFUNCTION("""COMPUTED_VALUE"""),44259.66666666667)</f>
        <v>44259.66667</v>
      </c>
      <c r="E1748" s="3">
        <f>IFERROR(__xludf.DUMMYFUNCTION("""COMPUTED_VALUE"""),102.45)</f>
        <v>102.45</v>
      </c>
      <c r="F1748" s="3">
        <f t="shared" si="1"/>
        <v>0.01089367464</v>
      </c>
    </row>
    <row r="1749">
      <c r="A1749" s="6"/>
      <c r="D1749" s="5">
        <f>IFERROR(__xludf.DUMMYFUNCTION("""COMPUTED_VALUE"""),44260.66666666667)</f>
        <v>44260.66667</v>
      </c>
      <c r="E1749" s="3">
        <f>IFERROR(__xludf.DUMMYFUNCTION("""COMPUTED_VALUE"""),105.43)</f>
        <v>105.43</v>
      </c>
      <c r="F1749" s="3">
        <f t="shared" si="1"/>
        <v>0.0286723509</v>
      </c>
    </row>
    <row r="1750">
      <c r="A1750" s="6"/>
      <c r="D1750" s="5">
        <f>IFERROR(__xludf.DUMMYFUNCTION("""COMPUTED_VALUE"""),44263.66666666667)</f>
        <v>44263.66667</v>
      </c>
      <c r="E1750" s="3">
        <f>IFERROR(__xludf.DUMMYFUNCTION("""COMPUTED_VALUE"""),101.21)</f>
        <v>101.21</v>
      </c>
      <c r="F1750" s="3">
        <f t="shared" si="1"/>
        <v>-0.04084965939</v>
      </c>
    </row>
    <row r="1751">
      <c r="A1751" s="6"/>
      <c r="D1751" s="5">
        <f>IFERROR(__xludf.DUMMYFUNCTION("""COMPUTED_VALUE"""),44264.66666666667)</f>
        <v>44264.66667</v>
      </c>
      <c r="E1751" s="3">
        <f>IFERROR(__xludf.DUMMYFUNCTION("""COMPUTED_VALUE"""),102.64)</f>
        <v>102.64</v>
      </c>
      <c r="F1751" s="3">
        <f t="shared" si="1"/>
        <v>0.01403015411</v>
      </c>
    </row>
    <row r="1752">
      <c r="A1752" s="6"/>
      <c r="D1752" s="5">
        <f>IFERROR(__xludf.DUMMYFUNCTION("""COMPUTED_VALUE"""),44265.66666666667)</f>
        <v>44265.66667</v>
      </c>
      <c r="E1752" s="3">
        <f>IFERROR(__xludf.DUMMYFUNCTION("""COMPUTED_VALUE"""),102.75)</f>
        <v>102.75</v>
      </c>
      <c r="F1752" s="3">
        <f t="shared" si="1"/>
        <v>0.001071133069</v>
      </c>
    </row>
    <row r="1753">
      <c r="A1753" s="6"/>
      <c r="D1753" s="5">
        <f>IFERROR(__xludf.DUMMYFUNCTION("""COMPUTED_VALUE"""),44266.66666666667)</f>
        <v>44266.66667</v>
      </c>
      <c r="E1753" s="3">
        <f>IFERROR(__xludf.DUMMYFUNCTION("""COMPUTED_VALUE"""),105.74)</f>
        <v>105.74</v>
      </c>
      <c r="F1753" s="3">
        <f t="shared" si="1"/>
        <v>0.02868439743</v>
      </c>
    </row>
    <row r="1754">
      <c r="A1754" s="6"/>
      <c r="D1754" s="5">
        <f>IFERROR(__xludf.DUMMYFUNCTION("""COMPUTED_VALUE"""),44267.66666666667)</f>
        <v>44267.66667</v>
      </c>
      <c r="E1754" s="3">
        <f>IFERROR(__xludf.DUMMYFUNCTION("""COMPUTED_VALUE"""),103.1)</f>
        <v>103.1</v>
      </c>
      <c r="F1754" s="3">
        <f t="shared" si="1"/>
        <v>-0.02528385978</v>
      </c>
    </row>
    <row r="1755">
      <c r="A1755" s="6"/>
      <c r="D1755" s="5">
        <f>IFERROR(__xludf.DUMMYFUNCTION("""COMPUTED_VALUE"""),44270.66666666667)</f>
        <v>44270.66667</v>
      </c>
      <c r="E1755" s="3">
        <f>IFERROR(__xludf.DUMMYFUNCTION("""COMPUTED_VALUE"""),103.32)</f>
        <v>103.32</v>
      </c>
      <c r="F1755" s="3">
        <f t="shared" si="1"/>
        <v>0.002131577205</v>
      </c>
    </row>
    <row r="1756">
      <c r="A1756" s="6"/>
      <c r="D1756" s="5">
        <f>IFERROR(__xludf.DUMMYFUNCTION("""COMPUTED_VALUE"""),44271.66666666667)</f>
        <v>44271.66667</v>
      </c>
      <c r="E1756" s="3">
        <f>IFERROR(__xludf.DUMMYFUNCTION("""COMPUTED_VALUE"""),104.63)</f>
        <v>104.63</v>
      </c>
      <c r="F1756" s="3">
        <f t="shared" si="1"/>
        <v>0.01259934917</v>
      </c>
    </row>
    <row r="1757">
      <c r="A1757" s="6"/>
      <c r="D1757" s="5">
        <f>IFERROR(__xludf.DUMMYFUNCTION("""COMPUTED_VALUE"""),44272.66666666667)</f>
        <v>44272.66667</v>
      </c>
      <c r="E1757" s="3">
        <f>IFERROR(__xludf.DUMMYFUNCTION("""COMPUTED_VALUE"""),104.55)</f>
        <v>104.55</v>
      </c>
      <c r="F1757" s="3">
        <f t="shared" si="1"/>
        <v>-0.0007648915183</v>
      </c>
    </row>
    <row r="1758">
      <c r="A1758" s="6"/>
      <c r="D1758" s="5">
        <f>IFERROR(__xludf.DUMMYFUNCTION("""COMPUTED_VALUE"""),44273.66666666667)</f>
        <v>44273.66667</v>
      </c>
      <c r="E1758" s="3">
        <f>IFERROR(__xludf.DUMMYFUNCTION("""COMPUTED_VALUE"""),101.81)</f>
        <v>101.81</v>
      </c>
      <c r="F1758" s="3">
        <f t="shared" si="1"/>
        <v>-0.02655709476</v>
      </c>
    </row>
    <row r="1759">
      <c r="A1759" s="6"/>
      <c r="D1759" s="5">
        <f>IFERROR(__xludf.DUMMYFUNCTION("""COMPUTED_VALUE"""),44274.66666666667)</f>
        <v>44274.66667</v>
      </c>
      <c r="E1759" s="3">
        <f>IFERROR(__xludf.DUMMYFUNCTION("""COMPUTED_VALUE"""),102.16)</f>
        <v>102.16</v>
      </c>
      <c r="F1759" s="3">
        <f t="shared" si="1"/>
        <v>0.003431880605</v>
      </c>
    </row>
    <row r="1760">
      <c r="A1760" s="6"/>
      <c r="D1760" s="5">
        <f>IFERROR(__xludf.DUMMYFUNCTION("""COMPUTED_VALUE"""),44277.66666666667)</f>
        <v>44277.66667</v>
      </c>
      <c r="E1760" s="3">
        <f>IFERROR(__xludf.DUMMYFUNCTION("""COMPUTED_VALUE"""),101.93)</f>
        <v>101.93</v>
      </c>
      <c r="F1760" s="3">
        <f t="shared" si="1"/>
        <v>-0.002253908544</v>
      </c>
    </row>
    <row r="1761">
      <c r="A1761" s="6"/>
      <c r="D1761" s="5">
        <f>IFERROR(__xludf.DUMMYFUNCTION("""COMPUTED_VALUE"""),44278.66666666667)</f>
        <v>44278.66667</v>
      </c>
      <c r="E1761" s="3">
        <f>IFERROR(__xludf.DUMMYFUNCTION("""COMPUTED_VALUE"""),102.65)</f>
        <v>102.65</v>
      </c>
      <c r="F1761" s="3">
        <f t="shared" si="1"/>
        <v>0.007038840285</v>
      </c>
    </row>
    <row r="1762">
      <c r="A1762" s="6"/>
      <c r="D1762" s="5">
        <f>IFERROR(__xludf.DUMMYFUNCTION("""COMPUTED_VALUE"""),44279.66666666667)</f>
        <v>44279.66667</v>
      </c>
      <c r="E1762" s="3">
        <f>IFERROR(__xludf.DUMMYFUNCTION("""COMPUTED_VALUE"""),102.25)</f>
        <v>102.25</v>
      </c>
      <c r="F1762" s="3">
        <f t="shared" si="1"/>
        <v>-0.003904348542</v>
      </c>
    </row>
    <row r="1763">
      <c r="A1763" s="6"/>
      <c r="D1763" s="5">
        <f>IFERROR(__xludf.DUMMYFUNCTION("""COMPUTED_VALUE"""),44280.66666666667)</f>
        <v>44280.66667</v>
      </c>
      <c r="E1763" s="3">
        <f>IFERROR(__xludf.DUMMYFUNCTION("""COMPUTED_VALUE"""),102.22)</f>
        <v>102.22</v>
      </c>
      <c r="F1763" s="3">
        <f t="shared" si="1"/>
        <v>-0.0002934415828</v>
      </c>
    </row>
    <row r="1764">
      <c r="A1764" s="6"/>
      <c r="D1764" s="5">
        <f>IFERROR(__xludf.DUMMYFUNCTION("""COMPUTED_VALUE"""),44281.66666666667)</f>
        <v>44281.66667</v>
      </c>
      <c r="E1764" s="3">
        <f>IFERROR(__xludf.DUMMYFUNCTION("""COMPUTED_VALUE"""),101.78)</f>
        <v>101.78</v>
      </c>
      <c r="F1764" s="3">
        <f t="shared" si="1"/>
        <v>-0.004313732179</v>
      </c>
    </row>
    <row r="1765">
      <c r="A1765" s="6"/>
      <c r="D1765" s="5">
        <f>IFERROR(__xludf.DUMMYFUNCTION("""COMPUTED_VALUE"""),44284.66666666667)</f>
        <v>44284.66667</v>
      </c>
      <c r="E1765" s="3">
        <f>IFERROR(__xludf.DUMMYFUNCTION("""COMPUTED_VALUE"""),102.8)</f>
        <v>102.8</v>
      </c>
      <c r="F1765" s="3">
        <f t="shared" si="1"/>
        <v>0.00997173186</v>
      </c>
    </row>
    <row r="1766">
      <c r="A1766" s="6"/>
      <c r="D1766" s="5">
        <f>IFERROR(__xludf.DUMMYFUNCTION("""COMPUTED_VALUE"""),44285.66666666667)</f>
        <v>44285.66667</v>
      </c>
      <c r="E1766" s="3">
        <f>IFERROR(__xludf.DUMMYFUNCTION("""COMPUTED_VALUE"""),102.78)</f>
        <v>102.78</v>
      </c>
      <c r="F1766" s="3">
        <f t="shared" si="1"/>
        <v>-0.000194571457</v>
      </c>
    </row>
    <row r="1767">
      <c r="A1767" s="6"/>
      <c r="D1767" s="5">
        <f>IFERROR(__xludf.DUMMYFUNCTION("""COMPUTED_VALUE"""),44286.66666666667)</f>
        <v>44286.66667</v>
      </c>
      <c r="E1767" s="3">
        <f>IFERROR(__xludf.DUMMYFUNCTION("""COMPUTED_VALUE"""),103.43)</f>
        <v>103.43</v>
      </c>
      <c r="F1767" s="3">
        <f t="shared" si="1"/>
        <v>0.006304273826</v>
      </c>
    </row>
    <row r="1768">
      <c r="A1768" s="6"/>
      <c r="D1768" s="5">
        <f>IFERROR(__xludf.DUMMYFUNCTION("""COMPUTED_VALUE"""),44287.66666666667)</f>
        <v>44287.66667</v>
      </c>
      <c r="E1768" s="3">
        <f>IFERROR(__xludf.DUMMYFUNCTION("""COMPUTED_VALUE"""),106.89)</f>
        <v>106.89</v>
      </c>
      <c r="F1768" s="3">
        <f t="shared" si="1"/>
        <v>0.0329052129</v>
      </c>
    </row>
    <row r="1769">
      <c r="A1769" s="6"/>
      <c r="D1769" s="5">
        <f>IFERROR(__xludf.DUMMYFUNCTION("""COMPUTED_VALUE"""),44291.66666666667)</f>
        <v>44291.66667</v>
      </c>
      <c r="E1769" s="3">
        <f>IFERROR(__xludf.DUMMYFUNCTION("""COMPUTED_VALUE"""),111.28)</f>
        <v>111.28</v>
      </c>
      <c r="F1769" s="3">
        <f t="shared" si="1"/>
        <v>0.04024927933</v>
      </c>
    </row>
    <row r="1770">
      <c r="A1770" s="6"/>
      <c r="D1770" s="5">
        <f>IFERROR(__xludf.DUMMYFUNCTION("""COMPUTED_VALUE"""),44292.66666666667)</f>
        <v>44292.66667</v>
      </c>
      <c r="E1770" s="3">
        <f>IFERROR(__xludf.DUMMYFUNCTION("""COMPUTED_VALUE"""),111.24)</f>
        <v>111.24</v>
      </c>
      <c r="F1770" s="3">
        <f t="shared" si="1"/>
        <v>-0.0003595182494</v>
      </c>
    </row>
    <row r="1771">
      <c r="A1771" s="6"/>
      <c r="D1771" s="5">
        <f>IFERROR(__xludf.DUMMYFUNCTION("""COMPUTED_VALUE"""),44293.66666666667)</f>
        <v>44293.66667</v>
      </c>
      <c r="E1771" s="3">
        <f>IFERROR(__xludf.DUMMYFUNCTION("""COMPUTED_VALUE"""),112.48)</f>
        <v>112.48</v>
      </c>
      <c r="F1771" s="3">
        <f t="shared" si="1"/>
        <v>0.0110853987</v>
      </c>
    </row>
    <row r="1772">
      <c r="A1772" s="6"/>
      <c r="D1772" s="5">
        <f>IFERROR(__xludf.DUMMYFUNCTION("""COMPUTED_VALUE"""),44294.66666666667)</f>
        <v>44294.66667</v>
      </c>
      <c r="E1772" s="3">
        <f>IFERROR(__xludf.DUMMYFUNCTION("""COMPUTED_VALUE"""),113.27)</f>
        <v>113.27</v>
      </c>
      <c r="F1772" s="3">
        <f t="shared" si="1"/>
        <v>0.00699892115</v>
      </c>
    </row>
    <row r="1773">
      <c r="A1773" s="6"/>
      <c r="D1773" s="5">
        <f>IFERROR(__xludf.DUMMYFUNCTION("""COMPUTED_VALUE"""),44295.66666666667)</f>
        <v>44295.66667</v>
      </c>
      <c r="E1773" s="3">
        <f>IFERROR(__xludf.DUMMYFUNCTION("""COMPUTED_VALUE"""),114.29)</f>
        <v>114.29</v>
      </c>
      <c r="F1773" s="3">
        <f t="shared" si="1"/>
        <v>0.008964728697</v>
      </c>
    </row>
    <row r="1774">
      <c r="A1774" s="6"/>
      <c r="D1774" s="5">
        <f>IFERROR(__xludf.DUMMYFUNCTION("""COMPUTED_VALUE"""),44298.66666666667)</f>
        <v>44298.66667</v>
      </c>
      <c r="E1774" s="3">
        <f>IFERROR(__xludf.DUMMYFUNCTION("""COMPUTED_VALUE"""),112.74)</f>
        <v>112.74</v>
      </c>
      <c r="F1774" s="3">
        <f t="shared" si="1"/>
        <v>-0.01365479526</v>
      </c>
    </row>
    <row r="1775">
      <c r="A1775" s="6"/>
      <c r="D1775" s="5">
        <f>IFERROR(__xludf.DUMMYFUNCTION("""COMPUTED_VALUE"""),44299.66666666667)</f>
        <v>44299.66667</v>
      </c>
      <c r="E1775" s="3">
        <f>IFERROR(__xludf.DUMMYFUNCTION("""COMPUTED_VALUE"""),113.36)</f>
        <v>113.36</v>
      </c>
      <c r="F1775" s="3">
        <f t="shared" si="1"/>
        <v>0.005484312729</v>
      </c>
    </row>
    <row r="1776">
      <c r="A1776" s="6"/>
      <c r="D1776" s="5">
        <f>IFERROR(__xludf.DUMMYFUNCTION("""COMPUTED_VALUE"""),44300.66666666667)</f>
        <v>44300.66667</v>
      </c>
      <c r="E1776" s="3">
        <f>IFERROR(__xludf.DUMMYFUNCTION("""COMPUTED_VALUE"""),112.74)</f>
        <v>112.74</v>
      </c>
      <c r="F1776" s="3">
        <f t="shared" si="1"/>
        <v>-0.005484312729</v>
      </c>
    </row>
    <row r="1777">
      <c r="A1777" s="6"/>
      <c r="D1777" s="5">
        <f>IFERROR(__xludf.DUMMYFUNCTION("""COMPUTED_VALUE"""),44301.66666666667)</f>
        <v>44301.66667</v>
      </c>
      <c r="E1777" s="3">
        <f>IFERROR(__xludf.DUMMYFUNCTION("""COMPUTED_VALUE"""),114.83)</f>
        <v>114.83</v>
      </c>
      <c r="F1777" s="3">
        <f t="shared" si="1"/>
        <v>0.01836849113</v>
      </c>
    </row>
    <row r="1778">
      <c r="A1778" s="6"/>
      <c r="D1778" s="5">
        <f>IFERROR(__xludf.DUMMYFUNCTION("""COMPUTED_VALUE"""),44302.66666666667)</f>
        <v>44302.66667</v>
      </c>
      <c r="E1778" s="3">
        <f>IFERROR(__xludf.DUMMYFUNCTION("""COMPUTED_VALUE"""),114.89)</f>
        <v>114.89</v>
      </c>
      <c r="F1778" s="3">
        <f t="shared" si="1"/>
        <v>0.0005223750772</v>
      </c>
    </row>
    <row r="1779">
      <c r="A1779" s="6"/>
      <c r="D1779" s="5">
        <f>IFERROR(__xludf.DUMMYFUNCTION("""COMPUTED_VALUE"""),44305.66666666667)</f>
        <v>44305.66667</v>
      </c>
      <c r="E1779" s="3">
        <f>IFERROR(__xludf.DUMMYFUNCTION("""COMPUTED_VALUE"""),115.12)</f>
        <v>115.12</v>
      </c>
      <c r="F1779" s="3">
        <f t="shared" si="1"/>
        <v>0.001999913714</v>
      </c>
    </row>
    <row r="1780">
      <c r="A1780" s="6"/>
      <c r="D1780" s="5">
        <f>IFERROR(__xludf.DUMMYFUNCTION("""COMPUTED_VALUE"""),44306.66666666667)</f>
        <v>44306.66667</v>
      </c>
      <c r="E1780" s="3">
        <f>IFERROR(__xludf.DUMMYFUNCTION("""COMPUTED_VALUE"""),114.68)</f>
        <v>114.68</v>
      </c>
      <c r="F1780" s="3">
        <f t="shared" si="1"/>
        <v>-0.003829421564</v>
      </c>
    </row>
    <row r="1781">
      <c r="A1781" s="6"/>
      <c r="D1781" s="5">
        <f>IFERROR(__xludf.DUMMYFUNCTION("""COMPUTED_VALUE"""),44307.66666666667)</f>
        <v>44307.66667</v>
      </c>
      <c r="E1781" s="3">
        <f>IFERROR(__xludf.DUMMYFUNCTION("""COMPUTED_VALUE"""),114.66)</f>
        <v>114.66</v>
      </c>
      <c r="F1781" s="3">
        <f t="shared" si="1"/>
        <v>-0.0001744135349</v>
      </c>
    </row>
    <row r="1782">
      <c r="A1782" s="6"/>
      <c r="D1782" s="5">
        <f>IFERROR(__xludf.DUMMYFUNCTION("""COMPUTED_VALUE"""),44308.66666666667)</f>
        <v>44308.66667</v>
      </c>
      <c r="E1782" s="3">
        <f>IFERROR(__xludf.DUMMYFUNCTION("""COMPUTED_VALUE"""),113.4)</f>
        <v>113.4</v>
      </c>
      <c r="F1782" s="3">
        <f t="shared" si="1"/>
        <v>-0.01104983619</v>
      </c>
    </row>
    <row r="1783">
      <c r="A1783" s="6"/>
      <c r="D1783" s="5">
        <f>IFERROR(__xludf.DUMMYFUNCTION("""COMPUTED_VALUE"""),44309.66666666667)</f>
        <v>44309.66667</v>
      </c>
      <c r="E1783" s="3">
        <f>IFERROR(__xludf.DUMMYFUNCTION("""COMPUTED_VALUE"""),115.77)</f>
        <v>115.77</v>
      </c>
      <c r="F1783" s="3">
        <f t="shared" si="1"/>
        <v>0.02068407292</v>
      </c>
    </row>
    <row r="1784">
      <c r="A1784" s="6"/>
      <c r="D1784" s="5">
        <f>IFERROR(__xludf.DUMMYFUNCTION("""COMPUTED_VALUE"""),44312.66666666667)</f>
        <v>44312.66667</v>
      </c>
      <c r="E1784" s="3">
        <f>IFERROR(__xludf.DUMMYFUNCTION("""COMPUTED_VALUE"""),116.34)</f>
        <v>116.34</v>
      </c>
      <c r="F1784" s="3">
        <f t="shared" si="1"/>
        <v>0.004911474265</v>
      </c>
    </row>
    <row r="1785">
      <c r="A1785" s="6"/>
      <c r="D1785" s="5">
        <f>IFERROR(__xludf.DUMMYFUNCTION("""COMPUTED_VALUE"""),44313.66666666667)</f>
        <v>44313.66667</v>
      </c>
      <c r="E1785" s="3">
        <f>IFERROR(__xludf.DUMMYFUNCTION("""COMPUTED_VALUE"""),115.36)</f>
        <v>115.36</v>
      </c>
      <c r="F1785" s="3">
        <f t="shared" si="1"/>
        <v>-0.008459264946</v>
      </c>
    </row>
    <row r="1786">
      <c r="A1786" s="6"/>
      <c r="D1786" s="5">
        <f>IFERROR(__xludf.DUMMYFUNCTION("""COMPUTED_VALUE"""),44314.66666666667)</f>
        <v>44314.66667</v>
      </c>
      <c r="E1786" s="3">
        <f>IFERROR(__xludf.DUMMYFUNCTION("""COMPUTED_VALUE"""),119.0)</f>
        <v>119</v>
      </c>
      <c r="F1786" s="3">
        <f t="shared" si="1"/>
        <v>0.03106581957</v>
      </c>
    </row>
    <row r="1787">
      <c r="A1787" s="6"/>
      <c r="D1787" s="5">
        <f>IFERROR(__xludf.DUMMYFUNCTION("""COMPUTED_VALUE"""),44315.66666666667)</f>
        <v>44315.66667</v>
      </c>
      <c r="E1787" s="3">
        <f>IFERROR(__xludf.DUMMYFUNCTION("""COMPUTED_VALUE"""),121.49)</f>
        <v>121.49</v>
      </c>
      <c r="F1787" s="3">
        <f t="shared" si="1"/>
        <v>0.02070846176</v>
      </c>
    </row>
    <row r="1788">
      <c r="A1788" s="6"/>
      <c r="D1788" s="5">
        <f>IFERROR(__xludf.DUMMYFUNCTION("""COMPUTED_VALUE"""),44316.66666666667)</f>
        <v>44316.66667</v>
      </c>
      <c r="E1788" s="3">
        <f>IFERROR(__xludf.DUMMYFUNCTION("""COMPUTED_VALUE"""),120.51)</f>
        <v>120.51</v>
      </c>
      <c r="F1788" s="3">
        <f t="shared" si="1"/>
        <v>-0.008099217827</v>
      </c>
    </row>
    <row r="1789">
      <c r="A1789" s="6"/>
      <c r="D1789" s="5">
        <f>IFERROR(__xludf.DUMMYFUNCTION("""COMPUTED_VALUE"""),44319.66666666667)</f>
        <v>44319.66667</v>
      </c>
      <c r="E1789" s="3">
        <f>IFERROR(__xludf.DUMMYFUNCTION("""COMPUTED_VALUE"""),119.76)</f>
        <v>119.76</v>
      </c>
      <c r="F1789" s="3">
        <f t="shared" si="1"/>
        <v>-0.006242996928</v>
      </c>
    </row>
    <row r="1790">
      <c r="A1790" s="6"/>
      <c r="D1790" s="5">
        <f>IFERROR(__xludf.DUMMYFUNCTION("""COMPUTED_VALUE"""),44320.66666666667)</f>
        <v>44320.66667</v>
      </c>
      <c r="E1790" s="3">
        <f>IFERROR(__xludf.DUMMYFUNCTION("""COMPUTED_VALUE"""),117.71)</f>
        <v>117.71</v>
      </c>
      <c r="F1790" s="3">
        <f t="shared" si="1"/>
        <v>-0.01726576769</v>
      </c>
    </row>
    <row r="1791">
      <c r="A1791" s="6"/>
      <c r="D1791" s="5">
        <f>IFERROR(__xludf.DUMMYFUNCTION("""COMPUTED_VALUE"""),44321.66666666667)</f>
        <v>44321.66667</v>
      </c>
      <c r="E1791" s="3">
        <f>IFERROR(__xludf.DUMMYFUNCTION("""COMPUTED_VALUE"""),117.84)</f>
        <v>117.84</v>
      </c>
      <c r="F1791" s="3">
        <f t="shared" si="1"/>
        <v>0.00110379973</v>
      </c>
    </row>
    <row r="1792">
      <c r="A1792" s="6"/>
      <c r="D1792" s="5">
        <f>IFERROR(__xludf.DUMMYFUNCTION("""COMPUTED_VALUE"""),44322.66666666667)</f>
        <v>44322.66667</v>
      </c>
      <c r="E1792" s="3">
        <f>IFERROR(__xludf.DUMMYFUNCTION("""COMPUTED_VALUE"""),119.07)</f>
        <v>119.07</v>
      </c>
      <c r="F1792" s="3">
        <f t="shared" si="1"/>
        <v>0.01038378331</v>
      </c>
    </row>
    <row r="1793">
      <c r="A1793" s="6"/>
      <c r="D1793" s="5">
        <f>IFERROR(__xludf.DUMMYFUNCTION("""COMPUTED_VALUE"""),44323.66666666667)</f>
        <v>44323.66667</v>
      </c>
      <c r="E1793" s="3">
        <f>IFERROR(__xludf.DUMMYFUNCTION("""COMPUTED_VALUE"""),119.93)</f>
        <v>119.93</v>
      </c>
      <c r="F1793" s="3">
        <f t="shared" si="1"/>
        <v>0.007196683781</v>
      </c>
    </row>
    <row r="1794">
      <c r="A1794" s="6"/>
      <c r="D1794" s="5">
        <f>IFERROR(__xludf.DUMMYFUNCTION("""COMPUTED_VALUE"""),44326.66666666667)</f>
        <v>44326.66667</v>
      </c>
      <c r="E1794" s="3">
        <f>IFERROR(__xludf.DUMMYFUNCTION("""COMPUTED_VALUE"""),117.08)</f>
        <v>117.08</v>
      </c>
      <c r="F1794" s="3">
        <f t="shared" si="1"/>
        <v>-0.02405077742</v>
      </c>
    </row>
    <row r="1795">
      <c r="A1795" s="6"/>
      <c r="D1795" s="5">
        <f>IFERROR(__xludf.DUMMYFUNCTION("""COMPUTED_VALUE"""),44327.66666666667)</f>
        <v>44327.66667</v>
      </c>
      <c r="E1795" s="3">
        <f>IFERROR(__xludf.DUMMYFUNCTION("""COMPUTED_VALUE"""),115.44)</f>
        <v>115.44</v>
      </c>
      <c r="F1795" s="3">
        <f t="shared" si="1"/>
        <v>-0.01410654736</v>
      </c>
    </row>
    <row r="1796">
      <c r="A1796" s="6"/>
      <c r="D1796" s="5">
        <f>IFERROR(__xludf.DUMMYFUNCTION("""COMPUTED_VALUE"""),44328.66666666667)</f>
        <v>44328.66667</v>
      </c>
      <c r="E1796" s="3">
        <f>IFERROR(__xludf.DUMMYFUNCTION("""COMPUTED_VALUE"""),111.95)</f>
        <v>111.95</v>
      </c>
      <c r="F1796" s="3">
        <f t="shared" si="1"/>
        <v>-0.03069857142</v>
      </c>
    </row>
    <row r="1797">
      <c r="A1797" s="6"/>
      <c r="D1797" s="5">
        <f>IFERROR(__xludf.DUMMYFUNCTION("""COMPUTED_VALUE"""),44329.66666666667)</f>
        <v>44329.66667</v>
      </c>
      <c r="E1797" s="3">
        <f>IFERROR(__xludf.DUMMYFUNCTION("""COMPUTED_VALUE"""),113.1)</f>
        <v>113.1</v>
      </c>
      <c r="F1797" s="3">
        <f t="shared" si="1"/>
        <v>0.01022004008</v>
      </c>
    </row>
    <row r="1798">
      <c r="A1798" s="6"/>
      <c r="D1798" s="5">
        <f>IFERROR(__xludf.DUMMYFUNCTION("""COMPUTED_VALUE"""),44330.66666666667)</f>
        <v>44330.66667</v>
      </c>
      <c r="E1798" s="3">
        <f>IFERROR(__xludf.DUMMYFUNCTION("""COMPUTED_VALUE"""),115.81)</f>
        <v>115.81</v>
      </c>
      <c r="F1798" s="3">
        <f t="shared" si="1"/>
        <v>0.02367853407</v>
      </c>
    </row>
    <row r="1799">
      <c r="A1799" s="6"/>
      <c r="D1799" s="5">
        <f>IFERROR(__xludf.DUMMYFUNCTION("""COMPUTED_VALUE"""),44333.66666666667)</f>
        <v>44333.66667</v>
      </c>
      <c r="E1799" s="3">
        <f>IFERROR(__xludf.DUMMYFUNCTION("""COMPUTED_VALUE"""),116.07)</f>
        <v>116.07</v>
      </c>
      <c r="F1799" s="3">
        <f t="shared" si="1"/>
        <v>0.002242540184</v>
      </c>
    </row>
    <row r="1800">
      <c r="A1800" s="6"/>
      <c r="D1800" s="5">
        <f>IFERROR(__xludf.DUMMYFUNCTION("""COMPUTED_VALUE"""),44334.66666666667)</f>
        <v>44334.66667</v>
      </c>
      <c r="E1800" s="3">
        <f>IFERROR(__xludf.DUMMYFUNCTION("""COMPUTED_VALUE"""),115.17)</f>
        <v>115.17</v>
      </c>
      <c r="F1800" s="3">
        <f t="shared" si="1"/>
        <v>-0.0077841597</v>
      </c>
    </row>
    <row r="1801">
      <c r="A1801" s="6"/>
      <c r="D1801" s="5">
        <f>IFERROR(__xludf.DUMMYFUNCTION("""COMPUTED_VALUE"""),44335.66666666667)</f>
        <v>44335.66667</v>
      </c>
      <c r="E1801" s="3">
        <f>IFERROR(__xludf.DUMMYFUNCTION("""COMPUTED_VALUE"""),115.44)</f>
        <v>115.44</v>
      </c>
      <c r="F1801" s="3">
        <f t="shared" si="1"/>
        <v>0.002341616785</v>
      </c>
    </row>
    <row r="1802">
      <c r="A1802" s="6"/>
      <c r="D1802" s="5">
        <f>IFERROR(__xludf.DUMMYFUNCTION("""COMPUTED_VALUE"""),44336.66666666667)</f>
        <v>44336.66667</v>
      </c>
      <c r="E1802" s="3">
        <f>IFERROR(__xludf.DUMMYFUNCTION("""COMPUTED_VALUE"""),117.8)</f>
        <v>117.8</v>
      </c>
      <c r="F1802" s="3">
        <f t="shared" si="1"/>
        <v>0.02023735675</v>
      </c>
    </row>
    <row r="1803">
      <c r="A1803" s="6"/>
      <c r="D1803" s="5">
        <f>IFERROR(__xludf.DUMMYFUNCTION("""COMPUTED_VALUE"""),44337.66666666667)</f>
        <v>44337.66667</v>
      </c>
      <c r="E1803" s="3">
        <f>IFERROR(__xludf.DUMMYFUNCTION("""COMPUTED_VALUE"""),117.26)</f>
        <v>117.26</v>
      </c>
      <c r="F1803" s="3">
        <f t="shared" si="1"/>
        <v>-0.004594579681</v>
      </c>
    </row>
    <row r="1804">
      <c r="A1804" s="6"/>
      <c r="D1804" s="5">
        <f>IFERROR(__xludf.DUMMYFUNCTION("""COMPUTED_VALUE"""),44340.66666666667)</f>
        <v>44340.66667</v>
      </c>
      <c r="E1804" s="3">
        <f>IFERROR(__xludf.DUMMYFUNCTION("""COMPUTED_VALUE"""),120.33)</f>
        <v>120.33</v>
      </c>
      <c r="F1804" s="3">
        <f t="shared" si="1"/>
        <v>0.02584427691</v>
      </c>
    </row>
    <row r="1805">
      <c r="A1805" s="6"/>
      <c r="D1805" s="5">
        <f>IFERROR(__xludf.DUMMYFUNCTION("""COMPUTED_VALUE"""),44341.66666666667)</f>
        <v>44341.66667</v>
      </c>
      <c r="E1805" s="3">
        <f>IFERROR(__xludf.DUMMYFUNCTION("""COMPUTED_VALUE"""),120.45)</f>
        <v>120.45</v>
      </c>
      <c r="F1805" s="3">
        <f t="shared" si="1"/>
        <v>0.0009967606108</v>
      </c>
    </row>
    <row r="1806">
      <c r="A1806" s="6"/>
      <c r="D1806" s="5">
        <f>IFERROR(__xludf.DUMMYFUNCTION("""COMPUTED_VALUE"""),44342.66666666667)</f>
        <v>44342.66667</v>
      </c>
      <c r="E1806" s="3">
        <f>IFERROR(__xludf.DUMMYFUNCTION("""COMPUTED_VALUE"""),121.68)</f>
        <v>121.68</v>
      </c>
      <c r="F1806" s="3">
        <f t="shared" si="1"/>
        <v>0.01015991889</v>
      </c>
    </row>
    <row r="1807">
      <c r="A1807" s="6"/>
      <c r="D1807" s="5">
        <f>IFERROR(__xludf.DUMMYFUNCTION("""COMPUTED_VALUE"""),44343.66666666667)</f>
        <v>44343.66667</v>
      </c>
      <c r="E1807" s="3">
        <f>IFERROR(__xludf.DUMMYFUNCTION("""COMPUTED_VALUE"""),120.13)</f>
        <v>120.13</v>
      </c>
      <c r="F1807" s="3">
        <f t="shared" si="1"/>
        <v>-0.01282015822</v>
      </c>
    </row>
    <row r="1808">
      <c r="A1808" s="6"/>
      <c r="D1808" s="5">
        <f>IFERROR(__xludf.DUMMYFUNCTION("""COMPUTED_VALUE"""),44344.66666666667)</f>
        <v>44344.66667</v>
      </c>
      <c r="E1808" s="3">
        <f>IFERROR(__xludf.DUMMYFUNCTION("""COMPUTED_VALUE"""),120.58)</f>
        <v>120.58</v>
      </c>
      <c r="F1808" s="3">
        <f t="shared" si="1"/>
        <v>0.003738943328</v>
      </c>
    </row>
    <row r="1809">
      <c r="A1809" s="6"/>
      <c r="D1809" s="5">
        <f>IFERROR(__xludf.DUMMYFUNCTION("""COMPUTED_VALUE"""),44348.66666666667)</f>
        <v>44348.66667</v>
      </c>
      <c r="E1809" s="3">
        <f>IFERROR(__xludf.DUMMYFUNCTION("""COMPUTED_VALUE"""),121.49)</f>
        <v>121.49</v>
      </c>
      <c r="F1809" s="3">
        <f t="shared" si="1"/>
        <v>0.007518521805</v>
      </c>
    </row>
    <row r="1810">
      <c r="A1810" s="6"/>
      <c r="D1810" s="5">
        <f>IFERROR(__xludf.DUMMYFUNCTION("""COMPUTED_VALUE"""),44349.66666666667)</f>
        <v>44349.66667</v>
      </c>
      <c r="E1810" s="3">
        <f>IFERROR(__xludf.DUMMYFUNCTION("""COMPUTED_VALUE"""),121.06)</f>
        <v>121.06</v>
      </c>
      <c r="F1810" s="3">
        <f t="shared" si="1"/>
        <v>-0.003545664403</v>
      </c>
    </row>
    <row r="1811">
      <c r="A1811" s="6"/>
      <c r="D1811" s="5">
        <f>IFERROR(__xludf.DUMMYFUNCTION("""COMPUTED_VALUE"""),44350.66666666667)</f>
        <v>44350.66667</v>
      </c>
      <c r="E1811" s="3">
        <f>IFERROR(__xludf.DUMMYFUNCTION("""COMPUTED_VALUE"""),120.23)</f>
        <v>120.23</v>
      </c>
      <c r="F1811" s="3">
        <f t="shared" si="1"/>
        <v>-0.006879715477</v>
      </c>
    </row>
    <row r="1812">
      <c r="A1812" s="6"/>
      <c r="D1812" s="5">
        <f>IFERROR(__xludf.DUMMYFUNCTION("""COMPUTED_VALUE"""),44351.66666666667)</f>
        <v>44351.66667</v>
      </c>
      <c r="E1812" s="3">
        <f>IFERROR(__xludf.DUMMYFUNCTION("""COMPUTED_VALUE"""),122.59)</f>
        <v>122.59</v>
      </c>
      <c r="F1812" s="3">
        <f t="shared" si="1"/>
        <v>0.01943887912</v>
      </c>
    </row>
    <row r="1813">
      <c r="A1813" s="6"/>
      <c r="D1813" s="5">
        <f>IFERROR(__xludf.DUMMYFUNCTION("""COMPUTED_VALUE"""),44354.66666666667)</f>
        <v>44354.66667</v>
      </c>
      <c r="E1813" s="3">
        <f>IFERROR(__xludf.DUMMYFUNCTION("""COMPUTED_VALUE"""),123.3)</f>
        <v>123.3</v>
      </c>
      <c r="F1813" s="3">
        <f t="shared" si="1"/>
        <v>0.005774956063</v>
      </c>
    </row>
    <row r="1814">
      <c r="A1814" s="6"/>
      <c r="D1814" s="5">
        <f>IFERROR(__xludf.DUMMYFUNCTION("""COMPUTED_VALUE"""),44355.66666666667)</f>
        <v>44355.66667</v>
      </c>
      <c r="E1814" s="3">
        <f>IFERROR(__xludf.DUMMYFUNCTION("""COMPUTED_VALUE"""),124.14)</f>
        <v>124.14</v>
      </c>
      <c r="F1814" s="3">
        <f t="shared" si="1"/>
        <v>0.006789550815</v>
      </c>
    </row>
    <row r="1815">
      <c r="A1815" s="6"/>
      <c r="D1815" s="5">
        <f>IFERROR(__xludf.DUMMYFUNCTION("""COMPUTED_VALUE"""),44356.66666666667)</f>
        <v>44356.66667</v>
      </c>
      <c r="E1815" s="3">
        <f>IFERROR(__xludf.DUMMYFUNCTION("""COMPUTED_VALUE"""),124.57)</f>
        <v>124.57</v>
      </c>
      <c r="F1815" s="3">
        <f t="shared" si="1"/>
        <v>0.003457845912</v>
      </c>
    </row>
    <row r="1816">
      <c r="A1816" s="6"/>
      <c r="D1816" s="5">
        <f>IFERROR(__xludf.DUMMYFUNCTION("""COMPUTED_VALUE"""),44357.66666666667)</f>
        <v>44357.66667</v>
      </c>
      <c r="E1816" s="3">
        <f>IFERROR(__xludf.DUMMYFUNCTION("""COMPUTED_VALUE"""),126.08)</f>
        <v>126.08</v>
      </c>
      <c r="F1816" s="3">
        <f t="shared" si="1"/>
        <v>0.01204881921</v>
      </c>
    </row>
    <row r="1817">
      <c r="A1817" s="6"/>
      <c r="D1817" s="5">
        <f>IFERROR(__xludf.DUMMYFUNCTION("""COMPUTED_VALUE"""),44358.66666666667)</f>
        <v>44358.66667</v>
      </c>
      <c r="E1817" s="3">
        <f>IFERROR(__xludf.DUMMYFUNCTION("""COMPUTED_VALUE"""),125.7)</f>
        <v>125.7</v>
      </c>
      <c r="F1817" s="3">
        <f t="shared" si="1"/>
        <v>-0.003018510513</v>
      </c>
    </row>
    <row r="1818">
      <c r="A1818" s="6"/>
      <c r="D1818" s="5">
        <f>IFERROR(__xludf.DUMMYFUNCTION("""COMPUTED_VALUE"""),44361.66666666667)</f>
        <v>44361.66667</v>
      </c>
      <c r="E1818" s="3">
        <f>IFERROR(__xludf.DUMMYFUNCTION("""COMPUTED_VALUE"""),126.35)</f>
        <v>126.35</v>
      </c>
      <c r="F1818" s="3">
        <f t="shared" si="1"/>
        <v>0.005157718238</v>
      </c>
    </row>
    <row r="1819">
      <c r="A1819" s="6"/>
      <c r="D1819" s="5">
        <f>IFERROR(__xludf.DUMMYFUNCTION("""COMPUTED_VALUE"""),44362.66666666667)</f>
        <v>44362.66667</v>
      </c>
      <c r="E1819" s="3">
        <f>IFERROR(__xludf.DUMMYFUNCTION("""COMPUTED_VALUE"""),126.03)</f>
        <v>126.03</v>
      </c>
      <c r="F1819" s="3">
        <f t="shared" si="1"/>
        <v>-0.002535859985</v>
      </c>
    </row>
    <row r="1820">
      <c r="A1820" s="6"/>
      <c r="D1820" s="5">
        <f>IFERROR(__xludf.DUMMYFUNCTION("""COMPUTED_VALUE"""),44363.66666666667)</f>
        <v>44363.66667</v>
      </c>
      <c r="E1820" s="3">
        <f>IFERROR(__xludf.DUMMYFUNCTION("""COMPUTED_VALUE"""),125.7)</f>
        <v>125.7</v>
      </c>
      <c r="F1820" s="3">
        <f t="shared" si="1"/>
        <v>-0.002621858253</v>
      </c>
    </row>
    <row r="1821">
      <c r="A1821" s="6"/>
      <c r="D1821" s="5">
        <f>IFERROR(__xludf.DUMMYFUNCTION("""COMPUTED_VALUE"""),44364.66666666667)</f>
        <v>44364.66667</v>
      </c>
      <c r="E1821" s="3">
        <f>IFERROR(__xludf.DUMMYFUNCTION("""COMPUTED_VALUE"""),126.37)</f>
        <v>126.37</v>
      </c>
      <c r="F1821" s="3">
        <f t="shared" si="1"/>
        <v>0.005315996174</v>
      </c>
    </row>
    <row r="1822">
      <c r="A1822" s="6"/>
      <c r="D1822" s="5">
        <f>IFERROR(__xludf.DUMMYFUNCTION("""COMPUTED_VALUE"""),44365.66666666667)</f>
        <v>44365.66667</v>
      </c>
      <c r="E1822" s="3">
        <f>IFERROR(__xludf.DUMMYFUNCTION("""COMPUTED_VALUE"""),125.57)</f>
        <v>125.57</v>
      </c>
      <c r="F1822" s="3">
        <f t="shared" si="1"/>
        <v>-0.00635073977</v>
      </c>
    </row>
    <row r="1823">
      <c r="A1823" s="6"/>
      <c r="D1823" s="5">
        <f>IFERROR(__xludf.DUMMYFUNCTION("""COMPUTED_VALUE"""),44368.66666666667)</f>
        <v>44368.66667</v>
      </c>
      <c r="E1823" s="3">
        <f>IFERROR(__xludf.DUMMYFUNCTION("""COMPUTED_VALUE"""),126.46)</f>
        <v>126.46</v>
      </c>
      <c r="F1823" s="3">
        <f t="shared" si="1"/>
        <v>0.00706268063</v>
      </c>
    </row>
    <row r="1824">
      <c r="A1824" s="6"/>
      <c r="D1824" s="5">
        <f>IFERROR(__xludf.DUMMYFUNCTION("""COMPUTED_VALUE"""),44369.66666666667)</f>
        <v>44369.66667</v>
      </c>
      <c r="E1824" s="3">
        <f>IFERROR(__xludf.DUMMYFUNCTION("""COMPUTED_VALUE"""),127.0)</f>
        <v>127</v>
      </c>
      <c r="F1824" s="3">
        <f t="shared" si="1"/>
        <v>0.004261033828</v>
      </c>
    </row>
    <row r="1825">
      <c r="A1825" s="6"/>
      <c r="D1825" s="5">
        <f>IFERROR(__xludf.DUMMYFUNCTION("""COMPUTED_VALUE"""),44370.66666666667)</f>
        <v>44370.66667</v>
      </c>
      <c r="E1825" s="3">
        <f>IFERROR(__xludf.DUMMYFUNCTION("""COMPUTED_VALUE"""),126.46)</f>
        <v>126.46</v>
      </c>
      <c r="F1825" s="3">
        <f t="shared" si="1"/>
        <v>-0.004261033828</v>
      </c>
    </row>
    <row r="1826">
      <c r="A1826" s="6"/>
      <c r="D1826" s="5">
        <f>IFERROR(__xludf.DUMMYFUNCTION("""COMPUTED_VALUE"""),44371.66666666667)</f>
        <v>44371.66667</v>
      </c>
      <c r="E1826" s="3">
        <f>IFERROR(__xludf.DUMMYFUNCTION("""COMPUTED_VALUE"""),127.28)</f>
        <v>127.28</v>
      </c>
      <c r="F1826" s="3">
        <f t="shared" si="1"/>
        <v>0.006463331399</v>
      </c>
    </row>
    <row r="1827">
      <c r="A1827" s="6"/>
      <c r="D1827" s="5">
        <f>IFERROR(__xludf.DUMMYFUNCTION("""COMPUTED_VALUE"""),44372.66666666667)</f>
        <v>44372.66667</v>
      </c>
      <c r="E1827" s="3">
        <f>IFERROR(__xludf.DUMMYFUNCTION("""COMPUTED_VALUE"""),127.0)</f>
        <v>127</v>
      </c>
      <c r="F1827" s="3">
        <f t="shared" si="1"/>
        <v>-0.002202297571</v>
      </c>
    </row>
    <row r="1828">
      <c r="A1828" s="6"/>
      <c r="D1828" s="5">
        <f>IFERROR(__xludf.DUMMYFUNCTION("""COMPUTED_VALUE"""),44375.66666666667)</f>
        <v>44375.66667</v>
      </c>
      <c r="E1828" s="3">
        <f>IFERROR(__xludf.DUMMYFUNCTION("""COMPUTED_VALUE"""),126.82)</f>
        <v>126.82</v>
      </c>
      <c r="F1828" s="3">
        <f t="shared" si="1"/>
        <v>-0.001418328187</v>
      </c>
    </row>
    <row r="1829">
      <c r="A1829" s="6"/>
      <c r="D1829" s="5">
        <f>IFERROR(__xludf.DUMMYFUNCTION("""COMPUTED_VALUE"""),44376.66666666667)</f>
        <v>44376.66667</v>
      </c>
      <c r="E1829" s="3">
        <f>IFERROR(__xludf.DUMMYFUNCTION("""COMPUTED_VALUE"""),126.02)</f>
        <v>126.02</v>
      </c>
      <c r="F1829" s="3">
        <f t="shared" si="1"/>
        <v>-0.006328133758</v>
      </c>
    </row>
    <row r="1830">
      <c r="A1830" s="6"/>
      <c r="D1830" s="5">
        <f>IFERROR(__xludf.DUMMYFUNCTION("""COMPUTED_VALUE"""),44377.66666666667)</f>
        <v>44377.66667</v>
      </c>
      <c r="E1830" s="3">
        <f>IFERROR(__xludf.DUMMYFUNCTION("""COMPUTED_VALUE"""),125.32)</f>
        <v>125.32</v>
      </c>
      <c r="F1830" s="3">
        <f t="shared" si="1"/>
        <v>-0.00557015843</v>
      </c>
    </row>
    <row r="1831">
      <c r="A1831" s="6"/>
      <c r="D1831" s="5">
        <f>IFERROR(__xludf.DUMMYFUNCTION("""COMPUTED_VALUE"""),44378.66666666667)</f>
        <v>44378.66667</v>
      </c>
      <c r="E1831" s="3">
        <f>IFERROR(__xludf.DUMMYFUNCTION("""COMPUTED_VALUE"""),126.37)</f>
        <v>126.37</v>
      </c>
      <c r="F1831" s="3">
        <f t="shared" si="1"/>
        <v>0.008343645687</v>
      </c>
    </row>
    <row r="1832">
      <c r="A1832" s="6"/>
      <c r="D1832" s="5">
        <f>IFERROR(__xludf.DUMMYFUNCTION("""COMPUTED_VALUE"""),44379.66666666667)</f>
        <v>44379.66667</v>
      </c>
      <c r="E1832" s="3">
        <f>IFERROR(__xludf.DUMMYFUNCTION("""COMPUTED_VALUE"""),128.72)</f>
        <v>128.72</v>
      </c>
      <c r="F1832" s="3">
        <f t="shared" si="1"/>
        <v>0.01842539091</v>
      </c>
    </row>
    <row r="1833">
      <c r="A1833" s="6"/>
      <c r="D1833" s="5">
        <f>IFERROR(__xludf.DUMMYFUNCTION("""COMPUTED_VALUE"""),44383.66666666667)</f>
        <v>44383.66667</v>
      </c>
      <c r="E1833" s="3">
        <f>IFERROR(__xludf.DUMMYFUNCTION("""COMPUTED_VALUE"""),129.77)</f>
        <v>129.77</v>
      </c>
      <c r="F1833" s="3">
        <f t="shared" si="1"/>
        <v>0.008124150065</v>
      </c>
    </row>
    <row r="1834">
      <c r="A1834" s="6"/>
      <c r="D1834" s="5">
        <f>IFERROR(__xludf.DUMMYFUNCTION("""COMPUTED_VALUE"""),44384.66666666667)</f>
        <v>44384.66667</v>
      </c>
      <c r="E1834" s="3">
        <f>IFERROR(__xludf.DUMMYFUNCTION("""COMPUTED_VALUE"""),130.08)</f>
        <v>130.08</v>
      </c>
      <c r="F1834" s="3">
        <f t="shared" si="1"/>
        <v>0.00238599305</v>
      </c>
    </row>
    <row r="1835">
      <c r="A1835" s="6"/>
      <c r="D1835" s="5">
        <f>IFERROR(__xludf.DUMMYFUNCTION("""COMPUTED_VALUE"""),44385.66666666667)</f>
        <v>44385.66667</v>
      </c>
      <c r="E1835" s="3">
        <f>IFERROR(__xludf.DUMMYFUNCTION("""COMPUTED_VALUE"""),129.18)</f>
        <v>129.18</v>
      </c>
      <c r="F1835" s="3">
        <f t="shared" si="1"/>
        <v>-0.006942865195</v>
      </c>
    </row>
    <row r="1836">
      <c r="A1836" s="6"/>
      <c r="D1836" s="5">
        <f>IFERROR(__xludf.DUMMYFUNCTION("""COMPUTED_VALUE"""),44386.66666666667)</f>
        <v>44386.66667</v>
      </c>
      <c r="E1836" s="3">
        <f>IFERROR(__xludf.DUMMYFUNCTION("""COMPUTED_VALUE"""),129.57)</f>
        <v>129.57</v>
      </c>
      <c r="F1836" s="3">
        <f t="shared" si="1"/>
        <v>0.003014495036</v>
      </c>
    </row>
    <row r="1837">
      <c r="A1837" s="6"/>
      <c r="D1837" s="5">
        <f>IFERROR(__xludf.DUMMYFUNCTION("""COMPUTED_VALUE"""),44389.66666666667)</f>
        <v>44389.66667</v>
      </c>
      <c r="E1837" s="3">
        <f>IFERROR(__xludf.DUMMYFUNCTION("""COMPUTED_VALUE"""),130.56)</f>
        <v>130.56</v>
      </c>
      <c r="F1837" s="3">
        <f t="shared" si="1"/>
        <v>0.007611615575</v>
      </c>
    </row>
    <row r="1838">
      <c r="A1838" s="6"/>
      <c r="D1838" s="5">
        <f>IFERROR(__xludf.DUMMYFUNCTION("""COMPUTED_VALUE"""),44390.66666666667)</f>
        <v>44390.66667</v>
      </c>
      <c r="E1838" s="3">
        <f>IFERROR(__xludf.DUMMYFUNCTION("""COMPUTED_VALUE"""),130.99)</f>
        <v>130.99</v>
      </c>
      <c r="F1838" s="3">
        <f t="shared" si="1"/>
        <v>0.003288093194</v>
      </c>
    </row>
    <row r="1839">
      <c r="A1839" s="6"/>
      <c r="D1839" s="5">
        <f>IFERROR(__xludf.DUMMYFUNCTION("""COMPUTED_VALUE"""),44391.66666666667)</f>
        <v>44391.66667</v>
      </c>
      <c r="E1839" s="3">
        <f>IFERROR(__xludf.DUMMYFUNCTION("""COMPUTED_VALUE"""),132.08)</f>
        <v>132.08</v>
      </c>
      <c r="F1839" s="3">
        <f t="shared" si="1"/>
        <v>0.008286815202</v>
      </c>
    </row>
    <row r="1840">
      <c r="A1840" s="6"/>
      <c r="D1840" s="5">
        <f>IFERROR(__xludf.DUMMYFUNCTION("""COMPUTED_VALUE"""),44392.66666666667)</f>
        <v>44392.66667</v>
      </c>
      <c r="E1840" s="3">
        <f>IFERROR(__xludf.DUMMYFUNCTION("""COMPUTED_VALUE"""),131.27)</f>
        <v>131.27</v>
      </c>
      <c r="F1840" s="3">
        <f t="shared" si="1"/>
        <v>-0.006151528797</v>
      </c>
    </row>
    <row r="1841">
      <c r="A1841" s="6"/>
      <c r="D1841" s="5">
        <f>IFERROR(__xludf.DUMMYFUNCTION("""COMPUTED_VALUE"""),44393.66666666667)</f>
        <v>44393.66667</v>
      </c>
      <c r="E1841" s="3">
        <f>IFERROR(__xludf.DUMMYFUNCTION("""COMPUTED_VALUE"""),131.85)</f>
        <v>131.85</v>
      </c>
      <c r="F1841" s="3">
        <f t="shared" si="1"/>
        <v>0.004408641984</v>
      </c>
    </row>
    <row r="1842">
      <c r="A1842" s="6"/>
      <c r="D1842" s="5">
        <f>IFERROR(__xludf.DUMMYFUNCTION("""COMPUTED_VALUE"""),44396.66666666667)</f>
        <v>44396.66667</v>
      </c>
      <c r="E1842" s="3">
        <f>IFERROR(__xludf.DUMMYFUNCTION("""COMPUTED_VALUE"""),129.25)</f>
        <v>129.25</v>
      </c>
      <c r="F1842" s="3">
        <f t="shared" si="1"/>
        <v>-0.01991639941</v>
      </c>
    </row>
    <row r="1843">
      <c r="A1843" s="6"/>
      <c r="D1843" s="5">
        <f>IFERROR(__xludf.DUMMYFUNCTION("""COMPUTED_VALUE"""),44397.66666666667)</f>
        <v>44397.66667</v>
      </c>
      <c r="E1843" s="3">
        <f>IFERROR(__xludf.DUMMYFUNCTION("""COMPUTED_VALUE"""),131.1)</f>
        <v>131.1</v>
      </c>
      <c r="F1843" s="3">
        <f t="shared" si="1"/>
        <v>0.01421187738</v>
      </c>
    </row>
    <row r="1844">
      <c r="A1844" s="6"/>
      <c r="D1844" s="5">
        <f>IFERROR(__xludf.DUMMYFUNCTION("""COMPUTED_VALUE"""),44398.66666666667)</f>
        <v>44398.66667</v>
      </c>
      <c r="E1844" s="3">
        <f>IFERROR(__xludf.DUMMYFUNCTION("""COMPUTED_VALUE"""),132.6)</f>
        <v>132.6</v>
      </c>
      <c r="F1844" s="3">
        <f t="shared" si="1"/>
        <v>0.01137668698</v>
      </c>
    </row>
    <row r="1845">
      <c r="A1845" s="6"/>
      <c r="D1845" s="5">
        <f>IFERROR(__xludf.DUMMYFUNCTION("""COMPUTED_VALUE"""),44399.66666666667)</f>
        <v>44399.66667</v>
      </c>
      <c r="E1845" s="3">
        <f>IFERROR(__xludf.DUMMYFUNCTION("""COMPUTED_VALUE"""),133.33)</f>
        <v>133.33</v>
      </c>
      <c r="F1845" s="3">
        <f t="shared" si="1"/>
        <v>0.005490180376</v>
      </c>
    </row>
    <row r="1846">
      <c r="A1846" s="6"/>
      <c r="D1846" s="5">
        <f>IFERROR(__xludf.DUMMYFUNCTION("""COMPUTED_VALUE"""),44400.66666666667)</f>
        <v>44400.66667</v>
      </c>
      <c r="E1846" s="3">
        <f>IFERROR(__xludf.DUMMYFUNCTION("""COMPUTED_VALUE"""),137.82)</f>
        <v>137.82</v>
      </c>
      <c r="F1846" s="3">
        <f t="shared" si="1"/>
        <v>0.0331212278</v>
      </c>
    </row>
    <row r="1847">
      <c r="A1847" s="6"/>
      <c r="D1847" s="5">
        <f>IFERROR(__xludf.DUMMYFUNCTION("""COMPUTED_VALUE"""),44403.66666666667)</f>
        <v>44403.66667</v>
      </c>
      <c r="E1847" s="3">
        <f>IFERROR(__xludf.DUMMYFUNCTION("""COMPUTED_VALUE"""),139.64)</f>
        <v>139.64</v>
      </c>
      <c r="F1847" s="3">
        <f t="shared" si="1"/>
        <v>0.01311919631</v>
      </c>
    </row>
    <row r="1848">
      <c r="A1848" s="6"/>
      <c r="D1848" s="5">
        <f>IFERROR(__xludf.DUMMYFUNCTION("""COMPUTED_VALUE"""),44404.66666666667)</f>
        <v>44404.66667</v>
      </c>
      <c r="E1848" s="3">
        <f>IFERROR(__xludf.DUMMYFUNCTION("""COMPUTED_VALUE"""),136.8)</f>
        <v>136.8</v>
      </c>
      <c r="F1848" s="3">
        <f t="shared" si="1"/>
        <v>-0.02054767705</v>
      </c>
    </row>
    <row r="1849">
      <c r="A1849" s="6"/>
      <c r="D1849" s="5">
        <f>IFERROR(__xludf.DUMMYFUNCTION("""COMPUTED_VALUE"""),44405.66666666667)</f>
        <v>44405.66667</v>
      </c>
      <c r="E1849" s="3">
        <f>IFERROR(__xludf.DUMMYFUNCTION("""COMPUTED_VALUE"""),136.38)</f>
        <v>136.38</v>
      </c>
      <c r="F1849" s="3">
        <f t="shared" si="1"/>
        <v>-0.003074898096</v>
      </c>
    </row>
    <row r="1850">
      <c r="A1850" s="6"/>
      <c r="D1850" s="5">
        <f>IFERROR(__xludf.DUMMYFUNCTION("""COMPUTED_VALUE"""),44406.66666666667)</f>
        <v>44406.66667</v>
      </c>
      <c r="E1850" s="3">
        <f>IFERROR(__xludf.DUMMYFUNCTION("""COMPUTED_VALUE"""),136.54)</f>
        <v>136.54</v>
      </c>
      <c r="F1850" s="3">
        <f t="shared" si="1"/>
        <v>0.001172504898</v>
      </c>
    </row>
    <row r="1851">
      <c r="A1851" s="6"/>
      <c r="D1851" s="5">
        <f>IFERROR(__xludf.DUMMYFUNCTION("""COMPUTED_VALUE"""),44407.66666666667)</f>
        <v>44407.66667</v>
      </c>
      <c r="E1851" s="3">
        <f>IFERROR(__xludf.DUMMYFUNCTION("""COMPUTED_VALUE"""),135.22)</f>
        <v>135.22</v>
      </c>
      <c r="F1851" s="3">
        <f t="shared" si="1"/>
        <v>-0.009714530328</v>
      </c>
    </row>
    <row r="1852">
      <c r="A1852" s="6"/>
      <c r="D1852" s="5">
        <f>IFERROR(__xludf.DUMMYFUNCTION("""COMPUTED_VALUE"""),44410.66666666667)</f>
        <v>44410.66667</v>
      </c>
      <c r="E1852" s="3">
        <f>IFERROR(__xludf.DUMMYFUNCTION("""COMPUTED_VALUE"""),135.99)</f>
        <v>135.99</v>
      </c>
      <c r="F1852" s="3">
        <f t="shared" si="1"/>
        <v>0.005678271958</v>
      </c>
    </row>
    <row r="1853">
      <c r="A1853" s="6"/>
      <c r="D1853" s="5">
        <f>IFERROR(__xludf.DUMMYFUNCTION("""COMPUTED_VALUE"""),44411.66666666667)</f>
        <v>44411.66667</v>
      </c>
      <c r="E1853" s="3">
        <f>IFERROR(__xludf.DUMMYFUNCTION("""COMPUTED_VALUE"""),136.28)</f>
        <v>136.28</v>
      </c>
      <c r="F1853" s="3">
        <f t="shared" si="1"/>
        <v>0.002130239172</v>
      </c>
    </row>
    <row r="1854">
      <c r="A1854" s="6"/>
      <c r="D1854" s="5">
        <f>IFERROR(__xludf.DUMMYFUNCTION("""COMPUTED_VALUE"""),44412.66666666667)</f>
        <v>44412.66667</v>
      </c>
      <c r="E1854" s="3">
        <f>IFERROR(__xludf.DUMMYFUNCTION("""COMPUTED_VALUE"""),136.03)</f>
        <v>136.03</v>
      </c>
      <c r="F1854" s="3">
        <f t="shared" si="1"/>
        <v>-0.001836143147</v>
      </c>
    </row>
    <row r="1855">
      <c r="A1855" s="6"/>
      <c r="D1855" s="5">
        <f>IFERROR(__xludf.DUMMYFUNCTION("""COMPUTED_VALUE"""),44413.66666666667)</f>
        <v>44413.66667</v>
      </c>
      <c r="E1855" s="3">
        <f>IFERROR(__xludf.DUMMYFUNCTION("""COMPUTED_VALUE"""),136.94)</f>
        <v>136.94</v>
      </c>
      <c r="F1855" s="3">
        <f t="shared" si="1"/>
        <v>0.006667424048</v>
      </c>
    </row>
    <row r="1856">
      <c r="A1856" s="6"/>
      <c r="D1856" s="5">
        <f>IFERROR(__xludf.DUMMYFUNCTION("""COMPUTED_VALUE"""),44414.66666666667)</f>
        <v>44414.66667</v>
      </c>
      <c r="E1856" s="3">
        <f>IFERROR(__xludf.DUMMYFUNCTION("""COMPUTED_VALUE"""),137.04)</f>
        <v>137.04</v>
      </c>
      <c r="F1856" s="3">
        <f t="shared" si="1"/>
        <v>0.0007299803229</v>
      </c>
    </row>
    <row r="1857">
      <c r="A1857" s="6"/>
      <c r="D1857" s="5">
        <f>IFERROR(__xludf.DUMMYFUNCTION("""COMPUTED_VALUE"""),44417.66666666667)</f>
        <v>44417.66667</v>
      </c>
      <c r="E1857" s="3">
        <f>IFERROR(__xludf.DUMMYFUNCTION("""COMPUTED_VALUE"""),138.0)</f>
        <v>138</v>
      </c>
      <c r="F1857" s="3">
        <f t="shared" si="1"/>
        <v>0.006980831141</v>
      </c>
    </row>
    <row r="1858">
      <c r="A1858" s="6"/>
      <c r="D1858" s="5">
        <f>IFERROR(__xludf.DUMMYFUNCTION("""COMPUTED_VALUE"""),44418.66666666667)</f>
        <v>44418.66667</v>
      </c>
      <c r="E1858" s="3">
        <f>IFERROR(__xludf.DUMMYFUNCTION("""COMPUTED_VALUE"""),138.1)</f>
        <v>138.1</v>
      </c>
      <c r="F1858" s="3">
        <f t="shared" si="1"/>
        <v>0.000724375258</v>
      </c>
    </row>
    <row r="1859">
      <c r="A1859" s="6"/>
      <c r="D1859" s="5">
        <f>IFERROR(__xludf.DUMMYFUNCTION("""COMPUTED_VALUE"""),44419.66666666667)</f>
        <v>44419.66667</v>
      </c>
      <c r="E1859" s="3">
        <f>IFERROR(__xludf.DUMMYFUNCTION("""COMPUTED_VALUE"""),137.69)</f>
        <v>137.69</v>
      </c>
      <c r="F1859" s="3">
        <f t="shared" si="1"/>
        <v>-0.002973278959</v>
      </c>
    </row>
    <row r="1860">
      <c r="A1860" s="6"/>
      <c r="D1860" s="5">
        <f>IFERROR(__xludf.DUMMYFUNCTION("""COMPUTED_VALUE"""),44420.66666666667)</f>
        <v>44420.66667</v>
      </c>
      <c r="E1860" s="3">
        <f>IFERROR(__xludf.DUMMYFUNCTION("""COMPUTED_VALUE"""),138.39)</f>
        <v>138.39</v>
      </c>
      <c r="F1860" s="3">
        <f t="shared" si="1"/>
        <v>0.005071004782</v>
      </c>
    </row>
    <row r="1861">
      <c r="A1861" s="6"/>
      <c r="D1861" s="5">
        <f>IFERROR(__xludf.DUMMYFUNCTION("""COMPUTED_VALUE"""),44421.66666666667)</f>
        <v>44421.66667</v>
      </c>
      <c r="E1861" s="3">
        <f>IFERROR(__xludf.DUMMYFUNCTION("""COMPUTED_VALUE"""),138.41)</f>
        <v>138.41</v>
      </c>
      <c r="F1861" s="3">
        <f t="shared" si="1"/>
        <v>0.0001445086708</v>
      </c>
    </row>
    <row r="1862">
      <c r="A1862" s="6"/>
      <c r="D1862" s="5">
        <f>IFERROR(__xludf.DUMMYFUNCTION("""COMPUTED_VALUE"""),44424.66666666667)</f>
        <v>44424.66667</v>
      </c>
      <c r="E1862" s="3">
        <f>IFERROR(__xludf.DUMMYFUNCTION("""COMPUTED_VALUE"""),138.92)</f>
        <v>138.92</v>
      </c>
      <c r="F1862" s="3">
        <f t="shared" si="1"/>
        <v>0.003677932967</v>
      </c>
    </row>
    <row r="1863">
      <c r="A1863" s="6"/>
      <c r="D1863" s="5">
        <f>IFERROR(__xludf.DUMMYFUNCTION("""COMPUTED_VALUE"""),44425.66666666667)</f>
        <v>44425.66667</v>
      </c>
      <c r="E1863" s="3">
        <f>IFERROR(__xludf.DUMMYFUNCTION("""COMPUTED_VALUE"""),137.3)</f>
        <v>137.3</v>
      </c>
      <c r="F1863" s="3">
        <f t="shared" si="1"/>
        <v>-0.0117299151</v>
      </c>
    </row>
    <row r="1864">
      <c r="A1864" s="6"/>
      <c r="D1864" s="5">
        <f>IFERROR(__xludf.DUMMYFUNCTION("""COMPUTED_VALUE"""),44426.66666666667)</f>
        <v>44426.66667</v>
      </c>
      <c r="E1864" s="3">
        <f>IFERROR(__xludf.DUMMYFUNCTION("""COMPUTED_VALUE"""),136.57)</f>
        <v>136.57</v>
      </c>
      <c r="F1864" s="3">
        <f t="shared" si="1"/>
        <v>-0.005331009084</v>
      </c>
    </row>
    <row r="1865">
      <c r="A1865" s="6"/>
      <c r="D1865" s="5">
        <f>IFERROR(__xludf.DUMMYFUNCTION("""COMPUTED_VALUE"""),44427.66666666667)</f>
        <v>44427.66667</v>
      </c>
      <c r="E1865" s="3">
        <f>IFERROR(__xludf.DUMMYFUNCTION("""COMPUTED_VALUE"""),136.91)</f>
        <v>136.91</v>
      </c>
      <c r="F1865" s="3">
        <f t="shared" si="1"/>
        <v>0.002486471955</v>
      </c>
    </row>
    <row r="1866">
      <c r="A1866" s="6"/>
      <c r="D1866" s="5">
        <f>IFERROR(__xludf.DUMMYFUNCTION("""COMPUTED_VALUE"""),44428.66666666667)</f>
        <v>44428.66667</v>
      </c>
      <c r="E1866" s="3">
        <f>IFERROR(__xludf.DUMMYFUNCTION("""COMPUTED_VALUE"""),138.44)</f>
        <v>138.44</v>
      </c>
      <c r="F1866" s="3">
        <f t="shared" si="1"/>
        <v>0.01111324312</v>
      </c>
    </row>
    <row r="1867">
      <c r="A1867" s="6"/>
      <c r="D1867" s="5">
        <f>IFERROR(__xludf.DUMMYFUNCTION("""COMPUTED_VALUE"""),44431.66666666667)</f>
        <v>44431.66667</v>
      </c>
      <c r="E1867" s="3">
        <f>IFERROR(__xludf.DUMMYFUNCTION("""COMPUTED_VALUE"""),141.1)</f>
        <v>141.1</v>
      </c>
      <c r="F1867" s="3">
        <f t="shared" si="1"/>
        <v>0.01903184009</v>
      </c>
    </row>
    <row r="1868">
      <c r="A1868" s="6"/>
      <c r="D1868" s="5">
        <f>IFERROR(__xludf.DUMMYFUNCTION("""COMPUTED_VALUE"""),44432.66666666667)</f>
        <v>44432.66667</v>
      </c>
      <c r="E1868" s="3">
        <f>IFERROR(__xludf.DUMMYFUNCTION("""COMPUTED_VALUE"""),142.4)</f>
        <v>142.4</v>
      </c>
      <c r="F1868" s="3">
        <f t="shared" si="1"/>
        <v>0.009171140119</v>
      </c>
    </row>
    <row r="1869">
      <c r="A1869" s="6"/>
      <c r="D1869" s="5">
        <f>IFERROR(__xludf.DUMMYFUNCTION("""COMPUTED_VALUE"""),44433.66666666667)</f>
        <v>44433.66667</v>
      </c>
      <c r="E1869" s="3">
        <f>IFERROR(__xludf.DUMMYFUNCTION("""COMPUTED_VALUE"""),142.95)</f>
        <v>142.95</v>
      </c>
      <c r="F1869" s="3">
        <f t="shared" si="1"/>
        <v>0.00385491979</v>
      </c>
    </row>
    <row r="1870">
      <c r="A1870" s="6"/>
      <c r="D1870" s="5">
        <f>IFERROR(__xludf.DUMMYFUNCTION("""COMPUTED_VALUE"""),44434.66666666667)</f>
        <v>44434.66667</v>
      </c>
      <c r="E1870" s="3">
        <f>IFERROR(__xludf.DUMMYFUNCTION("""COMPUTED_VALUE"""),142.12)</f>
        <v>142.12</v>
      </c>
      <c r="F1870" s="3">
        <f t="shared" si="1"/>
        <v>-0.005823147615</v>
      </c>
    </row>
    <row r="1871">
      <c r="A1871" s="6"/>
      <c r="D1871" s="5">
        <f>IFERROR(__xludf.DUMMYFUNCTION("""COMPUTED_VALUE"""),44435.66666666667)</f>
        <v>44435.66667</v>
      </c>
      <c r="E1871" s="3">
        <f>IFERROR(__xludf.DUMMYFUNCTION("""COMPUTED_VALUE"""),144.55)</f>
        <v>144.55</v>
      </c>
      <c r="F1871" s="3">
        <f t="shared" si="1"/>
        <v>0.01695369731</v>
      </c>
    </row>
    <row r="1872">
      <c r="A1872" s="6"/>
      <c r="D1872" s="5">
        <f>IFERROR(__xludf.DUMMYFUNCTION("""COMPUTED_VALUE"""),44438.66666666667)</f>
        <v>44438.66667</v>
      </c>
      <c r="E1872" s="3">
        <f>IFERROR(__xludf.DUMMYFUNCTION("""COMPUTED_VALUE"""),145.47)</f>
        <v>145.47</v>
      </c>
      <c r="F1872" s="3">
        <f t="shared" si="1"/>
        <v>0.006344411323</v>
      </c>
    </row>
    <row r="1873">
      <c r="A1873" s="6"/>
      <c r="D1873" s="5">
        <f>IFERROR(__xludf.DUMMYFUNCTION("""COMPUTED_VALUE"""),44439.66666666667)</f>
        <v>44439.66667</v>
      </c>
      <c r="E1873" s="3">
        <f>IFERROR(__xludf.DUMMYFUNCTION("""COMPUTED_VALUE"""),145.46)</f>
        <v>145.46</v>
      </c>
      <c r="F1873" s="3">
        <f t="shared" si="1"/>
        <v>-0.00006874505898</v>
      </c>
    </row>
    <row r="1874">
      <c r="A1874" s="6"/>
      <c r="D1874" s="5">
        <f>IFERROR(__xludf.DUMMYFUNCTION("""COMPUTED_VALUE"""),44440.66666666667)</f>
        <v>44440.66667</v>
      </c>
      <c r="E1874" s="3">
        <f>IFERROR(__xludf.DUMMYFUNCTION("""COMPUTED_VALUE"""),145.84)</f>
        <v>145.84</v>
      </c>
      <c r="F1874" s="3">
        <f t="shared" si="1"/>
        <v>0.002608995644</v>
      </c>
    </row>
    <row r="1875">
      <c r="A1875" s="6"/>
      <c r="D1875" s="5">
        <f>IFERROR(__xludf.DUMMYFUNCTION("""COMPUTED_VALUE"""),44441.66666666667)</f>
        <v>44441.66667</v>
      </c>
      <c r="E1875" s="3">
        <f>IFERROR(__xludf.DUMMYFUNCTION("""COMPUTED_VALUE"""),144.22)</f>
        <v>144.22</v>
      </c>
      <c r="F1875" s="3">
        <f t="shared" si="1"/>
        <v>-0.01117021888</v>
      </c>
    </row>
    <row r="1876">
      <c r="A1876" s="6"/>
      <c r="D1876" s="5">
        <f>IFERROR(__xludf.DUMMYFUNCTION("""COMPUTED_VALUE"""),44442.66666666667)</f>
        <v>44442.66667</v>
      </c>
      <c r="E1876" s="3">
        <f>IFERROR(__xludf.DUMMYFUNCTION("""COMPUTED_VALUE"""),144.78)</f>
        <v>144.78</v>
      </c>
      <c r="F1876" s="3">
        <f t="shared" si="1"/>
        <v>0.003875437376</v>
      </c>
    </row>
    <row r="1877">
      <c r="A1877" s="6"/>
      <c r="D1877" s="5">
        <f>IFERROR(__xludf.DUMMYFUNCTION("""COMPUTED_VALUE"""),44446.66666666667)</f>
        <v>44446.66667</v>
      </c>
      <c r="E1877" s="3">
        <f>IFERROR(__xludf.DUMMYFUNCTION("""COMPUTED_VALUE"""),145.52)</f>
        <v>145.52</v>
      </c>
      <c r="F1877" s="3">
        <f t="shared" si="1"/>
        <v>0.005098185345</v>
      </c>
    </row>
    <row r="1878">
      <c r="A1878" s="6"/>
      <c r="D1878" s="5">
        <f>IFERROR(__xludf.DUMMYFUNCTION("""COMPUTED_VALUE"""),44447.66666666667)</f>
        <v>44447.66667</v>
      </c>
      <c r="E1878" s="3">
        <f>IFERROR(__xludf.DUMMYFUNCTION("""COMPUTED_VALUE"""),144.88)</f>
        <v>144.88</v>
      </c>
      <c r="F1878" s="3">
        <f t="shared" si="1"/>
        <v>-0.004407720635</v>
      </c>
    </row>
    <row r="1879">
      <c r="A1879" s="6"/>
      <c r="D1879" s="5">
        <f>IFERROR(__xludf.DUMMYFUNCTION("""COMPUTED_VALUE"""),44448.66666666667)</f>
        <v>44448.66667</v>
      </c>
      <c r="E1879" s="3">
        <f>IFERROR(__xludf.DUMMYFUNCTION("""COMPUTED_VALUE"""),144.91)</f>
        <v>144.91</v>
      </c>
      <c r="F1879" s="3">
        <f t="shared" si="1"/>
        <v>0.0002070464827</v>
      </c>
    </row>
    <row r="1880">
      <c r="A1880" s="6"/>
      <c r="D1880" s="5">
        <f>IFERROR(__xludf.DUMMYFUNCTION("""COMPUTED_VALUE"""),44449.66666666667)</f>
        <v>44449.66667</v>
      </c>
      <c r="E1880" s="3">
        <f>IFERROR(__xludf.DUMMYFUNCTION("""COMPUTED_VALUE"""),141.92)</f>
        <v>141.92</v>
      </c>
      <c r="F1880" s="3">
        <f t="shared" si="1"/>
        <v>-0.0208493415</v>
      </c>
    </row>
    <row r="1881">
      <c r="A1881" s="6"/>
      <c r="D1881" s="5">
        <f>IFERROR(__xludf.DUMMYFUNCTION("""COMPUTED_VALUE"""),44452.66666666667)</f>
        <v>44452.66667</v>
      </c>
      <c r="E1881" s="3">
        <f>IFERROR(__xludf.DUMMYFUNCTION("""COMPUTED_VALUE"""),143.47)</f>
        <v>143.47</v>
      </c>
      <c r="F1881" s="3">
        <f t="shared" si="1"/>
        <v>0.01086243555</v>
      </c>
    </row>
    <row r="1882">
      <c r="A1882" s="6"/>
      <c r="D1882" s="5">
        <f>IFERROR(__xludf.DUMMYFUNCTION("""COMPUTED_VALUE"""),44453.66666666667)</f>
        <v>44453.66667</v>
      </c>
      <c r="E1882" s="3">
        <f>IFERROR(__xludf.DUMMYFUNCTION("""COMPUTED_VALUE"""),143.41)</f>
        <v>143.41</v>
      </c>
      <c r="F1882" s="3">
        <f t="shared" si="1"/>
        <v>-0.0004182933692</v>
      </c>
    </row>
    <row r="1883">
      <c r="A1883" s="6"/>
      <c r="D1883" s="5">
        <f>IFERROR(__xludf.DUMMYFUNCTION("""COMPUTED_VALUE"""),44454.66666666667)</f>
        <v>44454.66667</v>
      </c>
      <c r="E1883" s="3">
        <f>IFERROR(__xludf.DUMMYFUNCTION("""COMPUTED_VALUE"""),145.21)</f>
        <v>145.21</v>
      </c>
      <c r="F1883" s="3">
        <f t="shared" si="1"/>
        <v>0.0124733098</v>
      </c>
    </row>
    <row r="1884">
      <c r="A1884" s="6"/>
      <c r="D1884" s="5">
        <f>IFERROR(__xludf.DUMMYFUNCTION("""COMPUTED_VALUE"""),44455.66666666667)</f>
        <v>44455.66667</v>
      </c>
      <c r="E1884" s="3">
        <f>IFERROR(__xludf.DUMMYFUNCTION("""COMPUTED_VALUE"""),144.37)</f>
        <v>144.37</v>
      </c>
      <c r="F1884" s="3">
        <f t="shared" si="1"/>
        <v>-0.005801521901</v>
      </c>
    </row>
    <row r="1885">
      <c r="A1885" s="6"/>
      <c r="D1885" s="5">
        <f>IFERROR(__xludf.DUMMYFUNCTION("""COMPUTED_VALUE"""),44456.66666666667)</f>
        <v>44456.66667</v>
      </c>
      <c r="E1885" s="3">
        <f>IFERROR(__xludf.DUMMYFUNCTION("""COMPUTED_VALUE"""),141.46)</f>
        <v>141.46</v>
      </c>
      <c r="F1885" s="3">
        <f t="shared" si="1"/>
        <v>-0.02036245703</v>
      </c>
    </row>
    <row r="1886">
      <c r="A1886" s="6"/>
      <c r="D1886" s="5">
        <f>IFERROR(__xludf.DUMMYFUNCTION("""COMPUTED_VALUE"""),44459.66666666667)</f>
        <v>44459.66667</v>
      </c>
      <c r="E1886" s="3">
        <f>IFERROR(__xludf.DUMMYFUNCTION("""COMPUTED_VALUE"""),139.02)</f>
        <v>139.02</v>
      </c>
      <c r="F1886" s="3">
        <f t="shared" si="1"/>
        <v>-0.01739918394</v>
      </c>
    </row>
    <row r="1887">
      <c r="A1887" s="6"/>
      <c r="D1887" s="5">
        <f>IFERROR(__xludf.DUMMYFUNCTION("""COMPUTED_VALUE"""),44460.66666666667)</f>
        <v>44460.66667</v>
      </c>
      <c r="E1887" s="3">
        <f>IFERROR(__xludf.DUMMYFUNCTION("""COMPUTED_VALUE"""),139.65)</f>
        <v>139.65</v>
      </c>
      <c r="F1887" s="3">
        <f t="shared" si="1"/>
        <v>0.004521484719</v>
      </c>
    </row>
    <row r="1888">
      <c r="A1888" s="6"/>
      <c r="D1888" s="5">
        <f>IFERROR(__xludf.DUMMYFUNCTION("""COMPUTED_VALUE"""),44461.66666666667)</f>
        <v>44461.66667</v>
      </c>
      <c r="E1888" s="3">
        <f>IFERROR(__xludf.DUMMYFUNCTION("""COMPUTED_VALUE"""),140.94)</f>
        <v>140.94</v>
      </c>
      <c r="F1888" s="3">
        <f t="shared" si="1"/>
        <v>0.009194975508</v>
      </c>
    </row>
    <row r="1889">
      <c r="A1889" s="6"/>
      <c r="D1889" s="5">
        <f>IFERROR(__xludf.DUMMYFUNCTION("""COMPUTED_VALUE"""),44462.66666666667)</f>
        <v>44462.66667</v>
      </c>
      <c r="E1889" s="3">
        <f>IFERROR(__xludf.DUMMYFUNCTION("""COMPUTED_VALUE"""),141.83)</f>
        <v>141.83</v>
      </c>
      <c r="F1889" s="3">
        <f t="shared" si="1"/>
        <v>0.006294889408</v>
      </c>
    </row>
    <row r="1890">
      <c r="A1890" s="6"/>
      <c r="D1890" s="5">
        <f>IFERROR(__xludf.DUMMYFUNCTION("""COMPUTED_VALUE"""),44463.66666666667)</f>
        <v>44463.66667</v>
      </c>
      <c r="E1890" s="3">
        <f>IFERROR(__xludf.DUMMYFUNCTION("""COMPUTED_VALUE"""),142.63)</f>
        <v>142.63</v>
      </c>
      <c r="F1890" s="3">
        <f t="shared" si="1"/>
        <v>0.005624707229</v>
      </c>
    </row>
    <row r="1891">
      <c r="A1891" s="6"/>
      <c r="D1891" s="5">
        <f>IFERROR(__xludf.DUMMYFUNCTION("""COMPUTED_VALUE"""),44466.66666666667)</f>
        <v>44466.66667</v>
      </c>
      <c r="E1891" s="3">
        <f>IFERROR(__xludf.DUMMYFUNCTION("""COMPUTED_VALUE"""),141.5)</f>
        <v>141.5</v>
      </c>
      <c r="F1891" s="3">
        <f t="shared" si="1"/>
        <v>-0.007954147452</v>
      </c>
    </row>
    <row r="1892">
      <c r="A1892" s="6"/>
      <c r="D1892" s="5">
        <f>IFERROR(__xludf.DUMMYFUNCTION("""COMPUTED_VALUE"""),44467.66666666667)</f>
        <v>44467.66667</v>
      </c>
      <c r="E1892" s="3">
        <f>IFERROR(__xludf.DUMMYFUNCTION("""COMPUTED_VALUE"""),136.18)</f>
        <v>136.18</v>
      </c>
      <c r="F1892" s="3">
        <f t="shared" si="1"/>
        <v>-0.03832217703</v>
      </c>
    </row>
    <row r="1893">
      <c r="A1893" s="6"/>
      <c r="D1893" s="5">
        <f>IFERROR(__xludf.DUMMYFUNCTION("""COMPUTED_VALUE"""),44468.66666666667)</f>
        <v>44468.66667</v>
      </c>
      <c r="E1893" s="3">
        <f>IFERROR(__xludf.DUMMYFUNCTION("""COMPUTED_VALUE"""),134.52)</f>
        <v>134.52</v>
      </c>
      <c r="F1893" s="3">
        <f t="shared" si="1"/>
        <v>-0.01226465318</v>
      </c>
    </row>
    <row r="1894">
      <c r="A1894" s="6"/>
      <c r="D1894" s="5">
        <f>IFERROR(__xludf.DUMMYFUNCTION("""COMPUTED_VALUE"""),44469.66666666667)</f>
        <v>44469.66667</v>
      </c>
      <c r="E1894" s="3">
        <f>IFERROR(__xludf.DUMMYFUNCTION("""COMPUTED_VALUE"""),133.27)</f>
        <v>133.27</v>
      </c>
      <c r="F1894" s="3">
        <f t="shared" si="1"/>
        <v>-0.00933574128</v>
      </c>
    </row>
    <row r="1895">
      <c r="A1895" s="6"/>
      <c r="D1895" s="5">
        <f>IFERROR(__xludf.DUMMYFUNCTION("""COMPUTED_VALUE"""),44470.66666666667)</f>
        <v>44470.66667</v>
      </c>
      <c r="E1895" s="3">
        <f>IFERROR(__xludf.DUMMYFUNCTION("""COMPUTED_VALUE"""),136.46)</f>
        <v>136.46</v>
      </c>
      <c r="F1895" s="3">
        <f t="shared" si="1"/>
        <v>0.0236543858</v>
      </c>
    </row>
    <row r="1896">
      <c r="A1896" s="6"/>
      <c r="D1896" s="5">
        <f>IFERROR(__xludf.DUMMYFUNCTION("""COMPUTED_VALUE"""),44473.66666666667)</f>
        <v>44473.66667</v>
      </c>
      <c r="E1896" s="3">
        <f>IFERROR(__xludf.DUMMYFUNCTION("""COMPUTED_VALUE"""),133.76)</f>
        <v>133.76</v>
      </c>
      <c r="F1896" s="3">
        <f t="shared" si="1"/>
        <v>-0.01998438205</v>
      </c>
    </row>
    <row r="1897">
      <c r="A1897" s="6"/>
      <c r="D1897" s="5">
        <f>IFERROR(__xludf.DUMMYFUNCTION("""COMPUTED_VALUE"""),44474.66666666667)</f>
        <v>44474.66667</v>
      </c>
      <c r="E1897" s="3">
        <f>IFERROR(__xludf.DUMMYFUNCTION("""COMPUTED_VALUE"""),136.18)</f>
        <v>136.18</v>
      </c>
      <c r="F1897" s="3">
        <f t="shared" si="1"/>
        <v>0.01793039072</v>
      </c>
    </row>
    <row r="1898">
      <c r="A1898" s="6"/>
      <c r="D1898" s="5">
        <f>IFERROR(__xludf.DUMMYFUNCTION("""COMPUTED_VALUE"""),44475.66666666667)</f>
        <v>44475.66667</v>
      </c>
      <c r="E1898" s="3">
        <f>IFERROR(__xludf.DUMMYFUNCTION("""COMPUTED_VALUE"""),137.35)</f>
        <v>137.35</v>
      </c>
      <c r="F1898" s="3">
        <f t="shared" si="1"/>
        <v>0.008554872486</v>
      </c>
    </row>
    <row r="1899">
      <c r="A1899" s="6"/>
      <c r="D1899" s="5">
        <f>IFERROR(__xludf.DUMMYFUNCTION("""COMPUTED_VALUE"""),44476.66666666667)</f>
        <v>44476.66667</v>
      </c>
      <c r="E1899" s="3">
        <f>IFERROR(__xludf.DUMMYFUNCTION("""COMPUTED_VALUE"""),139.19)</f>
        <v>139.19</v>
      </c>
      <c r="F1899" s="3">
        <f t="shared" si="1"/>
        <v>0.0133074937</v>
      </c>
    </row>
    <row r="1900">
      <c r="A1900" s="6"/>
      <c r="D1900" s="5">
        <f>IFERROR(__xludf.DUMMYFUNCTION("""COMPUTED_VALUE"""),44477.66666666667)</f>
        <v>44477.66667</v>
      </c>
      <c r="E1900" s="3">
        <f>IFERROR(__xludf.DUMMYFUNCTION("""COMPUTED_VALUE"""),140.06)</f>
        <v>140.06</v>
      </c>
      <c r="F1900" s="3">
        <f t="shared" si="1"/>
        <v>0.006230995988</v>
      </c>
    </row>
    <row r="1901">
      <c r="A1901" s="6"/>
      <c r="D1901" s="5">
        <f>IFERROR(__xludf.DUMMYFUNCTION("""COMPUTED_VALUE"""),44480.66666666667)</f>
        <v>44480.66667</v>
      </c>
      <c r="E1901" s="3">
        <f>IFERROR(__xludf.DUMMYFUNCTION("""COMPUTED_VALUE"""),138.85)</f>
        <v>138.85</v>
      </c>
      <c r="F1901" s="3">
        <f t="shared" si="1"/>
        <v>-0.008676688475</v>
      </c>
    </row>
    <row r="1902">
      <c r="A1902" s="6"/>
      <c r="D1902" s="5">
        <f>IFERROR(__xludf.DUMMYFUNCTION("""COMPUTED_VALUE"""),44481.66666666667)</f>
        <v>44481.66667</v>
      </c>
      <c r="E1902" s="3">
        <f>IFERROR(__xludf.DUMMYFUNCTION("""COMPUTED_VALUE"""),136.71)</f>
        <v>136.71</v>
      </c>
      <c r="F1902" s="3">
        <f t="shared" si="1"/>
        <v>-0.01553231981</v>
      </c>
    </row>
    <row r="1903">
      <c r="A1903" s="6"/>
      <c r="D1903" s="5">
        <f>IFERROR(__xludf.DUMMYFUNCTION("""COMPUTED_VALUE"""),44482.66666666667)</f>
        <v>44482.66667</v>
      </c>
      <c r="E1903" s="3">
        <f>IFERROR(__xludf.DUMMYFUNCTION("""COMPUTED_VALUE"""),137.9)</f>
        <v>137.9</v>
      </c>
      <c r="F1903" s="3">
        <f t="shared" si="1"/>
        <v>0.008666890855</v>
      </c>
    </row>
    <row r="1904">
      <c r="A1904" s="6"/>
      <c r="D1904" s="5">
        <f>IFERROR(__xludf.DUMMYFUNCTION("""COMPUTED_VALUE"""),44483.66666666667)</f>
        <v>44483.66667</v>
      </c>
      <c r="E1904" s="3">
        <f>IFERROR(__xludf.DUMMYFUNCTION("""COMPUTED_VALUE"""),141.41)</f>
        <v>141.41</v>
      </c>
      <c r="F1904" s="3">
        <f t="shared" si="1"/>
        <v>0.02513468752</v>
      </c>
    </row>
    <row r="1905">
      <c r="A1905" s="6"/>
      <c r="D1905" s="5">
        <f>IFERROR(__xludf.DUMMYFUNCTION("""COMPUTED_VALUE"""),44484.66666666667)</f>
        <v>44484.66667</v>
      </c>
      <c r="E1905" s="3">
        <f>IFERROR(__xludf.DUMMYFUNCTION("""COMPUTED_VALUE"""),141.68)</f>
        <v>141.68</v>
      </c>
      <c r="F1905" s="3">
        <f t="shared" si="1"/>
        <v>0.001907521155</v>
      </c>
    </row>
    <row r="1906">
      <c r="A1906" s="6"/>
      <c r="D1906" s="5">
        <f>IFERROR(__xludf.DUMMYFUNCTION("""COMPUTED_VALUE"""),44487.66666666667)</f>
        <v>44487.66667</v>
      </c>
      <c r="E1906" s="3">
        <f>IFERROR(__xludf.DUMMYFUNCTION("""COMPUTED_VALUE"""),142.96)</f>
        <v>142.96</v>
      </c>
      <c r="F1906" s="3">
        <f t="shared" si="1"/>
        <v>0.008993877377</v>
      </c>
    </row>
    <row r="1907">
      <c r="A1907" s="6"/>
      <c r="D1907" s="5">
        <f>IFERROR(__xludf.DUMMYFUNCTION("""COMPUTED_VALUE"""),44488.66666666667)</f>
        <v>44488.66667</v>
      </c>
      <c r="E1907" s="3">
        <f>IFERROR(__xludf.DUMMYFUNCTION("""COMPUTED_VALUE"""),143.82)</f>
        <v>143.82</v>
      </c>
      <c r="F1907" s="3">
        <f t="shared" si="1"/>
        <v>0.005997646823</v>
      </c>
    </row>
    <row r="1908">
      <c r="A1908" s="6"/>
      <c r="D1908" s="5">
        <f>IFERROR(__xludf.DUMMYFUNCTION("""COMPUTED_VALUE"""),44489.66666666667)</f>
        <v>44489.66667</v>
      </c>
      <c r="E1908" s="3">
        <f>IFERROR(__xludf.DUMMYFUNCTION("""COMPUTED_VALUE"""),142.42)</f>
        <v>142.42</v>
      </c>
      <c r="F1908" s="3">
        <f t="shared" si="1"/>
        <v>-0.00978207912</v>
      </c>
    </row>
    <row r="1909">
      <c r="A1909" s="6"/>
      <c r="D1909" s="5">
        <f>IFERROR(__xludf.DUMMYFUNCTION("""COMPUTED_VALUE"""),44490.66666666667)</f>
        <v>44490.66667</v>
      </c>
      <c r="E1909" s="3">
        <f>IFERROR(__xludf.DUMMYFUNCTION("""COMPUTED_VALUE"""),142.78)</f>
        <v>142.78</v>
      </c>
      <c r="F1909" s="3">
        <f t="shared" si="1"/>
        <v>0.00252454552</v>
      </c>
    </row>
    <row r="1910">
      <c r="A1910" s="6"/>
      <c r="D1910" s="5">
        <f>IFERROR(__xludf.DUMMYFUNCTION("""COMPUTED_VALUE"""),44491.66666666667)</f>
        <v>44491.66667</v>
      </c>
      <c r="E1910" s="3">
        <f>IFERROR(__xludf.DUMMYFUNCTION("""COMPUTED_VALUE"""),138.63)</f>
        <v>138.63</v>
      </c>
      <c r="F1910" s="3">
        <f t="shared" si="1"/>
        <v>-0.02949647052</v>
      </c>
    </row>
    <row r="1911">
      <c r="A1911" s="6"/>
      <c r="D1911" s="5">
        <f>IFERROR(__xludf.DUMMYFUNCTION("""COMPUTED_VALUE"""),44494.66666666667)</f>
        <v>44494.66667</v>
      </c>
      <c r="E1911" s="3">
        <f>IFERROR(__xludf.DUMMYFUNCTION("""COMPUTED_VALUE"""),138.77)</f>
        <v>138.77</v>
      </c>
      <c r="F1911" s="3">
        <f t="shared" si="1"/>
        <v>0.001009372833</v>
      </c>
    </row>
    <row r="1912">
      <c r="A1912" s="6"/>
      <c r="D1912" s="5">
        <f>IFERROR(__xludf.DUMMYFUNCTION("""COMPUTED_VALUE"""),44495.66666666667)</f>
        <v>44495.66667</v>
      </c>
      <c r="E1912" s="3">
        <f>IFERROR(__xludf.DUMMYFUNCTION("""COMPUTED_VALUE"""),139.67)</f>
        <v>139.67</v>
      </c>
      <c r="F1912" s="3">
        <f t="shared" si="1"/>
        <v>0.006464610935</v>
      </c>
    </row>
    <row r="1913">
      <c r="A1913" s="6"/>
      <c r="D1913" s="5">
        <f>IFERROR(__xludf.DUMMYFUNCTION("""COMPUTED_VALUE"""),44496.66666666667)</f>
        <v>44496.66667</v>
      </c>
      <c r="E1913" s="3">
        <f>IFERROR(__xludf.DUMMYFUNCTION("""COMPUTED_VALUE"""),146.43)</f>
        <v>146.43</v>
      </c>
      <c r="F1913" s="3">
        <f t="shared" si="1"/>
        <v>0.04726500125</v>
      </c>
    </row>
    <row r="1914">
      <c r="A1914" s="6"/>
      <c r="D1914" s="5">
        <f>IFERROR(__xludf.DUMMYFUNCTION("""COMPUTED_VALUE"""),44497.66666666667)</f>
        <v>44497.66667</v>
      </c>
      <c r="E1914" s="3">
        <f>IFERROR(__xludf.DUMMYFUNCTION("""COMPUTED_VALUE"""),146.13)</f>
        <v>146.13</v>
      </c>
      <c r="F1914" s="3">
        <f t="shared" si="1"/>
        <v>-0.002050862081</v>
      </c>
    </row>
    <row r="1915">
      <c r="A1915" s="6"/>
      <c r="D1915" s="5">
        <f>IFERROR(__xludf.DUMMYFUNCTION("""COMPUTED_VALUE"""),44498.66666666667)</f>
        <v>44498.66667</v>
      </c>
      <c r="E1915" s="3">
        <f>IFERROR(__xludf.DUMMYFUNCTION("""COMPUTED_VALUE"""),148.27)</f>
        <v>148.27</v>
      </c>
      <c r="F1915" s="3">
        <f t="shared" si="1"/>
        <v>0.01453829954</v>
      </c>
    </row>
    <row r="1916">
      <c r="A1916" s="6"/>
      <c r="D1916" s="5">
        <f>IFERROR(__xludf.DUMMYFUNCTION("""COMPUTED_VALUE"""),44501.66666666667)</f>
        <v>44501.66667</v>
      </c>
      <c r="E1916" s="3">
        <f>IFERROR(__xludf.DUMMYFUNCTION("""COMPUTED_VALUE"""),143.77)</f>
        <v>143.77</v>
      </c>
      <c r="F1916" s="3">
        <f t="shared" si="1"/>
        <v>-0.0308201356</v>
      </c>
    </row>
    <row r="1917">
      <c r="A1917" s="6"/>
      <c r="D1917" s="5">
        <f>IFERROR(__xludf.DUMMYFUNCTION("""COMPUTED_VALUE"""),44502.66666666667)</f>
        <v>44502.66667</v>
      </c>
      <c r="E1917" s="3">
        <f>IFERROR(__xludf.DUMMYFUNCTION("""COMPUTED_VALUE"""),145.86)</f>
        <v>145.86</v>
      </c>
      <c r="F1917" s="3">
        <f t="shared" si="1"/>
        <v>0.01443245712</v>
      </c>
    </row>
    <row r="1918">
      <c r="A1918" s="6"/>
      <c r="D1918" s="5">
        <f>IFERROR(__xludf.DUMMYFUNCTION("""COMPUTED_VALUE"""),44503.66666666667)</f>
        <v>44503.66667</v>
      </c>
      <c r="E1918" s="3">
        <f>IFERROR(__xludf.DUMMYFUNCTION("""COMPUTED_VALUE"""),146.79)</f>
        <v>146.79</v>
      </c>
      <c r="F1918" s="3">
        <f t="shared" si="1"/>
        <v>0.006355736413</v>
      </c>
    </row>
    <row r="1919">
      <c r="A1919" s="6"/>
      <c r="D1919" s="5">
        <f>IFERROR(__xludf.DUMMYFUNCTION("""COMPUTED_VALUE"""),44504.66666666667)</f>
        <v>44504.66667</v>
      </c>
      <c r="E1919" s="3">
        <f>IFERROR(__xludf.DUMMYFUNCTION("""COMPUTED_VALUE"""),148.68)</f>
        <v>148.68</v>
      </c>
      <c r="F1919" s="3">
        <f t="shared" si="1"/>
        <v>0.01279335146</v>
      </c>
    </row>
    <row r="1920">
      <c r="A1920" s="6"/>
      <c r="D1920" s="5">
        <f>IFERROR(__xludf.DUMMYFUNCTION("""COMPUTED_VALUE"""),44505.66666666667)</f>
        <v>44505.66667</v>
      </c>
      <c r="E1920" s="3">
        <f>IFERROR(__xludf.DUMMYFUNCTION("""COMPUTED_VALUE"""),149.24)</f>
        <v>149.24</v>
      </c>
      <c r="F1920" s="3">
        <f t="shared" si="1"/>
        <v>0.003759402924</v>
      </c>
    </row>
    <row r="1921">
      <c r="A1921" s="6"/>
      <c r="D1921" s="5">
        <f>IFERROR(__xludf.DUMMYFUNCTION("""COMPUTED_VALUE"""),44508.66666666667)</f>
        <v>44508.66667</v>
      </c>
      <c r="E1921" s="3">
        <f>IFERROR(__xludf.DUMMYFUNCTION("""COMPUTED_VALUE"""),149.35)</f>
        <v>149.35</v>
      </c>
      <c r="F1921" s="3">
        <f t="shared" si="1"/>
        <v>0.0007367963092</v>
      </c>
    </row>
    <row r="1922">
      <c r="A1922" s="6"/>
      <c r="D1922" s="5">
        <f>IFERROR(__xludf.DUMMYFUNCTION("""COMPUTED_VALUE"""),44509.66666666667)</f>
        <v>44509.66667</v>
      </c>
      <c r="E1922" s="3">
        <f>IFERROR(__xludf.DUMMYFUNCTION("""COMPUTED_VALUE"""),149.25)</f>
        <v>149.25</v>
      </c>
      <c r="F1922" s="3">
        <f t="shared" si="1"/>
        <v>-0.0006697923894</v>
      </c>
    </row>
    <row r="1923">
      <c r="A1923" s="6"/>
      <c r="D1923" s="5">
        <f>IFERROR(__xludf.DUMMYFUNCTION("""COMPUTED_VALUE"""),44510.66666666667)</f>
        <v>44510.66667</v>
      </c>
      <c r="E1923" s="3">
        <f>IFERROR(__xludf.DUMMYFUNCTION("""COMPUTED_VALUE"""),146.63)</f>
        <v>146.63</v>
      </c>
      <c r="F1923" s="3">
        <f t="shared" si="1"/>
        <v>-0.01771034528</v>
      </c>
    </row>
    <row r="1924">
      <c r="A1924" s="6"/>
      <c r="D1924" s="5">
        <f>IFERROR(__xludf.DUMMYFUNCTION("""COMPUTED_VALUE"""),44511.66666666667)</f>
        <v>44511.66667</v>
      </c>
      <c r="E1924" s="3">
        <f>IFERROR(__xludf.DUMMYFUNCTION("""COMPUTED_VALUE"""),146.75)</f>
        <v>146.75</v>
      </c>
      <c r="F1924" s="3">
        <f t="shared" si="1"/>
        <v>0.0008180517192</v>
      </c>
    </row>
    <row r="1925">
      <c r="A1925" s="6"/>
      <c r="D1925" s="5">
        <f>IFERROR(__xludf.DUMMYFUNCTION("""COMPUTED_VALUE"""),44512.66666666667)</f>
        <v>44512.66667</v>
      </c>
      <c r="E1925" s="3">
        <f>IFERROR(__xludf.DUMMYFUNCTION("""COMPUTED_VALUE"""),149.65)</f>
        <v>149.65</v>
      </c>
      <c r="F1925" s="3">
        <f t="shared" si="1"/>
        <v>0.01956877559</v>
      </c>
    </row>
    <row r="1926">
      <c r="A1926" s="6"/>
      <c r="D1926" s="5">
        <f>IFERROR(__xludf.DUMMYFUNCTION("""COMPUTED_VALUE"""),44515.66666666667)</f>
        <v>44515.66667</v>
      </c>
      <c r="E1926" s="3">
        <f>IFERROR(__xludf.DUMMYFUNCTION("""COMPUTED_VALUE"""),149.39)</f>
        <v>149.39</v>
      </c>
      <c r="F1926" s="3">
        <f t="shared" si="1"/>
        <v>-0.001738898244</v>
      </c>
    </row>
    <row r="1927">
      <c r="A1927" s="6"/>
      <c r="D1927" s="5">
        <f>IFERROR(__xludf.DUMMYFUNCTION("""COMPUTED_VALUE"""),44516.66666666667)</f>
        <v>44516.66667</v>
      </c>
      <c r="E1927" s="3">
        <f>IFERROR(__xludf.DUMMYFUNCTION("""COMPUTED_VALUE"""),149.08)</f>
        <v>149.08</v>
      </c>
      <c r="F1927" s="3">
        <f t="shared" si="1"/>
        <v>-0.002077261443</v>
      </c>
    </row>
    <row r="1928">
      <c r="A1928" s="6"/>
      <c r="D1928" s="5">
        <f>IFERROR(__xludf.DUMMYFUNCTION("""COMPUTED_VALUE"""),44517.66666666667)</f>
        <v>44517.66667</v>
      </c>
      <c r="E1928" s="3">
        <f>IFERROR(__xludf.DUMMYFUNCTION("""COMPUTED_VALUE"""),149.06)</f>
        <v>149.06</v>
      </c>
      <c r="F1928" s="3">
        <f t="shared" si="1"/>
        <v>-0.0001341651575</v>
      </c>
    </row>
    <row r="1929">
      <c r="A1929" s="6"/>
      <c r="D1929" s="5">
        <f>IFERROR(__xludf.DUMMYFUNCTION("""COMPUTED_VALUE"""),44518.66666666667)</f>
        <v>44518.66667</v>
      </c>
      <c r="E1929" s="3">
        <f>IFERROR(__xludf.DUMMYFUNCTION("""COMPUTED_VALUE"""),150.71)</f>
        <v>150.71</v>
      </c>
      <c r="F1929" s="3">
        <f t="shared" si="1"/>
        <v>0.01100855098</v>
      </c>
    </row>
    <row r="1930">
      <c r="A1930" s="6"/>
      <c r="D1930" s="5">
        <f>IFERROR(__xludf.DUMMYFUNCTION("""COMPUTED_VALUE"""),44519.66666666667)</f>
        <v>44519.66667</v>
      </c>
      <c r="E1930" s="3">
        <f>IFERROR(__xludf.DUMMYFUNCTION("""COMPUTED_VALUE"""),149.95)</f>
        <v>149.95</v>
      </c>
      <c r="F1930" s="3">
        <f t="shared" si="1"/>
        <v>-0.005055555237</v>
      </c>
    </row>
    <row r="1931">
      <c r="A1931" s="6"/>
      <c r="D1931" s="5">
        <f>IFERROR(__xludf.DUMMYFUNCTION("""COMPUTED_VALUE"""),44522.66666666667)</f>
        <v>44522.66667</v>
      </c>
      <c r="E1931" s="3">
        <f>IFERROR(__xludf.DUMMYFUNCTION("""COMPUTED_VALUE"""),147.08)</f>
        <v>147.08</v>
      </c>
      <c r="F1931" s="3">
        <f t="shared" si="1"/>
        <v>-0.01932524876</v>
      </c>
    </row>
    <row r="1932">
      <c r="A1932" s="6"/>
      <c r="D1932" s="5">
        <f>IFERROR(__xludf.DUMMYFUNCTION("""COMPUTED_VALUE"""),44523.66666666667)</f>
        <v>44523.66667</v>
      </c>
      <c r="E1932" s="3">
        <f>IFERROR(__xludf.DUMMYFUNCTION("""COMPUTED_VALUE"""),146.76)</f>
        <v>146.76</v>
      </c>
      <c r="F1932" s="3">
        <f t="shared" si="1"/>
        <v>-0.002178056946</v>
      </c>
    </row>
    <row r="1933">
      <c r="A1933" s="6"/>
      <c r="D1933" s="5">
        <f>IFERROR(__xludf.DUMMYFUNCTION("""COMPUTED_VALUE"""),44524.66666666667)</f>
        <v>44524.66667</v>
      </c>
      <c r="E1933" s="3">
        <f>IFERROR(__xludf.DUMMYFUNCTION("""COMPUTED_VALUE"""),146.72)</f>
        <v>146.72</v>
      </c>
      <c r="F1933" s="3">
        <f t="shared" si="1"/>
        <v>-0.0002725909789</v>
      </c>
    </row>
    <row r="1934">
      <c r="A1934" s="6"/>
      <c r="D1934" s="5">
        <f>IFERROR(__xludf.DUMMYFUNCTION("""COMPUTED_VALUE"""),44526.54166666667)</f>
        <v>44526.54167</v>
      </c>
      <c r="E1934" s="3">
        <f>IFERROR(__xludf.DUMMYFUNCTION("""COMPUTED_VALUE"""),142.81)</f>
        <v>142.81</v>
      </c>
      <c r="F1934" s="3">
        <f t="shared" si="1"/>
        <v>-0.02701093304</v>
      </c>
    </row>
    <row r="1935">
      <c r="A1935" s="6"/>
      <c r="D1935" s="5">
        <f>IFERROR(__xludf.DUMMYFUNCTION("""COMPUTED_VALUE"""),44529.66666666667)</f>
        <v>44529.66667</v>
      </c>
      <c r="E1935" s="3">
        <f>IFERROR(__xludf.DUMMYFUNCTION("""COMPUTED_VALUE"""),146.11)</f>
        <v>146.11</v>
      </c>
      <c r="F1935" s="3">
        <f t="shared" si="1"/>
        <v>0.02284468722</v>
      </c>
    </row>
    <row r="1936">
      <c r="A1936" s="6"/>
      <c r="D1936" s="5">
        <f>IFERROR(__xludf.DUMMYFUNCTION("""COMPUTED_VALUE"""),44530.66666666667)</f>
        <v>44530.66667</v>
      </c>
      <c r="E1936" s="3">
        <f>IFERROR(__xludf.DUMMYFUNCTION("""COMPUTED_VALUE"""),142.45)</f>
        <v>142.45</v>
      </c>
      <c r="F1936" s="3">
        <f t="shared" si="1"/>
        <v>-0.02536870174</v>
      </c>
    </row>
    <row r="1937">
      <c r="A1937" s="6"/>
      <c r="D1937" s="5">
        <f>IFERROR(__xludf.DUMMYFUNCTION("""COMPUTED_VALUE"""),44531.66666666667)</f>
        <v>44531.66667</v>
      </c>
      <c r="E1937" s="3">
        <f>IFERROR(__xludf.DUMMYFUNCTION("""COMPUTED_VALUE"""),141.62)</f>
        <v>141.62</v>
      </c>
      <c r="F1937" s="3">
        <f t="shared" si="1"/>
        <v>-0.00584364672</v>
      </c>
    </row>
    <row r="1938">
      <c r="A1938" s="6"/>
      <c r="D1938" s="5">
        <f>IFERROR(__xludf.DUMMYFUNCTION("""COMPUTED_VALUE"""),44532.66666666667)</f>
        <v>44532.66667</v>
      </c>
      <c r="E1938" s="3">
        <f>IFERROR(__xludf.DUMMYFUNCTION("""COMPUTED_VALUE"""),143.78)</f>
        <v>143.78</v>
      </c>
      <c r="F1938" s="3">
        <f t="shared" si="1"/>
        <v>0.01513693933</v>
      </c>
    </row>
    <row r="1939">
      <c r="A1939" s="6"/>
      <c r="D1939" s="5">
        <f>IFERROR(__xludf.DUMMYFUNCTION("""COMPUTED_VALUE"""),44533.66666666667)</f>
        <v>44533.66667</v>
      </c>
      <c r="E1939" s="3">
        <f>IFERROR(__xludf.DUMMYFUNCTION("""COMPUTED_VALUE"""),142.52)</f>
        <v>142.52</v>
      </c>
      <c r="F1939" s="3">
        <f t="shared" si="1"/>
        <v>-0.008802012818</v>
      </c>
    </row>
    <row r="1940">
      <c r="A1940" s="6"/>
      <c r="D1940" s="5">
        <f>IFERROR(__xludf.DUMMYFUNCTION("""COMPUTED_VALUE"""),44536.66666666667)</f>
        <v>44536.66667</v>
      </c>
      <c r="E1940" s="3">
        <f>IFERROR(__xludf.DUMMYFUNCTION("""COMPUTED_VALUE"""),143.8)</f>
        <v>143.8</v>
      </c>
      <c r="F1940" s="3">
        <f t="shared" si="1"/>
        <v>0.008941104549</v>
      </c>
    </row>
    <row r="1941">
      <c r="A1941" s="6"/>
      <c r="D1941" s="5">
        <f>IFERROR(__xludf.DUMMYFUNCTION("""COMPUTED_VALUE"""),44537.66666666667)</f>
        <v>44537.66667</v>
      </c>
      <c r="E1941" s="3">
        <f>IFERROR(__xludf.DUMMYFUNCTION("""COMPUTED_VALUE"""),148.04)</f>
        <v>148.04</v>
      </c>
      <c r="F1941" s="3">
        <f t="shared" si="1"/>
        <v>0.02905906223</v>
      </c>
    </row>
    <row r="1942">
      <c r="A1942" s="6"/>
      <c r="D1942" s="5">
        <f>IFERROR(__xludf.DUMMYFUNCTION("""COMPUTED_VALUE"""),44538.66666666667)</f>
        <v>44538.66667</v>
      </c>
      <c r="E1942" s="3">
        <f>IFERROR(__xludf.DUMMYFUNCTION("""COMPUTED_VALUE"""),148.72)</f>
        <v>148.72</v>
      </c>
      <c r="F1942" s="3">
        <f t="shared" si="1"/>
        <v>0.004582835895</v>
      </c>
    </row>
    <row r="1943">
      <c r="A1943" s="6"/>
      <c r="D1943" s="5">
        <f>IFERROR(__xludf.DUMMYFUNCTION("""COMPUTED_VALUE"""),44539.66666666667)</f>
        <v>44539.66667</v>
      </c>
      <c r="E1943" s="3">
        <f>IFERROR(__xludf.DUMMYFUNCTION("""COMPUTED_VALUE"""),148.11)</f>
        <v>148.11</v>
      </c>
      <c r="F1943" s="3">
        <f t="shared" si="1"/>
        <v>-0.004110102474</v>
      </c>
    </row>
    <row r="1944">
      <c r="A1944" s="6"/>
      <c r="D1944" s="5">
        <f>IFERROR(__xludf.DUMMYFUNCTION("""COMPUTED_VALUE"""),44540.66666666667)</f>
        <v>44540.66667</v>
      </c>
      <c r="E1944" s="3">
        <f>IFERROR(__xludf.DUMMYFUNCTION("""COMPUTED_VALUE"""),148.68)</f>
        <v>148.68</v>
      </c>
      <c r="F1944" s="3">
        <f t="shared" si="1"/>
        <v>0.00384110449</v>
      </c>
    </row>
    <row r="1945">
      <c r="A1945" s="6"/>
      <c r="D1945" s="5">
        <f>IFERROR(__xludf.DUMMYFUNCTION("""COMPUTED_VALUE"""),44543.66666666667)</f>
        <v>44543.66667</v>
      </c>
      <c r="E1945" s="3">
        <f>IFERROR(__xludf.DUMMYFUNCTION("""COMPUTED_VALUE"""),146.7)</f>
        <v>146.7</v>
      </c>
      <c r="F1945" s="3">
        <f t="shared" si="1"/>
        <v>-0.01340666028</v>
      </c>
    </row>
    <row r="1946">
      <c r="A1946" s="6"/>
      <c r="D1946" s="5">
        <f>IFERROR(__xludf.DUMMYFUNCTION("""COMPUTED_VALUE"""),44544.66666666667)</f>
        <v>44544.66667</v>
      </c>
      <c r="E1946" s="3">
        <f>IFERROR(__xludf.DUMMYFUNCTION("""COMPUTED_VALUE"""),144.97)</f>
        <v>144.97</v>
      </c>
      <c r="F1946" s="3">
        <f t="shared" si="1"/>
        <v>-0.01186286069</v>
      </c>
    </row>
    <row r="1947">
      <c r="A1947" s="6"/>
      <c r="D1947" s="5">
        <f>IFERROR(__xludf.DUMMYFUNCTION("""COMPUTED_VALUE"""),44545.66666666667)</f>
        <v>44545.66667</v>
      </c>
      <c r="E1947" s="3">
        <f>IFERROR(__xludf.DUMMYFUNCTION("""COMPUTED_VALUE"""),147.37)</f>
        <v>147.37</v>
      </c>
      <c r="F1947" s="3">
        <f t="shared" si="1"/>
        <v>0.01641960676</v>
      </c>
    </row>
    <row r="1948">
      <c r="A1948" s="6"/>
      <c r="D1948" s="5">
        <f>IFERROR(__xludf.DUMMYFUNCTION("""COMPUTED_VALUE"""),44546.66666666667)</f>
        <v>44546.66667</v>
      </c>
      <c r="E1948" s="3">
        <f>IFERROR(__xludf.DUMMYFUNCTION("""COMPUTED_VALUE"""),144.84)</f>
        <v>144.84</v>
      </c>
      <c r="F1948" s="3">
        <f t="shared" si="1"/>
        <v>-0.01731674633</v>
      </c>
    </row>
    <row r="1949">
      <c r="A1949" s="6"/>
      <c r="D1949" s="5">
        <f>IFERROR(__xludf.DUMMYFUNCTION("""COMPUTED_VALUE"""),44547.66666666667)</f>
        <v>44547.66667</v>
      </c>
      <c r="E1949" s="3">
        <f>IFERROR(__xludf.DUMMYFUNCTION("""COMPUTED_VALUE"""),142.8)</f>
        <v>142.8</v>
      </c>
      <c r="F1949" s="3">
        <f t="shared" si="1"/>
        <v>-0.01418463499</v>
      </c>
    </row>
    <row r="1950">
      <c r="A1950" s="6"/>
      <c r="D1950" s="5">
        <f>IFERROR(__xludf.DUMMYFUNCTION("""COMPUTED_VALUE"""),44550.66666666667)</f>
        <v>44550.66667</v>
      </c>
      <c r="E1950" s="3">
        <f>IFERROR(__xludf.DUMMYFUNCTION("""COMPUTED_VALUE"""),142.4)</f>
        <v>142.4</v>
      </c>
      <c r="F1950" s="3">
        <f t="shared" si="1"/>
        <v>-0.002805050928</v>
      </c>
    </row>
    <row r="1951">
      <c r="A1951" s="6"/>
      <c r="D1951" s="5">
        <f>IFERROR(__xludf.DUMMYFUNCTION("""COMPUTED_VALUE"""),44551.66666666667)</f>
        <v>44551.66667</v>
      </c>
      <c r="E1951" s="3">
        <f>IFERROR(__xludf.DUMMYFUNCTION("""COMPUTED_VALUE"""),144.22)</f>
        <v>144.22</v>
      </c>
      <c r="F1951" s="3">
        <f t="shared" si="1"/>
        <v>0.01269991251</v>
      </c>
    </row>
    <row r="1952">
      <c r="A1952" s="6"/>
      <c r="D1952" s="5">
        <f>IFERROR(__xludf.DUMMYFUNCTION("""COMPUTED_VALUE"""),44552.66666666667)</f>
        <v>44552.66667</v>
      </c>
      <c r="E1952" s="3">
        <f>IFERROR(__xludf.DUMMYFUNCTION("""COMPUTED_VALUE"""),146.95)</f>
        <v>146.95</v>
      </c>
      <c r="F1952" s="3">
        <f t="shared" si="1"/>
        <v>0.01875248138</v>
      </c>
    </row>
    <row r="1953">
      <c r="A1953" s="6"/>
      <c r="D1953" s="5">
        <f>IFERROR(__xludf.DUMMYFUNCTION("""COMPUTED_VALUE"""),44553.66666666667)</f>
        <v>44553.66667</v>
      </c>
      <c r="E1953" s="3">
        <f>IFERROR(__xludf.DUMMYFUNCTION("""COMPUTED_VALUE"""),147.14)</f>
        <v>147.14</v>
      </c>
      <c r="F1953" s="3">
        <f t="shared" si="1"/>
        <v>0.001292121639</v>
      </c>
    </row>
    <row r="1954">
      <c r="A1954" s="6"/>
      <c r="D1954" s="5">
        <f>IFERROR(__xludf.DUMMYFUNCTION("""COMPUTED_VALUE"""),44557.66666666667)</f>
        <v>44557.66667</v>
      </c>
      <c r="E1954" s="3">
        <f>IFERROR(__xludf.DUMMYFUNCTION("""COMPUTED_VALUE"""),148.06)</f>
        <v>148.06</v>
      </c>
      <c r="F1954" s="3">
        <f t="shared" si="1"/>
        <v>0.006233082511</v>
      </c>
    </row>
    <row r="1955">
      <c r="A1955" s="6"/>
      <c r="D1955" s="5">
        <f>IFERROR(__xludf.DUMMYFUNCTION("""COMPUTED_VALUE"""),44558.66666666667)</f>
        <v>44558.66667</v>
      </c>
      <c r="E1955" s="3">
        <f>IFERROR(__xludf.DUMMYFUNCTION("""COMPUTED_VALUE"""),146.45)</f>
        <v>146.45</v>
      </c>
      <c r="F1955" s="3">
        <f t="shared" si="1"/>
        <v>-0.01093352374</v>
      </c>
    </row>
    <row r="1956">
      <c r="A1956" s="6"/>
      <c r="D1956" s="5">
        <f>IFERROR(__xludf.DUMMYFUNCTION("""COMPUTED_VALUE"""),44559.66666666667)</f>
        <v>44559.66667</v>
      </c>
      <c r="E1956" s="3">
        <f>IFERROR(__xludf.DUMMYFUNCTION("""COMPUTED_VALUE"""),146.5)</f>
        <v>146.5</v>
      </c>
      <c r="F1956" s="3">
        <f t="shared" si="1"/>
        <v>0.0003413551834</v>
      </c>
    </row>
    <row r="1957">
      <c r="A1957" s="6"/>
      <c r="D1957" s="5">
        <f>IFERROR(__xludf.DUMMYFUNCTION("""COMPUTED_VALUE"""),44560.66666666667)</f>
        <v>44560.66667</v>
      </c>
      <c r="E1957" s="3">
        <f>IFERROR(__xludf.DUMMYFUNCTION("""COMPUTED_VALUE"""),146.0)</f>
        <v>146</v>
      </c>
      <c r="F1957" s="3">
        <f t="shared" si="1"/>
        <v>-0.003418806749</v>
      </c>
    </row>
    <row r="1958">
      <c r="A1958" s="6"/>
      <c r="D1958" s="5">
        <f>IFERROR(__xludf.DUMMYFUNCTION("""COMPUTED_VALUE"""),44561.66666666667)</f>
        <v>44561.66667</v>
      </c>
      <c r="E1958" s="3">
        <f>IFERROR(__xludf.DUMMYFUNCTION("""COMPUTED_VALUE"""),144.68)</f>
        <v>144.68</v>
      </c>
      <c r="F1958" s="3">
        <f t="shared" si="1"/>
        <v>-0.009082214624</v>
      </c>
    </row>
    <row r="1959">
      <c r="A1959" s="6"/>
      <c r="D1959" s="5">
        <f>IFERROR(__xludf.DUMMYFUNCTION("""COMPUTED_VALUE"""),44564.66666666667)</f>
        <v>44564.66667</v>
      </c>
      <c r="E1959" s="3">
        <f>IFERROR(__xludf.DUMMYFUNCTION("""COMPUTED_VALUE"""),145.07)</f>
        <v>145.07</v>
      </c>
      <c r="F1959" s="3">
        <f t="shared" si="1"/>
        <v>0.002691977467</v>
      </c>
    </row>
    <row r="1960">
      <c r="A1960" s="6"/>
      <c r="D1960" s="5">
        <f>IFERROR(__xludf.DUMMYFUNCTION("""COMPUTED_VALUE"""),44565.66666666667)</f>
        <v>44565.66667</v>
      </c>
      <c r="E1960" s="3">
        <f>IFERROR(__xludf.DUMMYFUNCTION("""COMPUTED_VALUE"""),144.42)</f>
        <v>144.42</v>
      </c>
      <c r="F1960" s="3">
        <f t="shared" si="1"/>
        <v>-0.004490663528</v>
      </c>
    </row>
    <row r="1961">
      <c r="A1961" s="6"/>
      <c r="D1961" s="5">
        <f>IFERROR(__xludf.DUMMYFUNCTION("""COMPUTED_VALUE"""),44566.66666666667)</f>
        <v>44566.66667</v>
      </c>
      <c r="E1961" s="3">
        <f>IFERROR(__xludf.DUMMYFUNCTION("""COMPUTED_VALUE"""),137.65)</f>
        <v>137.65</v>
      </c>
      <c r="F1961" s="3">
        <f t="shared" si="1"/>
        <v>-0.04801148943</v>
      </c>
    </row>
    <row r="1962">
      <c r="A1962" s="6"/>
      <c r="D1962" s="5">
        <f>IFERROR(__xludf.DUMMYFUNCTION("""COMPUTED_VALUE"""),44567.66666666667)</f>
        <v>44567.66667</v>
      </c>
      <c r="E1962" s="3">
        <f>IFERROR(__xludf.DUMMYFUNCTION("""COMPUTED_VALUE"""),137.55)</f>
        <v>137.55</v>
      </c>
      <c r="F1962" s="3">
        <f t="shared" si="1"/>
        <v>-0.000726744218</v>
      </c>
    </row>
    <row r="1963">
      <c r="A1963" s="6"/>
      <c r="D1963" s="5">
        <f>IFERROR(__xludf.DUMMYFUNCTION("""COMPUTED_VALUE"""),44568.66666666667)</f>
        <v>44568.66667</v>
      </c>
      <c r="E1963" s="3">
        <f>IFERROR(__xludf.DUMMYFUNCTION("""COMPUTED_VALUE"""),137.0)</f>
        <v>137</v>
      </c>
      <c r="F1963" s="3">
        <f t="shared" si="1"/>
        <v>-0.004006561542</v>
      </c>
    </row>
    <row r="1964">
      <c r="A1964" s="6"/>
      <c r="D1964" s="5">
        <f>IFERROR(__xludf.DUMMYFUNCTION("""COMPUTED_VALUE"""),44571.66666666667)</f>
        <v>44571.66667</v>
      </c>
      <c r="E1964" s="3">
        <f>IFERROR(__xludf.DUMMYFUNCTION("""COMPUTED_VALUE"""),138.57)</f>
        <v>138.57</v>
      </c>
      <c r="F1964" s="3">
        <f t="shared" si="1"/>
        <v>0.01139468728</v>
      </c>
    </row>
    <row r="1965">
      <c r="A1965" s="6"/>
      <c r="D1965" s="5">
        <f>IFERROR(__xludf.DUMMYFUNCTION("""COMPUTED_VALUE"""),44572.66666666667)</f>
        <v>44572.66667</v>
      </c>
      <c r="E1965" s="3">
        <f>IFERROR(__xludf.DUMMYFUNCTION("""COMPUTED_VALUE"""),140.02)</f>
        <v>140.02</v>
      </c>
      <c r="F1965" s="3">
        <f t="shared" si="1"/>
        <v>0.01040965644</v>
      </c>
    </row>
    <row r="1966">
      <c r="A1966" s="6"/>
      <c r="D1966" s="5">
        <f>IFERROR(__xludf.DUMMYFUNCTION("""COMPUTED_VALUE"""),44573.66666666667)</f>
        <v>44573.66667</v>
      </c>
      <c r="E1966" s="3">
        <f>IFERROR(__xludf.DUMMYFUNCTION("""COMPUTED_VALUE"""),141.65)</f>
        <v>141.65</v>
      </c>
      <c r="F1966" s="3">
        <f t="shared" si="1"/>
        <v>0.01157395673</v>
      </c>
    </row>
    <row r="1967">
      <c r="A1967" s="6"/>
      <c r="D1967" s="5">
        <f>IFERROR(__xludf.DUMMYFUNCTION("""COMPUTED_VALUE"""),44574.66666666667)</f>
        <v>44574.66667</v>
      </c>
      <c r="E1967" s="3">
        <f>IFERROR(__xludf.DUMMYFUNCTION("""COMPUTED_VALUE"""),139.13)</f>
        <v>139.13</v>
      </c>
      <c r="F1967" s="3">
        <f t="shared" si="1"/>
        <v>-0.01795047842</v>
      </c>
    </row>
    <row r="1968">
      <c r="A1968" s="6"/>
      <c r="D1968" s="5">
        <f>IFERROR(__xludf.DUMMYFUNCTION("""COMPUTED_VALUE"""),44575.66666666667)</f>
        <v>44575.66667</v>
      </c>
      <c r="E1968" s="3">
        <f>IFERROR(__xludf.DUMMYFUNCTION("""COMPUTED_VALUE"""),139.79)</f>
        <v>139.79</v>
      </c>
      <c r="F1968" s="3">
        <f t="shared" si="1"/>
        <v>0.004732548629</v>
      </c>
    </row>
    <row r="1969">
      <c r="A1969" s="6"/>
      <c r="D1969" s="5">
        <f>IFERROR(__xludf.DUMMYFUNCTION("""COMPUTED_VALUE"""),44579.66666666667)</f>
        <v>44579.66667</v>
      </c>
      <c r="E1969" s="3">
        <f>IFERROR(__xludf.DUMMYFUNCTION("""COMPUTED_VALUE"""),136.29)</f>
        <v>136.29</v>
      </c>
      <c r="F1969" s="3">
        <f t="shared" si="1"/>
        <v>-0.02535632804</v>
      </c>
    </row>
    <row r="1970">
      <c r="A1970" s="6"/>
      <c r="D1970" s="5">
        <f>IFERROR(__xludf.DUMMYFUNCTION("""COMPUTED_VALUE"""),44580.66666666667)</f>
        <v>44580.66667</v>
      </c>
      <c r="E1970" s="3">
        <f>IFERROR(__xludf.DUMMYFUNCTION("""COMPUTED_VALUE"""),135.65)</f>
        <v>135.65</v>
      </c>
      <c r="F1970" s="3">
        <f t="shared" si="1"/>
        <v>-0.004706929334</v>
      </c>
    </row>
    <row r="1971">
      <c r="A1971" s="6"/>
      <c r="D1971" s="5">
        <f>IFERROR(__xludf.DUMMYFUNCTION("""COMPUTED_VALUE"""),44581.66666666667)</f>
        <v>44581.66667</v>
      </c>
      <c r="E1971" s="3">
        <f>IFERROR(__xludf.DUMMYFUNCTION("""COMPUTED_VALUE"""),133.51)</f>
        <v>133.51</v>
      </c>
      <c r="F1971" s="3">
        <f t="shared" si="1"/>
        <v>-0.0159016577</v>
      </c>
    </row>
    <row r="1972">
      <c r="A1972" s="6"/>
      <c r="D1972" s="5">
        <f>IFERROR(__xludf.DUMMYFUNCTION("""COMPUTED_VALUE"""),44582.66666666667)</f>
        <v>44582.66667</v>
      </c>
      <c r="E1972" s="3">
        <f>IFERROR(__xludf.DUMMYFUNCTION("""COMPUTED_VALUE"""),130.09)</f>
        <v>130.09</v>
      </c>
      <c r="F1972" s="3">
        <f t="shared" si="1"/>
        <v>-0.02594986279</v>
      </c>
    </row>
    <row r="1973">
      <c r="A1973" s="6"/>
      <c r="D1973" s="5">
        <f>IFERROR(__xludf.DUMMYFUNCTION("""COMPUTED_VALUE"""),44585.66666666667)</f>
        <v>44585.66667</v>
      </c>
      <c r="E1973" s="3">
        <f>IFERROR(__xludf.DUMMYFUNCTION("""COMPUTED_VALUE"""),130.37)</f>
        <v>130.37</v>
      </c>
      <c r="F1973" s="3">
        <f t="shared" si="1"/>
        <v>0.002150043061</v>
      </c>
    </row>
    <row r="1974">
      <c r="A1974" s="6"/>
      <c r="D1974" s="5">
        <f>IFERROR(__xludf.DUMMYFUNCTION("""COMPUTED_VALUE"""),44586.66666666667)</f>
        <v>44586.66667</v>
      </c>
      <c r="E1974" s="3">
        <f>IFERROR(__xludf.DUMMYFUNCTION("""COMPUTED_VALUE"""),126.74)</f>
        <v>126.74</v>
      </c>
      <c r="F1974" s="3">
        <f t="shared" si="1"/>
        <v>-0.02823881778</v>
      </c>
    </row>
    <row r="1975">
      <c r="A1975" s="6"/>
      <c r="D1975" s="5">
        <f>IFERROR(__xludf.DUMMYFUNCTION("""COMPUTED_VALUE"""),44587.66666666667)</f>
        <v>44587.66667</v>
      </c>
      <c r="E1975" s="3">
        <f>IFERROR(__xludf.DUMMYFUNCTION("""COMPUTED_VALUE"""),129.24)</f>
        <v>129.24</v>
      </c>
      <c r="F1975" s="3">
        <f t="shared" si="1"/>
        <v>0.01953339706</v>
      </c>
    </row>
    <row r="1976">
      <c r="A1976" s="6"/>
      <c r="D1976" s="5">
        <f>IFERROR(__xludf.DUMMYFUNCTION("""COMPUTED_VALUE"""),44588.66666666667)</f>
        <v>44588.66667</v>
      </c>
      <c r="E1976" s="3">
        <f>IFERROR(__xludf.DUMMYFUNCTION("""COMPUTED_VALUE"""),129.12)</f>
        <v>129.12</v>
      </c>
      <c r="F1976" s="3">
        <f t="shared" si="1"/>
        <v>-0.0009289364347</v>
      </c>
    </row>
    <row r="1977">
      <c r="A1977" s="6"/>
      <c r="D1977" s="5">
        <f>IFERROR(__xludf.DUMMYFUNCTION("""COMPUTED_VALUE"""),44589.66666666667)</f>
        <v>44589.66667</v>
      </c>
      <c r="E1977" s="3">
        <f>IFERROR(__xludf.DUMMYFUNCTION("""COMPUTED_VALUE"""),133.29)</f>
        <v>133.29</v>
      </c>
      <c r="F1977" s="3">
        <f t="shared" si="1"/>
        <v>0.03178500109</v>
      </c>
    </row>
    <row r="1978">
      <c r="A1978" s="6"/>
      <c r="D1978" s="5">
        <f>IFERROR(__xludf.DUMMYFUNCTION("""COMPUTED_VALUE"""),44592.66666666667)</f>
        <v>44592.66667</v>
      </c>
      <c r="E1978" s="3">
        <f>IFERROR(__xludf.DUMMYFUNCTION("""COMPUTED_VALUE"""),135.7)</f>
        <v>135.7</v>
      </c>
      <c r="F1978" s="3">
        <f t="shared" si="1"/>
        <v>0.01791936122</v>
      </c>
    </row>
    <row r="1979">
      <c r="A1979" s="6"/>
      <c r="D1979" s="5">
        <f>IFERROR(__xludf.DUMMYFUNCTION("""COMPUTED_VALUE"""),44593.66666666667)</f>
        <v>44593.66667</v>
      </c>
      <c r="E1979" s="3">
        <f>IFERROR(__xludf.DUMMYFUNCTION("""COMPUTED_VALUE"""),137.88)</f>
        <v>137.88</v>
      </c>
      <c r="F1979" s="3">
        <f t="shared" si="1"/>
        <v>0.01593717481</v>
      </c>
    </row>
    <row r="1980">
      <c r="A1980" s="6"/>
      <c r="D1980" s="5">
        <f>IFERROR(__xludf.DUMMYFUNCTION("""COMPUTED_VALUE"""),44594.66666666667)</f>
        <v>44594.66667</v>
      </c>
      <c r="E1980" s="3">
        <f>IFERROR(__xludf.DUMMYFUNCTION("""COMPUTED_VALUE"""),148.04)</f>
        <v>148.04</v>
      </c>
      <c r="F1980" s="3">
        <f t="shared" si="1"/>
        <v>0.07109876587</v>
      </c>
    </row>
    <row r="1981">
      <c r="A1981" s="6"/>
      <c r="D1981" s="5">
        <f>IFERROR(__xludf.DUMMYFUNCTION("""COMPUTED_VALUE"""),44595.66666666667)</f>
        <v>44595.66667</v>
      </c>
      <c r="E1981" s="3">
        <f>IFERROR(__xludf.DUMMYFUNCTION("""COMPUTED_VALUE"""),142.65)</f>
        <v>142.65</v>
      </c>
      <c r="F1981" s="3">
        <f t="shared" si="1"/>
        <v>-0.03708842986</v>
      </c>
    </row>
    <row r="1982">
      <c r="A1982" s="6"/>
      <c r="D1982" s="5">
        <f>IFERROR(__xludf.DUMMYFUNCTION("""COMPUTED_VALUE"""),44596.66666666667)</f>
        <v>44596.66667</v>
      </c>
      <c r="E1982" s="3">
        <f>IFERROR(__xludf.DUMMYFUNCTION("""COMPUTED_VALUE"""),143.02)</f>
        <v>143.02</v>
      </c>
      <c r="F1982" s="3">
        <f t="shared" si="1"/>
        <v>0.002590402961</v>
      </c>
    </row>
    <row r="1983">
      <c r="A1983" s="6"/>
      <c r="D1983" s="5">
        <f>IFERROR(__xludf.DUMMYFUNCTION("""COMPUTED_VALUE"""),44599.66666666667)</f>
        <v>44599.66667</v>
      </c>
      <c r="E1983" s="3">
        <f>IFERROR(__xludf.DUMMYFUNCTION("""COMPUTED_VALUE"""),138.94)</f>
        <v>138.94</v>
      </c>
      <c r="F1983" s="3">
        <f t="shared" si="1"/>
        <v>-0.02894229536</v>
      </c>
    </row>
    <row r="1984">
      <c r="A1984" s="6"/>
      <c r="D1984" s="5">
        <f>IFERROR(__xludf.DUMMYFUNCTION("""COMPUTED_VALUE"""),44600.66666666667)</f>
        <v>44600.66667</v>
      </c>
      <c r="E1984" s="3">
        <f>IFERROR(__xludf.DUMMYFUNCTION("""COMPUTED_VALUE"""),139.21)</f>
        <v>139.21</v>
      </c>
      <c r="F1984" s="3">
        <f t="shared" si="1"/>
        <v>0.001941399136</v>
      </c>
    </row>
    <row r="1985">
      <c r="A1985" s="6"/>
      <c r="D1985" s="5">
        <f>IFERROR(__xludf.DUMMYFUNCTION("""COMPUTED_VALUE"""),44601.66666666667)</f>
        <v>44601.66667</v>
      </c>
      <c r="E1985" s="3">
        <f>IFERROR(__xludf.DUMMYFUNCTION("""COMPUTED_VALUE"""),141.45)</f>
        <v>141.45</v>
      </c>
      <c r="F1985" s="3">
        <f t="shared" si="1"/>
        <v>0.01596271335</v>
      </c>
    </row>
    <row r="1986">
      <c r="A1986" s="6"/>
      <c r="D1986" s="5">
        <f>IFERROR(__xludf.DUMMYFUNCTION("""COMPUTED_VALUE"""),44602.66666666667)</f>
        <v>44602.66667</v>
      </c>
      <c r="E1986" s="3">
        <f>IFERROR(__xludf.DUMMYFUNCTION("""COMPUTED_VALUE"""),138.6)</f>
        <v>138.6</v>
      </c>
      <c r="F1986" s="3">
        <f t="shared" si="1"/>
        <v>-0.02035421099</v>
      </c>
    </row>
    <row r="1987">
      <c r="A1987" s="6"/>
      <c r="D1987" s="5">
        <f>IFERROR(__xludf.DUMMYFUNCTION("""COMPUTED_VALUE"""),44603.66666666667)</f>
        <v>44603.66667</v>
      </c>
      <c r="E1987" s="3">
        <f>IFERROR(__xludf.DUMMYFUNCTION("""COMPUTED_VALUE"""),134.13)</f>
        <v>134.13</v>
      </c>
      <c r="F1987" s="3">
        <f t="shared" si="1"/>
        <v>-0.03278260784</v>
      </c>
    </row>
    <row r="1988">
      <c r="A1988" s="6"/>
      <c r="D1988" s="5">
        <f>IFERROR(__xludf.DUMMYFUNCTION("""COMPUTED_VALUE"""),44606.66666666667)</f>
        <v>44606.66667</v>
      </c>
      <c r="E1988" s="3">
        <f>IFERROR(__xludf.DUMMYFUNCTION("""COMPUTED_VALUE"""),135.3)</f>
        <v>135.3</v>
      </c>
      <c r="F1988" s="3">
        <f t="shared" si="1"/>
        <v>0.008685056263</v>
      </c>
    </row>
    <row r="1989">
      <c r="A1989" s="6"/>
      <c r="D1989" s="5">
        <f>IFERROR(__xludf.DUMMYFUNCTION("""COMPUTED_VALUE"""),44607.66666666667)</f>
        <v>44607.66667</v>
      </c>
      <c r="E1989" s="3">
        <f>IFERROR(__xludf.DUMMYFUNCTION("""COMPUTED_VALUE"""),136.43)</f>
        <v>136.43</v>
      </c>
      <c r="F1989" s="3">
        <f t="shared" si="1"/>
        <v>0.008317127398</v>
      </c>
    </row>
    <row r="1990">
      <c r="A1990" s="6"/>
      <c r="D1990" s="5">
        <f>IFERROR(__xludf.DUMMYFUNCTION("""COMPUTED_VALUE"""),44608.66666666667)</f>
        <v>44608.66667</v>
      </c>
      <c r="E1990" s="3">
        <f>IFERROR(__xludf.DUMMYFUNCTION("""COMPUTED_VALUE"""),137.49)</f>
        <v>137.49</v>
      </c>
      <c r="F1990" s="3">
        <f t="shared" si="1"/>
        <v>0.007739524614</v>
      </c>
    </row>
    <row r="1991">
      <c r="A1991" s="6"/>
      <c r="D1991" s="5">
        <f>IFERROR(__xludf.DUMMYFUNCTION("""COMPUTED_VALUE"""),44609.66666666667)</f>
        <v>44609.66667</v>
      </c>
      <c r="E1991" s="3">
        <f>IFERROR(__xludf.DUMMYFUNCTION("""COMPUTED_VALUE"""),132.31)</f>
        <v>132.31</v>
      </c>
      <c r="F1991" s="3">
        <f t="shared" si="1"/>
        <v>-0.03840353313</v>
      </c>
    </row>
    <row r="1992">
      <c r="A1992" s="6"/>
      <c r="D1992" s="5">
        <f>IFERROR(__xludf.DUMMYFUNCTION("""COMPUTED_VALUE"""),44610.66666666667)</f>
        <v>44610.66667</v>
      </c>
      <c r="E1992" s="3">
        <f>IFERROR(__xludf.DUMMYFUNCTION("""COMPUTED_VALUE"""),130.47)</f>
        <v>130.47</v>
      </c>
      <c r="F1992" s="3">
        <f t="shared" si="1"/>
        <v>-0.01400433878</v>
      </c>
    </row>
    <row r="1993">
      <c r="A1993" s="6"/>
      <c r="D1993" s="5">
        <f>IFERROR(__xludf.DUMMYFUNCTION("""COMPUTED_VALUE"""),44614.66666666667)</f>
        <v>44614.66667</v>
      </c>
      <c r="E1993" s="3">
        <f>IFERROR(__xludf.DUMMYFUNCTION("""COMPUTED_VALUE"""),129.4)</f>
        <v>129.4</v>
      </c>
      <c r="F1993" s="3">
        <f t="shared" si="1"/>
        <v>-0.008234933211</v>
      </c>
    </row>
    <row r="1994">
      <c r="A1994" s="6"/>
      <c r="D1994" s="5">
        <f>IFERROR(__xludf.DUMMYFUNCTION("""COMPUTED_VALUE"""),44615.66666666667)</f>
        <v>44615.66667</v>
      </c>
      <c r="E1994" s="3">
        <f>IFERROR(__xludf.DUMMYFUNCTION("""COMPUTED_VALUE"""),127.59)</f>
        <v>127.59</v>
      </c>
      <c r="F1994" s="3">
        <f t="shared" si="1"/>
        <v>-0.01408638413</v>
      </c>
    </row>
    <row r="1995">
      <c r="A1995" s="6"/>
      <c r="D1995" s="5">
        <f>IFERROR(__xludf.DUMMYFUNCTION("""COMPUTED_VALUE"""),44616.66666666667)</f>
        <v>44616.66667</v>
      </c>
      <c r="E1995" s="3">
        <f>IFERROR(__xludf.DUMMYFUNCTION("""COMPUTED_VALUE"""),132.67)</f>
        <v>132.67</v>
      </c>
      <c r="F1995" s="3">
        <f t="shared" si="1"/>
        <v>0.039042844</v>
      </c>
    </row>
    <row r="1996">
      <c r="A1996" s="6"/>
      <c r="D1996" s="5">
        <f>IFERROR(__xludf.DUMMYFUNCTION("""COMPUTED_VALUE"""),44617.66666666667)</f>
        <v>44617.66667</v>
      </c>
      <c r="E1996" s="3">
        <f>IFERROR(__xludf.DUMMYFUNCTION("""COMPUTED_VALUE"""),134.52)</f>
        <v>134.52</v>
      </c>
      <c r="F1996" s="3">
        <f t="shared" si="1"/>
        <v>0.01384804494</v>
      </c>
    </row>
    <row r="1997">
      <c r="A1997" s="6"/>
      <c r="D1997" s="5">
        <f>IFERROR(__xludf.DUMMYFUNCTION("""COMPUTED_VALUE"""),44620.66666666667)</f>
        <v>44620.66667</v>
      </c>
      <c r="E1997" s="3">
        <f>IFERROR(__xludf.DUMMYFUNCTION("""COMPUTED_VALUE"""),134.89)</f>
        <v>134.89</v>
      </c>
      <c r="F1997" s="3">
        <f t="shared" si="1"/>
        <v>0.00274674461</v>
      </c>
    </row>
    <row r="1998">
      <c r="A1998" s="6"/>
      <c r="D1998" s="5">
        <f>IFERROR(__xludf.DUMMYFUNCTION("""COMPUTED_VALUE"""),44621.66666666667)</f>
        <v>44621.66667</v>
      </c>
      <c r="E1998" s="3">
        <f>IFERROR(__xludf.DUMMYFUNCTION("""COMPUTED_VALUE"""),134.17)</f>
        <v>134.17</v>
      </c>
      <c r="F1998" s="3">
        <f t="shared" si="1"/>
        <v>-0.005351978879</v>
      </c>
    </row>
    <row r="1999">
      <c r="A1999" s="6"/>
      <c r="D1999" s="5">
        <f>IFERROR(__xludf.DUMMYFUNCTION("""COMPUTED_VALUE"""),44622.66666666667)</f>
        <v>44622.66667</v>
      </c>
      <c r="E1999" s="3">
        <f>IFERROR(__xludf.DUMMYFUNCTION("""COMPUTED_VALUE"""),134.75)</f>
        <v>134.75</v>
      </c>
      <c r="F1999" s="3">
        <f t="shared" si="1"/>
        <v>0.004313557187</v>
      </c>
    </row>
    <row r="2000">
      <c r="A2000" s="6"/>
      <c r="D2000" s="5">
        <f>IFERROR(__xludf.DUMMYFUNCTION("""COMPUTED_VALUE"""),44623.66666666667)</f>
        <v>44623.66667</v>
      </c>
      <c r="E2000" s="3">
        <f>IFERROR(__xludf.DUMMYFUNCTION("""COMPUTED_VALUE"""),134.31)</f>
        <v>134.31</v>
      </c>
      <c r="F2000" s="3">
        <f t="shared" si="1"/>
        <v>-0.003270648868</v>
      </c>
    </row>
    <row r="2001">
      <c r="A2001" s="6"/>
      <c r="D2001" s="5">
        <f>IFERROR(__xludf.DUMMYFUNCTION("""COMPUTED_VALUE"""),44624.66666666667)</f>
        <v>44624.66667</v>
      </c>
      <c r="E2001" s="3">
        <f>IFERROR(__xludf.DUMMYFUNCTION("""COMPUTED_VALUE"""),132.12)</f>
        <v>132.12</v>
      </c>
      <c r="F2001" s="3">
        <f t="shared" si="1"/>
        <v>-0.0164399604</v>
      </c>
    </row>
    <row r="2002">
      <c r="A2002" s="6"/>
      <c r="D2002" s="5">
        <f>IFERROR(__xludf.DUMMYFUNCTION("""COMPUTED_VALUE"""),44627.66666666667)</f>
        <v>44627.66667</v>
      </c>
      <c r="E2002" s="3">
        <f>IFERROR(__xludf.DUMMYFUNCTION("""COMPUTED_VALUE"""),126.46)</f>
        <v>126.46</v>
      </c>
      <c r="F2002" s="3">
        <f t="shared" si="1"/>
        <v>-0.04378454789</v>
      </c>
    </row>
    <row r="2003">
      <c r="A2003" s="6"/>
      <c r="D2003" s="5">
        <f>IFERROR(__xludf.DUMMYFUNCTION("""COMPUTED_VALUE"""),44628.66666666667)</f>
        <v>44628.66667</v>
      </c>
      <c r="E2003" s="3">
        <f>IFERROR(__xludf.DUMMYFUNCTION("""COMPUTED_VALUE"""),127.28)</f>
        <v>127.28</v>
      </c>
      <c r="F2003" s="3">
        <f t="shared" si="1"/>
        <v>0.006463331399</v>
      </c>
    </row>
    <row r="2004">
      <c r="A2004" s="6"/>
      <c r="D2004" s="5">
        <f>IFERROR(__xludf.DUMMYFUNCTION("""COMPUTED_VALUE"""),44629.66666666667)</f>
        <v>44629.66667</v>
      </c>
      <c r="E2004" s="3">
        <f>IFERROR(__xludf.DUMMYFUNCTION("""COMPUTED_VALUE"""),133.87)</f>
        <v>133.87</v>
      </c>
      <c r="F2004" s="3">
        <f t="shared" si="1"/>
        <v>0.05047979577</v>
      </c>
    </row>
    <row r="2005">
      <c r="A2005" s="6"/>
      <c r="D2005" s="5">
        <f>IFERROR(__xludf.DUMMYFUNCTION("""COMPUTED_VALUE"""),44630.66666666667)</f>
        <v>44630.66667</v>
      </c>
      <c r="E2005" s="3">
        <f>IFERROR(__xludf.DUMMYFUNCTION("""COMPUTED_VALUE"""),132.68)</f>
        <v>132.68</v>
      </c>
      <c r="F2005" s="3">
        <f t="shared" si="1"/>
        <v>-0.008928965719</v>
      </c>
    </row>
    <row r="2006">
      <c r="A2006" s="6"/>
      <c r="D2006" s="5">
        <f>IFERROR(__xludf.DUMMYFUNCTION("""COMPUTED_VALUE"""),44631.66666666667)</f>
        <v>44631.66667</v>
      </c>
      <c r="E2006" s="3">
        <f>IFERROR(__xludf.DUMMYFUNCTION("""COMPUTED_VALUE"""),130.48)</f>
        <v>130.48</v>
      </c>
      <c r="F2006" s="3">
        <f t="shared" si="1"/>
        <v>-0.01672025577</v>
      </c>
    </row>
    <row r="2007">
      <c r="A2007" s="6"/>
      <c r="D2007" s="5">
        <f>IFERROR(__xludf.DUMMYFUNCTION("""COMPUTED_VALUE"""),44634.66666666667)</f>
        <v>44634.66667</v>
      </c>
      <c r="E2007" s="3">
        <f>IFERROR(__xludf.DUMMYFUNCTION("""COMPUTED_VALUE"""),126.74)</f>
        <v>126.74</v>
      </c>
      <c r="F2007" s="3">
        <f t="shared" si="1"/>
        <v>-0.02908221442</v>
      </c>
    </row>
    <row r="2008">
      <c r="A2008" s="6"/>
      <c r="D2008" s="5">
        <f>IFERROR(__xludf.DUMMYFUNCTION("""COMPUTED_VALUE"""),44635.66666666667)</f>
        <v>44635.66667</v>
      </c>
      <c r="E2008" s="3">
        <f>IFERROR(__xludf.DUMMYFUNCTION("""COMPUTED_VALUE"""),129.66)</f>
        <v>129.66</v>
      </c>
      <c r="F2008" s="3">
        <f t="shared" si="1"/>
        <v>0.02277789585</v>
      </c>
    </row>
    <row r="2009">
      <c r="A2009" s="6"/>
      <c r="D2009" s="5">
        <f>IFERROR(__xludf.DUMMYFUNCTION("""COMPUTED_VALUE"""),44636.66666666667)</f>
        <v>44636.66667</v>
      </c>
      <c r="E2009" s="3">
        <f>IFERROR(__xludf.DUMMYFUNCTION("""COMPUTED_VALUE"""),133.69)</f>
        <v>133.69</v>
      </c>
      <c r="F2009" s="3">
        <f t="shared" si="1"/>
        <v>0.03060804725</v>
      </c>
    </row>
    <row r="2010">
      <c r="A2010" s="6"/>
      <c r="D2010" s="5">
        <f>IFERROR(__xludf.DUMMYFUNCTION("""COMPUTED_VALUE"""),44637.66666666667)</f>
        <v>44637.66667</v>
      </c>
      <c r="E2010" s="3">
        <f>IFERROR(__xludf.DUMMYFUNCTION("""COMPUTED_VALUE"""),134.6)</f>
        <v>134.6</v>
      </c>
      <c r="F2010" s="3">
        <f t="shared" si="1"/>
        <v>0.006783730216</v>
      </c>
    </row>
    <row r="2011">
      <c r="A2011" s="6"/>
      <c r="D2011" s="5">
        <f>IFERROR(__xludf.DUMMYFUNCTION("""COMPUTED_VALUE"""),44638.66666666667)</f>
        <v>44638.66667</v>
      </c>
      <c r="E2011" s="3">
        <f>IFERROR(__xludf.DUMMYFUNCTION("""COMPUTED_VALUE"""),136.8)</f>
        <v>136.8</v>
      </c>
      <c r="F2011" s="3">
        <f t="shared" si="1"/>
        <v>0.01621258798</v>
      </c>
    </row>
    <row r="2012">
      <c r="A2012" s="6"/>
      <c r="D2012" s="5">
        <f>IFERROR(__xludf.DUMMYFUNCTION("""COMPUTED_VALUE"""),44641.66666666667)</f>
        <v>44641.66667</v>
      </c>
      <c r="E2012" s="3">
        <f>IFERROR(__xludf.DUMMYFUNCTION("""COMPUTED_VALUE"""),136.48)</f>
        <v>136.48</v>
      </c>
      <c r="F2012" s="3">
        <f t="shared" si="1"/>
        <v>-0.002341921445</v>
      </c>
    </row>
    <row r="2013">
      <c r="A2013" s="6"/>
      <c r="D2013" s="5">
        <f>IFERROR(__xludf.DUMMYFUNCTION("""COMPUTED_VALUE"""),44642.66666666667)</f>
        <v>44642.66667</v>
      </c>
      <c r="E2013" s="3">
        <f>IFERROR(__xludf.DUMMYFUNCTION("""COMPUTED_VALUE"""),140.28)</f>
        <v>140.28</v>
      </c>
      <c r="F2013" s="3">
        <f t="shared" si="1"/>
        <v>0.02746234153</v>
      </c>
    </row>
    <row r="2014">
      <c r="A2014" s="6"/>
      <c r="D2014" s="5">
        <f>IFERROR(__xludf.DUMMYFUNCTION("""COMPUTED_VALUE"""),44643.66666666667)</f>
        <v>44643.66667</v>
      </c>
      <c r="E2014" s="3">
        <f>IFERROR(__xludf.DUMMYFUNCTION("""COMPUTED_VALUE"""),138.5)</f>
        <v>138.5</v>
      </c>
      <c r="F2014" s="3">
        <f t="shared" si="1"/>
        <v>-0.01277009964</v>
      </c>
    </row>
    <row r="2015">
      <c r="A2015" s="6"/>
      <c r="D2015" s="5">
        <f>IFERROR(__xludf.DUMMYFUNCTION("""COMPUTED_VALUE"""),44644.66666666667)</f>
        <v>44644.66667</v>
      </c>
      <c r="E2015" s="3">
        <f>IFERROR(__xludf.DUMMYFUNCTION("""COMPUTED_VALUE"""),141.31)</f>
        <v>141.31</v>
      </c>
      <c r="F2015" s="3">
        <f t="shared" si="1"/>
        <v>0.02008573297</v>
      </c>
    </row>
    <row r="2016">
      <c r="A2016" s="6"/>
      <c r="D2016" s="5">
        <f>IFERROR(__xludf.DUMMYFUNCTION("""COMPUTED_VALUE"""),44645.66666666667)</f>
        <v>44645.66667</v>
      </c>
      <c r="E2016" s="3">
        <f>IFERROR(__xludf.DUMMYFUNCTION("""COMPUTED_VALUE"""),141.52)</f>
        <v>141.52</v>
      </c>
      <c r="F2016" s="3">
        <f t="shared" si="1"/>
        <v>0.001484991257</v>
      </c>
    </row>
    <row r="2017">
      <c r="A2017" s="6"/>
      <c r="D2017" s="5">
        <f>IFERROR(__xludf.DUMMYFUNCTION("""COMPUTED_VALUE"""),44648.66666666667)</f>
        <v>44648.66667</v>
      </c>
      <c r="E2017" s="3">
        <f>IFERROR(__xludf.DUMMYFUNCTION("""COMPUTED_VALUE"""),141.95)</f>
        <v>141.95</v>
      </c>
      <c r="F2017" s="3">
        <f t="shared" si="1"/>
        <v>0.003033833067</v>
      </c>
    </row>
    <row r="2018">
      <c r="A2018" s="6"/>
      <c r="D2018" s="5">
        <f>IFERROR(__xludf.DUMMYFUNCTION("""COMPUTED_VALUE"""),44649.66666666667)</f>
        <v>44649.66667</v>
      </c>
      <c r="E2018" s="3">
        <f>IFERROR(__xludf.DUMMYFUNCTION("""COMPUTED_VALUE"""),143.25)</f>
        <v>143.25</v>
      </c>
      <c r="F2018" s="3">
        <f t="shared" si="1"/>
        <v>0.009116472676</v>
      </c>
    </row>
    <row r="2019">
      <c r="A2019" s="6"/>
      <c r="D2019" s="5">
        <f>IFERROR(__xludf.DUMMYFUNCTION("""COMPUTED_VALUE"""),44650.66666666667)</f>
        <v>44650.66667</v>
      </c>
      <c r="E2019" s="3">
        <f>IFERROR(__xludf.DUMMYFUNCTION("""COMPUTED_VALUE"""),142.64)</f>
        <v>142.64</v>
      </c>
      <c r="F2019" s="3">
        <f t="shared" si="1"/>
        <v>-0.00426738204</v>
      </c>
    </row>
    <row r="2020">
      <c r="A2020" s="6"/>
      <c r="D2020" s="5">
        <f>IFERROR(__xludf.DUMMYFUNCTION("""COMPUTED_VALUE"""),44651.66666666667)</f>
        <v>44651.66667</v>
      </c>
      <c r="E2020" s="3">
        <f>IFERROR(__xludf.DUMMYFUNCTION("""COMPUTED_VALUE"""),139.65)</f>
        <v>139.65</v>
      </c>
      <c r="F2020" s="3">
        <f t="shared" si="1"/>
        <v>-0.02118468116</v>
      </c>
    </row>
    <row r="2021">
      <c r="A2021" s="6"/>
      <c r="D2021" s="5">
        <f>IFERROR(__xludf.DUMMYFUNCTION("""COMPUTED_VALUE"""),44652.66666666667)</f>
        <v>44652.66667</v>
      </c>
      <c r="E2021" s="3">
        <f>IFERROR(__xludf.DUMMYFUNCTION("""COMPUTED_VALUE"""),140.7)</f>
        <v>140.7</v>
      </c>
      <c r="F2021" s="3">
        <f t="shared" si="1"/>
        <v>0.007490671729</v>
      </c>
    </row>
    <row r="2022">
      <c r="A2022" s="6"/>
      <c r="D2022" s="5">
        <f>IFERROR(__xludf.DUMMYFUNCTION("""COMPUTED_VALUE"""),44655.66666666667)</f>
        <v>44655.66667</v>
      </c>
      <c r="E2022" s="3">
        <f>IFERROR(__xludf.DUMMYFUNCTION("""COMPUTED_VALUE"""),143.64)</f>
        <v>143.64</v>
      </c>
      <c r="F2022" s="3">
        <f t="shared" si="1"/>
        <v>0.02068020524</v>
      </c>
    </row>
    <row r="2023">
      <c r="A2023" s="6"/>
      <c r="D2023" s="5">
        <f>IFERROR(__xludf.DUMMYFUNCTION("""COMPUTED_VALUE"""),44656.66666666667)</f>
        <v>44656.66667</v>
      </c>
      <c r="E2023" s="3">
        <f>IFERROR(__xludf.DUMMYFUNCTION("""COMPUTED_VALUE"""),141.06)</f>
        <v>141.06</v>
      </c>
      <c r="F2023" s="3">
        <f t="shared" si="1"/>
        <v>-0.01812483758</v>
      </c>
    </row>
    <row r="2024">
      <c r="A2024" s="6"/>
      <c r="D2024" s="5">
        <f>IFERROR(__xludf.DUMMYFUNCTION("""COMPUTED_VALUE"""),44657.66666666667)</f>
        <v>44657.66667</v>
      </c>
      <c r="E2024" s="3">
        <f>IFERROR(__xludf.DUMMYFUNCTION("""COMPUTED_VALUE"""),137.18)</f>
        <v>137.18</v>
      </c>
      <c r="F2024" s="3">
        <f t="shared" si="1"/>
        <v>-0.02789139971</v>
      </c>
    </row>
    <row r="2025">
      <c r="A2025" s="6"/>
      <c r="D2025" s="5">
        <f>IFERROR(__xludf.DUMMYFUNCTION("""COMPUTED_VALUE"""),44658.66666666667)</f>
        <v>44658.66667</v>
      </c>
      <c r="E2025" s="3">
        <f>IFERROR(__xludf.DUMMYFUNCTION("""COMPUTED_VALUE"""),136.47)</f>
        <v>136.47</v>
      </c>
      <c r="F2025" s="3">
        <f t="shared" si="1"/>
        <v>-0.005189121821</v>
      </c>
    </row>
    <row r="2026">
      <c r="A2026" s="6"/>
      <c r="D2026" s="5">
        <f>IFERROR(__xludf.DUMMYFUNCTION("""COMPUTED_VALUE"""),44659.66666666667)</f>
        <v>44659.66667</v>
      </c>
      <c r="E2026" s="3">
        <f>IFERROR(__xludf.DUMMYFUNCTION("""COMPUTED_VALUE"""),134.01)</f>
        <v>134.01</v>
      </c>
      <c r="F2026" s="3">
        <f t="shared" si="1"/>
        <v>-0.01819038622</v>
      </c>
    </row>
    <row r="2027">
      <c r="A2027" s="6"/>
      <c r="D2027" s="5">
        <f>IFERROR(__xludf.DUMMYFUNCTION("""COMPUTED_VALUE"""),44662.66666666667)</f>
        <v>44662.66667</v>
      </c>
      <c r="E2027" s="3">
        <f>IFERROR(__xludf.DUMMYFUNCTION("""COMPUTED_VALUE"""),129.8)</f>
        <v>129.8</v>
      </c>
      <c r="F2027" s="3">
        <f t="shared" si="1"/>
        <v>-0.03191961976</v>
      </c>
    </row>
    <row r="2028">
      <c r="A2028" s="6"/>
      <c r="D2028" s="5">
        <f>IFERROR(__xludf.DUMMYFUNCTION("""COMPUTED_VALUE"""),44663.66666666667)</f>
        <v>44663.66667</v>
      </c>
      <c r="E2028" s="3">
        <f>IFERROR(__xludf.DUMMYFUNCTION("""COMPUTED_VALUE"""),128.37)</f>
        <v>128.37</v>
      </c>
      <c r="F2028" s="3">
        <f t="shared" si="1"/>
        <v>-0.01107808517</v>
      </c>
    </row>
    <row r="2029">
      <c r="A2029" s="6"/>
      <c r="D2029" s="5">
        <f>IFERROR(__xludf.DUMMYFUNCTION("""COMPUTED_VALUE"""),44664.66666666667)</f>
        <v>44664.66667</v>
      </c>
      <c r="E2029" s="3">
        <f>IFERROR(__xludf.DUMMYFUNCTION("""COMPUTED_VALUE"""),130.29)</f>
        <v>130.29</v>
      </c>
      <c r="F2029" s="3">
        <f t="shared" si="1"/>
        <v>0.01484601612</v>
      </c>
    </row>
    <row r="2030">
      <c r="A2030" s="6"/>
      <c r="D2030" s="5">
        <f>IFERROR(__xludf.DUMMYFUNCTION("""COMPUTED_VALUE"""),44665.66666666667)</f>
        <v>44665.66667</v>
      </c>
      <c r="E2030" s="3">
        <f>IFERROR(__xludf.DUMMYFUNCTION("""COMPUTED_VALUE"""),127.25)</f>
        <v>127.25</v>
      </c>
      <c r="F2030" s="3">
        <f t="shared" si="1"/>
        <v>-0.02360907978</v>
      </c>
    </row>
    <row r="2031">
      <c r="A2031" s="6"/>
      <c r="D2031" s="5">
        <f>IFERROR(__xludf.DUMMYFUNCTION("""COMPUTED_VALUE"""),44669.66666666667)</f>
        <v>44669.66667</v>
      </c>
      <c r="E2031" s="3">
        <f>IFERROR(__xludf.DUMMYFUNCTION("""COMPUTED_VALUE"""),127.96)</f>
        <v>127.96</v>
      </c>
      <c r="F2031" s="3">
        <f t="shared" si="1"/>
        <v>0.005564059651</v>
      </c>
    </row>
    <row r="2032">
      <c r="A2032" s="6"/>
      <c r="D2032" s="5">
        <f>IFERROR(__xludf.DUMMYFUNCTION("""COMPUTED_VALUE"""),44670.66666666667)</f>
        <v>44670.66667</v>
      </c>
      <c r="E2032" s="3">
        <f>IFERROR(__xludf.DUMMYFUNCTION("""COMPUTED_VALUE"""),130.53)</f>
        <v>130.53</v>
      </c>
      <c r="F2032" s="3">
        <f t="shared" si="1"/>
        <v>0.01988537032</v>
      </c>
    </row>
    <row r="2033">
      <c r="A2033" s="6"/>
      <c r="D2033" s="5">
        <f>IFERROR(__xludf.DUMMYFUNCTION("""COMPUTED_VALUE"""),44671.66666666667)</f>
        <v>44671.66667</v>
      </c>
      <c r="E2033" s="3">
        <f>IFERROR(__xludf.DUMMYFUNCTION("""COMPUTED_VALUE"""),128.25)</f>
        <v>128.25</v>
      </c>
      <c r="F2033" s="3">
        <f t="shared" si="1"/>
        <v>-0.01762160135</v>
      </c>
    </row>
    <row r="2034">
      <c r="A2034" s="6"/>
      <c r="D2034" s="5">
        <f>IFERROR(__xludf.DUMMYFUNCTION("""COMPUTED_VALUE"""),44672.66666666667)</f>
        <v>44672.66667</v>
      </c>
      <c r="E2034" s="3">
        <f>IFERROR(__xludf.DUMMYFUNCTION("""COMPUTED_VALUE"""),124.94)</f>
        <v>124.94</v>
      </c>
      <c r="F2034" s="3">
        <f t="shared" si="1"/>
        <v>-0.02614786199</v>
      </c>
    </row>
    <row r="2035">
      <c r="A2035" s="6"/>
      <c r="D2035" s="5">
        <f>IFERROR(__xludf.DUMMYFUNCTION("""COMPUTED_VALUE"""),44673.66666666667)</f>
        <v>44673.66667</v>
      </c>
      <c r="E2035" s="3">
        <f>IFERROR(__xludf.DUMMYFUNCTION("""COMPUTED_VALUE"""),119.61)</f>
        <v>119.61</v>
      </c>
      <c r="F2035" s="3">
        <f t="shared" si="1"/>
        <v>-0.043597172</v>
      </c>
    </row>
    <row r="2036">
      <c r="A2036" s="6"/>
      <c r="D2036" s="5">
        <f>IFERROR(__xludf.DUMMYFUNCTION("""COMPUTED_VALUE"""),44676.66666666667)</f>
        <v>44676.66667</v>
      </c>
      <c r="E2036" s="3">
        <f>IFERROR(__xludf.DUMMYFUNCTION("""COMPUTED_VALUE"""),123.25)</f>
        <v>123.25</v>
      </c>
      <c r="F2036" s="3">
        <f t="shared" si="1"/>
        <v>0.02997836286</v>
      </c>
    </row>
    <row r="2037">
      <c r="A2037" s="6"/>
      <c r="D2037" s="5">
        <f>IFERROR(__xludf.DUMMYFUNCTION("""COMPUTED_VALUE"""),44677.66666666667)</f>
        <v>44677.66667</v>
      </c>
      <c r="E2037" s="3">
        <f>IFERROR(__xludf.DUMMYFUNCTION("""COMPUTED_VALUE"""),119.51)</f>
        <v>119.51</v>
      </c>
      <c r="F2037" s="3">
        <f t="shared" si="1"/>
        <v>-0.03081476304</v>
      </c>
    </row>
    <row r="2038">
      <c r="A2038" s="6"/>
      <c r="D2038" s="5">
        <f>IFERROR(__xludf.DUMMYFUNCTION("""COMPUTED_VALUE"""),44678.66666666667)</f>
        <v>44678.66667</v>
      </c>
      <c r="E2038" s="3">
        <f>IFERROR(__xludf.DUMMYFUNCTION("""COMPUTED_VALUE"""),115.02)</f>
        <v>115.02</v>
      </c>
      <c r="F2038" s="3">
        <f t="shared" si="1"/>
        <v>-0.03829402359</v>
      </c>
    </row>
    <row r="2039">
      <c r="A2039" s="6"/>
      <c r="D2039" s="5">
        <f>IFERROR(__xludf.DUMMYFUNCTION("""COMPUTED_VALUE"""),44679.66666666667)</f>
        <v>44679.66667</v>
      </c>
      <c r="E2039" s="3">
        <f>IFERROR(__xludf.DUMMYFUNCTION("""COMPUTED_VALUE"""),119.41)</f>
        <v>119.41</v>
      </c>
      <c r="F2039" s="3">
        <f t="shared" si="1"/>
        <v>0.03745692326</v>
      </c>
    </row>
    <row r="2040">
      <c r="A2040" s="6"/>
      <c r="D2040" s="5">
        <f>IFERROR(__xludf.DUMMYFUNCTION("""COMPUTED_VALUE"""),44680.66666666667)</f>
        <v>44680.66667</v>
      </c>
      <c r="E2040" s="3">
        <f>IFERROR(__xludf.DUMMYFUNCTION("""COMPUTED_VALUE"""),114.97)</f>
        <v>114.97</v>
      </c>
      <c r="F2040" s="3">
        <f t="shared" si="1"/>
        <v>-0.03789172478</v>
      </c>
    </row>
    <row r="2041">
      <c r="A2041" s="6"/>
      <c r="D2041" s="5">
        <f>IFERROR(__xludf.DUMMYFUNCTION("""COMPUTED_VALUE"""),44683.66666666667)</f>
        <v>44683.66667</v>
      </c>
      <c r="E2041" s="3">
        <f>IFERROR(__xludf.DUMMYFUNCTION("""COMPUTED_VALUE"""),117.16)</f>
        <v>117.16</v>
      </c>
      <c r="F2041" s="3">
        <f t="shared" si="1"/>
        <v>0.01886929719</v>
      </c>
    </row>
    <row r="2042">
      <c r="A2042" s="6"/>
      <c r="D2042" s="5">
        <f>IFERROR(__xludf.DUMMYFUNCTION("""COMPUTED_VALUE"""),44684.66666666667)</f>
        <v>44684.66667</v>
      </c>
      <c r="E2042" s="3">
        <f>IFERROR(__xludf.DUMMYFUNCTION("""COMPUTED_VALUE"""),118.13)</f>
        <v>118.13</v>
      </c>
      <c r="F2042" s="3">
        <f t="shared" si="1"/>
        <v>0.008245191001</v>
      </c>
    </row>
    <row r="2043">
      <c r="A2043" s="6"/>
      <c r="D2043" s="5">
        <f>IFERROR(__xludf.DUMMYFUNCTION("""COMPUTED_VALUE"""),44685.66666666667)</f>
        <v>44685.66667</v>
      </c>
      <c r="E2043" s="3">
        <f>IFERROR(__xludf.DUMMYFUNCTION("""COMPUTED_VALUE"""),122.58)</f>
        <v>122.58</v>
      </c>
      <c r="F2043" s="3">
        <f t="shared" si="1"/>
        <v>0.0369781651</v>
      </c>
    </row>
    <row r="2044">
      <c r="A2044" s="6"/>
      <c r="D2044" s="5">
        <f>IFERROR(__xludf.DUMMYFUNCTION("""COMPUTED_VALUE"""),44686.66666666667)</f>
        <v>44686.66667</v>
      </c>
      <c r="E2044" s="3">
        <f>IFERROR(__xludf.DUMMYFUNCTION("""COMPUTED_VALUE"""),116.75)</f>
        <v>116.75</v>
      </c>
      <c r="F2044" s="3">
        <f t="shared" si="1"/>
        <v>-0.04872898151</v>
      </c>
    </row>
    <row r="2045">
      <c r="A2045" s="6"/>
      <c r="D2045" s="5">
        <f>IFERROR(__xludf.DUMMYFUNCTION("""COMPUTED_VALUE"""),44687.66666666667)</f>
        <v>44687.66667</v>
      </c>
      <c r="E2045" s="3">
        <f>IFERROR(__xludf.DUMMYFUNCTION("""COMPUTED_VALUE"""),115.66)</f>
        <v>115.66</v>
      </c>
      <c r="F2045" s="3">
        <f t="shared" si="1"/>
        <v>-0.009380043819</v>
      </c>
    </row>
    <row r="2046">
      <c r="A2046" s="6"/>
      <c r="D2046" s="5">
        <f>IFERROR(__xludf.DUMMYFUNCTION("""COMPUTED_VALUE"""),44690.66666666667)</f>
        <v>44690.66667</v>
      </c>
      <c r="E2046" s="3">
        <f>IFERROR(__xludf.DUMMYFUNCTION("""COMPUTED_VALUE"""),113.08)</f>
        <v>113.08</v>
      </c>
      <c r="F2046" s="3">
        <f t="shared" si="1"/>
        <v>-0.0225593199</v>
      </c>
    </row>
    <row r="2047">
      <c r="A2047" s="6"/>
      <c r="D2047" s="5">
        <f>IFERROR(__xludf.DUMMYFUNCTION("""COMPUTED_VALUE"""),44691.66666666667)</f>
        <v>44691.66667</v>
      </c>
      <c r="E2047" s="3">
        <f>IFERROR(__xludf.DUMMYFUNCTION("""COMPUTED_VALUE"""),114.58)</f>
        <v>114.58</v>
      </c>
      <c r="F2047" s="3">
        <f t="shared" si="1"/>
        <v>0.01317773616</v>
      </c>
    </row>
    <row r="2048">
      <c r="A2048" s="6"/>
      <c r="D2048" s="5">
        <f>IFERROR(__xludf.DUMMYFUNCTION("""COMPUTED_VALUE"""),44692.66666666667)</f>
        <v>44692.66667</v>
      </c>
      <c r="E2048" s="3">
        <f>IFERROR(__xludf.DUMMYFUNCTION("""COMPUTED_VALUE"""),113.96)</f>
        <v>113.96</v>
      </c>
      <c r="F2048" s="3">
        <f t="shared" si="1"/>
        <v>-0.005425759351</v>
      </c>
    </row>
    <row r="2049">
      <c r="A2049" s="6"/>
      <c r="D2049" s="5">
        <f>IFERROR(__xludf.DUMMYFUNCTION("""COMPUTED_VALUE"""),44693.66666666667)</f>
        <v>44693.66667</v>
      </c>
      <c r="E2049" s="3">
        <f>IFERROR(__xludf.DUMMYFUNCTION("""COMPUTED_VALUE"""),113.16)</f>
        <v>113.16</v>
      </c>
      <c r="F2049" s="3">
        <f t="shared" si="1"/>
        <v>-0.007044763196</v>
      </c>
    </row>
    <row r="2050">
      <c r="A2050" s="6"/>
      <c r="D2050" s="5">
        <f>IFERROR(__xludf.DUMMYFUNCTION("""COMPUTED_VALUE"""),44694.66666666667)</f>
        <v>44694.66667</v>
      </c>
      <c r="E2050" s="3">
        <f>IFERROR(__xludf.DUMMYFUNCTION("""COMPUTED_VALUE"""),116.52)</f>
        <v>116.52</v>
      </c>
      <c r="F2050" s="3">
        <f t="shared" si="1"/>
        <v>0.02926018566</v>
      </c>
    </row>
    <row r="2051">
      <c r="A2051" s="6"/>
      <c r="D2051" s="5">
        <f>IFERROR(__xludf.DUMMYFUNCTION("""COMPUTED_VALUE"""),44697.66666666667)</f>
        <v>44697.66667</v>
      </c>
      <c r="E2051" s="3">
        <f>IFERROR(__xludf.DUMMYFUNCTION("""COMPUTED_VALUE"""),114.79)</f>
        <v>114.79</v>
      </c>
      <c r="F2051" s="3">
        <f t="shared" si="1"/>
        <v>-0.01495856001</v>
      </c>
    </row>
    <row r="2052">
      <c r="A2052" s="6"/>
      <c r="D2052" s="5">
        <f>IFERROR(__xludf.DUMMYFUNCTION("""COMPUTED_VALUE"""),44698.66666666667)</f>
        <v>44698.66667</v>
      </c>
      <c r="E2052" s="3">
        <f>IFERROR(__xludf.DUMMYFUNCTION("""COMPUTED_VALUE"""),116.7)</f>
        <v>116.7</v>
      </c>
      <c r="F2052" s="3">
        <f t="shared" si="1"/>
        <v>0.01650216722</v>
      </c>
    </row>
    <row r="2053">
      <c r="A2053" s="6"/>
      <c r="D2053" s="5">
        <f>IFERROR(__xludf.DUMMYFUNCTION("""COMPUTED_VALUE"""),44699.66666666667)</f>
        <v>44699.66667</v>
      </c>
      <c r="E2053" s="3">
        <f>IFERROR(__xludf.DUMMYFUNCTION("""COMPUTED_VALUE"""),112.4)</f>
        <v>112.4</v>
      </c>
      <c r="F2053" s="3">
        <f t="shared" si="1"/>
        <v>-0.03754260183</v>
      </c>
    </row>
    <row r="2054">
      <c r="A2054" s="6"/>
      <c r="D2054" s="5">
        <f>IFERROR(__xludf.DUMMYFUNCTION("""COMPUTED_VALUE"""),44700.66666666667)</f>
        <v>44700.66667</v>
      </c>
      <c r="E2054" s="3">
        <f>IFERROR(__xludf.DUMMYFUNCTION("""COMPUTED_VALUE"""),110.75)</f>
        <v>110.75</v>
      </c>
      <c r="F2054" s="3">
        <f t="shared" si="1"/>
        <v>-0.01478852853</v>
      </c>
    </row>
    <row r="2055">
      <c r="A2055" s="6"/>
      <c r="D2055" s="5">
        <f>IFERROR(__xludf.DUMMYFUNCTION("""COMPUTED_VALUE"""),44701.66666666667)</f>
        <v>44701.66667</v>
      </c>
      <c r="E2055" s="3">
        <f>IFERROR(__xludf.DUMMYFUNCTION("""COMPUTED_VALUE"""),109.31)</f>
        <v>109.31</v>
      </c>
      <c r="F2055" s="3">
        <f t="shared" si="1"/>
        <v>-0.01308752662</v>
      </c>
    </row>
    <row r="2056">
      <c r="A2056" s="6"/>
      <c r="D2056" s="5">
        <f>IFERROR(__xludf.DUMMYFUNCTION("""COMPUTED_VALUE"""),44704.66666666667)</f>
        <v>44704.66667</v>
      </c>
      <c r="E2056" s="3">
        <f>IFERROR(__xludf.DUMMYFUNCTION("""COMPUTED_VALUE"""),111.67)</f>
        <v>111.67</v>
      </c>
      <c r="F2056" s="3">
        <f t="shared" si="1"/>
        <v>0.02136021115</v>
      </c>
    </row>
    <row r="2057">
      <c r="A2057" s="6"/>
      <c r="D2057" s="5">
        <f>IFERROR(__xludf.DUMMYFUNCTION("""COMPUTED_VALUE"""),44705.66666666667)</f>
        <v>44705.66667</v>
      </c>
      <c r="E2057" s="3">
        <f>IFERROR(__xludf.DUMMYFUNCTION("""COMPUTED_VALUE"""),105.93)</f>
        <v>105.93</v>
      </c>
      <c r="F2057" s="3">
        <f t="shared" si="1"/>
        <v>-0.05276959485</v>
      </c>
    </row>
    <row r="2058">
      <c r="A2058" s="6"/>
      <c r="D2058" s="5">
        <f>IFERROR(__xludf.DUMMYFUNCTION("""COMPUTED_VALUE"""),44706.66666666667)</f>
        <v>44706.66667</v>
      </c>
      <c r="E2058" s="3">
        <f>IFERROR(__xludf.DUMMYFUNCTION("""COMPUTED_VALUE"""),105.84)</f>
        <v>105.84</v>
      </c>
      <c r="F2058" s="3">
        <f t="shared" si="1"/>
        <v>-0.0008499788017</v>
      </c>
    </row>
    <row r="2059">
      <c r="A2059" s="6"/>
      <c r="D2059" s="5">
        <f>IFERROR(__xludf.DUMMYFUNCTION("""COMPUTED_VALUE"""),44707.66666666667)</f>
        <v>44707.66667</v>
      </c>
      <c r="E2059" s="3">
        <f>IFERROR(__xludf.DUMMYFUNCTION("""COMPUTED_VALUE"""),108.3)</f>
        <v>108.3</v>
      </c>
      <c r="F2059" s="3">
        <f t="shared" si="1"/>
        <v>0.0229766342</v>
      </c>
    </row>
    <row r="2060">
      <c r="A2060" s="6"/>
      <c r="D2060" s="5">
        <f>IFERROR(__xludf.DUMMYFUNCTION("""COMPUTED_VALUE"""),44708.66666666667)</f>
        <v>44708.66667</v>
      </c>
      <c r="E2060" s="3">
        <f>IFERROR(__xludf.DUMMYFUNCTION("""COMPUTED_VALUE"""),112.8)</f>
        <v>112.8</v>
      </c>
      <c r="F2060" s="3">
        <f t="shared" si="1"/>
        <v>0.04071118506</v>
      </c>
    </row>
    <row r="2061">
      <c r="A2061" s="6"/>
      <c r="D2061" s="5">
        <f>IFERROR(__xludf.DUMMYFUNCTION("""COMPUTED_VALUE"""),44712.66666666667)</f>
        <v>44712.66667</v>
      </c>
      <c r="E2061" s="3">
        <f>IFERROR(__xludf.DUMMYFUNCTION("""COMPUTED_VALUE"""),114.04)</f>
        <v>114.04</v>
      </c>
      <c r="F2061" s="3">
        <f t="shared" si="1"/>
        <v>0.01093292498</v>
      </c>
    </row>
    <row r="2062">
      <c r="A2062" s="6"/>
      <c r="D2062" s="5">
        <f>IFERROR(__xludf.DUMMYFUNCTION("""COMPUTED_VALUE"""),44713.66666666667)</f>
        <v>44713.66667</v>
      </c>
      <c r="E2062" s="3">
        <f>IFERROR(__xludf.DUMMYFUNCTION("""COMPUTED_VALUE"""),114.14)</f>
        <v>114.14</v>
      </c>
      <c r="F2062" s="3">
        <f t="shared" si="1"/>
        <v>0.0008765010641</v>
      </c>
    </row>
    <row r="2063">
      <c r="A2063" s="6"/>
      <c r="D2063" s="5">
        <f>IFERROR(__xludf.DUMMYFUNCTION("""COMPUTED_VALUE"""),44714.66666666667)</f>
        <v>44714.66667</v>
      </c>
      <c r="E2063" s="3">
        <f>IFERROR(__xludf.DUMMYFUNCTION("""COMPUTED_VALUE"""),117.75)</f>
        <v>117.75</v>
      </c>
      <c r="F2063" s="3">
        <f t="shared" si="1"/>
        <v>0.03113796779</v>
      </c>
    </row>
    <row r="2064">
      <c r="A2064" s="6"/>
      <c r="D2064" s="5">
        <f>IFERROR(__xludf.DUMMYFUNCTION("""COMPUTED_VALUE"""),44715.66666666667)</f>
        <v>44715.66667</v>
      </c>
      <c r="E2064" s="3">
        <f>IFERROR(__xludf.DUMMYFUNCTION("""COMPUTED_VALUE"""),114.56)</f>
        <v>114.56</v>
      </c>
      <c r="F2064" s="3">
        <f t="shared" si="1"/>
        <v>-0.02746502968</v>
      </c>
    </row>
    <row r="2065">
      <c r="A2065" s="6"/>
      <c r="D2065" s="5">
        <f>IFERROR(__xludf.DUMMYFUNCTION("""COMPUTED_VALUE"""),44718.66666666667)</f>
        <v>44718.66667</v>
      </c>
      <c r="E2065" s="3">
        <f>IFERROR(__xludf.DUMMYFUNCTION("""COMPUTED_VALUE"""),117.01)</f>
        <v>117.01</v>
      </c>
      <c r="F2065" s="3">
        <f t="shared" si="1"/>
        <v>0.02116069802</v>
      </c>
    </row>
    <row r="2066">
      <c r="A2066" s="6"/>
      <c r="D2066" s="5">
        <f>IFERROR(__xludf.DUMMYFUNCTION("""COMPUTED_VALUE"""),44719.66666666667)</f>
        <v>44719.66667</v>
      </c>
      <c r="E2066" s="3">
        <f>IFERROR(__xludf.DUMMYFUNCTION("""COMPUTED_VALUE"""),117.23)</f>
        <v>117.23</v>
      </c>
      <c r="F2066" s="3">
        <f t="shared" si="1"/>
        <v>0.001878415853</v>
      </c>
    </row>
    <row r="2067">
      <c r="A2067" s="6"/>
      <c r="D2067" s="5">
        <f>IFERROR(__xludf.DUMMYFUNCTION("""COMPUTED_VALUE"""),44720.66666666667)</f>
        <v>44720.66667</v>
      </c>
      <c r="E2067" s="3">
        <f>IFERROR(__xludf.DUMMYFUNCTION("""COMPUTED_VALUE"""),117.24)</f>
        <v>117.24</v>
      </c>
      <c r="F2067" s="3">
        <f t="shared" si="1"/>
        <v>0.00008529875895</v>
      </c>
    </row>
    <row r="2068">
      <c r="A2068" s="6"/>
      <c r="D2068" s="5">
        <f>IFERROR(__xludf.DUMMYFUNCTION("""COMPUTED_VALUE"""),44721.66666666667)</f>
        <v>44721.66667</v>
      </c>
      <c r="E2068" s="3">
        <f>IFERROR(__xludf.DUMMYFUNCTION("""COMPUTED_VALUE"""),114.92)</f>
        <v>114.92</v>
      </c>
      <c r="F2068" s="3">
        <f t="shared" si="1"/>
        <v>-0.01998688173</v>
      </c>
    </row>
    <row r="2069">
      <c r="A2069" s="6"/>
      <c r="D2069" s="5">
        <f>IFERROR(__xludf.DUMMYFUNCTION("""COMPUTED_VALUE"""),44722.66666666667)</f>
        <v>44722.66667</v>
      </c>
      <c r="E2069" s="3">
        <f>IFERROR(__xludf.DUMMYFUNCTION("""COMPUTED_VALUE"""),111.43)</f>
        <v>111.43</v>
      </c>
      <c r="F2069" s="3">
        <f t="shared" si="1"/>
        <v>-0.03083964305</v>
      </c>
    </row>
    <row r="2070">
      <c r="A2070" s="6"/>
      <c r="D2070" s="5">
        <f>IFERROR(__xludf.DUMMYFUNCTION("""COMPUTED_VALUE"""),44725.66666666667)</f>
        <v>44725.66667</v>
      </c>
      <c r="E2070" s="3">
        <f>IFERROR(__xludf.DUMMYFUNCTION("""COMPUTED_VALUE"""),106.88)</f>
        <v>106.88</v>
      </c>
      <c r="F2070" s="3">
        <f t="shared" si="1"/>
        <v>-0.04168988127</v>
      </c>
    </row>
    <row r="2071">
      <c r="A2071" s="6"/>
      <c r="D2071" s="5">
        <f>IFERROR(__xludf.DUMMYFUNCTION("""COMPUTED_VALUE"""),44726.66666666667)</f>
        <v>44726.66667</v>
      </c>
      <c r="E2071" s="3">
        <f>IFERROR(__xludf.DUMMYFUNCTION("""COMPUTED_VALUE"""),107.19)</f>
        <v>107.19</v>
      </c>
      <c r="F2071" s="3">
        <f t="shared" si="1"/>
        <v>0.002896250915</v>
      </c>
    </row>
    <row r="2072">
      <c r="A2072" s="6"/>
      <c r="D2072" s="5">
        <f>IFERROR(__xludf.DUMMYFUNCTION("""COMPUTED_VALUE"""),44727.66666666667)</f>
        <v>44727.66667</v>
      </c>
      <c r="E2072" s="3">
        <f>IFERROR(__xludf.DUMMYFUNCTION("""COMPUTED_VALUE"""),110.39)</f>
        <v>110.39</v>
      </c>
      <c r="F2072" s="3">
        <f t="shared" si="1"/>
        <v>0.02941658933</v>
      </c>
    </row>
    <row r="2073">
      <c r="A2073" s="6"/>
      <c r="D2073" s="5">
        <f>IFERROR(__xludf.DUMMYFUNCTION("""COMPUTED_VALUE"""),44728.66666666667)</f>
        <v>44728.66667</v>
      </c>
      <c r="E2073" s="3">
        <f>IFERROR(__xludf.DUMMYFUNCTION("""COMPUTED_VALUE"""),106.64)</f>
        <v>106.64</v>
      </c>
      <c r="F2073" s="3">
        <f t="shared" si="1"/>
        <v>-0.03456087416</v>
      </c>
    </row>
    <row r="2074">
      <c r="A2074" s="6"/>
      <c r="D2074" s="5">
        <f>IFERROR(__xludf.DUMMYFUNCTION("""COMPUTED_VALUE"""),44729.66666666667)</f>
        <v>44729.66667</v>
      </c>
      <c r="E2074" s="3">
        <f>IFERROR(__xludf.DUMMYFUNCTION("""COMPUTED_VALUE"""),107.87)</f>
        <v>107.87</v>
      </c>
      <c r="F2074" s="3">
        <f t="shared" si="1"/>
        <v>0.01146812252</v>
      </c>
    </row>
    <row r="2075">
      <c r="A2075" s="6"/>
      <c r="D2075" s="5">
        <f>IFERROR(__xludf.DUMMYFUNCTION("""COMPUTED_VALUE"""),44733.66666666667)</f>
        <v>44733.66667</v>
      </c>
      <c r="E2075" s="3">
        <f>IFERROR(__xludf.DUMMYFUNCTION("""COMPUTED_VALUE"""),112.02)</f>
        <v>112.02</v>
      </c>
      <c r="F2075" s="3">
        <f t="shared" si="1"/>
        <v>0.03775062839</v>
      </c>
    </row>
    <row r="2076">
      <c r="A2076" s="6"/>
      <c r="D2076" s="5">
        <f>IFERROR(__xludf.DUMMYFUNCTION("""COMPUTED_VALUE"""),44734.66666666667)</f>
        <v>44734.66667</v>
      </c>
      <c r="E2076" s="3">
        <f>IFERROR(__xludf.DUMMYFUNCTION("""COMPUTED_VALUE"""),112.03)</f>
        <v>112.03</v>
      </c>
      <c r="F2076" s="3">
        <f t="shared" si="1"/>
        <v>0.00008926578895</v>
      </c>
    </row>
    <row r="2077">
      <c r="A2077" s="6"/>
      <c r="D2077" s="5">
        <f>IFERROR(__xludf.DUMMYFUNCTION("""COMPUTED_VALUE"""),44735.66666666667)</f>
        <v>44735.66667</v>
      </c>
      <c r="E2077" s="3">
        <f>IFERROR(__xludf.DUMMYFUNCTION("""COMPUTED_VALUE"""),112.68)</f>
        <v>112.68</v>
      </c>
      <c r="F2077" s="3">
        <f t="shared" si="1"/>
        <v>0.005785250438</v>
      </c>
    </row>
    <row r="2078">
      <c r="A2078" s="6"/>
      <c r="D2078" s="5">
        <f>IFERROR(__xludf.DUMMYFUNCTION("""COMPUTED_VALUE"""),44736.66666666667)</f>
        <v>44736.66667</v>
      </c>
      <c r="E2078" s="3">
        <f>IFERROR(__xludf.DUMMYFUNCTION("""COMPUTED_VALUE"""),118.54)</f>
        <v>118.54</v>
      </c>
      <c r="F2078" s="3">
        <f t="shared" si="1"/>
        <v>0.05069851335</v>
      </c>
    </row>
    <row r="2079">
      <c r="A2079" s="6"/>
      <c r="D2079" s="5">
        <f>IFERROR(__xludf.DUMMYFUNCTION("""COMPUTED_VALUE"""),44739.66666666667)</f>
        <v>44739.66667</v>
      </c>
      <c r="E2079" s="3">
        <f>IFERROR(__xludf.DUMMYFUNCTION("""COMPUTED_VALUE"""),116.62)</f>
        <v>116.62</v>
      </c>
      <c r="F2079" s="3">
        <f t="shared" si="1"/>
        <v>-0.01632967057</v>
      </c>
    </row>
    <row r="2080">
      <c r="A2080" s="6"/>
      <c r="D2080" s="5">
        <f>IFERROR(__xludf.DUMMYFUNCTION("""COMPUTED_VALUE"""),44740.66666666667)</f>
        <v>44740.66667</v>
      </c>
      <c r="E2080" s="3">
        <f>IFERROR(__xludf.DUMMYFUNCTION("""COMPUTED_VALUE"""),112.57)</f>
        <v>112.57</v>
      </c>
      <c r="F2080" s="3">
        <f t="shared" si="1"/>
        <v>-0.03534553543</v>
      </c>
    </row>
    <row r="2081">
      <c r="A2081" s="6"/>
      <c r="D2081" s="5">
        <f>IFERROR(__xludf.DUMMYFUNCTION("""COMPUTED_VALUE"""),44741.66666666667)</f>
        <v>44741.66667</v>
      </c>
      <c r="E2081" s="3">
        <f>IFERROR(__xludf.DUMMYFUNCTION("""COMPUTED_VALUE"""),112.26)</f>
        <v>112.26</v>
      </c>
      <c r="F2081" s="3">
        <f t="shared" si="1"/>
        <v>-0.002757640853</v>
      </c>
    </row>
    <row r="2082">
      <c r="A2082" s="6"/>
      <c r="D2082" s="5">
        <f>IFERROR(__xludf.DUMMYFUNCTION("""COMPUTED_VALUE"""),44742.66666666667)</f>
        <v>44742.66667</v>
      </c>
      <c r="E2082" s="3">
        <f>IFERROR(__xludf.DUMMYFUNCTION("""COMPUTED_VALUE"""),109.37)</f>
        <v>109.37</v>
      </c>
      <c r="F2082" s="3">
        <f t="shared" si="1"/>
        <v>-0.02608098017</v>
      </c>
    </row>
    <row r="2083">
      <c r="A2083" s="6"/>
      <c r="D2083" s="5">
        <f>IFERROR(__xludf.DUMMYFUNCTION("""COMPUTED_VALUE"""),44743.66666666667)</f>
        <v>44743.66667</v>
      </c>
      <c r="E2083" s="3">
        <f>IFERROR(__xludf.DUMMYFUNCTION("""COMPUTED_VALUE"""),109.08)</f>
        <v>109.08</v>
      </c>
      <c r="F2083" s="3">
        <f t="shared" si="1"/>
        <v>-0.00265507137</v>
      </c>
    </row>
    <row r="2084">
      <c r="A2084" s="6"/>
      <c r="D2084" s="5">
        <f>IFERROR(__xludf.DUMMYFUNCTION("""COMPUTED_VALUE"""),44747.66666666667)</f>
        <v>44747.66667</v>
      </c>
      <c r="E2084" s="3">
        <f>IFERROR(__xludf.DUMMYFUNCTION("""COMPUTED_VALUE"""),113.89)</f>
        <v>113.89</v>
      </c>
      <c r="F2084" s="3">
        <f t="shared" si="1"/>
        <v>0.04315151231</v>
      </c>
    </row>
    <row r="2085">
      <c r="A2085" s="6"/>
      <c r="D2085" s="5">
        <f>IFERROR(__xludf.DUMMYFUNCTION("""COMPUTED_VALUE"""),44748.66666666667)</f>
        <v>44748.66667</v>
      </c>
      <c r="E2085" s="3">
        <f>IFERROR(__xludf.DUMMYFUNCTION("""COMPUTED_VALUE"""),115.21)</f>
        <v>115.21</v>
      </c>
      <c r="F2085" s="3">
        <f t="shared" si="1"/>
        <v>0.01152347976</v>
      </c>
    </row>
    <row r="2086">
      <c r="A2086" s="6"/>
      <c r="D2086" s="5">
        <f>IFERROR(__xludf.DUMMYFUNCTION("""COMPUTED_VALUE"""),44749.66666666667)</f>
        <v>44749.66667</v>
      </c>
      <c r="E2086" s="3">
        <f>IFERROR(__xludf.DUMMYFUNCTION("""COMPUTED_VALUE"""),119.31)</f>
        <v>119.31</v>
      </c>
      <c r="F2086" s="3">
        <f t="shared" si="1"/>
        <v>0.03496859784</v>
      </c>
    </row>
    <row r="2087">
      <c r="A2087" s="6"/>
      <c r="D2087" s="5">
        <f>IFERROR(__xludf.DUMMYFUNCTION("""COMPUTED_VALUE"""),44750.66666666667)</f>
        <v>44750.66667</v>
      </c>
      <c r="E2087" s="3">
        <f>IFERROR(__xludf.DUMMYFUNCTION("""COMPUTED_VALUE"""),120.17)</f>
        <v>120.17</v>
      </c>
      <c r="F2087" s="3">
        <f t="shared" si="1"/>
        <v>0.007182259035</v>
      </c>
    </row>
    <row r="2088">
      <c r="A2088" s="6"/>
      <c r="D2088" s="5">
        <f>IFERROR(__xludf.DUMMYFUNCTION("""COMPUTED_VALUE"""),44753.66666666667)</f>
        <v>44753.66667</v>
      </c>
      <c r="E2088" s="3">
        <f>IFERROR(__xludf.DUMMYFUNCTION("""COMPUTED_VALUE"""),116.52)</f>
        <v>116.52</v>
      </c>
      <c r="F2088" s="3">
        <f t="shared" si="1"/>
        <v>-0.03084447483</v>
      </c>
    </row>
    <row r="2089">
      <c r="A2089" s="6"/>
      <c r="D2089" s="5">
        <f>IFERROR(__xludf.DUMMYFUNCTION("""COMPUTED_VALUE"""),44754.66666666667)</f>
        <v>44754.66667</v>
      </c>
      <c r="E2089" s="3">
        <f>IFERROR(__xludf.DUMMYFUNCTION("""COMPUTED_VALUE"""),114.85)</f>
        <v>114.85</v>
      </c>
      <c r="F2089" s="3">
        <f t="shared" si="1"/>
        <v>-0.01443600296</v>
      </c>
    </row>
    <row r="2090">
      <c r="A2090" s="6"/>
      <c r="D2090" s="5">
        <f>IFERROR(__xludf.DUMMYFUNCTION("""COMPUTED_VALUE"""),44755.66666666667)</f>
        <v>44755.66667</v>
      </c>
      <c r="E2090" s="3">
        <f>IFERROR(__xludf.DUMMYFUNCTION("""COMPUTED_VALUE"""),112.19)</f>
        <v>112.19</v>
      </c>
      <c r="F2090" s="3">
        <f t="shared" si="1"/>
        <v>-0.02343306658</v>
      </c>
    </row>
    <row r="2091">
      <c r="A2091" s="6"/>
      <c r="D2091" s="5">
        <f>IFERROR(__xludf.DUMMYFUNCTION("""COMPUTED_VALUE"""),44756.66666666667)</f>
        <v>44756.66667</v>
      </c>
      <c r="E2091" s="3">
        <f>IFERROR(__xludf.DUMMYFUNCTION("""COMPUTED_VALUE"""),111.44)</f>
        <v>111.44</v>
      </c>
      <c r="F2091" s="3">
        <f t="shared" si="1"/>
        <v>-0.006707533085</v>
      </c>
    </row>
    <row r="2092">
      <c r="A2092" s="6"/>
      <c r="D2092" s="5">
        <f>IFERROR(__xludf.DUMMYFUNCTION("""COMPUTED_VALUE"""),44757.66666666667)</f>
        <v>44757.66667</v>
      </c>
      <c r="E2092" s="3">
        <f>IFERROR(__xludf.DUMMYFUNCTION("""COMPUTED_VALUE"""),112.77)</f>
        <v>112.77</v>
      </c>
      <c r="F2092" s="3">
        <f t="shared" si="1"/>
        <v>0.01186401677</v>
      </c>
    </row>
    <row r="2093">
      <c r="A2093" s="6"/>
      <c r="D2093" s="5">
        <f>IFERROR(__xludf.DUMMYFUNCTION("""COMPUTED_VALUE"""),44760.66666666667)</f>
        <v>44760.66667</v>
      </c>
      <c r="E2093" s="3">
        <f>IFERROR(__xludf.DUMMYFUNCTION("""COMPUTED_VALUE"""),109.91)</f>
        <v>109.91</v>
      </c>
      <c r="F2093" s="3">
        <f t="shared" si="1"/>
        <v>-0.02568849716</v>
      </c>
    </row>
    <row r="2094">
      <c r="A2094" s="6"/>
      <c r="D2094" s="5">
        <f>IFERROR(__xludf.DUMMYFUNCTION("""COMPUTED_VALUE"""),44761.66666666667)</f>
        <v>44761.66667</v>
      </c>
      <c r="E2094" s="3">
        <f>IFERROR(__xludf.DUMMYFUNCTION("""COMPUTED_VALUE"""),114.62)</f>
        <v>114.62</v>
      </c>
      <c r="F2094" s="3">
        <f t="shared" si="1"/>
        <v>0.04196046004</v>
      </c>
    </row>
    <row r="2095">
      <c r="A2095" s="6"/>
      <c r="D2095" s="5">
        <f>IFERROR(__xludf.DUMMYFUNCTION("""COMPUTED_VALUE"""),44762.66666666667)</f>
        <v>44762.66667</v>
      </c>
      <c r="E2095" s="3">
        <f>IFERROR(__xludf.DUMMYFUNCTION("""COMPUTED_VALUE"""),114.7)</f>
        <v>114.7</v>
      </c>
      <c r="F2095" s="3">
        <f t="shared" si="1"/>
        <v>0.0006977150117</v>
      </c>
    </row>
    <row r="2096">
      <c r="A2096" s="6"/>
      <c r="D2096" s="5">
        <f>IFERROR(__xludf.DUMMYFUNCTION("""COMPUTED_VALUE"""),44763.66666666667)</f>
        <v>44763.66667</v>
      </c>
      <c r="E2096" s="3">
        <f>IFERROR(__xludf.DUMMYFUNCTION("""COMPUTED_VALUE"""),115.04)</f>
        <v>115.04</v>
      </c>
      <c r="F2096" s="3">
        <f t="shared" si="1"/>
        <v>0.002959869837</v>
      </c>
    </row>
    <row r="2097">
      <c r="A2097" s="6"/>
      <c r="D2097" s="5">
        <f>IFERROR(__xludf.DUMMYFUNCTION("""COMPUTED_VALUE"""),44764.66666666667)</f>
        <v>44764.66667</v>
      </c>
      <c r="E2097" s="3">
        <f>IFERROR(__xludf.DUMMYFUNCTION("""COMPUTED_VALUE"""),108.36)</f>
        <v>108.36</v>
      </c>
      <c r="F2097" s="3">
        <f t="shared" si="1"/>
        <v>-0.05982087676</v>
      </c>
    </row>
    <row r="2098">
      <c r="A2098" s="6"/>
      <c r="D2098" s="5">
        <f>IFERROR(__xludf.DUMMYFUNCTION("""COMPUTED_VALUE"""),44767.66666666667)</f>
        <v>44767.66667</v>
      </c>
      <c r="E2098" s="3">
        <f>IFERROR(__xludf.DUMMYFUNCTION("""COMPUTED_VALUE"""),108.21)</f>
        <v>108.21</v>
      </c>
      <c r="F2098" s="3">
        <f t="shared" si="1"/>
        <v>-0.001385233633</v>
      </c>
    </row>
    <row r="2099">
      <c r="A2099" s="6"/>
      <c r="D2099" s="5">
        <f>IFERROR(__xludf.DUMMYFUNCTION("""COMPUTED_VALUE"""),44768.66666666667)</f>
        <v>44768.66667</v>
      </c>
      <c r="E2099" s="3">
        <f>IFERROR(__xludf.DUMMYFUNCTION("""COMPUTED_VALUE"""),105.44)</f>
        <v>105.44</v>
      </c>
      <c r="F2099" s="3">
        <f t="shared" si="1"/>
        <v>-0.02593171283</v>
      </c>
    </row>
    <row r="2100">
      <c r="A2100" s="6"/>
      <c r="D2100" s="5">
        <f>IFERROR(__xludf.DUMMYFUNCTION("""COMPUTED_VALUE"""),44769.66666666667)</f>
        <v>44769.66667</v>
      </c>
      <c r="E2100" s="3">
        <f>IFERROR(__xludf.DUMMYFUNCTION("""COMPUTED_VALUE"""),113.6)</f>
        <v>113.6</v>
      </c>
      <c r="F2100" s="3">
        <f t="shared" si="1"/>
        <v>0.07454143553</v>
      </c>
    </row>
    <row r="2101">
      <c r="A2101" s="6"/>
      <c r="D2101" s="5">
        <f>IFERROR(__xludf.DUMMYFUNCTION("""COMPUTED_VALUE"""),44770.66666666667)</f>
        <v>44770.66667</v>
      </c>
      <c r="E2101" s="3">
        <f>IFERROR(__xludf.DUMMYFUNCTION("""COMPUTED_VALUE"""),114.59)</f>
        <v>114.59</v>
      </c>
      <c r="F2101" s="3">
        <f t="shared" si="1"/>
        <v>0.008677034151</v>
      </c>
    </row>
    <row r="2102">
      <c r="A2102" s="6"/>
      <c r="D2102" s="5">
        <f>IFERROR(__xludf.DUMMYFUNCTION("""COMPUTED_VALUE"""),44771.66666666667)</f>
        <v>44771.66667</v>
      </c>
      <c r="E2102" s="3">
        <f>IFERROR(__xludf.DUMMYFUNCTION("""COMPUTED_VALUE"""),116.64)</f>
        <v>116.64</v>
      </c>
      <c r="F2102" s="3">
        <f t="shared" si="1"/>
        <v>0.01773172782</v>
      </c>
    </row>
    <row r="2103">
      <c r="A2103" s="6"/>
      <c r="D2103" s="5">
        <f>IFERROR(__xludf.DUMMYFUNCTION("""COMPUTED_VALUE"""),44774.66666666667)</f>
        <v>44774.66667</v>
      </c>
      <c r="E2103" s="3">
        <f>IFERROR(__xludf.DUMMYFUNCTION("""COMPUTED_VALUE"""),115.48)</f>
        <v>115.48</v>
      </c>
      <c r="F2103" s="3">
        <f t="shared" si="1"/>
        <v>-0.009994913466</v>
      </c>
    </row>
    <row r="2104">
      <c r="A2104" s="6"/>
      <c r="D2104" s="5">
        <f>IFERROR(__xludf.DUMMYFUNCTION("""COMPUTED_VALUE"""),44775.66666666667)</f>
        <v>44775.66667</v>
      </c>
      <c r="E2104" s="3">
        <f>IFERROR(__xludf.DUMMYFUNCTION("""COMPUTED_VALUE"""),115.9)</f>
        <v>115.9</v>
      </c>
      <c r="F2104" s="3">
        <f t="shared" si="1"/>
        <v>0.003630395551</v>
      </c>
    </row>
    <row r="2105">
      <c r="A2105" s="6"/>
      <c r="D2105" s="5">
        <f>IFERROR(__xludf.DUMMYFUNCTION("""COMPUTED_VALUE"""),44776.66666666667)</f>
        <v>44776.66667</v>
      </c>
      <c r="E2105" s="3">
        <f>IFERROR(__xludf.DUMMYFUNCTION("""COMPUTED_VALUE"""),118.78)</f>
        <v>118.78</v>
      </c>
      <c r="F2105" s="3">
        <f t="shared" si="1"/>
        <v>0.02454529224</v>
      </c>
    </row>
    <row r="2106">
      <c r="A2106" s="6"/>
      <c r="D2106" s="5">
        <f>IFERROR(__xludf.DUMMYFUNCTION("""COMPUTED_VALUE"""),44777.66666666667)</f>
        <v>44777.66667</v>
      </c>
      <c r="E2106" s="3">
        <f>IFERROR(__xludf.DUMMYFUNCTION("""COMPUTED_VALUE"""),118.87)</f>
        <v>118.87</v>
      </c>
      <c r="F2106" s="3">
        <f t="shared" si="1"/>
        <v>0.0007574164048</v>
      </c>
    </row>
    <row r="2107">
      <c r="A2107" s="6"/>
      <c r="D2107" s="5">
        <f>IFERROR(__xludf.DUMMYFUNCTION("""COMPUTED_VALUE"""),44778.66666666667)</f>
        <v>44778.66667</v>
      </c>
      <c r="E2107" s="3">
        <f>IFERROR(__xludf.DUMMYFUNCTION("""COMPUTED_VALUE"""),118.22)</f>
        <v>118.22</v>
      </c>
      <c r="F2107" s="3">
        <f t="shared" si="1"/>
        <v>-0.005483163596</v>
      </c>
    </row>
    <row r="2108">
      <c r="A2108" s="6"/>
      <c r="D2108" s="5">
        <f>IFERROR(__xludf.DUMMYFUNCTION("""COMPUTED_VALUE"""),44781.66666666667)</f>
        <v>44781.66667</v>
      </c>
      <c r="E2108" s="3">
        <f>IFERROR(__xludf.DUMMYFUNCTION("""COMPUTED_VALUE"""),118.14)</f>
        <v>118.14</v>
      </c>
      <c r="F2108" s="3">
        <f t="shared" si="1"/>
        <v>-0.0006769335171</v>
      </c>
    </row>
    <row r="2109">
      <c r="A2109" s="6"/>
      <c r="D2109" s="5">
        <f>IFERROR(__xludf.DUMMYFUNCTION("""COMPUTED_VALUE"""),44782.66666666667)</f>
        <v>44782.66667</v>
      </c>
      <c r="E2109" s="3">
        <f>IFERROR(__xludf.DUMMYFUNCTION("""COMPUTED_VALUE"""),117.5)</f>
        <v>117.5</v>
      </c>
      <c r="F2109" s="3">
        <f t="shared" si="1"/>
        <v>-0.005432028295</v>
      </c>
    </row>
    <row r="2110">
      <c r="A2110" s="6"/>
      <c r="D2110" s="5">
        <f>IFERROR(__xludf.DUMMYFUNCTION("""COMPUTED_VALUE"""),44783.66666666667)</f>
        <v>44783.66667</v>
      </c>
      <c r="E2110" s="3">
        <f>IFERROR(__xludf.DUMMYFUNCTION("""COMPUTED_VALUE"""),120.65)</f>
        <v>120.65</v>
      </c>
      <c r="F2110" s="3">
        <f t="shared" si="1"/>
        <v>0.02645545849</v>
      </c>
    </row>
    <row r="2111">
      <c r="A2111" s="6"/>
      <c r="D2111" s="5">
        <f>IFERROR(__xludf.DUMMYFUNCTION("""COMPUTED_VALUE"""),44784.66666666667)</f>
        <v>44784.66667</v>
      </c>
      <c r="E2111" s="3">
        <f>IFERROR(__xludf.DUMMYFUNCTION("""COMPUTED_VALUE"""),119.82)</f>
        <v>119.82</v>
      </c>
      <c r="F2111" s="3">
        <f t="shared" si="1"/>
        <v>-0.006903175415</v>
      </c>
    </row>
    <row r="2112">
      <c r="A2112" s="6"/>
      <c r="D2112" s="5">
        <f>IFERROR(__xludf.DUMMYFUNCTION("""COMPUTED_VALUE"""),44785.66666666667)</f>
        <v>44785.66667</v>
      </c>
      <c r="E2112" s="3">
        <f>IFERROR(__xludf.DUMMYFUNCTION("""COMPUTED_VALUE"""),122.65)</f>
        <v>122.65</v>
      </c>
      <c r="F2112" s="3">
        <f t="shared" si="1"/>
        <v>0.02334415405</v>
      </c>
    </row>
    <row r="2113">
      <c r="A2113" s="6"/>
      <c r="D2113" s="5">
        <f>IFERROR(__xludf.DUMMYFUNCTION("""COMPUTED_VALUE"""),44788.66666666667)</f>
        <v>44788.66667</v>
      </c>
      <c r="E2113" s="3">
        <f>IFERROR(__xludf.DUMMYFUNCTION("""COMPUTED_VALUE"""),122.88)</f>
        <v>122.88</v>
      </c>
      <c r="F2113" s="3">
        <f t="shared" si="1"/>
        <v>0.001873498695</v>
      </c>
    </row>
    <row r="2114">
      <c r="A2114" s="6"/>
      <c r="D2114" s="5">
        <f>IFERROR(__xludf.DUMMYFUNCTION("""COMPUTED_VALUE"""),44789.66666666667)</f>
        <v>44789.66667</v>
      </c>
      <c r="E2114" s="3">
        <f>IFERROR(__xludf.DUMMYFUNCTION("""COMPUTED_VALUE"""),122.51)</f>
        <v>122.51</v>
      </c>
      <c r="F2114" s="3">
        <f t="shared" si="1"/>
        <v>-0.003015610093</v>
      </c>
    </row>
    <row r="2115">
      <c r="A2115" s="6"/>
      <c r="D2115" s="5">
        <f>IFERROR(__xludf.DUMMYFUNCTION("""COMPUTED_VALUE"""),44790.66666666667)</f>
        <v>44790.66667</v>
      </c>
      <c r="E2115" s="3">
        <f>IFERROR(__xludf.DUMMYFUNCTION("""COMPUTED_VALUE"""),120.32)</f>
        <v>120.32</v>
      </c>
      <c r="F2115" s="3">
        <f t="shared" si="1"/>
        <v>-0.0180377991</v>
      </c>
    </row>
    <row r="2116">
      <c r="A2116" s="6"/>
      <c r="D2116" s="5">
        <f>IFERROR(__xludf.DUMMYFUNCTION("""COMPUTED_VALUE"""),44791.66666666667)</f>
        <v>44791.66667</v>
      </c>
      <c r="E2116" s="3">
        <f>IFERROR(__xludf.DUMMYFUNCTION("""COMPUTED_VALUE"""),120.86)</f>
        <v>120.86</v>
      </c>
      <c r="F2116" s="3">
        <f t="shared" si="1"/>
        <v>0.004477990732</v>
      </c>
    </row>
    <row r="2117">
      <c r="A2117" s="6"/>
      <c r="D2117" s="5">
        <f>IFERROR(__xludf.DUMMYFUNCTION("""COMPUTED_VALUE"""),44792.66666666667)</f>
        <v>44792.66667</v>
      </c>
      <c r="E2117" s="3">
        <f>IFERROR(__xludf.DUMMYFUNCTION("""COMPUTED_VALUE"""),118.12)</f>
        <v>118.12</v>
      </c>
      <c r="F2117" s="3">
        <f t="shared" si="1"/>
        <v>-0.02293179406</v>
      </c>
    </row>
    <row r="2118">
      <c r="A2118" s="6"/>
      <c r="D2118" s="5">
        <f>IFERROR(__xludf.DUMMYFUNCTION("""COMPUTED_VALUE"""),44795.66666666667)</f>
        <v>44795.66667</v>
      </c>
      <c r="E2118" s="3">
        <f>IFERROR(__xludf.DUMMYFUNCTION("""COMPUTED_VALUE"""),115.07)</f>
        <v>115.07</v>
      </c>
      <c r="F2118" s="3">
        <f t="shared" si="1"/>
        <v>-0.02616041804</v>
      </c>
    </row>
    <row r="2119">
      <c r="A2119" s="6"/>
      <c r="D2119" s="5">
        <f>IFERROR(__xludf.DUMMYFUNCTION("""COMPUTED_VALUE"""),44796.66666666667)</f>
        <v>44796.66667</v>
      </c>
      <c r="E2119" s="3">
        <f>IFERROR(__xludf.DUMMYFUNCTION("""COMPUTED_VALUE"""),114.77)</f>
        <v>114.77</v>
      </c>
      <c r="F2119" s="3">
        <f t="shared" si="1"/>
        <v>-0.002610513143</v>
      </c>
    </row>
    <row r="2120">
      <c r="A2120" s="6"/>
      <c r="D2120" s="5">
        <f>IFERROR(__xludf.DUMMYFUNCTION("""COMPUTED_VALUE"""),44797.66666666667)</f>
        <v>44797.66667</v>
      </c>
      <c r="E2120" s="3">
        <f>IFERROR(__xludf.DUMMYFUNCTION("""COMPUTED_VALUE"""),114.7)</f>
        <v>114.7</v>
      </c>
      <c r="F2120" s="3">
        <f t="shared" si="1"/>
        <v>-0.0006101015573</v>
      </c>
    </row>
    <row r="2121">
      <c r="A2121" s="6"/>
      <c r="D2121" s="5">
        <f>IFERROR(__xludf.DUMMYFUNCTION("""COMPUTED_VALUE"""),44798.66666666667)</f>
        <v>44798.66667</v>
      </c>
      <c r="E2121" s="3">
        <f>IFERROR(__xludf.DUMMYFUNCTION("""COMPUTED_VALUE"""),117.7)</f>
        <v>117.7</v>
      </c>
      <c r="F2121" s="3">
        <f t="shared" si="1"/>
        <v>0.02581899013</v>
      </c>
    </row>
    <row r="2122">
      <c r="A2122" s="6"/>
      <c r="D2122" s="5">
        <f>IFERROR(__xludf.DUMMYFUNCTION("""COMPUTED_VALUE"""),44799.66666666667)</f>
        <v>44799.66667</v>
      </c>
      <c r="E2122" s="3">
        <f>IFERROR(__xludf.DUMMYFUNCTION("""COMPUTED_VALUE"""),111.3)</f>
        <v>111.3</v>
      </c>
      <c r="F2122" s="3">
        <f t="shared" si="1"/>
        <v>-0.05590975598</v>
      </c>
    </row>
    <row r="2123">
      <c r="A2123" s="6"/>
      <c r="D2123" s="5">
        <f>IFERROR(__xludf.DUMMYFUNCTION("""COMPUTED_VALUE"""),44802.66666666667)</f>
        <v>44802.66667</v>
      </c>
      <c r="E2123" s="3">
        <f>IFERROR(__xludf.DUMMYFUNCTION("""COMPUTED_VALUE"""),110.34)</f>
        <v>110.34</v>
      </c>
      <c r="F2123" s="3">
        <f t="shared" si="1"/>
        <v>-0.008662750437</v>
      </c>
    </row>
    <row r="2124">
      <c r="A2124" s="6"/>
      <c r="D2124" s="5">
        <f>IFERROR(__xludf.DUMMYFUNCTION("""COMPUTED_VALUE"""),44803.66666666667)</f>
        <v>44803.66667</v>
      </c>
      <c r="E2124" s="3">
        <f>IFERROR(__xludf.DUMMYFUNCTION("""COMPUTED_VALUE"""),109.91)</f>
        <v>109.91</v>
      </c>
      <c r="F2124" s="3">
        <f t="shared" si="1"/>
        <v>-0.003904658763</v>
      </c>
    </row>
    <row r="2125">
      <c r="A2125" s="6"/>
      <c r="D2125" s="5">
        <f>IFERROR(__xludf.DUMMYFUNCTION("""COMPUTED_VALUE"""),44804.66666666667)</f>
        <v>44804.66667</v>
      </c>
      <c r="E2125" s="3">
        <f>IFERROR(__xludf.DUMMYFUNCTION("""COMPUTED_VALUE"""),109.15)</f>
        <v>109.15</v>
      </c>
      <c r="F2125" s="3">
        <f t="shared" si="1"/>
        <v>-0.006938766085</v>
      </c>
    </row>
    <row r="2126">
      <c r="A2126" s="6"/>
      <c r="D2126" s="5">
        <f>IFERROR(__xludf.DUMMYFUNCTION("""COMPUTED_VALUE"""),44805.66666666667)</f>
        <v>44805.66667</v>
      </c>
      <c r="E2126" s="3">
        <f>IFERROR(__xludf.DUMMYFUNCTION("""COMPUTED_VALUE"""),110.55)</f>
        <v>110.55</v>
      </c>
      <c r="F2126" s="3">
        <f t="shared" si="1"/>
        <v>0.01274482431</v>
      </c>
    </row>
    <row r="2127">
      <c r="A2127" s="6"/>
      <c r="D2127" s="5">
        <f>IFERROR(__xludf.DUMMYFUNCTION("""COMPUTED_VALUE"""),44806.66666666667)</f>
        <v>44806.66667</v>
      </c>
      <c r="E2127" s="3">
        <f>IFERROR(__xludf.DUMMYFUNCTION("""COMPUTED_VALUE"""),108.68)</f>
        <v>108.68</v>
      </c>
      <c r="F2127" s="3">
        <f t="shared" si="1"/>
        <v>-0.01706012275</v>
      </c>
    </row>
    <row r="2128">
      <c r="A2128" s="6"/>
      <c r="D2128" s="5">
        <f>IFERROR(__xludf.DUMMYFUNCTION("""COMPUTED_VALUE"""),44810.66666666667)</f>
        <v>44810.66667</v>
      </c>
      <c r="E2128" s="3">
        <f>IFERROR(__xludf.DUMMYFUNCTION("""COMPUTED_VALUE"""),107.48)</f>
        <v>107.48</v>
      </c>
      <c r="F2128" s="3">
        <f t="shared" si="1"/>
        <v>-0.01110300081</v>
      </c>
    </row>
    <row r="2129">
      <c r="A2129" s="6"/>
      <c r="D2129" s="5">
        <f>IFERROR(__xludf.DUMMYFUNCTION("""COMPUTED_VALUE"""),44811.66666666667)</f>
        <v>44811.66667</v>
      </c>
      <c r="E2129" s="3">
        <f>IFERROR(__xludf.DUMMYFUNCTION("""COMPUTED_VALUE"""),110.48)</f>
        <v>110.48</v>
      </c>
      <c r="F2129" s="3">
        <f t="shared" si="1"/>
        <v>0.02752972535</v>
      </c>
    </row>
    <row r="2130">
      <c r="A2130" s="6"/>
      <c r="D2130" s="5">
        <f>IFERROR(__xludf.DUMMYFUNCTION("""COMPUTED_VALUE"""),44812.66666666667)</f>
        <v>44812.66667</v>
      </c>
      <c r="E2130" s="3">
        <f>IFERROR(__xludf.DUMMYFUNCTION("""COMPUTED_VALUE"""),109.42)</f>
        <v>109.42</v>
      </c>
      <c r="F2130" s="3">
        <f t="shared" si="1"/>
        <v>-0.009640820465</v>
      </c>
    </row>
    <row r="2131">
      <c r="A2131" s="6"/>
      <c r="D2131" s="5">
        <f>IFERROR(__xludf.DUMMYFUNCTION("""COMPUTED_VALUE"""),44813.66666666667)</f>
        <v>44813.66667</v>
      </c>
      <c r="E2131" s="3">
        <f>IFERROR(__xludf.DUMMYFUNCTION("""COMPUTED_VALUE"""),111.78)</f>
        <v>111.78</v>
      </c>
      <c r="F2131" s="3">
        <f t="shared" si="1"/>
        <v>0.02133896521</v>
      </c>
    </row>
    <row r="2132">
      <c r="A2132" s="6"/>
      <c r="D2132" s="5">
        <f>IFERROR(__xludf.DUMMYFUNCTION("""COMPUTED_VALUE"""),44816.66666666667)</f>
        <v>44816.66667</v>
      </c>
      <c r="E2132" s="3">
        <f>IFERROR(__xludf.DUMMYFUNCTION("""COMPUTED_VALUE"""),111.87)</f>
        <v>111.87</v>
      </c>
      <c r="F2132" s="3">
        <f t="shared" si="1"/>
        <v>0.0008048290173</v>
      </c>
    </row>
    <row r="2133">
      <c r="A2133" s="6"/>
      <c r="D2133" s="5">
        <f>IFERROR(__xludf.DUMMYFUNCTION("""COMPUTED_VALUE"""),44817.66666666667)</f>
        <v>44817.66667</v>
      </c>
      <c r="E2133" s="3">
        <f>IFERROR(__xludf.DUMMYFUNCTION("""COMPUTED_VALUE"""),105.31)</f>
        <v>105.31</v>
      </c>
      <c r="F2133" s="3">
        <f t="shared" si="1"/>
        <v>-0.06042910147</v>
      </c>
    </row>
    <row r="2134">
      <c r="A2134" s="6"/>
      <c r="D2134" s="5">
        <f>IFERROR(__xludf.DUMMYFUNCTION("""COMPUTED_VALUE"""),44818.66666666667)</f>
        <v>44818.66667</v>
      </c>
      <c r="E2134" s="3">
        <f>IFERROR(__xludf.DUMMYFUNCTION("""COMPUTED_VALUE"""),105.87)</f>
        <v>105.87</v>
      </c>
      <c r="F2134" s="3">
        <f t="shared" si="1"/>
        <v>0.005303544963</v>
      </c>
    </row>
    <row r="2135">
      <c r="A2135" s="6"/>
      <c r="D2135" s="5">
        <f>IFERROR(__xludf.DUMMYFUNCTION("""COMPUTED_VALUE"""),44819.66666666667)</f>
        <v>44819.66667</v>
      </c>
      <c r="E2135" s="3">
        <f>IFERROR(__xludf.DUMMYFUNCTION("""COMPUTED_VALUE"""),103.9)</f>
        <v>103.9</v>
      </c>
      <c r="F2135" s="3">
        <f t="shared" si="1"/>
        <v>-0.01878302825</v>
      </c>
    </row>
    <row r="2136">
      <c r="A2136" s="6"/>
      <c r="D2136" s="5">
        <f>IFERROR(__xludf.DUMMYFUNCTION("""COMPUTED_VALUE"""),44820.66666666667)</f>
        <v>44820.66667</v>
      </c>
      <c r="E2136" s="3">
        <f>IFERROR(__xludf.DUMMYFUNCTION("""COMPUTED_VALUE"""),103.63)</f>
        <v>103.63</v>
      </c>
      <c r="F2136" s="3">
        <f t="shared" si="1"/>
        <v>-0.002602034909</v>
      </c>
    </row>
    <row r="2137">
      <c r="A2137" s="6"/>
      <c r="D2137" s="5">
        <f>IFERROR(__xludf.DUMMYFUNCTION("""COMPUTED_VALUE"""),44823.66666666667)</f>
        <v>44823.66667</v>
      </c>
      <c r="E2137" s="3">
        <f>IFERROR(__xludf.DUMMYFUNCTION("""COMPUTED_VALUE"""),103.85)</f>
        <v>103.85</v>
      </c>
      <c r="F2137" s="3">
        <f t="shared" si="1"/>
        <v>0.002120687126</v>
      </c>
    </row>
    <row r="2138">
      <c r="A2138" s="6"/>
      <c r="D2138" s="5">
        <f>IFERROR(__xludf.DUMMYFUNCTION("""COMPUTED_VALUE"""),44824.66666666667)</f>
        <v>44824.66667</v>
      </c>
      <c r="E2138" s="3">
        <f>IFERROR(__xludf.DUMMYFUNCTION("""COMPUTED_VALUE"""),101.83)</f>
        <v>101.83</v>
      </c>
      <c r="F2138" s="3">
        <f t="shared" si="1"/>
        <v>-0.01964279414</v>
      </c>
    </row>
    <row r="2139">
      <c r="A2139" s="6"/>
      <c r="D2139" s="5">
        <f>IFERROR(__xludf.DUMMYFUNCTION("""COMPUTED_VALUE"""),44825.66666666667)</f>
        <v>44825.66667</v>
      </c>
      <c r="E2139" s="3">
        <f>IFERROR(__xludf.DUMMYFUNCTION("""COMPUTED_VALUE"""),100.01)</f>
        <v>100.01</v>
      </c>
      <c r="F2139" s="3">
        <f t="shared" si="1"/>
        <v>-0.0180345752</v>
      </c>
    </row>
    <row r="2140">
      <c r="A2140" s="6"/>
      <c r="D2140" s="5">
        <f>IFERROR(__xludf.DUMMYFUNCTION("""COMPUTED_VALUE"""),44826.66666666667)</f>
        <v>44826.66667</v>
      </c>
      <c r="E2140" s="3">
        <f>IFERROR(__xludf.DUMMYFUNCTION("""COMPUTED_VALUE"""),100.57)</f>
        <v>100.57</v>
      </c>
      <c r="F2140" s="3">
        <f t="shared" si="1"/>
        <v>0.005583821468</v>
      </c>
    </row>
    <row r="2141">
      <c r="A2141" s="6"/>
      <c r="D2141" s="5">
        <f>IFERROR(__xludf.DUMMYFUNCTION("""COMPUTED_VALUE"""),44827.66666666667)</f>
        <v>44827.66667</v>
      </c>
      <c r="E2141" s="3">
        <f>IFERROR(__xludf.DUMMYFUNCTION("""COMPUTED_VALUE"""),99.17)</f>
        <v>99.17</v>
      </c>
      <c r="F2141" s="3">
        <f t="shared" si="1"/>
        <v>-0.01401845326</v>
      </c>
    </row>
    <row r="2142">
      <c r="A2142" s="6"/>
      <c r="D2142" s="5">
        <f>IFERROR(__xludf.DUMMYFUNCTION("""COMPUTED_VALUE"""),44830.66666666667)</f>
        <v>44830.66667</v>
      </c>
      <c r="E2142" s="3">
        <f>IFERROR(__xludf.DUMMYFUNCTION("""COMPUTED_VALUE"""),98.81)</f>
        <v>98.81</v>
      </c>
      <c r="F2142" s="3">
        <f t="shared" si="1"/>
        <v>-0.003636734991</v>
      </c>
    </row>
    <row r="2143">
      <c r="A2143" s="6"/>
      <c r="D2143" s="5">
        <f>IFERROR(__xludf.DUMMYFUNCTION("""COMPUTED_VALUE"""),44831.66666666667)</f>
        <v>44831.66667</v>
      </c>
      <c r="E2143" s="3">
        <f>IFERROR(__xludf.DUMMYFUNCTION("""COMPUTED_VALUE"""),98.09)</f>
        <v>98.09</v>
      </c>
      <c r="F2143" s="3">
        <f t="shared" si="1"/>
        <v>-0.007313389631</v>
      </c>
    </row>
    <row r="2144">
      <c r="A2144" s="6"/>
      <c r="D2144" s="5">
        <f>IFERROR(__xludf.DUMMYFUNCTION("""COMPUTED_VALUE"""),44832.66666666667)</f>
        <v>44832.66667</v>
      </c>
      <c r="E2144" s="3">
        <f>IFERROR(__xludf.DUMMYFUNCTION("""COMPUTED_VALUE"""),100.74)</f>
        <v>100.74</v>
      </c>
      <c r="F2144" s="3">
        <f t="shared" si="1"/>
        <v>0.02665751574</v>
      </c>
    </row>
    <row r="2145">
      <c r="A2145" s="6"/>
      <c r="D2145" s="5">
        <f>IFERROR(__xludf.DUMMYFUNCTION("""COMPUTED_VALUE"""),44833.66666666667)</f>
        <v>44833.66667</v>
      </c>
      <c r="E2145" s="3">
        <f>IFERROR(__xludf.DUMMYFUNCTION("""COMPUTED_VALUE"""),98.09)</f>
        <v>98.09</v>
      </c>
      <c r="F2145" s="3">
        <f t="shared" si="1"/>
        <v>-0.02665751574</v>
      </c>
    </row>
    <row r="2146">
      <c r="A2146" s="6"/>
      <c r="D2146" s="5">
        <f>IFERROR(__xludf.DUMMYFUNCTION("""COMPUTED_VALUE"""),44834.66666666667)</f>
        <v>44834.66667</v>
      </c>
      <c r="E2146" s="3">
        <f>IFERROR(__xludf.DUMMYFUNCTION("""COMPUTED_VALUE"""),96.15)</f>
        <v>96.15</v>
      </c>
      <c r="F2146" s="3">
        <f t="shared" si="1"/>
        <v>-0.01997595254</v>
      </c>
    </row>
    <row r="2147">
      <c r="A2147" s="6"/>
      <c r="D2147" s="5">
        <f>IFERROR(__xludf.DUMMYFUNCTION("""COMPUTED_VALUE"""),44837.66666666667)</f>
        <v>44837.66667</v>
      </c>
      <c r="E2147" s="3">
        <f>IFERROR(__xludf.DUMMYFUNCTION("""COMPUTED_VALUE"""),99.3)</f>
        <v>99.3</v>
      </c>
      <c r="F2147" s="3">
        <f t="shared" si="1"/>
        <v>0.03223609902</v>
      </c>
    </row>
    <row r="2148">
      <c r="A2148" s="6"/>
      <c r="D2148" s="5">
        <f>IFERROR(__xludf.DUMMYFUNCTION("""COMPUTED_VALUE"""),44838.66666666667)</f>
        <v>44838.66667</v>
      </c>
      <c r="E2148" s="3">
        <f>IFERROR(__xludf.DUMMYFUNCTION("""COMPUTED_VALUE"""),102.41)</f>
        <v>102.41</v>
      </c>
      <c r="F2148" s="3">
        <f t="shared" si="1"/>
        <v>0.03083879304</v>
      </c>
    </row>
    <row r="2149">
      <c r="A2149" s="6"/>
      <c r="D2149" s="5">
        <f>IFERROR(__xludf.DUMMYFUNCTION("""COMPUTED_VALUE"""),44839.66666666667)</f>
        <v>44839.66667</v>
      </c>
      <c r="E2149" s="3">
        <f>IFERROR(__xludf.DUMMYFUNCTION("""COMPUTED_VALUE"""),102.22)</f>
        <v>102.22</v>
      </c>
      <c r="F2149" s="3">
        <f t="shared" si="1"/>
        <v>-0.001857010747</v>
      </c>
    </row>
    <row r="2150">
      <c r="A2150" s="6"/>
      <c r="D2150" s="5">
        <f>IFERROR(__xludf.DUMMYFUNCTION("""COMPUTED_VALUE"""),44840.66666666667)</f>
        <v>44840.66667</v>
      </c>
      <c r="E2150" s="3">
        <f>IFERROR(__xludf.DUMMYFUNCTION("""COMPUTED_VALUE"""),102.24)</f>
        <v>102.24</v>
      </c>
      <c r="F2150" s="3">
        <f t="shared" si="1"/>
        <v>0.0001956372891</v>
      </c>
    </row>
    <row r="2151">
      <c r="A2151" s="6"/>
      <c r="D2151" s="5">
        <f>IFERROR(__xludf.DUMMYFUNCTION("""COMPUTED_VALUE"""),44841.66666666667)</f>
        <v>44841.66667</v>
      </c>
      <c r="E2151" s="3">
        <f>IFERROR(__xludf.DUMMYFUNCTION("""COMPUTED_VALUE"""),99.57)</f>
        <v>99.57</v>
      </c>
      <c r="F2151" s="3">
        <f t="shared" si="1"/>
        <v>-0.02646207623</v>
      </c>
    </row>
    <row r="2152">
      <c r="A2152" s="6"/>
      <c r="D2152" s="5">
        <f>IFERROR(__xludf.DUMMYFUNCTION("""COMPUTED_VALUE"""),44844.66666666667)</f>
        <v>44844.66667</v>
      </c>
      <c r="E2152" s="3">
        <f>IFERROR(__xludf.DUMMYFUNCTION("""COMPUTED_VALUE"""),98.71)</f>
        <v>98.71</v>
      </c>
      <c r="F2152" s="3">
        <f t="shared" si="1"/>
        <v>-0.00867465597</v>
      </c>
    </row>
    <row r="2153">
      <c r="A2153" s="6"/>
      <c r="D2153" s="5">
        <f>IFERROR(__xludf.DUMMYFUNCTION("""COMPUTED_VALUE"""),44845.66666666667)</f>
        <v>44845.66667</v>
      </c>
      <c r="E2153" s="3">
        <f>IFERROR(__xludf.DUMMYFUNCTION("""COMPUTED_VALUE"""),98.05)</f>
        <v>98.05</v>
      </c>
      <c r="F2153" s="3">
        <f t="shared" si="1"/>
        <v>-0.006708705787</v>
      </c>
    </row>
    <row r="2154">
      <c r="A2154" s="6"/>
      <c r="D2154" s="5">
        <f>IFERROR(__xludf.DUMMYFUNCTION("""COMPUTED_VALUE"""),44846.66666666667)</f>
        <v>44846.66667</v>
      </c>
      <c r="E2154" s="3">
        <f>IFERROR(__xludf.DUMMYFUNCTION("""COMPUTED_VALUE"""),98.3)</f>
        <v>98.3</v>
      </c>
      <c r="F2154" s="3">
        <f t="shared" si="1"/>
        <v>0.002546474511</v>
      </c>
    </row>
    <row r="2155">
      <c r="A2155" s="6"/>
      <c r="D2155" s="5">
        <f>IFERROR(__xludf.DUMMYFUNCTION("""COMPUTED_VALUE"""),44847.66666666667)</f>
        <v>44847.66667</v>
      </c>
      <c r="E2155" s="3">
        <f>IFERROR(__xludf.DUMMYFUNCTION("""COMPUTED_VALUE"""),99.71)</f>
        <v>99.71</v>
      </c>
      <c r="F2155" s="3">
        <f t="shared" si="1"/>
        <v>0.01424194569</v>
      </c>
    </row>
    <row r="2156">
      <c r="A2156" s="6"/>
      <c r="D2156" s="5">
        <f>IFERROR(__xludf.DUMMYFUNCTION("""COMPUTED_VALUE"""),44848.66666666667)</f>
        <v>44848.66667</v>
      </c>
      <c r="E2156" s="3">
        <f>IFERROR(__xludf.DUMMYFUNCTION("""COMPUTED_VALUE"""),97.18)</f>
        <v>97.18</v>
      </c>
      <c r="F2156" s="3">
        <f t="shared" si="1"/>
        <v>-0.02570104386</v>
      </c>
    </row>
    <row r="2157">
      <c r="A2157" s="6"/>
      <c r="D2157" s="5">
        <f>IFERROR(__xludf.DUMMYFUNCTION("""COMPUTED_VALUE"""),44851.66666666667)</f>
        <v>44851.66667</v>
      </c>
      <c r="E2157" s="3">
        <f>IFERROR(__xludf.DUMMYFUNCTION("""COMPUTED_VALUE"""),100.78)</f>
        <v>100.78</v>
      </c>
      <c r="F2157" s="3">
        <f t="shared" si="1"/>
        <v>0.03637499427</v>
      </c>
    </row>
    <row r="2158">
      <c r="A2158" s="6"/>
      <c r="D2158" s="5">
        <f>IFERROR(__xludf.DUMMYFUNCTION("""COMPUTED_VALUE"""),44852.66666666667)</f>
        <v>44852.66667</v>
      </c>
      <c r="E2158" s="3">
        <f>IFERROR(__xludf.DUMMYFUNCTION("""COMPUTED_VALUE"""),101.39)</f>
        <v>101.39</v>
      </c>
      <c r="F2158" s="3">
        <f t="shared" si="1"/>
        <v>0.006034543712</v>
      </c>
    </row>
    <row r="2159">
      <c r="A2159" s="6"/>
      <c r="D2159" s="5">
        <f>IFERROR(__xludf.DUMMYFUNCTION("""COMPUTED_VALUE"""),44853.66666666667)</f>
        <v>44853.66667</v>
      </c>
      <c r="E2159" s="3">
        <f>IFERROR(__xludf.DUMMYFUNCTION("""COMPUTED_VALUE"""),100.29)</f>
        <v>100.29</v>
      </c>
      <c r="F2159" s="3">
        <f t="shared" si="1"/>
        <v>-0.01090847786</v>
      </c>
    </row>
    <row r="2160">
      <c r="A2160" s="6"/>
      <c r="D2160" s="5">
        <f>IFERROR(__xludf.DUMMYFUNCTION("""COMPUTED_VALUE"""),44854.66666666667)</f>
        <v>44854.66667</v>
      </c>
      <c r="E2160" s="3">
        <f>IFERROR(__xludf.DUMMYFUNCTION("""COMPUTED_VALUE"""),100.53)</f>
        <v>100.53</v>
      </c>
      <c r="F2160" s="3">
        <f t="shared" si="1"/>
        <v>0.002390201317</v>
      </c>
    </row>
    <row r="2161">
      <c r="A2161" s="6"/>
      <c r="D2161" s="5">
        <f>IFERROR(__xludf.DUMMYFUNCTION("""COMPUTED_VALUE"""),44855.66666666667)</f>
        <v>44855.66667</v>
      </c>
      <c r="E2161" s="3">
        <f>IFERROR(__xludf.DUMMYFUNCTION("""COMPUTED_VALUE"""),101.48)</f>
        <v>101.48</v>
      </c>
      <c r="F2161" s="3">
        <f t="shared" si="1"/>
        <v>0.009405544314</v>
      </c>
    </row>
    <row r="2162">
      <c r="A2162" s="6"/>
      <c r="D2162" s="5">
        <f>IFERROR(__xludf.DUMMYFUNCTION("""COMPUTED_VALUE"""),44858.66666666667)</f>
        <v>44858.66667</v>
      </c>
      <c r="E2162" s="3">
        <f>IFERROR(__xludf.DUMMYFUNCTION("""COMPUTED_VALUE"""),102.97)</f>
        <v>102.97</v>
      </c>
      <c r="F2162" s="3">
        <f t="shared" si="1"/>
        <v>0.01457594894</v>
      </c>
    </row>
    <row r="2163">
      <c r="A2163" s="6"/>
      <c r="D2163" s="5">
        <f>IFERROR(__xludf.DUMMYFUNCTION("""COMPUTED_VALUE"""),44859.66666666667)</f>
        <v>44859.66667</v>
      </c>
      <c r="E2163" s="3">
        <f>IFERROR(__xludf.DUMMYFUNCTION("""COMPUTED_VALUE"""),104.93)</f>
        <v>104.93</v>
      </c>
      <c r="F2163" s="3">
        <f t="shared" si="1"/>
        <v>0.0188557775</v>
      </c>
    </row>
    <row r="2164">
      <c r="A2164" s="6"/>
      <c r="D2164" s="5">
        <f>IFERROR(__xludf.DUMMYFUNCTION("""COMPUTED_VALUE"""),44860.66666666667)</f>
        <v>44860.66667</v>
      </c>
      <c r="E2164" s="3">
        <f>IFERROR(__xludf.DUMMYFUNCTION("""COMPUTED_VALUE"""),94.82)</f>
        <v>94.82</v>
      </c>
      <c r="F2164" s="3">
        <f t="shared" si="1"/>
        <v>-0.1013131037</v>
      </c>
    </row>
    <row r="2165">
      <c r="A2165" s="6"/>
      <c r="D2165" s="5">
        <f>IFERROR(__xludf.DUMMYFUNCTION("""COMPUTED_VALUE"""),44861.66666666667)</f>
        <v>44861.66667</v>
      </c>
      <c r="E2165" s="3">
        <f>IFERROR(__xludf.DUMMYFUNCTION("""COMPUTED_VALUE"""),92.6)</f>
        <v>92.6</v>
      </c>
      <c r="F2165" s="3">
        <f t="shared" si="1"/>
        <v>-0.02369121582</v>
      </c>
    </row>
    <row r="2166">
      <c r="A2166" s="6"/>
      <c r="D2166" s="5">
        <f>IFERROR(__xludf.DUMMYFUNCTION("""COMPUTED_VALUE"""),44862.66666666667)</f>
        <v>44862.66667</v>
      </c>
      <c r="E2166" s="3">
        <f>IFERROR(__xludf.DUMMYFUNCTION("""COMPUTED_VALUE"""),96.58)</f>
        <v>96.58</v>
      </c>
      <c r="F2166" s="3">
        <f t="shared" si="1"/>
        <v>0.04208253879</v>
      </c>
    </row>
    <row r="2167">
      <c r="A2167" s="6"/>
      <c r="D2167" s="5">
        <f>IFERROR(__xludf.DUMMYFUNCTION("""COMPUTED_VALUE"""),44865.66666666667)</f>
        <v>44865.66667</v>
      </c>
      <c r="E2167" s="3">
        <f>IFERROR(__xludf.DUMMYFUNCTION("""COMPUTED_VALUE"""),94.66)</f>
        <v>94.66</v>
      </c>
      <c r="F2167" s="3">
        <f t="shared" si="1"/>
        <v>-0.02008015597</v>
      </c>
    </row>
    <row r="2168">
      <c r="A2168" s="6"/>
      <c r="D2168" s="5">
        <f>IFERROR(__xludf.DUMMYFUNCTION("""COMPUTED_VALUE"""),44866.66666666667)</f>
        <v>44866.66667</v>
      </c>
      <c r="E2168" s="3">
        <f>IFERROR(__xludf.DUMMYFUNCTION("""COMPUTED_VALUE"""),90.5)</f>
        <v>90.5</v>
      </c>
      <c r="F2168" s="3">
        <f t="shared" si="1"/>
        <v>-0.04494167377</v>
      </c>
    </row>
    <row r="2169">
      <c r="A2169" s="6"/>
      <c r="D2169" s="5">
        <f>IFERROR(__xludf.DUMMYFUNCTION("""COMPUTED_VALUE"""),44867.66666666667)</f>
        <v>44867.66667</v>
      </c>
      <c r="E2169" s="3">
        <f>IFERROR(__xludf.DUMMYFUNCTION("""COMPUTED_VALUE"""),87.07)</f>
        <v>87.07</v>
      </c>
      <c r="F2169" s="3">
        <f t="shared" si="1"/>
        <v>-0.03863745787</v>
      </c>
    </row>
    <row r="2170">
      <c r="A2170" s="6"/>
      <c r="D2170" s="5">
        <f>IFERROR(__xludf.DUMMYFUNCTION("""COMPUTED_VALUE"""),44868.66666666667)</f>
        <v>44868.66667</v>
      </c>
      <c r="E2170" s="3">
        <f>IFERROR(__xludf.DUMMYFUNCTION("""COMPUTED_VALUE"""),83.49)</f>
        <v>83.49</v>
      </c>
      <c r="F2170" s="3">
        <f t="shared" si="1"/>
        <v>-0.04198552863</v>
      </c>
    </row>
    <row r="2171">
      <c r="A2171" s="6"/>
      <c r="D2171" s="5">
        <f>IFERROR(__xludf.DUMMYFUNCTION("""COMPUTED_VALUE"""),44869.66666666667)</f>
        <v>44869.66667</v>
      </c>
      <c r="E2171" s="3">
        <f>IFERROR(__xludf.DUMMYFUNCTION("""COMPUTED_VALUE"""),86.7)</f>
        <v>86.7</v>
      </c>
      <c r="F2171" s="3">
        <f t="shared" si="1"/>
        <v>0.03772701958</v>
      </c>
    </row>
    <row r="2172">
      <c r="A2172" s="6"/>
      <c r="D2172" s="5">
        <f>IFERROR(__xludf.DUMMYFUNCTION("""COMPUTED_VALUE"""),44872.66666666667)</f>
        <v>44872.66667</v>
      </c>
      <c r="E2172" s="3">
        <f>IFERROR(__xludf.DUMMYFUNCTION("""COMPUTED_VALUE"""),88.65)</f>
        <v>88.65</v>
      </c>
      <c r="F2172" s="3">
        <f t="shared" si="1"/>
        <v>0.02224214873</v>
      </c>
    </row>
    <row r="2173">
      <c r="A2173" s="6"/>
      <c r="D2173" s="5">
        <f>IFERROR(__xludf.DUMMYFUNCTION("""COMPUTED_VALUE"""),44873.66666666667)</f>
        <v>44873.66667</v>
      </c>
      <c r="E2173" s="3">
        <f>IFERROR(__xludf.DUMMYFUNCTION("""COMPUTED_VALUE"""),88.91)</f>
        <v>88.91</v>
      </c>
      <c r="F2173" s="3">
        <f t="shared" si="1"/>
        <v>0.002928589613</v>
      </c>
    </row>
    <row r="2174">
      <c r="A2174" s="6"/>
      <c r="D2174" s="5">
        <f>IFERROR(__xludf.DUMMYFUNCTION("""COMPUTED_VALUE"""),44874.66666666667)</f>
        <v>44874.66667</v>
      </c>
      <c r="E2174" s="3">
        <f>IFERROR(__xludf.DUMMYFUNCTION("""COMPUTED_VALUE"""),87.4)</f>
        <v>87.4</v>
      </c>
      <c r="F2174" s="3">
        <f t="shared" si="1"/>
        <v>-0.01712933947</v>
      </c>
    </row>
    <row r="2175">
      <c r="A2175" s="6"/>
      <c r="D2175" s="5">
        <f>IFERROR(__xludf.DUMMYFUNCTION("""COMPUTED_VALUE"""),44875.66666666667)</f>
        <v>44875.66667</v>
      </c>
      <c r="E2175" s="3">
        <f>IFERROR(__xludf.DUMMYFUNCTION("""COMPUTED_VALUE"""),94.17)</f>
        <v>94.17</v>
      </c>
      <c r="F2175" s="3">
        <f t="shared" si="1"/>
        <v>0.07460637686</v>
      </c>
    </row>
    <row r="2176">
      <c r="A2176" s="6"/>
      <c r="D2176" s="5">
        <f>IFERROR(__xludf.DUMMYFUNCTION("""COMPUTED_VALUE"""),44876.66666666667)</f>
        <v>44876.66667</v>
      </c>
      <c r="E2176" s="3">
        <f>IFERROR(__xludf.DUMMYFUNCTION("""COMPUTED_VALUE"""),96.73)</f>
        <v>96.73</v>
      </c>
      <c r="F2176" s="3">
        <f t="shared" si="1"/>
        <v>0.02682193267</v>
      </c>
    </row>
    <row r="2177">
      <c r="A2177" s="6"/>
      <c r="D2177" s="5">
        <f>IFERROR(__xludf.DUMMYFUNCTION("""COMPUTED_VALUE"""),44879.66666666667)</f>
        <v>44879.66667</v>
      </c>
      <c r="E2177" s="3">
        <f>IFERROR(__xludf.DUMMYFUNCTION("""COMPUTED_VALUE"""),96.03)</f>
        <v>96.03</v>
      </c>
      <c r="F2177" s="3">
        <f t="shared" si="1"/>
        <v>-0.007262949545</v>
      </c>
    </row>
    <row r="2178">
      <c r="A2178" s="6"/>
      <c r="D2178" s="5">
        <f>IFERROR(__xludf.DUMMYFUNCTION("""COMPUTED_VALUE"""),44880.66666666667)</f>
        <v>44880.66667</v>
      </c>
      <c r="E2178" s="3">
        <f>IFERROR(__xludf.DUMMYFUNCTION("""COMPUTED_VALUE"""),98.72)</f>
        <v>98.72</v>
      </c>
      <c r="F2178" s="3">
        <f t="shared" si="1"/>
        <v>0.02762691751</v>
      </c>
    </row>
    <row r="2179">
      <c r="A2179" s="6"/>
      <c r="D2179" s="5">
        <f>IFERROR(__xludf.DUMMYFUNCTION("""COMPUTED_VALUE"""),44881.66666666667)</f>
        <v>44881.66667</v>
      </c>
      <c r="E2179" s="3">
        <f>IFERROR(__xludf.DUMMYFUNCTION("""COMPUTED_VALUE"""),98.99)</f>
        <v>98.99</v>
      </c>
      <c r="F2179" s="3">
        <f t="shared" si="1"/>
        <v>0.002731274775</v>
      </c>
    </row>
    <row r="2180">
      <c r="A2180" s="6"/>
      <c r="D2180" s="5">
        <f>IFERROR(__xludf.DUMMYFUNCTION("""COMPUTED_VALUE"""),44882.66666666667)</f>
        <v>44882.66667</v>
      </c>
      <c r="E2180" s="3">
        <f>IFERROR(__xludf.DUMMYFUNCTION("""COMPUTED_VALUE"""),98.5)</f>
        <v>98.5</v>
      </c>
      <c r="F2180" s="3">
        <f t="shared" si="1"/>
        <v>-0.004962286754</v>
      </c>
    </row>
    <row r="2181">
      <c r="A2181" s="6"/>
      <c r="D2181" s="5">
        <f>IFERROR(__xludf.DUMMYFUNCTION("""COMPUTED_VALUE"""),44883.66666666667)</f>
        <v>44883.66667</v>
      </c>
      <c r="E2181" s="3">
        <f>IFERROR(__xludf.DUMMYFUNCTION("""COMPUTED_VALUE"""),97.8)</f>
        <v>97.8</v>
      </c>
      <c r="F2181" s="3">
        <f t="shared" si="1"/>
        <v>-0.007131971137</v>
      </c>
    </row>
    <row r="2182">
      <c r="A2182" s="6"/>
      <c r="D2182" s="5">
        <f>IFERROR(__xludf.DUMMYFUNCTION("""COMPUTED_VALUE"""),44886.66666666667)</f>
        <v>44886.66667</v>
      </c>
      <c r="E2182" s="3">
        <f>IFERROR(__xludf.DUMMYFUNCTION("""COMPUTED_VALUE"""),95.83)</f>
        <v>95.83</v>
      </c>
      <c r="F2182" s="3">
        <f t="shared" si="1"/>
        <v>-0.02034878869</v>
      </c>
    </row>
    <row r="2183">
      <c r="A2183" s="6"/>
      <c r="D2183" s="5">
        <f>IFERROR(__xludf.DUMMYFUNCTION("""COMPUTED_VALUE"""),44887.66666666667)</f>
        <v>44887.66667</v>
      </c>
      <c r="E2183" s="3">
        <f>IFERROR(__xludf.DUMMYFUNCTION("""COMPUTED_VALUE"""),97.33)</f>
        <v>97.33</v>
      </c>
      <c r="F2183" s="3">
        <f t="shared" si="1"/>
        <v>0.01553147808</v>
      </c>
    </row>
    <row r="2184">
      <c r="A2184" s="6"/>
      <c r="D2184" s="5">
        <f>IFERROR(__xludf.DUMMYFUNCTION("""COMPUTED_VALUE"""),44888.66666666667)</f>
        <v>44888.66667</v>
      </c>
      <c r="E2184" s="3">
        <f>IFERROR(__xludf.DUMMYFUNCTION("""COMPUTED_VALUE"""),98.82)</f>
        <v>98.82</v>
      </c>
      <c r="F2184" s="3">
        <f t="shared" si="1"/>
        <v>0.01519274698</v>
      </c>
    </row>
    <row r="2185">
      <c r="A2185" s="6"/>
      <c r="D2185" s="5">
        <f>IFERROR(__xludf.DUMMYFUNCTION("""COMPUTED_VALUE"""),44890.54513888889)</f>
        <v>44890.54514</v>
      </c>
      <c r="E2185" s="3">
        <f>IFERROR(__xludf.DUMMYFUNCTION("""COMPUTED_VALUE"""),97.6)</f>
        <v>97.6</v>
      </c>
      <c r="F2185" s="3">
        <f t="shared" si="1"/>
        <v>-0.01242252</v>
      </c>
    </row>
    <row r="2186">
      <c r="A2186" s="6"/>
      <c r="D2186" s="5">
        <f>IFERROR(__xludf.DUMMYFUNCTION("""COMPUTED_VALUE"""),44893.66666666667)</f>
        <v>44893.66667</v>
      </c>
      <c r="E2186" s="3">
        <f>IFERROR(__xludf.DUMMYFUNCTION("""COMPUTED_VALUE"""),96.25)</f>
        <v>96.25</v>
      </c>
      <c r="F2186" s="3">
        <f t="shared" si="1"/>
        <v>-0.01392852025</v>
      </c>
    </row>
    <row r="2187">
      <c r="A2187" s="6"/>
      <c r="D2187" s="5">
        <f>IFERROR(__xludf.DUMMYFUNCTION("""COMPUTED_VALUE"""),44894.66666666667)</f>
        <v>44894.66667</v>
      </c>
      <c r="E2187" s="3">
        <f>IFERROR(__xludf.DUMMYFUNCTION("""COMPUTED_VALUE"""),95.44)</f>
        <v>95.44</v>
      </c>
      <c r="F2187" s="3">
        <f t="shared" si="1"/>
        <v>-0.008451195378</v>
      </c>
    </row>
    <row r="2188">
      <c r="A2188" s="6"/>
      <c r="D2188" s="5">
        <f>IFERROR(__xludf.DUMMYFUNCTION("""COMPUTED_VALUE"""),44895.66666666667)</f>
        <v>44895.66667</v>
      </c>
      <c r="E2188" s="3">
        <f>IFERROR(__xludf.DUMMYFUNCTION("""COMPUTED_VALUE"""),101.45)</f>
        <v>101.45</v>
      </c>
      <c r="F2188" s="3">
        <f t="shared" si="1"/>
        <v>0.06106828848</v>
      </c>
    </row>
    <row r="2189">
      <c r="A2189" s="6"/>
      <c r="D2189" s="5">
        <f>IFERROR(__xludf.DUMMYFUNCTION("""COMPUTED_VALUE"""),44896.66666666667)</f>
        <v>44896.66667</v>
      </c>
      <c r="E2189" s="3">
        <f>IFERROR(__xludf.DUMMYFUNCTION("""COMPUTED_VALUE"""),101.28)</f>
        <v>101.28</v>
      </c>
      <c r="F2189" s="3">
        <f t="shared" si="1"/>
        <v>-0.001677107876</v>
      </c>
    </row>
    <row r="2190">
      <c r="A2190" s="6"/>
      <c r="D2190" s="5">
        <f>IFERROR(__xludf.DUMMYFUNCTION("""COMPUTED_VALUE"""),44897.66666666667)</f>
        <v>44897.66667</v>
      </c>
      <c r="E2190" s="3">
        <f>IFERROR(__xludf.DUMMYFUNCTION("""COMPUTED_VALUE"""),100.83)</f>
        <v>100.83</v>
      </c>
      <c r="F2190" s="3">
        <f t="shared" si="1"/>
        <v>-0.004453027991</v>
      </c>
    </row>
    <row r="2191">
      <c r="A2191" s="6"/>
      <c r="D2191" s="5">
        <f>IFERROR(__xludf.DUMMYFUNCTION("""COMPUTED_VALUE"""),44900.66666666667)</f>
        <v>44900.66667</v>
      </c>
      <c r="E2191" s="3">
        <f>IFERROR(__xludf.DUMMYFUNCTION("""COMPUTED_VALUE"""),99.87)</f>
        <v>99.87</v>
      </c>
      <c r="F2191" s="3">
        <f t="shared" si="1"/>
        <v>-0.00956659015</v>
      </c>
    </row>
    <row r="2192">
      <c r="A2192" s="6"/>
      <c r="D2192" s="5">
        <f>IFERROR(__xludf.DUMMYFUNCTION("""COMPUTED_VALUE"""),44901.66666666667)</f>
        <v>44901.66667</v>
      </c>
      <c r="E2192" s="3">
        <f>IFERROR(__xludf.DUMMYFUNCTION("""COMPUTED_VALUE"""),97.31)</f>
        <v>97.31</v>
      </c>
      <c r="F2192" s="3">
        <f t="shared" si="1"/>
        <v>-0.02596758142</v>
      </c>
    </row>
    <row r="2193">
      <c r="A2193" s="6"/>
      <c r="D2193" s="5">
        <f>IFERROR(__xludf.DUMMYFUNCTION("""COMPUTED_VALUE"""),44902.66666666667)</f>
        <v>44902.66667</v>
      </c>
      <c r="E2193" s="3">
        <f>IFERROR(__xludf.DUMMYFUNCTION("""COMPUTED_VALUE"""),95.15)</f>
        <v>95.15</v>
      </c>
      <c r="F2193" s="3">
        <f t="shared" si="1"/>
        <v>-0.02244716509</v>
      </c>
    </row>
    <row r="2194">
      <c r="A2194" s="6"/>
      <c r="D2194" s="5">
        <f>IFERROR(__xludf.DUMMYFUNCTION("""COMPUTED_VALUE"""),44903.66666666667)</f>
        <v>44903.66667</v>
      </c>
      <c r="E2194" s="3">
        <f>IFERROR(__xludf.DUMMYFUNCTION("""COMPUTED_VALUE"""),93.95)</f>
        <v>93.95</v>
      </c>
      <c r="F2194" s="3">
        <f t="shared" si="1"/>
        <v>-0.01269186788</v>
      </c>
    </row>
    <row r="2195">
      <c r="A2195" s="6"/>
      <c r="D2195" s="5">
        <f>IFERROR(__xludf.DUMMYFUNCTION("""COMPUTED_VALUE"""),44904.66666666667)</f>
        <v>44904.66667</v>
      </c>
      <c r="E2195" s="3">
        <f>IFERROR(__xludf.DUMMYFUNCTION("""COMPUTED_VALUE"""),93.07)</f>
        <v>93.07</v>
      </c>
      <c r="F2195" s="3">
        <f t="shared" si="1"/>
        <v>-0.009410827662</v>
      </c>
    </row>
    <row r="2196">
      <c r="A2196" s="6"/>
      <c r="D2196" s="5">
        <f>IFERROR(__xludf.DUMMYFUNCTION("""COMPUTED_VALUE"""),44907.66666666667)</f>
        <v>44907.66667</v>
      </c>
      <c r="E2196" s="3">
        <f>IFERROR(__xludf.DUMMYFUNCTION("""COMPUTED_VALUE"""),93.56)</f>
        <v>93.56</v>
      </c>
      <c r="F2196" s="3">
        <f t="shared" si="1"/>
        <v>0.005251043518</v>
      </c>
    </row>
    <row r="2197">
      <c r="A2197" s="6"/>
      <c r="D2197" s="5">
        <f>IFERROR(__xludf.DUMMYFUNCTION("""COMPUTED_VALUE"""),44908.66666666667)</f>
        <v>44908.66667</v>
      </c>
      <c r="E2197" s="3">
        <f>IFERROR(__xludf.DUMMYFUNCTION("""COMPUTED_VALUE"""),95.85)</f>
        <v>95.85</v>
      </c>
      <c r="F2197" s="3">
        <f t="shared" si="1"/>
        <v>0.02418152778</v>
      </c>
    </row>
    <row r="2198">
      <c r="A2198" s="6"/>
      <c r="D2198" s="5">
        <f>IFERROR(__xludf.DUMMYFUNCTION("""COMPUTED_VALUE"""),44909.66666666667)</f>
        <v>44909.66667</v>
      </c>
      <c r="E2198" s="3">
        <f>IFERROR(__xludf.DUMMYFUNCTION("""COMPUTED_VALUE"""),95.31)</f>
        <v>95.31</v>
      </c>
      <c r="F2198" s="3">
        <f t="shared" si="1"/>
        <v>-0.005649732542</v>
      </c>
    </row>
    <row r="2199">
      <c r="A2199" s="6"/>
      <c r="D2199" s="5">
        <f>IFERROR(__xludf.DUMMYFUNCTION("""COMPUTED_VALUE"""),44910.66666666667)</f>
        <v>44910.66667</v>
      </c>
      <c r="E2199" s="3">
        <f>IFERROR(__xludf.DUMMYFUNCTION("""COMPUTED_VALUE"""),91.2)</f>
        <v>91.2</v>
      </c>
      <c r="F2199" s="3">
        <f t="shared" si="1"/>
        <v>-0.04407983987</v>
      </c>
    </row>
    <row r="2200">
      <c r="A2200" s="6"/>
      <c r="D2200" s="5">
        <f>IFERROR(__xludf.DUMMYFUNCTION("""COMPUTED_VALUE"""),44911.66666666667)</f>
        <v>44911.66667</v>
      </c>
      <c r="E2200" s="3">
        <f>IFERROR(__xludf.DUMMYFUNCTION("""COMPUTED_VALUE"""),90.86)</f>
        <v>90.86</v>
      </c>
      <c r="F2200" s="3">
        <f t="shared" si="1"/>
        <v>-0.003735036749</v>
      </c>
    </row>
    <row r="2201">
      <c r="A2201" s="6"/>
      <c r="D2201" s="5">
        <f>IFERROR(__xludf.DUMMYFUNCTION("""COMPUTED_VALUE"""),44914.66666666667)</f>
        <v>44914.66667</v>
      </c>
      <c r="E2201" s="3">
        <f>IFERROR(__xludf.DUMMYFUNCTION("""COMPUTED_VALUE"""),89.15)</f>
        <v>89.15</v>
      </c>
      <c r="F2201" s="3">
        <f t="shared" si="1"/>
        <v>-0.01899951602</v>
      </c>
    </row>
    <row r="2202">
      <c r="A2202" s="6"/>
      <c r="D2202" s="5">
        <f>IFERROR(__xludf.DUMMYFUNCTION("""COMPUTED_VALUE"""),44915.66666666667)</f>
        <v>44915.66667</v>
      </c>
      <c r="E2202" s="3">
        <f>IFERROR(__xludf.DUMMYFUNCTION("""COMPUTED_VALUE"""),89.63)</f>
        <v>89.63</v>
      </c>
      <c r="F2202" s="3">
        <f t="shared" si="1"/>
        <v>0.00536974106</v>
      </c>
    </row>
    <row r="2203">
      <c r="A2203" s="6"/>
      <c r="D2203" s="5">
        <f>IFERROR(__xludf.DUMMYFUNCTION("""COMPUTED_VALUE"""),44916.66666666667)</f>
        <v>44916.66667</v>
      </c>
      <c r="E2203" s="3">
        <f>IFERROR(__xludf.DUMMYFUNCTION("""COMPUTED_VALUE"""),90.25)</f>
        <v>90.25</v>
      </c>
      <c r="F2203" s="3">
        <f t="shared" si="1"/>
        <v>0.006893511844</v>
      </c>
    </row>
    <row r="2204">
      <c r="A2204" s="6"/>
      <c r="D2204" s="5">
        <f>IFERROR(__xludf.DUMMYFUNCTION("""COMPUTED_VALUE"""),44917.66666666667)</f>
        <v>44917.66667</v>
      </c>
      <c r="E2204" s="3">
        <f>IFERROR(__xludf.DUMMYFUNCTION("""COMPUTED_VALUE"""),88.26)</f>
        <v>88.26</v>
      </c>
      <c r="F2204" s="3">
        <f t="shared" si="1"/>
        <v>-0.02229659337</v>
      </c>
    </row>
    <row r="2205">
      <c r="A2205" s="6"/>
      <c r="D2205" s="5">
        <f>IFERROR(__xludf.DUMMYFUNCTION("""COMPUTED_VALUE"""),44918.66666666667)</f>
        <v>44918.66667</v>
      </c>
      <c r="E2205" s="3">
        <f>IFERROR(__xludf.DUMMYFUNCTION("""COMPUTED_VALUE"""),89.81)</f>
        <v>89.81</v>
      </c>
      <c r="F2205" s="3">
        <f t="shared" si="1"/>
        <v>0.01740932384</v>
      </c>
    </row>
    <row r="2206">
      <c r="A2206" s="6"/>
      <c r="D2206" s="5">
        <f>IFERROR(__xludf.DUMMYFUNCTION("""COMPUTED_VALUE"""),44922.66666666667)</f>
        <v>44922.66667</v>
      </c>
      <c r="E2206" s="3">
        <f>IFERROR(__xludf.DUMMYFUNCTION("""COMPUTED_VALUE"""),87.93)</f>
        <v>87.93</v>
      </c>
      <c r="F2206" s="3">
        <f t="shared" si="1"/>
        <v>-0.02115528429</v>
      </c>
    </row>
    <row r="2207">
      <c r="A2207" s="6"/>
      <c r="D2207" s="5">
        <f>IFERROR(__xludf.DUMMYFUNCTION("""COMPUTED_VALUE"""),44923.66666666667)</f>
        <v>44923.66667</v>
      </c>
      <c r="E2207" s="3">
        <f>IFERROR(__xludf.DUMMYFUNCTION("""COMPUTED_VALUE"""),86.46)</f>
        <v>86.46</v>
      </c>
      <c r="F2207" s="3">
        <f t="shared" si="1"/>
        <v>-0.01685916415</v>
      </c>
    </row>
    <row r="2208">
      <c r="A2208" s="6"/>
      <c r="D2208" s="5">
        <f>IFERROR(__xludf.DUMMYFUNCTION("""COMPUTED_VALUE"""),44924.66666666667)</f>
        <v>44924.66667</v>
      </c>
      <c r="E2208" s="3">
        <f>IFERROR(__xludf.DUMMYFUNCTION("""COMPUTED_VALUE"""),88.95)</f>
        <v>88.95</v>
      </c>
      <c r="F2208" s="3">
        <f t="shared" si="1"/>
        <v>0.02839253487</v>
      </c>
    </row>
    <row r="2209">
      <c r="A2209" s="6"/>
      <c r="D2209" s="5">
        <f>IFERROR(__xludf.DUMMYFUNCTION("""COMPUTED_VALUE"""),44925.66666666667)</f>
        <v>44925.66667</v>
      </c>
      <c r="E2209" s="3">
        <f>IFERROR(__xludf.DUMMYFUNCTION("""COMPUTED_VALUE"""),88.73)</f>
        <v>88.73</v>
      </c>
      <c r="F2209" s="3">
        <f t="shared" si="1"/>
        <v>-0.002476363265</v>
      </c>
    </row>
    <row r="2210">
      <c r="A2210" s="6"/>
      <c r="D2210" s="5">
        <f>IFERROR(__xludf.DUMMYFUNCTION("""COMPUTED_VALUE"""),44929.66666666667)</f>
        <v>44929.66667</v>
      </c>
      <c r="E2210" s="3">
        <f>IFERROR(__xludf.DUMMYFUNCTION("""COMPUTED_VALUE"""),89.7)</f>
        <v>89.7</v>
      </c>
      <c r="F2210" s="3">
        <f t="shared" si="1"/>
        <v>0.01087271822</v>
      </c>
    </row>
    <row r="2211">
      <c r="A2211" s="6"/>
      <c r="D2211" s="5">
        <f>IFERROR(__xludf.DUMMYFUNCTION("""COMPUTED_VALUE"""),44930.66666666667)</f>
        <v>44930.66667</v>
      </c>
      <c r="E2211" s="3">
        <f>IFERROR(__xludf.DUMMYFUNCTION("""COMPUTED_VALUE"""),88.71)</f>
        <v>88.71</v>
      </c>
      <c r="F2211" s="3">
        <f t="shared" si="1"/>
        <v>-0.01109814653</v>
      </c>
    </row>
    <row r="2212">
      <c r="A2212" s="6"/>
      <c r="D2212" s="5">
        <f>IFERROR(__xludf.DUMMYFUNCTION("""COMPUTED_VALUE"""),44931.66666666667)</f>
        <v>44931.66667</v>
      </c>
      <c r="E2212" s="3">
        <f>IFERROR(__xludf.DUMMYFUNCTION("""COMPUTED_VALUE"""),86.77)</f>
        <v>86.77</v>
      </c>
      <c r="F2212" s="3">
        <f t="shared" si="1"/>
        <v>-0.02211168273</v>
      </c>
    </row>
    <row r="2213">
      <c r="A2213" s="6"/>
      <c r="D2213" s="5">
        <f>IFERROR(__xludf.DUMMYFUNCTION("""COMPUTED_VALUE"""),44932.66666666667)</f>
        <v>44932.66667</v>
      </c>
      <c r="E2213" s="3">
        <f>IFERROR(__xludf.DUMMYFUNCTION("""COMPUTED_VALUE"""),88.16)</f>
        <v>88.16</v>
      </c>
      <c r="F2213" s="3">
        <f t="shared" si="1"/>
        <v>0.0158924056</v>
      </c>
    </row>
    <row r="2214">
      <c r="A2214" s="6"/>
      <c r="D2214" s="5">
        <f>IFERROR(__xludf.DUMMYFUNCTION("""COMPUTED_VALUE"""),44935.66666666667)</f>
        <v>44935.66667</v>
      </c>
      <c r="E2214" s="3">
        <f>IFERROR(__xludf.DUMMYFUNCTION("""COMPUTED_VALUE"""),88.8)</f>
        <v>88.8</v>
      </c>
      <c r="F2214" s="3">
        <f t="shared" si="1"/>
        <v>0.007233304594</v>
      </c>
    </row>
    <row r="2215">
      <c r="A2215" s="6"/>
      <c r="D2215" s="5">
        <f>IFERROR(__xludf.DUMMYFUNCTION("""COMPUTED_VALUE"""),44936.66666666667)</f>
        <v>44936.66667</v>
      </c>
      <c r="E2215" s="3">
        <f>IFERROR(__xludf.DUMMYFUNCTION("""COMPUTED_VALUE"""),89.24)</f>
        <v>89.24</v>
      </c>
      <c r="F2215" s="3">
        <f t="shared" si="1"/>
        <v>0.004942719566</v>
      </c>
    </row>
    <row r="2216">
      <c r="A2216" s="6"/>
      <c r="D2216" s="5">
        <f>IFERROR(__xludf.DUMMYFUNCTION("""COMPUTED_VALUE"""),44937.66666666667)</f>
        <v>44937.66667</v>
      </c>
      <c r="E2216" s="3">
        <f>IFERROR(__xludf.DUMMYFUNCTION("""COMPUTED_VALUE"""),92.26)</f>
        <v>92.26</v>
      </c>
      <c r="F2216" s="3">
        <f t="shared" si="1"/>
        <v>0.03328130857</v>
      </c>
    </row>
    <row r="2217">
      <c r="A2217" s="6"/>
      <c r="D2217" s="5">
        <f>IFERROR(__xludf.DUMMYFUNCTION("""COMPUTED_VALUE"""),44938.66666666667)</f>
        <v>44938.66667</v>
      </c>
      <c r="E2217" s="3">
        <f>IFERROR(__xludf.DUMMYFUNCTION("""COMPUTED_VALUE"""),91.91)</f>
        <v>91.91</v>
      </c>
      <c r="F2217" s="3">
        <f t="shared" si="1"/>
        <v>-0.00380084076</v>
      </c>
    </row>
    <row r="2218">
      <c r="A2218" s="6"/>
      <c r="D2218" s="5">
        <f>IFERROR(__xludf.DUMMYFUNCTION("""COMPUTED_VALUE"""),44939.66666666667)</f>
        <v>44939.66667</v>
      </c>
      <c r="E2218" s="3">
        <f>IFERROR(__xludf.DUMMYFUNCTION("""COMPUTED_VALUE"""),92.8)</f>
        <v>92.8</v>
      </c>
      <c r="F2218" s="3">
        <f t="shared" si="1"/>
        <v>0.009636802422</v>
      </c>
    </row>
    <row r="2219">
      <c r="A2219" s="6"/>
      <c r="D2219" s="5">
        <f>IFERROR(__xludf.DUMMYFUNCTION("""COMPUTED_VALUE"""),44943.66666666667)</f>
        <v>44943.66667</v>
      </c>
      <c r="E2219" s="3">
        <f>IFERROR(__xludf.DUMMYFUNCTION("""COMPUTED_VALUE"""),92.16)</f>
        <v>92.16</v>
      </c>
      <c r="F2219" s="3">
        <f t="shared" si="1"/>
        <v>-0.006920442845</v>
      </c>
    </row>
    <row r="2220">
      <c r="A2220" s="6"/>
      <c r="D2220" s="5">
        <f>IFERROR(__xludf.DUMMYFUNCTION("""COMPUTED_VALUE"""),44944.66666666667)</f>
        <v>44944.66667</v>
      </c>
      <c r="E2220" s="3">
        <f>IFERROR(__xludf.DUMMYFUNCTION("""COMPUTED_VALUE"""),91.78)</f>
        <v>91.78</v>
      </c>
      <c r="F2220" s="3">
        <f t="shared" si="1"/>
        <v>-0.004131787981</v>
      </c>
    </row>
    <row r="2221">
      <c r="A2221" s="6"/>
      <c r="D2221" s="5">
        <f>IFERROR(__xludf.DUMMYFUNCTION("""COMPUTED_VALUE"""),44945.66666666667)</f>
        <v>44945.66667</v>
      </c>
      <c r="E2221" s="3">
        <f>IFERROR(__xludf.DUMMYFUNCTION("""COMPUTED_VALUE"""),93.91)</f>
        <v>93.91</v>
      </c>
      <c r="F2221" s="3">
        <f t="shared" si="1"/>
        <v>0.02294246785</v>
      </c>
    </row>
    <row r="2222">
      <c r="A2222" s="6"/>
      <c r="D2222" s="5">
        <f>IFERROR(__xludf.DUMMYFUNCTION("""COMPUTED_VALUE"""),44946.66666666667)</f>
        <v>44946.66667</v>
      </c>
      <c r="E2222" s="3">
        <f>IFERROR(__xludf.DUMMYFUNCTION("""COMPUTED_VALUE"""),99.28)</f>
        <v>99.28</v>
      </c>
      <c r="F2222" s="3">
        <f t="shared" si="1"/>
        <v>0.05560726408</v>
      </c>
    </row>
    <row r="2223">
      <c r="A2223" s="6"/>
      <c r="D2223" s="5">
        <f>IFERROR(__xludf.DUMMYFUNCTION("""COMPUTED_VALUE"""),44949.66666666667)</f>
        <v>44949.66667</v>
      </c>
      <c r="E2223" s="3">
        <f>IFERROR(__xludf.DUMMYFUNCTION("""COMPUTED_VALUE"""),101.21)</f>
        <v>101.21</v>
      </c>
      <c r="F2223" s="3">
        <f t="shared" si="1"/>
        <v>0.0192534253</v>
      </c>
    </row>
    <row r="2224">
      <c r="A2224" s="6"/>
      <c r="D2224" s="5">
        <f>IFERROR(__xludf.DUMMYFUNCTION("""COMPUTED_VALUE"""),44950.66666666667)</f>
        <v>44950.66667</v>
      </c>
      <c r="E2224" s="3">
        <f>IFERROR(__xludf.DUMMYFUNCTION("""COMPUTED_VALUE"""),99.21)</f>
        <v>99.21</v>
      </c>
      <c r="F2224" s="3">
        <f t="shared" si="1"/>
        <v>-0.01995875054</v>
      </c>
    </row>
    <row r="2225">
      <c r="A2225" s="6"/>
      <c r="D2225" s="5">
        <f>IFERROR(__xludf.DUMMYFUNCTION("""COMPUTED_VALUE"""),44951.66666666667)</f>
        <v>44951.66667</v>
      </c>
      <c r="E2225" s="3">
        <f>IFERROR(__xludf.DUMMYFUNCTION("""COMPUTED_VALUE"""),96.73)</f>
        <v>96.73</v>
      </c>
      <c r="F2225" s="3">
        <f t="shared" si="1"/>
        <v>-0.02531522347</v>
      </c>
    </row>
    <row r="2226">
      <c r="A2226" s="6"/>
      <c r="D2226" s="5">
        <f>IFERROR(__xludf.DUMMYFUNCTION("""COMPUTED_VALUE"""),44952.66666666667)</f>
        <v>44952.66667</v>
      </c>
      <c r="E2226" s="3">
        <f>IFERROR(__xludf.DUMMYFUNCTION("""COMPUTED_VALUE"""),99.16)</f>
        <v>99.16</v>
      </c>
      <c r="F2226" s="3">
        <f t="shared" si="1"/>
        <v>0.02481111497</v>
      </c>
    </row>
    <row r="2227">
      <c r="A2227" s="6"/>
      <c r="D2227" s="5">
        <f>IFERROR(__xludf.DUMMYFUNCTION("""COMPUTED_VALUE"""),44953.66666666667)</f>
        <v>44953.66667</v>
      </c>
      <c r="E2227" s="3">
        <f>IFERROR(__xludf.DUMMYFUNCTION("""COMPUTED_VALUE"""),100.71)</f>
        <v>100.71</v>
      </c>
      <c r="F2227" s="3">
        <f t="shared" si="1"/>
        <v>0.01551039249</v>
      </c>
    </row>
    <row r="2228">
      <c r="A2228" s="6"/>
      <c r="D2228" s="5">
        <f>IFERROR(__xludf.DUMMYFUNCTION("""COMPUTED_VALUE"""),44956.66666666667)</f>
        <v>44956.66667</v>
      </c>
      <c r="E2228" s="3">
        <f>IFERROR(__xludf.DUMMYFUNCTION("""COMPUTED_VALUE"""),97.95)</f>
        <v>97.95</v>
      </c>
      <c r="F2228" s="3">
        <f t="shared" si="1"/>
        <v>-0.02778795527</v>
      </c>
    </row>
    <row r="2229">
      <c r="A2229" s="6"/>
      <c r="D2229" s="5">
        <f>IFERROR(__xludf.DUMMYFUNCTION("""COMPUTED_VALUE"""),44957.66666666667)</f>
        <v>44957.66667</v>
      </c>
      <c r="E2229" s="3">
        <f>IFERROR(__xludf.DUMMYFUNCTION("""COMPUTED_VALUE"""),99.87)</f>
        <v>99.87</v>
      </c>
      <c r="F2229" s="3">
        <f t="shared" si="1"/>
        <v>0.01941219586</v>
      </c>
    </row>
    <row r="2230">
      <c r="A2230" s="6"/>
      <c r="D2230" s="5">
        <f>IFERROR(__xludf.DUMMYFUNCTION("""COMPUTED_VALUE"""),44958.66666666667)</f>
        <v>44958.66667</v>
      </c>
      <c r="E2230" s="3">
        <f>IFERROR(__xludf.DUMMYFUNCTION("""COMPUTED_VALUE"""),101.43)</f>
        <v>101.43</v>
      </c>
      <c r="F2230" s="3">
        <f t="shared" si="1"/>
        <v>0.01549956513</v>
      </c>
    </row>
    <row r="2231">
      <c r="A2231" s="6"/>
      <c r="D2231" s="5">
        <f>IFERROR(__xludf.DUMMYFUNCTION("""COMPUTED_VALUE"""),44959.66666666667)</f>
        <v>44959.66667</v>
      </c>
      <c r="E2231" s="3">
        <f>IFERROR(__xludf.DUMMYFUNCTION("""COMPUTED_VALUE"""),108.8)</f>
        <v>108.8</v>
      </c>
      <c r="F2231" s="3">
        <f t="shared" si="1"/>
        <v>0.07014242903</v>
      </c>
    </row>
    <row r="2232">
      <c r="A2232" s="6"/>
      <c r="D2232" s="5">
        <f>IFERROR(__xludf.DUMMYFUNCTION("""COMPUTED_VALUE"""),44960.66666666667)</f>
        <v>44960.66667</v>
      </c>
      <c r="E2232" s="3">
        <f>IFERROR(__xludf.DUMMYFUNCTION("""COMPUTED_VALUE"""),105.22)</f>
        <v>105.22</v>
      </c>
      <c r="F2232" s="3">
        <f t="shared" si="1"/>
        <v>-0.03345793812</v>
      </c>
    </row>
    <row r="2233">
      <c r="A2233" s="6"/>
      <c r="D2233" s="5">
        <f>IFERROR(__xludf.DUMMYFUNCTION("""COMPUTED_VALUE"""),44963.66666666667)</f>
        <v>44963.66667</v>
      </c>
      <c r="E2233" s="3">
        <f>IFERROR(__xludf.DUMMYFUNCTION("""COMPUTED_VALUE"""),103.47)</f>
        <v>103.47</v>
      </c>
      <c r="F2233" s="3">
        <f t="shared" si="1"/>
        <v>-0.01677168069</v>
      </c>
    </row>
    <row r="2234">
      <c r="A2234" s="6"/>
      <c r="D2234" s="5">
        <f>IFERROR(__xludf.DUMMYFUNCTION("""COMPUTED_VALUE"""),44964.66666666667)</f>
        <v>44964.66667</v>
      </c>
      <c r="E2234" s="3">
        <f>IFERROR(__xludf.DUMMYFUNCTION("""COMPUTED_VALUE"""),108.04)</f>
        <v>108.04</v>
      </c>
      <c r="F2234" s="3">
        <f t="shared" si="1"/>
        <v>0.04321981331</v>
      </c>
    </row>
    <row r="2235">
      <c r="A2235" s="6"/>
      <c r="D2235" s="5">
        <f>IFERROR(__xludf.DUMMYFUNCTION("""COMPUTED_VALUE"""),44965.66666666667)</f>
        <v>44965.66667</v>
      </c>
      <c r="E2235" s="3">
        <f>IFERROR(__xludf.DUMMYFUNCTION("""COMPUTED_VALUE"""),100.0)</f>
        <v>100</v>
      </c>
      <c r="F2235" s="3">
        <f t="shared" si="1"/>
        <v>-0.07733134294</v>
      </c>
    </row>
    <row r="2236">
      <c r="A2236" s="6"/>
      <c r="D2236" s="5">
        <f>IFERROR(__xludf.DUMMYFUNCTION("""COMPUTED_VALUE"""),44966.66666666667)</f>
        <v>44966.66667</v>
      </c>
      <c r="E2236" s="3">
        <f>IFERROR(__xludf.DUMMYFUNCTION("""COMPUTED_VALUE"""),95.46)</f>
        <v>95.46</v>
      </c>
      <c r="F2236" s="3">
        <f t="shared" si="1"/>
        <v>-0.04646287441</v>
      </c>
    </row>
    <row r="2237">
      <c r="A2237" s="6"/>
      <c r="D2237" s="5">
        <f>IFERROR(__xludf.DUMMYFUNCTION("""COMPUTED_VALUE"""),44967.66666666667)</f>
        <v>44967.66667</v>
      </c>
      <c r="E2237" s="3">
        <f>IFERROR(__xludf.DUMMYFUNCTION("""COMPUTED_VALUE"""),94.86)</f>
        <v>94.86</v>
      </c>
      <c r="F2237" s="3">
        <f t="shared" si="1"/>
        <v>-0.006305191128</v>
      </c>
    </row>
    <row r="2238">
      <c r="A2238" s="6"/>
      <c r="D2238" s="5">
        <f>IFERROR(__xludf.DUMMYFUNCTION("""COMPUTED_VALUE"""),44970.66666666667)</f>
        <v>44970.66667</v>
      </c>
      <c r="E2238" s="3">
        <f>IFERROR(__xludf.DUMMYFUNCTION("""COMPUTED_VALUE"""),95.0)</f>
        <v>95</v>
      </c>
      <c r="F2238" s="3">
        <f t="shared" si="1"/>
        <v>0.001474771151</v>
      </c>
    </row>
    <row r="2239">
      <c r="A2239" s="6"/>
      <c r="D2239" s="5">
        <f>IFERROR(__xludf.DUMMYFUNCTION("""COMPUTED_VALUE"""),44971.66666666667)</f>
        <v>44971.66667</v>
      </c>
      <c r="E2239" s="3">
        <f>IFERROR(__xludf.DUMMYFUNCTION("""COMPUTED_VALUE"""),94.95)</f>
        <v>94.95</v>
      </c>
      <c r="F2239" s="3">
        <f t="shared" si="1"/>
        <v>-0.0005264543422</v>
      </c>
    </row>
    <row r="2240">
      <c r="A2240" s="6"/>
      <c r="D2240" s="5">
        <f>IFERROR(__xludf.DUMMYFUNCTION("""COMPUTED_VALUE"""),44972.66666666667)</f>
        <v>44972.66667</v>
      </c>
      <c r="E2240" s="3">
        <f>IFERROR(__xludf.DUMMYFUNCTION("""COMPUTED_VALUE"""),97.1)</f>
        <v>97.1</v>
      </c>
      <c r="F2240" s="3">
        <f t="shared" si="1"/>
        <v>0.02239093804</v>
      </c>
    </row>
    <row r="2241">
      <c r="A2241" s="6"/>
      <c r="D2241" s="5">
        <f>IFERROR(__xludf.DUMMYFUNCTION("""COMPUTED_VALUE"""),44973.66666666667)</f>
        <v>44973.66667</v>
      </c>
      <c r="E2241" s="3">
        <f>IFERROR(__xludf.DUMMYFUNCTION("""COMPUTED_VALUE"""),95.78)</f>
        <v>95.78</v>
      </c>
      <c r="F2241" s="3">
        <f t="shared" si="1"/>
        <v>-0.01368748038</v>
      </c>
    </row>
    <row r="2242">
      <c r="A2242" s="6"/>
      <c r="D2242" s="5">
        <f>IFERROR(__xludf.DUMMYFUNCTION("""COMPUTED_VALUE"""),44974.66666666667)</f>
        <v>44974.66667</v>
      </c>
      <c r="E2242" s="3">
        <f>IFERROR(__xludf.DUMMYFUNCTION("""COMPUTED_VALUE"""),94.59)</f>
        <v>94.59</v>
      </c>
      <c r="F2242" s="3">
        <f t="shared" si="1"/>
        <v>-0.01250213269</v>
      </c>
    </row>
    <row r="2243">
      <c r="A2243" s="6"/>
      <c r="D2243" s="5">
        <f>IFERROR(__xludf.DUMMYFUNCTION("""COMPUTED_VALUE"""),44978.66666666667)</f>
        <v>44978.66667</v>
      </c>
      <c r="E2243" s="3">
        <f>IFERROR(__xludf.DUMMYFUNCTION("""COMPUTED_VALUE"""),92.05)</f>
        <v>92.05</v>
      </c>
      <c r="F2243" s="3">
        <f t="shared" si="1"/>
        <v>-0.02721985455</v>
      </c>
    </row>
    <row r="2244">
      <c r="A2244" s="6"/>
      <c r="D2244" s="5">
        <f>IFERROR(__xludf.DUMMYFUNCTION("""COMPUTED_VALUE"""),44979.66666666667)</f>
        <v>44979.66667</v>
      </c>
      <c r="E2244" s="3">
        <f>IFERROR(__xludf.DUMMYFUNCTION("""COMPUTED_VALUE"""),91.8)</f>
        <v>91.8</v>
      </c>
      <c r="F2244" s="3">
        <f t="shared" si="1"/>
        <v>-0.002719610053</v>
      </c>
    </row>
    <row r="2245">
      <c r="A2245" s="6"/>
      <c r="D2245" s="5">
        <f>IFERROR(__xludf.DUMMYFUNCTION("""COMPUTED_VALUE"""),44980.66666666667)</f>
        <v>44980.66667</v>
      </c>
      <c r="E2245" s="3">
        <f>IFERROR(__xludf.DUMMYFUNCTION("""COMPUTED_VALUE"""),91.07)</f>
        <v>91.07</v>
      </c>
      <c r="F2245" s="3">
        <f t="shared" si="1"/>
        <v>-0.007983856047</v>
      </c>
    </row>
    <row r="2246">
      <c r="A2246" s="6"/>
      <c r="D2246" s="5">
        <f>IFERROR(__xludf.DUMMYFUNCTION("""COMPUTED_VALUE"""),44981.66666666667)</f>
        <v>44981.66667</v>
      </c>
      <c r="E2246" s="3">
        <f>IFERROR(__xludf.DUMMYFUNCTION("""COMPUTED_VALUE"""),89.35)</f>
        <v>89.35</v>
      </c>
      <c r="F2246" s="3">
        <f t="shared" si="1"/>
        <v>-0.01906719997</v>
      </c>
    </row>
    <row r="2247">
      <c r="A2247" s="6"/>
      <c r="D2247" s="5">
        <f>IFERROR(__xludf.DUMMYFUNCTION("""COMPUTED_VALUE"""),44984.66666666667)</f>
        <v>44984.66667</v>
      </c>
      <c r="E2247" s="3">
        <f>IFERROR(__xludf.DUMMYFUNCTION("""COMPUTED_VALUE"""),90.1)</f>
        <v>90.1</v>
      </c>
      <c r="F2247" s="3">
        <f t="shared" si="1"/>
        <v>0.008358923009</v>
      </c>
    </row>
    <row r="2248">
      <c r="A2248" s="6"/>
      <c r="D2248" s="5">
        <f>IFERROR(__xludf.DUMMYFUNCTION("""COMPUTED_VALUE"""),44985.66666666667)</f>
        <v>44985.66667</v>
      </c>
      <c r="E2248" s="3">
        <f>IFERROR(__xludf.DUMMYFUNCTION("""COMPUTED_VALUE"""),90.3)</f>
        <v>90.3</v>
      </c>
      <c r="F2248" s="3">
        <f t="shared" si="1"/>
        <v>0.002217295809</v>
      </c>
    </row>
    <row r="2249">
      <c r="A2249" s="6"/>
      <c r="D2249" s="5">
        <f>IFERROR(__xludf.DUMMYFUNCTION("""COMPUTED_VALUE"""),44986.66666666667)</f>
        <v>44986.66667</v>
      </c>
      <c r="E2249" s="3">
        <f>IFERROR(__xludf.DUMMYFUNCTION("""COMPUTED_VALUE"""),90.51)</f>
        <v>90.51</v>
      </c>
      <c r="F2249" s="3">
        <f t="shared" si="1"/>
        <v>0.002322881416</v>
      </c>
    </row>
    <row r="2250">
      <c r="A2250" s="6"/>
      <c r="D2250" s="5">
        <f>IFERROR(__xludf.DUMMYFUNCTION("""COMPUTED_VALUE"""),44987.66666666667)</f>
        <v>44987.66667</v>
      </c>
      <c r="E2250" s="3">
        <f>IFERROR(__xludf.DUMMYFUNCTION("""COMPUTED_VALUE"""),92.31)</f>
        <v>92.31</v>
      </c>
      <c r="F2250" s="3">
        <f t="shared" si="1"/>
        <v>0.01969213616</v>
      </c>
    </row>
    <row r="2251">
      <c r="A2251" s="6"/>
      <c r="D2251" s="5">
        <f>IFERROR(__xludf.DUMMYFUNCTION("""COMPUTED_VALUE"""),44988.66666666667)</f>
        <v>44988.66667</v>
      </c>
      <c r="E2251" s="3">
        <f>IFERROR(__xludf.DUMMYFUNCTION("""COMPUTED_VALUE"""),94.02)</f>
        <v>94.02</v>
      </c>
      <c r="F2251" s="3">
        <f t="shared" si="1"/>
        <v>0.01835504759</v>
      </c>
    </row>
    <row r="2252">
      <c r="A2252" s="6"/>
      <c r="D2252" s="5">
        <f>IFERROR(__xludf.DUMMYFUNCTION("""COMPUTED_VALUE"""),44991.66666666667)</f>
        <v>44991.66667</v>
      </c>
      <c r="E2252" s="3">
        <f>IFERROR(__xludf.DUMMYFUNCTION("""COMPUTED_VALUE"""),95.58)</f>
        <v>95.58</v>
      </c>
      <c r="F2252" s="3">
        <f t="shared" si="1"/>
        <v>0.01645606755</v>
      </c>
    </row>
    <row r="2253">
      <c r="A2253" s="6"/>
      <c r="D2253" s="5">
        <f>IFERROR(__xludf.DUMMYFUNCTION("""COMPUTED_VALUE"""),44992.66666666667)</f>
        <v>44992.66667</v>
      </c>
      <c r="E2253" s="3">
        <f>IFERROR(__xludf.DUMMYFUNCTION("""COMPUTED_VALUE"""),94.17)</f>
        <v>94.17</v>
      </c>
      <c r="F2253" s="3">
        <f t="shared" si="1"/>
        <v>-0.01486193363</v>
      </c>
    </row>
    <row r="2254">
      <c r="A2254" s="6"/>
      <c r="D2254" s="5">
        <f>IFERROR(__xludf.DUMMYFUNCTION("""COMPUTED_VALUE"""),44993.66666666667)</f>
        <v>44993.66667</v>
      </c>
      <c r="E2254" s="3">
        <f>IFERROR(__xludf.DUMMYFUNCTION("""COMPUTED_VALUE"""),94.65)</f>
        <v>94.65</v>
      </c>
      <c r="F2254" s="3">
        <f t="shared" si="1"/>
        <v>0.005084218133</v>
      </c>
    </row>
    <row r="2255">
      <c r="A2255" s="6"/>
      <c r="D2255" s="5">
        <f>IFERROR(__xludf.DUMMYFUNCTION("""COMPUTED_VALUE"""),44994.66666666667)</f>
        <v>44994.66667</v>
      </c>
      <c r="E2255" s="3">
        <f>IFERROR(__xludf.DUMMYFUNCTION("""COMPUTED_VALUE"""),92.66)</f>
        <v>92.66</v>
      </c>
      <c r="F2255" s="3">
        <f t="shared" si="1"/>
        <v>-0.02124899767</v>
      </c>
    </row>
    <row r="2256">
      <c r="A2256" s="6"/>
      <c r="D2256" s="5">
        <f>IFERROR(__xludf.DUMMYFUNCTION("""COMPUTED_VALUE"""),44995.66666666667)</f>
        <v>44995.66667</v>
      </c>
      <c r="E2256" s="3">
        <f>IFERROR(__xludf.DUMMYFUNCTION("""COMPUTED_VALUE"""),91.01)</f>
        <v>91.01</v>
      </c>
      <c r="F2256" s="3">
        <f t="shared" si="1"/>
        <v>-0.0179674894</v>
      </c>
    </row>
    <row r="2257">
      <c r="A2257" s="6"/>
      <c r="D2257" s="5">
        <f>IFERROR(__xludf.DUMMYFUNCTION("""COMPUTED_VALUE"""),44998.66666666667)</f>
        <v>44998.66667</v>
      </c>
      <c r="E2257" s="3">
        <f>IFERROR(__xludf.DUMMYFUNCTION("""COMPUTED_VALUE"""),91.66)</f>
        <v>91.66</v>
      </c>
      <c r="F2257" s="3">
        <f t="shared" si="1"/>
        <v>0.007116688492</v>
      </c>
    </row>
    <row r="2258">
      <c r="A2258" s="6"/>
      <c r="D2258" s="5">
        <f>IFERROR(__xludf.DUMMYFUNCTION("""COMPUTED_VALUE"""),44999.66666666667)</f>
        <v>44999.66667</v>
      </c>
      <c r="E2258" s="3">
        <f>IFERROR(__xludf.DUMMYFUNCTION("""COMPUTED_VALUE"""),94.25)</f>
        <v>94.25</v>
      </c>
      <c r="F2258" s="3">
        <f t="shared" si="1"/>
        <v>0.02786474725</v>
      </c>
    </row>
    <row r="2259">
      <c r="A2259" s="6"/>
      <c r="D2259" s="5">
        <f>IFERROR(__xludf.DUMMYFUNCTION("""COMPUTED_VALUE"""),45000.66666666667)</f>
        <v>45000.66667</v>
      </c>
      <c r="E2259" s="3">
        <f>IFERROR(__xludf.DUMMYFUNCTION("""COMPUTED_VALUE"""),96.55)</f>
        <v>96.55</v>
      </c>
      <c r="F2259" s="3">
        <f t="shared" si="1"/>
        <v>0.02411018255</v>
      </c>
    </row>
    <row r="2260">
      <c r="A2260" s="6"/>
      <c r="D2260" s="5">
        <f>IFERROR(__xludf.DUMMYFUNCTION("""COMPUTED_VALUE"""),45001.66666666667)</f>
        <v>45001.66667</v>
      </c>
      <c r="E2260" s="3">
        <f>IFERROR(__xludf.DUMMYFUNCTION("""COMPUTED_VALUE"""),101.07)</f>
        <v>101.07</v>
      </c>
      <c r="F2260" s="3">
        <f t="shared" si="1"/>
        <v>0.04575233721</v>
      </c>
    </row>
    <row r="2261">
      <c r="A2261" s="6"/>
      <c r="D2261" s="5">
        <f>IFERROR(__xludf.DUMMYFUNCTION("""COMPUTED_VALUE"""),45002.66666666667)</f>
        <v>45002.66667</v>
      </c>
      <c r="E2261" s="3">
        <f>IFERROR(__xludf.DUMMYFUNCTION("""COMPUTED_VALUE"""),102.46)</f>
        <v>102.46</v>
      </c>
      <c r="F2261" s="3">
        <f t="shared" si="1"/>
        <v>0.01365913242</v>
      </c>
    </row>
    <row r="2262">
      <c r="A2262" s="6"/>
      <c r="D2262" s="5">
        <f>IFERROR(__xludf.DUMMYFUNCTION("""COMPUTED_VALUE"""),45005.66666666667)</f>
        <v>45005.66667</v>
      </c>
      <c r="E2262" s="3">
        <f>IFERROR(__xludf.DUMMYFUNCTION("""COMPUTED_VALUE"""),101.93)</f>
        <v>101.93</v>
      </c>
      <c r="F2262" s="3">
        <f t="shared" si="1"/>
        <v>-0.005186175331</v>
      </c>
    </row>
    <row r="2263">
      <c r="A2263" s="6"/>
      <c r="D2263" s="5">
        <f>IFERROR(__xludf.DUMMYFUNCTION("""COMPUTED_VALUE"""),45006.66666666667)</f>
        <v>45006.66667</v>
      </c>
      <c r="E2263" s="3">
        <f>IFERROR(__xludf.DUMMYFUNCTION("""COMPUTED_VALUE"""),105.84)</f>
        <v>105.84</v>
      </c>
      <c r="F2263" s="3">
        <f t="shared" si="1"/>
        <v>0.03764221663</v>
      </c>
    </row>
    <row r="2264">
      <c r="A2264" s="6"/>
      <c r="D2264" s="5">
        <f>IFERROR(__xludf.DUMMYFUNCTION("""COMPUTED_VALUE"""),45007.66666666667)</f>
        <v>45007.66667</v>
      </c>
      <c r="E2264" s="3">
        <f>IFERROR(__xludf.DUMMYFUNCTION("""COMPUTED_VALUE"""),104.22)</f>
        <v>104.22</v>
      </c>
      <c r="F2264" s="3">
        <f t="shared" si="1"/>
        <v>-0.01542447033</v>
      </c>
    </row>
    <row r="2265">
      <c r="A2265" s="6"/>
      <c r="D2265" s="5">
        <f>IFERROR(__xludf.DUMMYFUNCTION("""COMPUTED_VALUE"""),45008.66666666667)</f>
        <v>45008.66667</v>
      </c>
      <c r="E2265" s="3">
        <f>IFERROR(__xludf.DUMMYFUNCTION("""COMPUTED_VALUE"""),106.26)</f>
        <v>106.26</v>
      </c>
      <c r="F2265" s="3">
        <f t="shared" si="1"/>
        <v>0.01938487154</v>
      </c>
    </row>
    <row r="2266">
      <c r="A2266" s="6"/>
      <c r="D2266" s="5">
        <f>IFERROR(__xludf.DUMMYFUNCTION("""COMPUTED_VALUE"""),45009.66666666667)</f>
        <v>45009.66667</v>
      </c>
      <c r="E2266" s="3">
        <f>IFERROR(__xludf.DUMMYFUNCTION("""COMPUTED_VALUE"""),106.06)</f>
        <v>106.06</v>
      </c>
      <c r="F2266" s="3">
        <f t="shared" si="1"/>
        <v>-0.001883949314</v>
      </c>
    </row>
    <row r="2267">
      <c r="A2267" s="6"/>
      <c r="D2267" s="5">
        <f>IFERROR(__xludf.DUMMYFUNCTION("""COMPUTED_VALUE"""),45012.66666666667)</f>
        <v>45012.66667</v>
      </c>
      <c r="E2267" s="3">
        <f>IFERROR(__xludf.DUMMYFUNCTION("""COMPUTED_VALUE"""),103.06)</f>
        <v>103.06</v>
      </c>
      <c r="F2267" s="3">
        <f t="shared" si="1"/>
        <v>-0.02869362881</v>
      </c>
    </row>
    <row r="2268">
      <c r="A2268" s="6"/>
      <c r="D2268" s="5">
        <f>IFERROR(__xludf.DUMMYFUNCTION("""COMPUTED_VALUE"""),45013.66666666667)</f>
        <v>45013.66667</v>
      </c>
      <c r="E2268" s="3">
        <f>IFERROR(__xludf.DUMMYFUNCTION("""COMPUTED_VALUE"""),101.36)</f>
        <v>101.36</v>
      </c>
      <c r="F2268" s="3">
        <f t="shared" si="1"/>
        <v>-0.01663280689</v>
      </c>
    </row>
    <row r="2269">
      <c r="A2269" s="6"/>
      <c r="D2269" s="5">
        <f>IFERROR(__xludf.DUMMYFUNCTION("""COMPUTED_VALUE"""),45014.66666666667)</f>
        <v>45014.66667</v>
      </c>
      <c r="E2269" s="3">
        <f>IFERROR(__xludf.DUMMYFUNCTION("""COMPUTED_VALUE"""),101.9)</f>
        <v>101.9</v>
      </c>
      <c r="F2269" s="3">
        <f t="shared" si="1"/>
        <v>0.005313404216</v>
      </c>
    </row>
    <row r="2270">
      <c r="A2270" s="6"/>
      <c r="D2270" s="5">
        <f>IFERROR(__xludf.DUMMYFUNCTION("""COMPUTED_VALUE"""),45015.66666666667)</f>
        <v>45015.66667</v>
      </c>
      <c r="E2270" s="3">
        <f>IFERROR(__xludf.DUMMYFUNCTION("""COMPUTED_VALUE"""),101.32)</f>
        <v>101.32</v>
      </c>
      <c r="F2270" s="3">
        <f t="shared" si="1"/>
        <v>-0.005708115095</v>
      </c>
    </row>
    <row r="2271">
      <c r="A2271" s="6"/>
      <c r="D2271" s="5">
        <f>IFERROR(__xludf.DUMMYFUNCTION("""COMPUTED_VALUE"""),45016.66666666667)</f>
        <v>45016.66667</v>
      </c>
      <c r="E2271" s="3">
        <f>IFERROR(__xludf.DUMMYFUNCTION("""COMPUTED_VALUE"""),104.0)</f>
        <v>104</v>
      </c>
      <c r="F2271" s="3">
        <f t="shared" si="1"/>
        <v>0.02610707401</v>
      </c>
    </row>
    <row r="2272">
      <c r="A2272" s="6"/>
      <c r="D2272" s="5">
        <f>IFERROR(__xludf.DUMMYFUNCTION("""COMPUTED_VALUE"""),45019.66666666667)</f>
        <v>45019.66667</v>
      </c>
      <c r="E2272" s="3">
        <f>IFERROR(__xludf.DUMMYFUNCTION("""COMPUTED_VALUE"""),104.91)</f>
        <v>104.91</v>
      </c>
      <c r="F2272" s="3">
        <f t="shared" si="1"/>
        <v>0.008711940602</v>
      </c>
    </row>
    <row r="2273">
      <c r="A2273" s="6"/>
      <c r="D2273" s="5">
        <f>IFERROR(__xludf.DUMMYFUNCTION("""COMPUTED_VALUE"""),45020.66666666667)</f>
        <v>45020.66667</v>
      </c>
      <c r="E2273" s="3">
        <f>IFERROR(__xludf.DUMMYFUNCTION("""COMPUTED_VALUE"""),105.12)</f>
        <v>105.12</v>
      </c>
      <c r="F2273" s="3">
        <f t="shared" si="1"/>
        <v>0.001999714993</v>
      </c>
    </row>
    <row r="2274">
      <c r="A2274" s="6"/>
      <c r="D2274" s="5">
        <f>IFERROR(__xludf.DUMMYFUNCTION("""COMPUTED_VALUE"""),45021.66666666667)</f>
        <v>45021.66667</v>
      </c>
      <c r="E2274" s="3">
        <f>IFERROR(__xludf.DUMMYFUNCTION("""COMPUTED_VALUE"""),104.95)</f>
        <v>104.95</v>
      </c>
      <c r="F2274" s="3">
        <f t="shared" si="1"/>
        <v>-0.00161850847</v>
      </c>
    </row>
    <row r="2275">
      <c r="A2275" s="6"/>
      <c r="D2275" s="5">
        <f>IFERROR(__xludf.DUMMYFUNCTION("""COMPUTED_VALUE"""),45022.66666666667)</f>
        <v>45022.66667</v>
      </c>
      <c r="E2275" s="3">
        <f>IFERROR(__xludf.DUMMYFUNCTION("""COMPUTED_VALUE"""),108.9)</f>
        <v>108.9</v>
      </c>
      <c r="F2275" s="3">
        <f t="shared" si="1"/>
        <v>0.03694598367</v>
      </c>
    </row>
    <row r="2276">
      <c r="A2276" s="6"/>
      <c r="D2276" s="5">
        <f>IFERROR(__xludf.DUMMYFUNCTION("""COMPUTED_VALUE"""),45026.66666666667)</f>
        <v>45026.66667</v>
      </c>
      <c r="E2276" s="3">
        <f>IFERROR(__xludf.DUMMYFUNCTION("""COMPUTED_VALUE"""),106.95)</f>
        <v>106.95</v>
      </c>
      <c r="F2276" s="3">
        <f t="shared" si="1"/>
        <v>-0.01806859441</v>
      </c>
    </row>
    <row r="2277">
      <c r="A2277" s="6"/>
      <c r="D2277" s="5">
        <f>IFERROR(__xludf.DUMMYFUNCTION("""COMPUTED_VALUE"""),45027.66666666667)</f>
        <v>45027.66667</v>
      </c>
      <c r="E2277" s="3">
        <f>IFERROR(__xludf.DUMMYFUNCTION("""COMPUTED_VALUE"""),106.12)</f>
        <v>106.12</v>
      </c>
      <c r="F2277" s="3">
        <f t="shared" si="1"/>
        <v>-0.007790906259</v>
      </c>
    </row>
    <row r="2278">
      <c r="A2278" s="6"/>
      <c r="D2278" s="5">
        <f>IFERROR(__xludf.DUMMYFUNCTION("""COMPUTED_VALUE"""),45028.66666666667)</f>
        <v>45028.66667</v>
      </c>
      <c r="E2278" s="3">
        <f>IFERROR(__xludf.DUMMYFUNCTION("""COMPUTED_VALUE"""),105.22)</f>
        <v>105.22</v>
      </c>
      <c r="F2278" s="3">
        <f t="shared" si="1"/>
        <v>-0.008517132967</v>
      </c>
    </row>
    <row r="2279">
      <c r="A2279" s="6"/>
      <c r="D2279" s="5">
        <f>IFERROR(__xludf.DUMMYFUNCTION("""COMPUTED_VALUE"""),45029.66666666667)</f>
        <v>45029.66667</v>
      </c>
      <c r="E2279" s="3">
        <f>IFERROR(__xludf.DUMMYFUNCTION("""COMPUTED_VALUE"""),108.19)</f>
        <v>108.19</v>
      </c>
      <c r="F2279" s="3">
        <f t="shared" si="1"/>
        <v>0.0278355444</v>
      </c>
    </row>
    <row r="2280">
      <c r="A2280" s="6"/>
      <c r="D2280" s="5">
        <f>IFERROR(__xludf.DUMMYFUNCTION("""COMPUTED_VALUE"""),45030.66666666667)</f>
        <v>45030.66667</v>
      </c>
      <c r="E2280" s="3">
        <f>IFERROR(__xludf.DUMMYFUNCTION("""COMPUTED_VALUE"""),109.46)</f>
        <v>109.46</v>
      </c>
      <c r="F2280" s="3">
        <f t="shared" si="1"/>
        <v>0.01167024502</v>
      </c>
    </row>
    <row r="2281">
      <c r="A2281" s="6"/>
      <c r="D2281" s="5">
        <f>IFERROR(__xludf.DUMMYFUNCTION("""COMPUTED_VALUE"""),45033.66666666667)</f>
        <v>45033.66667</v>
      </c>
      <c r="E2281" s="3">
        <f>IFERROR(__xludf.DUMMYFUNCTION("""COMPUTED_VALUE"""),106.42)</f>
        <v>106.42</v>
      </c>
      <c r="F2281" s="3">
        <f t="shared" si="1"/>
        <v>-0.02816565655</v>
      </c>
    </row>
    <row r="2282">
      <c r="A2282" s="6"/>
      <c r="D2282" s="5">
        <f>IFERROR(__xludf.DUMMYFUNCTION("""COMPUTED_VALUE"""),45034.66666666667)</f>
        <v>45034.66667</v>
      </c>
      <c r="E2282" s="3">
        <f>IFERROR(__xludf.DUMMYFUNCTION("""COMPUTED_VALUE"""),105.12)</f>
        <v>105.12</v>
      </c>
      <c r="F2282" s="3">
        <f t="shared" si="1"/>
        <v>-0.01229097443</v>
      </c>
    </row>
    <row r="2283">
      <c r="A2283" s="6"/>
      <c r="D2283" s="5">
        <f>IFERROR(__xludf.DUMMYFUNCTION("""COMPUTED_VALUE"""),45035.66666666667)</f>
        <v>45035.66667</v>
      </c>
      <c r="E2283" s="3">
        <f>IFERROR(__xludf.DUMMYFUNCTION("""COMPUTED_VALUE"""),105.02)</f>
        <v>105.02</v>
      </c>
      <c r="F2283" s="3">
        <f t="shared" si="1"/>
        <v>-0.0009517465266</v>
      </c>
    </row>
    <row r="2284">
      <c r="A2284" s="6"/>
      <c r="D2284" s="5">
        <f>IFERROR(__xludf.DUMMYFUNCTION("""COMPUTED_VALUE"""),45036.66666666667)</f>
        <v>45036.66667</v>
      </c>
      <c r="E2284" s="3">
        <f>IFERROR(__xludf.DUMMYFUNCTION("""COMPUTED_VALUE"""),105.9)</f>
        <v>105.9</v>
      </c>
      <c r="F2284" s="3">
        <f t="shared" si="1"/>
        <v>0.008344444398</v>
      </c>
    </row>
    <row r="2285">
      <c r="A2285" s="6"/>
      <c r="D2285" s="5">
        <f>IFERROR(__xludf.DUMMYFUNCTION("""COMPUTED_VALUE"""),45037.66666666667)</f>
        <v>45037.66667</v>
      </c>
      <c r="E2285" s="3">
        <f>IFERROR(__xludf.DUMMYFUNCTION("""COMPUTED_VALUE"""),105.91)</f>
        <v>105.91</v>
      </c>
      <c r="F2285" s="3">
        <f t="shared" si="1"/>
        <v>0.00009442424822</v>
      </c>
    </row>
    <row r="2286">
      <c r="A2286" s="6"/>
      <c r="D2286" s="5">
        <f>IFERROR(__xludf.DUMMYFUNCTION("""COMPUTED_VALUE"""),45040.66666666667)</f>
        <v>45040.66667</v>
      </c>
      <c r="E2286" s="3">
        <f>IFERROR(__xludf.DUMMYFUNCTION("""COMPUTED_VALUE"""),106.78)</f>
        <v>106.78</v>
      </c>
      <c r="F2286" s="3">
        <f t="shared" si="1"/>
        <v>0.008180966216</v>
      </c>
    </row>
    <row r="2287">
      <c r="A2287" s="6"/>
      <c r="D2287" s="5">
        <f>IFERROR(__xludf.DUMMYFUNCTION("""COMPUTED_VALUE"""),45041.66666666667)</f>
        <v>45041.66667</v>
      </c>
      <c r="E2287" s="3">
        <f>IFERROR(__xludf.DUMMYFUNCTION("""COMPUTED_VALUE"""),104.61)</f>
        <v>104.61</v>
      </c>
      <c r="F2287" s="3">
        <f t="shared" si="1"/>
        <v>-0.02053149372</v>
      </c>
    </row>
    <row r="2288">
      <c r="A2288" s="6"/>
      <c r="D2288" s="5">
        <f>IFERROR(__xludf.DUMMYFUNCTION("""COMPUTED_VALUE"""),45042.66666666667)</f>
        <v>45042.66667</v>
      </c>
      <c r="E2288" s="3">
        <f>IFERROR(__xludf.DUMMYFUNCTION("""COMPUTED_VALUE"""),104.45)</f>
        <v>104.45</v>
      </c>
      <c r="F2288" s="3">
        <f t="shared" si="1"/>
        <v>-0.001530661353</v>
      </c>
    </row>
    <row r="2289">
      <c r="A2289" s="6"/>
      <c r="D2289" s="5">
        <f>IFERROR(__xludf.DUMMYFUNCTION("""COMPUTED_VALUE"""),45043.66666666667)</f>
        <v>45043.66667</v>
      </c>
      <c r="E2289" s="3">
        <f>IFERROR(__xludf.DUMMYFUNCTION("""COMPUTED_VALUE"""),108.37)</f>
        <v>108.37</v>
      </c>
      <c r="F2289" s="3">
        <f t="shared" si="1"/>
        <v>0.03684280993</v>
      </c>
    </row>
    <row r="2290">
      <c r="A2290" s="6"/>
      <c r="D2290" s="5">
        <f>IFERROR(__xludf.DUMMYFUNCTION("""COMPUTED_VALUE"""),45044.66666666667)</f>
        <v>45044.66667</v>
      </c>
      <c r="E2290" s="3">
        <f>IFERROR(__xludf.DUMMYFUNCTION("""COMPUTED_VALUE"""),108.22)</f>
        <v>108.22</v>
      </c>
      <c r="F2290" s="3">
        <f t="shared" si="1"/>
        <v>-0.00138510572</v>
      </c>
    </row>
    <row r="2291">
      <c r="A2291" s="6"/>
      <c r="D2291" s="5">
        <f>IFERROR(__xludf.DUMMYFUNCTION("""COMPUTED_VALUE"""),45047.66666666667)</f>
        <v>45047.66667</v>
      </c>
      <c r="E2291" s="3">
        <f>IFERROR(__xludf.DUMMYFUNCTION("""COMPUTED_VALUE"""),107.71)</f>
        <v>107.71</v>
      </c>
      <c r="F2291" s="3">
        <f t="shared" si="1"/>
        <v>-0.004723761852</v>
      </c>
    </row>
    <row r="2292">
      <c r="A2292" s="6"/>
      <c r="D2292" s="5">
        <f>IFERROR(__xludf.DUMMYFUNCTION("""COMPUTED_VALUE"""),45048.66666666667)</f>
        <v>45048.66667</v>
      </c>
      <c r="E2292" s="3">
        <f>IFERROR(__xludf.DUMMYFUNCTION("""COMPUTED_VALUE"""),105.98)</f>
        <v>105.98</v>
      </c>
      <c r="F2292" s="3">
        <f t="shared" si="1"/>
        <v>-0.0161920333</v>
      </c>
    </row>
    <row r="2293">
      <c r="A2293" s="6"/>
      <c r="D2293" s="5">
        <f>IFERROR(__xludf.DUMMYFUNCTION("""COMPUTED_VALUE"""),45049.66666666667)</f>
        <v>45049.66667</v>
      </c>
      <c r="E2293" s="3">
        <f>IFERROR(__xludf.DUMMYFUNCTION("""COMPUTED_VALUE"""),106.12)</f>
        <v>106.12</v>
      </c>
      <c r="F2293" s="3">
        <f t="shared" si="1"/>
        <v>0.001320132205</v>
      </c>
    </row>
    <row r="2294">
      <c r="A2294" s="6"/>
      <c r="D2294" s="5">
        <f>IFERROR(__xludf.DUMMYFUNCTION("""COMPUTED_VALUE"""),45050.66666666667)</f>
        <v>45050.66667</v>
      </c>
      <c r="E2294" s="3">
        <f>IFERROR(__xludf.DUMMYFUNCTION("""COMPUTED_VALUE"""),105.21)</f>
        <v>105.21</v>
      </c>
      <c r="F2294" s="3">
        <f t="shared" si="1"/>
        <v>-0.008612176449</v>
      </c>
    </row>
    <row r="2295">
      <c r="A2295" s="6"/>
      <c r="D2295" s="5">
        <f>IFERROR(__xludf.DUMMYFUNCTION("""COMPUTED_VALUE"""),45051.66666666667)</f>
        <v>45051.66667</v>
      </c>
      <c r="E2295" s="3">
        <f>IFERROR(__xludf.DUMMYFUNCTION("""COMPUTED_VALUE"""),106.22)</f>
        <v>106.22</v>
      </c>
      <c r="F2295" s="3">
        <f t="shared" si="1"/>
        <v>0.009554062174</v>
      </c>
    </row>
    <row r="2296">
      <c r="A2296" s="6"/>
      <c r="D2296" s="5">
        <f>IFERROR(__xludf.DUMMYFUNCTION("""COMPUTED_VALUE"""),45054.66666666667)</f>
        <v>45054.66667</v>
      </c>
      <c r="E2296" s="3">
        <f>IFERROR(__xludf.DUMMYFUNCTION("""COMPUTED_VALUE"""),108.24)</f>
        <v>108.24</v>
      </c>
      <c r="F2296" s="3">
        <f t="shared" si="1"/>
        <v>0.01883856887</v>
      </c>
    </row>
    <row r="2297">
      <c r="A2297" s="6"/>
      <c r="D2297" s="5">
        <f>IFERROR(__xludf.DUMMYFUNCTION("""COMPUTED_VALUE"""),45055.66666666667)</f>
        <v>45055.66667</v>
      </c>
      <c r="E2297" s="3">
        <f>IFERROR(__xludf.DUMMYFUNCTION("""COMPUTED_VALUE"""),107.94)</f>
        <v>107.94</v>
      </c>
      <c r="F2297" s="3">
        <f t="shared" si="1"/>
        <v>-0.002775466672</v>
      </c>
    </row>
    <row r="2298">
      <c r="A2298" s="6"/>
      <c r="D2298" s="5">
        <f>IFERROR(__xludf.DUMMYFUNCTION("""COMPUTED_VALUE"""),45056.66666666667)</f>
        <v>45056.66667</v>
      </c>
      <c r="E2298" s="3">
        <f>IFERROR(__xludf.DUMMYFUNCTION("""COMPUTED_VALUE"""),112.28)</f>
        <v>112.28</v>
      </c>
      <c r="F2298" s="3">
        <f t="shared" si="1"/>
        <v>0.0394202343</v>
      </c>
    </row>
    <row r="2299">
      <c r="A2299" s="6"/>
      <c r="D2299" s="5">
        <f>IFERROR(__xludf.DUMMYFUNCTION("""COMPUTED_VALUE"""),45057.66666666667)</f>
        <v>45057.66667</v>
      </c>
      <c r="E2299" s="3">
        <f>IFERROR(__xludf.DUMMYFUNCTION("""COMPUTED_VALUE"""),116.9)</f>
        <v>116.9</v>
      </c>
      <c r="F2299" s="3">
        <f t="shared" si="1"/>
        <v>0.04032311698</v>
      </c>
    </row>
    <row r="2300">
      <c r="A2300" s="6"/>
      <c r="D2300" s="5">
        <f>IFERROR(__xludf.DUMMYFUNCTION("""COMPUTED_VALUE"""),45058.66666666667)</f>
        <v>45058.66667</v>
      </c>
      <c r="E2300" s="3">
        <f>IFERROR(__xludf.DUMMYFUNCTION("""COMPUTED_VALUE"""),117.92)</f>
        <v>117.92</v>
      </c>
      <c r="F2300" s="3">
        <f t="shared" si="1"/>
        <v>0.008687559963</v>
      </c>
    </row>
    <row r="2301">
      <c r="A2301" s="6"/>
      <c r="D2301" s="5">
        <f>IFERROR(__xludf.DUMMYFUNCTION("""COMPUTED_VALUE"""),45061.66666666667)</f>
        <v>45061.66667</v>
      </c>
      <c r="E2301" s="3">
        <f>IFERROR(__xludf.DUMMYFUNCTION("""COMPUTED_VALUE"""),116.96)</f>
        <v>116.96</v>
      </c>
      <c r="F2301" s="3">
        <f t="shared" si="1"/>
        <v>-0.00817443244</v>
      </c>
    </row>
    <row r="2302">
      <c r="A2302" s="6"/>
      <c r="D2302" s="5">
        <f>IFERROR(__xludf.DUMMYFUNCTION("""COMPUTED_VALUE"""),45062.66666666667)</f>
        <v>45062.66667</v>
      </c>
      <c r="E2302" s="3">
        <f>IFERROR(__xludf.DUMMYFUNCTION("""COMPUTED_VALUE"""),120.09)</f>
        <v>120.09</v>
      </c>
      <c r="F2302" s="3">
        <f t="shared" si="1"/>
        <v>0.02640946567</v>
      </c>
    </row>
    <row r="2303">
      <c r="A2303" s="6"/>
      <c r="D2303" s="5">
        <f>IFERROR(__xludf.DUMMYFUNCTION("""COMPUTED_VALUE"""),45063.66666666667)</f>
        <v>45063.66667</v>
      </c>
      <c r="E2303" s="3">
        <f>IFERROR(__xludf.DUMMYFUNCTION("""COMPUTED_VALUE"""),121.48)</f>
        <v>121.48</v>
      </c>
      <c r="F2303" s="3">
        <f t="shared" si="1"/>
        <v>0.0115081785</v>
      </c>
    </row>
    <row r="2304">
      <c r="A2304" s="6"/>
      <c r="D2304" s="5">
        <f>IFERROR(__xludf.DUMMYFUNCTION("""COMPUTED_VALUE"""),45064.66666666667)</f>
        <v>45064.66667</v>
      </c>
      <c r="E2304" s="3">
        <f>IFERROR(__xludf.DUMMYFUNCTION("""COMPUTED_VALUE"""),123.52)</f>
        <v>123.52</v>
      </c>
      <c r="F2304" s="3">
        <f t="shared" si="1"/>
        <v>0.0166534461</v>
      </c>
    </row>
    <row r="2305">
      <c r="A2305" s="6"/>
      <c r="D2305" s="5">
        <f>IFERROR(__xludf.DUMMYFUNCTION("""COMPUTED_VALUE"""),45065.66666666667)</f>
        <v>45065.66667</v>
      </c>
      <c r="E2305" s="3">
        <f>IFERROR(__xludf.DUMMYFUNCTION("""COMPUTED_VALUE"""),123.25)</f>
        <v>123.25</v>
      </c>
      <c r="F2305" s="3">
        <f t="shared" si="1"/>
        <v>-0.002188273354</v>
      </c>
    </row>
    <row r="2306">
      <c r="A2306" s="6"/>
      <c r="D2306" s="5">
        <f>IFERROR(__xludf.DUMMYFUNCTION("""COMPUTED_VALUE"""),45068.66666666667)</f>
        <v>45068.66667</v>
      </c>
      <c r="E2306" s="3">
        <f>IFERROR(__xludf.DUMMYFUNCTION("""COMPUTED_VALUE"""),125.87)</f>
        <v>125.87</v>
      </c>
      <c r="F2306" s="3">
        <f t="shared" si="1"/>
        <v>0.02103481538</v>
      </c>
    </row>
    <row r="2307">
      <c r="A2307" s="6"/>
      <c r="D2307" s="5">
        <f>IFERROR(__xludf.DUMMYFUNCTION("""COMPUTED_VALUE"""),45069.66666666667)</f>
        <v>45069.66667</v>
      </c>
      <c r="E2307" s="3">
        <f>IFERROR(__xludf.DUMMYFUNCTION("""COMPUTED_VALUE"""),123.29)</f>
        <v>123.29</v>
      </c>
      <c r="F2307" s="3">
        <f t="shared" si="1"/>
        <v>-0.02071032442</v>
      </c>
    </row>
    <row r="2308">
      <c r="A2308" s="6"/>
      <c r="D2308" s="5">
        <f>IFERROR(__xludf.DUMMYFUNCTION("""COMPUTED_VALUE"""),45070.66666666667)</f>
        <v>45070.66667</v>
      </c>
      <c r="E2308" s="3">
        <f>IFERROR(__xludf.DUMMYFUNCTION("""COMPUTED_VALUE"""),121.64)</f>
        <v>121.64</v>
      </c>
      <c r="F2308" s="3">
        <f t="shared" si="1"/>
        <v>-0.01347344107</v>
      </c>
    </row>
    <row r="2309">
      <c r="A2309" s="6"/>
      <c r="D2309" s="5">
        <f>IFERROR(__xludf.DUMMYFUNCTION("""COMPUTED_VALUE"""),45071.66666666667)</f>
        <v>45071.66667</v>
      </c>
      <c r="E2309" s="3">
        <f>IFERROR(__xludf.DUMMYFUNCTION("""COMPUTED_VALUE"""),124.35)</f>
        <v>124.35</v>
      </c>
      <c r="F2309" s="3">
        <f t="shared" si="1"/>
        <v>0.02203430744</v>
      </c>
    </row>
    <row r="2310">
      <c r="A2310" s="6"/>
      <c r="D2310" s="5">
        <f>IFERROR(__xludf.DUMMYFUNCTION("""COMPUTED_VALUE"""),45072.66666666667)</f>
        <v>45072.66667</v>
      </c>
      <c r="E2310" s="3">
        <f>IFERROR(__xludf.DUMMYFUNCTION("""COMPUTED_VALUE"""),125.43)</f>
        <v>125.43</v>
      </c>
      <c r="F2310" s="3">
        <f t="shared" si="1"/>
        <v>0.008647663787</v>
      </c>
    </row>
    <row r="2311">
      <c r="A2311" s="6"/>
      <c r="D2311" s="5">
        <f>IFERROR(__xludf.DUMMYFUNCTION("""COMPUTED_VALUE"""),45076.66666666667)</f>
        <v>45076.66667</v>
      </c>
      <c r="E2311" s="3">
        <f>IFERROR(__xludf.DUMMYFUNCTION("""COMPUTED_VALUE"""),124.64)</f>
        <v>124.64</v>
      </c>
      <c r="F2311" s="3">
        <f t="shared" si="1"/>
        <v>-0.006318251914</v>
      </c>
    </row>
    <row r="2312">
      <c r="A2312" s="6"/>
      <c r="D2312" s="5">
        <f>IFERROR(__xludf.DUMMYFUNCTION("""COMPUTED_VALUE"""),45077.66666666667)</f>
        <v>45077.66667</v>
      </c>
      <c r="E2312" s="3">
        <f>IFERROR(__xludf.DUMMYFUNCTION("""COMPUTED_VALUE"""),123.37)</f>
        <v>123.37</v>
      </c>
      <c r="F2312" s="3">
        <f t="shared" si="1"/>
        <v>-0.01024161204</v>
      </c>
    </row>
    <row r="2313">
      <c r="A2313" s="6"/>
      <c r="D2313" s="5">
        <f>IFERROR(__xludf.DUMMYFUNCTION("""COMPUTED_VALUE"""),45078.66666666667)</f>
        <v>45078.66667</v>
      </c>
      <c r="E2313" s="3">
        <f>IFERROR(__xludf.DUMMYFUNCTION("""COMPUTED_VALUE"""),124.37)</f>
        <v>124.37</v>
      </c>
      <c r="F2313" s="3">
        <f t="shared" si="1"/>
        <v>0.008073023582</v>
      </c>
    </row>
    <row r="2314">
      <c r="A2314" s="6"/>
      <c r="D2314" s="5">
        <f>IFERROR(__xludf.DUMMYFUNCTION("""COMPUTED_VALUE"""),45079.66666666667)</f>
        <v>45079.66667</v>
      </c>
      <c r="E2314" s="3">
        <f>IFERROR(__xludf.DUMMYFUNCTION("""COMPUTED_VALUE"""),125.23)</f>
        <v>125.23</v>
      </c>
      <c r="F2314" s="3">
        <f t="shared" si="1"/>
        <v>0.00689105291</v>
      </c>
    </row>
    <row r="2315">
      <c r="A2315" s="6"/>
      <c r="D2315" s="5">
        <f>IFERROR(__xludf.DUMMYFUNCTION("""COMPUTED_VALUE"""),45082.66666666667)</f>
        <v>45082.66667</v>
      </c>
      <c r="E2315" s="3">
        <f>IFERROR(__xludf.DUMMYFUNCTION("""COMPUTED_VALUE"""),126.63)</f>
        <v>126.63</v>
      </c>
      <c r="F2315" s="3">
        <f t="shared" si="1"/>
        <v>0.01111740189</v>
      </c>
    </row>
    <row r="2316">
      <c r="A2316" s="6"/>
      <c r="D2316" s="5">
        <f>IFERROR(__xludf.DUMMYFUNCTION("""COMPUTED_VALUE"""),45083.66666666667)</f>
        <v>45083.66667</v>
      </c>
      <c r="E2316" s="3">
        <f>IFERROR(__xludf.DUMMYFUNCTION("""COMPUTED_VALUE"""),127.91)</f>
        <v>127.91</v>
      </c>
      <c r="F2316" s="3">
        <f t="shared" si="1"/>
        <v>0.01005744315</v>
      </c>
    </row>
    <row r="2317">
      <c r="A2317" s="6"/>
      <c r="D2317" s="5">
        <f>IFERROR(__xludf.DUMMYFUNCTION("""COMPUTED_VALUE"""),45084.66666666667)</f>
        <v>45084.66667</v>
      </c>
      <c r="E2317" s="3">
        <f>IFERROR(__xludf.DUMMYFUNCTION("""COMPUTED_VALUE"""),122.94)</f>
        <v>122.94</v>
      </c>
      <c r="F2317" s="3">
        <f t="shared" si="1"/>
        <v>-0.03963046013</v>
      </c>
    </row>
    <row r="2318">
      <c r="A2318" s="6"/>
      <c r="D2318" s="5">
        <f>IFERROR(__xludf.DUMMYFUNCTION("""COMPUTED_VALUE"""),45085.66666666667)</f>
        <v>45085.66667</v>
      </c>
      <c r="E2318" s="3">
        <f>IFERROR(__xludf.DUMMYFUNCTION("""COMPUTED_VALUE"""),122.67)</f>
        <v>122.67</v>
      </c>
      <c r="F2318" s="3">
        <f t="shared" si="1"/>
        <v>-0.002198608434</v>
      </c>
    </row>
    <row r="2319">
      <c r="A2319" s="6"/>
      <c r="D2319" s="5">
        <f>IFERROR(__xludf.DUMMYFUNCTION("""COMPUTED_VALUE"""),45086.66666666667)</f>
        <v>45086.66667</v>
      </c>
      <c r="E2319" s="3">
        <f>IFERROR(__xludf.DUMMYFUNCTION("""COMPUTED_VALUE"""),122.87)</f>
        <v>122.87</v>
      </c>
      <c r="F2319" s="3">
        <f t="shared" si="1"/>
        <v>0.001629062835</v>
      </c>
    </row>
    <row r="2320">
      <c r="A2320" s="6"/>
      <c r="D2320" s="5">
        <f>IFERROR(__xludf.DUMMYFUNCTION("""COMPUTED_VALUE"""),45089.66666666667)</f>
        <v>45089.66667</v>
      </c>
      <c r="E2320" s="3">
        <f>IFERROR(__xludf.DUMMYFUNCTION("""COMPUTED_VALUE"""),124.35)</f>
        <v>124.35</v>
      </c>
      <c r="F2320" s="3">
        <f t="shared" si="1"/>
        <v>0.01197328437</v>
      </c>
    </row>
    <row r="2321">
      <c r="A2321" s="6"/>
      <c r="D2321" s="5">
        <f>IFERROR(__xludf.DUMMYFUNCTION("""COMPUTED_VALUE"""),45090.66666666667)</f>
        <v>45090.66667</v>
      </c>
      <c r="E2321" s="3">
        <f>IFERROR(__xludf.DUMMYFUNCTION("""COMPUTED_VALUE"""),124.43)</f>
        <v>124.43</v>
      </c>
      <c r="F2321" s="3">
        <f t="shared" si="1"/>
        <v>0.0006431385381</v>
      </c>
    </row>
    <row r="2322">
      <c r="A2322" s="6"/>
      <c r="D2322" s="5">
        <f>IFERROR(__xludf.DUMMYFUNCTION("""COMPUTED_VALUE"""),45091.66666666667)</f>
        <v>45091.66667</v>
      </c>
      <c r="E2322" s="3">
        <f>IFERROR(__xludf.DUMMYFUNCTION("""COMPUTED_VALUE"""),124.38)</f>
        <v>124.38</v>
      </c>
      <c r="F2322" s="3">
        <f t="shared" si="1"/>
        <v>-0.0004019131118</v>
      </c>
    </row>
    <row r="2323">
      <c r="A2323" s="6"/>
      <c r="D2323" s="5">
        <f>IFERROR(__xludf.DUMMYFUNCTION("""COMPUTED_VALUE"""),45092.66666666667)</f>
        <v>45092.66667</v>
      </c>
      <c r="E2323" s="3">
        <f>IFERROR(__xludf.DUMMYFUNCTION("""COMPUTED_VALUE"""),125.79)</f>
        <v>125.79</v>
      </c>
      <c r="F2323" s="3">
        <f t="shared" si="1"/>
        <v>0.01127245418</v>
      </c>
    </row>
    <row r="2324">
      <c r="A2324" s="6"/>
      <c r="D2324" s="5">
        <f>IFERROR(__xludf.DUMMYFUNCTION("""COMPUTED_VALUE"""),45093.66666666667)</f>
        <v>45093.66667</v>
      </c>
      <c r="E2324" s="3">
        <f>IFERROR(__xludf.DUMMYFUNCTION("""COMPUTED_VALUE"""),124.06)</f>
        <v>124.06</v>
      </c>
      <c r="F2324" s="3">
        <f t="shared" si="1"/>
        <v>-0.01384853031</v>
      </c>
    </row>
    <row r="2325">
      <c r="A2325" s="6"/>
      <c r="D2325" s="5">
        <f>IFERROR(__xludf.DUMMYFUNCTION("""COMPUTED_VALUE"""),45097.66666666667)</f>
        <v>45097.66667</v>
      </c>
      <c r="E2325" s="3">
        <f>IFERROR(__xludf.DUMMYFUNCTION("""COMPUTED_VALUE"""),123.85)</f>
        <v>123.85</v>
      </c>
      <c r="F2325" s="3">
        <f t="shared" si="1"/>
        <v>-0.00169416361</v>
      </c>
    </row>
    <row r="2326">
      <c r="A2326" s="6"/>
      <c r="D2326" s="5">
        <f>IFERROR(__xludf.DUMMYFUNCTION("""COMPUTED_VALUE"""),45098.66666666667)</f>
        <v>45098.66667</v>
      </c>
      <c r="E2326" s="3">
        <f>IFERROR(__xludf.DUMMYFUNCTION("""COMPUTED_VALUE"""),121.26)</f>
        <v>121.26</v>
      </c>
      <c r="F2326" s="3">
        <f t="shared" si="1"/>
        <v>-0.02113415529</v>
      </c>
    </row>
    <row r="2327">
      <c r="A2327" s="6"/>
      <c r="D2327" s="5">
        <f>IFERROR(__xludf.DUMMYFUNCTION("""COMPUTED_VALUE"""),45099.66666666667)</f>
        <v>45099.66667</v>
      </c>
      <c r="E2327" s="3">
        <f>IFERROR(__xludf.DUMMYFUNCTION("""COMPUTED_VALUE"""),123.87)</f>
        <v>123.87</v>
      </c>
      <c r="F2327" s="3">
        <f t="shared" si="1"/>
        <v>0.02129562792</v>
      </c>
    </row>
    <row r="2328">
      <c r="A2328" s="6"/>
      <c r="D2328" s="5">
        <f>IFERROR(__xludf.DUMMYFUNCTION("""COMPUTED_VALUE"""),45100.66666666667)</f>
        <v>45100.66667</v>
      </c>
      <c r="E2328" s="3">
        <f>IFERROR(__xludf.DUMMYFUNCTION("""COMPUTED_VALUE"""),123.02)</f>
        <v>123.02</v>
      </c>
      <c r="F2328" s="3">
        <f t="shared" si="1"/>
        <v>-0.006885684786</v>
      </c>
    </row>
    <row r="2329">
      <c r="A2329" s="6"/>
      <c r="D2329" s="5">
        <f>IFERROR(__xludf.DUMMYFUNCTION("""COMPUTED_VALUE"""),45103.66666666667)</f>
        <v>45103.66667</v>
      </c>
      <c r="E2329" s="3">
        <f>IFERROR(__xludf.DUMMYFUNCTION("""COMPUTED_VALUE"""),119.09)</f>
        <v>119.09</v>
      </c>
      <c r="F2329" s="3">
        <f t="shared" si="1"/>
        <v>-0.032467434</v>
      </c>
    </row>
    <row r="2330">
      <c r="A2330" s="6"/>
      <c r="D2330" s="5">
        <f>IFERROR(__xludf.DUMMYFUNCTION("""COMPUTED_VALUE"""),45104.66666666667)</f>
        <v>45104.66667</v>
      </c>
      <c r="E2330" s="3">
        <f>IFERROR(__xludf.DUMMYFUNCTION("""COMPUTED_VALUE"""),119.01)</f>
        <v>119.01</v>
      </c>
      <c r="F2330" s="3">
        <f t="shared" si="1"/>
        <v>-0.0006719865856</v>
      </c>
    </row>
    <row r="2331">
      <c r="A2331" s="6"/>
      <c r="D2331" s="5">
        <f>IFERROR(__xludf.DUMMYFUNCTION("""COMPUTED_VALUE"""),45105.66666666667)</f>
        <v>45105.66667</v>
      </c>
      <c r="E2331" s="3">
        <f>IFERROR(__xludf.DUMMYFUNCTION("""COMPUTED_VALUE"""),121.08)</f>
        <v>121.08</v>
      </c>
      <c r="F2331" s="3">
        <f t="shared" si="1"/>
        <v>0.01724396096</v>
      </c>
    </row>
    <row r="2332">
      <c r="A2332" s="6"/>
      <c r="D2332" s="5">
        <f>IFERROR(__xludf.DUMMYFUNCTION("""COMPUTED_VALUE"""),45106.66666666667)</f>
        <v>45106.66667</v>
      </c>
      <c r="E2332" s="3">
        <f>IFERROR(__xludf.DUMMYFUNCTION("""COMPUTED_VALUE"""),120.01)</f>
        <v>120.01</v>
      </c>
      <c r="F2332" s="3">
        <f t="shared" si="1"/>
        <v>-0.00887641151</v>
      </c>
    </row>
    <row r="2333">
      <c r="A2333" s="6"/>
      <c r="D2333" s="5">
        <f>IFERROR(__xludf.DUMMYFUNCTION("""COMPUTED_VALUE"""),45107.66666666667)</f>
        <v>45107.66667</v>
      </c>
      <c r="E2333" s="3">
        <f>IFERROR(__xludf.DUMMYFUNCTION("""COMPUTED_VALUE"""),120.97)</f>
        <v>120.97</v>
      </c>
      <c r="F2333" s="3">
        <f t="shared" si="1"/>
        <v>0.007967508328</v>
      </c>
    </row>
    <row r="2334">
      <c r="A2334" s="6"/>
      <c r="D2334" s="5">
        <f>IFERROR(__xludf.DUMMYFUNCTION("""COMPUTED_VALUE"""),45110.54513888889)</f>
        <v>45110.54514</v>
      </c>
      <c r="E2334" s="3">
        <f>IFERROR(__xludf.DUMMYFUNCTION("""COMPUTED_VALUE"""),120.56)</f>
        <v>120.56</v>
      </c>
      <c r="F2334" s="3">
        <f t="shared" si="1"/>
        <v>-0.003395026654</v>
      </c>
    </row>
    <row r="2335">
      <c r="A2335" s="6"/>
      <c r="D2335" s="5">
        <f>IFERROR(__xludf.DUMMYFUNCTION("""COMPUTED_VALUE"""),45112.66666666667)</f>
        <v>45112.66667</v>
      </c>
      <c r="E2335" s="3">
        <f>IFERROR(__xludf.DUMMYFUNCTION("""COMPUTED_VALUE"""),122.63)</f>
        <v>122.63</v>
      </c>
      <c r="F2335" s="3">
        <f t="shared" si="1"/>
        <v>0.01702413746</v>
      </c>
    </row>
    <row r="2336">
      <c r="A2336" s="6"/>
      <c r="D2336" s="5">
        <f>IFERROR(__xludf.DUMMYFUNCTION("""COMPUTED_VALUE"""),45113.66666666667)</f>
        <v>45113.66667</v>
      </c>
      <c r="E2336" s="3">
        <f>IFERROR(__xludf.DUMMYFUNCTION("""COMPUTED_VALUE"""),120.93)</f>
        <v>120.93</v>
      </c>
      <c r="F2336" s="3">
        <f t="shared" si="1"/>
        <v>-0.01395982598</v>
      </c>
    </row>
    <row r="2337">
      <c r="A2337" s="6"/>
      <c r="D2337" s="5">
        <f>IFERROR(__xludf.DUMMYFUNCTION("""COMPUTED_VALUE"""),45114.66666666667)</f>
        <v>45114.66667</v>
      </c>
      <c r="E2337" s="3">
        <f>IFERROR(__xludf.DUMMYFUNCTION("""COMPUTED_VALUE"""),120.14)</f>
        <v>120.14</v>
      </c>
      <c r="F2337" s="3">
        <f t="shared" si="1"/>
        <v>-0.006554136375</v>
      </c>
    </row>
    <row r="2338">
      <c r="A2338" s="6"/>
      <c r="D2338" s="5">
        <f>IFERROR(__xludf.DUMMYFUNCTION("""COMPUTED_VALUE"""),45117.66666666667)</f>
        <v>45117.66667</v>
      </c>
      <c r="E2338" s="3">
        <f>IFERROR(__xludf.DUMMYFUNCTION("""COMPUTED_VALUE"""),116.87)</f>
        <v>116.87</v>
      </c>
      <c r="F2338" s="3">
        <f t="shared" si="1"/>
        <v>-0.02759552348</v>
      </c>
    </row>
    <row r="2339">
      <c r="A2339" s="6"/>
      <c r="D2339" s="5">
        <f>IFERROR(__xludf.DUMMYFUNCTION("""COMPUTED_VALUE"""),45118.66666666667)</f>
        <v>45118.66667</v>
      </c>
      <c r="E2339" s="3">
        <f>IFERROR(__xludf.DUMMYFUNCTION("""COMPUTED_VALUE"""),117.71)</f>
        <v>117.71</v>
      </c>
      <c r="F2339" s="3">
        <f t="shared" si="1"/>
        <v>0.007161766479</v>
      </c>
    </row>
    <row r="2340">
      <c r="A2340" s="6"/>
      <c r="D2340" s="5">
        <f>IFERROR(__xludf.DUMMYFUNCTION("""COMPUTED_VALUE"""),45119.66666666667)</f>
        <v>45119.66667</v>
      </c>
      <c r="E2340" s="3">
        <f>IFERROR(__xludf.DUMMYFUNCTION("""COMPUTED_VALUE"""),119.62)</f>
        <v>119.62</v>
      </c>
      <c r="F2340" s="3">
        <f t="shared" si="1"/>
        <v>0.01609607919</v>
      </c>
    </row>
    <row r="2341">
      <c r="A2341" s="6"/>
      <c r="D2341" s="5">
        <f>IFERROR(__xludf.DUMMYFUNCTION("""COMPUTED_VALUE"""),45120.66666666667)</f>
        <v>45120.66667</v>
      </c>
      <c r="E2341" s="3">
        <f>IFERROR(__xludf.DUMMYFUNCTION("""COMPUTED_VALUE"""),124.83)</f>
        <v>124.83</v>
      </c>
      <c r="F2341" s="3">
        <f t="shared" si="1"/>
        <v>0.04263276005</v>
      </c>
    </row>
    <row r="2342">
      <c r="A2342" s="6"/>
      <c r="D2342" s="5">
        <f>IFERROR(__xludf.DUMMYFUNCTION("""COMPUTED_VALUE"""),45121.66666666667)</f>
        <v>45121.66667</v>
      </c>
      <c r="E2342" s="3">
        <f>IFERROR(__xludf.DUMMYFUNCTION("""COMPUTED_VALUE"""),125.7)</f>
        <v>125.7</v>
      </c>
      <c r="F2342" s="3">
        <f t="shared" si="1"/>
        <v>0.006945303933</v>
      </c>
    </row>
    <row r="2343">
      <c r="A2343" s="6"/>
      <c r="D2343" s="5">
        <f>IFERROR(__xludf.DUMMYFUNCTION("""COMPUTED_VALUE"""),45124.66666666667)</f>
        <v>45124.66667</v>
      </c>
      <c r="E2343" s="3">
        <f>IFERROR(__xludf.DUMMYFUNCTION("""COMPUTED_VALUE"""),125.06)</f>
        <v>125.06</v>
      </c>
      <c r="F2343" s="3">
        <f t="shared" si="1"/>
        <v>-0.005104493457</v>
      </c>
    </row>
    <row r="2344">
      <c r="A2344" s="6"/>
      <c r="D2344" s="5">
        <f>IFERROR(__xludf.DUMMYFUNCTION("""COMPUTED_VALUE"""),45125.66666666667)</f>
        <v>45125.66667</v>
      </c>
      <c r="E2344" s="3">
        <f>IFERROR(__xludf.DUMMYFUNCTION("""COMPUTED_VALUE"""),124.08)</f>
        <v>124.08</v>
      </c>
      <c r="F2344" s="3">
        <f t="shared" si="1"/>
        <v>-0.007867103271</v>
      </c>
    </row>
    <row r="2345">
      <c r="A2345" s="6"/>
      <c r="D2345" s="5">
        <f>IFERROR(__xludf.DUMMYFUNCTION("""COMPUTED_VALUE"""),45126.66666666667)</f>
        <v>45126.66667</v>
      </c>
      <c r="E2345" s="3">
        <f>IFERROR(__xludf.DUMMYFUNCTION("""COMPUTED_VALUE"""),122.78)</f>
        <v>122.78</v>
      </c>
      <c r="F2345" s="3">
        <f t="shared" si="1"/>
        <v>-0.01053238287</v>
      </c>
    </row>
    <row r="2346">
      <c r="A2346" s="6"/>
      <c r="D2346" s="5">
        <f>IFERROR(__xludf.DUMMYFUNCTION("""COMPUTED_VALUE"""),45127.66666666667)</f>
        <v>45127.66667</v>
      </c>
      <c r="E2346" s="3">
        <f>IFERROR(__xludf.DUMMYFUNCTION("""COMPUTED_VALUE"""),119.53)</f>
        <v>119.53</v>
      </c>
      <c r="F2346" s="3">
        <f t="shared" si="1"/>
        <v>-0.02682675011</v>
      </c>
    </row>
    <row r="2347">
      <c r="A2347" s="6"/>
      <c r="D2347" s="5">
        <f>IFERROR(__xludf.DUMMYFUNCTION("""COMPUTED_VALUE"""),45128.66666666667)</f>
        <v>45128.66667</v>
      </c>
      <c r="E2347" s="3">
        <f>IFERROR(__xludf.DUMMYFUNCTION("""COMPUTED_VALUE"""),120.31)</f>
        <v>120.31</v>
      </c>
      <c r="F2347" s="3">
        <f t="shared" si="1"/>
        <v>0.006504359156</v>
      </c>
    </row>
    <row r="2348">
      <c r="A2348" s="6"/>
      <c r="D2348" s="5">
        <f>IFERROR(__xludf.DUMMYFUNCTION("""COMPUTED_VALUE"""),45131.66666666667)</f>
        <v>45131.66667</v>
      </c>
      <c r="E2348" s="3">
        <f>IFERROR(__xludf.DUMMYFUNCTION("""COMPUTED_VALUE"""),121.88)</f>
        <v>121.88</v>
      </c>
      <c r="F2348" s="3">
        <f t="shared" si="1"/>
        <v>0.01296520907</v>
      </c>
    </row>
    <row r="2349">
      <c r="A2349" s="6"/>
      <c r="D2349" s="5">
        <f>IFERROR(__xludf.DUMMYFUNCTION("""COMPUTED_VALUE"""),45132.66666666667)</f>
        <v>45132.66667</v>
      </c>
      <c r="E2349" s="3">
        <f>IFERROR(__xludf.DUMMYFUNCTION("""COMPUTED_VALUE"""),122.79)</f>
        <v>122.79</v>
      </c>
      <c r="F2349" s="3">
        <f t="shared" si="1"/>
        <v>0.007438625055</v>
      </c>
    </row>
    <row r="2350">
      <c r="A2350" s="6"/>
      <c r="D2350" s="5">
        <f>IFERROR(__xludf.DUMMYFUNCTION("""COMPUTED_VALUE"""),45133.66666666667)</f>
        <v>45133.66667</v>
      </c>
      <c r="E2350" s="3">
        <f>IFERROR(__xludf.DUMMYFUNCTION("""COMPUTED_VALUE"""),129.66)</f>
        <v>129.66</v>
      </c>
      <c r="F2350" s="3">
        <f t="shared" si="1"/>
        <v>0.05444006057</v>
      </c>
    </row>
    <row r="2351">
      <c r="A2351" s="6"/>
      <c r="D2351" s="5">
        <f>IFERROR(__xludf.DUMMYFUNCTION("""COMPUTED_VALUE"""),45134.66666666667)</f>
        <v>45134.66667</v>
      </c>
      <c r="E2351" s="3">
        <f>IFERROR(__xludf.DUMMYFUNCTION("""COMPUTED_VALUE"""),129.87)</f>
        <v>129.87</v>
      </c>
      <c r="F2351" s="3">
        <f t="shared" si="1"/>
        <v>0.001618310375</v>
      </c>
    </row>
    <row r="2352">
      <c r="A2352" s="6"/>
      <c r="D2352" s="5">
        <f>IFERROR(__xludf.DUMMYFUNCTION("""COMPUTED_VALUE"""),45135.66666666667)</f>
        <v>45135.66667</v>
      </c>
      <c r="E2352" s="3">
        <f>IFERROR(__xludf.DUMMYFUNCTION("""COMPUTED_VALUE"""),133.01)</f>
        <v>133.01</v>
      </c>
      <c r="F2352" s="3">
        <f t="shared" si="1"/>
        <v>0.02389036324</v>
      </c>
    </row>
    <row r="2353">
      <c r="A2353" s="6"/>
      <c r="D2353" s="5">
        <f>IFERROR(__xludf.DUMMYFUNCTION("""COMPUTED_VALUE"""),45138.66666666667)</f>
        <v>45138.66667</v>
      </c>
      <c r="E2353" s="3">
        <f>IFERROR(__xludf.DUMMYFUNCTION("""COMPUTED_VALUE"""),133.11)</f>
        <v>133.11</v>
      </c>
      <c r="F2353" s="3">
        <f t="shared" si="1"/>
        <v>0.0007515406937</v>
      </c>
    </row>
    <row r="2354">
      <c r="A2354" s="6"/>
      <c r="D2354" s="5">
        <f>IFERROR(__xludf.DUMMYFUNCTION("""COMPUTED_VALUE"""),45139.66666666667)</f>
        <v>45139.66667</v>
      </c>
      <c r="E2354" s="3">
        <f>IFERROR(__xludf.DUMMYFUNCTION("""COMPUTED_VALUE"""),131.89)</f>
        <v>131.89</v>
      </c>
      <c r="F2354" s="3">
        <f t="shared" si="1"/>
        <v>-0.009207612221</v>
      </c>
    </row>
    <row r="2355">
      <c r="A2355" s="6"/>
      <c r="D2355" s="5">
        <f>IFERROR(__xludf.DUMMYFUNCTION("""COMPUTED_VALUE"""),45140.66666666667)</f>
        <v>45140.66667</v>
      </c>
      <c r="E2355" s="3">
        <f>IFERROR(__xludf.DUMMYFUNCTION("""COMPUTED_VALUE"""),128.64)</f>
        <v>128.64</v>
      </c>
      <c r="F2355" s="3">
        <f t="shared" si="1"/>
        <v>-0.02495043641</v>
      </c>
    </row>
    <row r="2356">
      <c r="A2356" s="6"/>
      <c r="D2356" s="5">
        <f>IFERROR(__xludf.DUMMYFUNCTION("""COMPUTED_VALUE"""),45141.66666666667)</f>
        <v>45141.66667</v>
      </c>
      <c r="E2356" s="3">
        <f>IFERROR(__xludf.DUMMYFUNCTION("""COMPUTED_VALUE"""),128.77)</f>
        <v>128.77</v>
      </c>
      <c r="F2356" s="3">
        <f t="shared" si="1"/>
        <v>0.001010061855</v>
      </c>
    </row>
    <row r="2357">
      <c r="A2357" s="6"/>
      <c r="D2357" s="5">
        <f>IFERROR(__xludf.DUMMYFUNCTION("""COMPUTED_VALUE"""),45142.66666666667)</f>
        <v>45142.66667</v>
      </c>
      <c r="E2357" s="3">
        <f>IFERROR(__xludf.DUMMYFUNCTION("""COMPUTED_VALUE"""),128.54)</f>
        <v>128.54</v>
      </c>
      <c r="F2357" s="3">
        <f t="shared" si="1"/>
        <v>-0.001787727343</v>
      </c>
    </row>
    <row r="2358">
      <c r="A2358" s="6"/>
      <c r="D2358" s="5">
        <f>IFERROR(__xludf.DUMMYFUNCTION("""COMPUTED_VALUE"""),45145.66666666667)</f>
        <v>45145.66667</v>
      </c>
      <c r="E2358" s="3">
        <f>IFERROR(__xludf.DUMMYFUNCTION("""COMPUTED_VALUE"""),131.94)</f>
        <v>131.94</v>
      </c>
      <c r="F2358" s="3">
        <f t="shared" si="1"/>
        <v>0.02610713385</v>
      </c>
    </row>
    <row r="2359">
      <c r="A2359" s="6"/>
      <c r="D2359" s="5">
        <f>IFERROR(__xludf.DUMMYFUNCTION("""COMPUTED_VALUE"""),45146.66666666667)</f>
        <v>45146.66667</v>
      </c>
      <c r="E2359" s="3">
        <f>IFERROR(__xludf.DUMMYFUNCTION("""COMPUTED_VALUE"""),131.84)</f>
        <v>131.84</v>
      </c>
      <c r="F2359" s="3">
        <f t="shared" si="1"/>
        <v>-0.0007582076336</v>
      </c>
    </row>
    <row r="2360">
      <c r="A2360" s="6"/>
      <c r="D2360" s="5">
        <f>IFERROR(__xludf.DUMMYFUNCTION("""COMPUTED_VALUE"""),45147.66666666667)</f>
        <v>45147.66667</v>
      </c>
      <c r="E2360" s="3">
        <f>IFERROR(__xludf.DUMMYFUNCTION("""COMPUTED_VALUE"""),130.15)</f>
        <v>130.15</v>
      </c>
      <c r="F2360" s="3">
        <f t="shared" si="1"/>
        <v>-0.01290143472</v>
      </c>
    </row>
    <row r="2361">
      <c r="A2361" s="6"/>
      <c r="D2361" s="5">
        <f>IFERROR(__xludf.DUMMYFUNCTION("""COMPUTED_VALUE"""),45148.66666666667)</f>
        <v>45148.66667</v>
      </c>
      <c r="E2361" s="3">
        <f>IFERROR(__xludf.DUMMYFUNCTION("""COMPUTED_VALUE"""),130.21)</f>
        <v>130.21</v>
      </c>
      <c r="F2361" s="3">
        <f t="shared" si="1"/>
        <v>0.0004609003001</v>
      </c>
    </row>
    <row r="2362">
      <c r="A2362" s="6"/>
      <c r="D2362" s="5">
        <f>IFERROR(__xludf.DUMMYFUNCTION("""COMPUTED_VALUE"""),45149.66666666667)</f>
        <v>45149.66667</v>
      </c>
      <c r="E2362" s="3">
        <f>IFERROR(__xludf.DUMMYFUNCTION("""COMPUTED_VALUE"""),130.17)</f>
        <v>130.17</v>
      </c>
      <c r="F2362" s="3">
        <f t="shared" si="1"/>
        <v>-0.0003072432623</v>
      </c>
    </row>
    <row r="2363">
      <c r="A2363" s="6"/>
      <c r="D2363" s="5">
        <f>IFERROR(__xludf.DUMMYFUNCTION("""COMPUTED_VALUE"""),45152.66666666667)</f>
        <v>45152.66667</v>
      </c>
      <c r="E2363" s="3">
        <f>IFERROR(__xludf.DUMMYFUNCTION("""COMPUTED_VALUE"""),131.83)</f>
        <v>131.83</v>
      </c>
      <c r="F2363" s="3">
        <f t="shared" si="1"/>
        <v>0.01267192529</v>
      </c>
    </row>
    <row r="2364">
      <c r="A2364" s="6"/>
      <c r="D2364" s="5">
        <f>IFERROR(__xludf.DUMMYFUNCTION("""COMPUTED_VALUE"""),45153.66666666667)</f>
        <v>45153.66667</v>
      </c>
      <c r="E2364" s="3">
        <f>IFERROR(__xludf.DUMMYFUNCTION("""COMPUTED_VALUE"""),130.27)</f>
        <v>130.27</v>
      </c>
      <c r="F2364" s="3">
        <f t="shared" si="1"/>
        <v>-0.01190399406</v>
      </c>
    </row>
    <row r="2365">
      <c r="A2365" s="6"/>
      <c r="D2365" s="5">
        <f>IFERROR(__xludf.DUMMYFUNCTION("""COMPUTED_VALUE"""),45154.66666666667)</f>
        <v>45154.66667</v>
      </c>
      <c r="E2365" s="3">
        <f>IFERROR(__xludf.DUMMYFUNCTION("""COMPUTED_VALUE"""),129.11)</f>
        <v>129.11</v>
      </c>
      <c r="F2365" s="3">
        <f t="shared" si="1"/>
        <v>-0.008944465523</v>
      </c>
    </row>
    <row r="2366">
      <c r="A2366" s="6"/>
      <c r="D2366" s="5">
        <f>IFERROR(__xludf.DUMMYFUNCTION("""COMPUTED_VALUE"""),45155.66666666667)</f>
        <v>45155.66667</v>
      </c>
      <c r="E2366" s="3">
        <f>IFERROR(__xludf.DUMMYFUNCTION("""COMPUTED_VALUE"""),130.46)</f>
        <v>130.46</v>
      </c>
      <c r="F2366" s="3">
        <f t="shared" si="1"/>
        <v>0.01040191218</v>
      </c>
    </row>
    <row r="2367">
      <c r="A2367" s="6"/>
      <c r="D2367" s="5">
        <f>IFERROR(__xludf.DUMMYFUNCTION("""COMPUTED_VALUE"""),45156.66666666667)</f>
        <v>45156.66667</v>
      </c>
      <c r="E2367" s="3">
        <f>IFERROR(__xludf.DUMMYFUNCTION("""COMPUTED_VALUE"""),128.11)</f>
        <v>128.11</v>
      </c>
      <c r="F2367" s="3">
        <f t="shared" si="1"/>
        <v>-0.0181773965</v>
      </c>
    </row>
    <row r="2368">
      <c r="A2368" s="6"/>
      <c r="D2368" s="5">
        <f>IFERROR(__xludf.DUMMYFUNCTION("""COMPUTED_VALUE"""),45159.66666666667)</f>
        <v>45159.66667</v>
      </c>
      <c r="E2368" s="3">
        <f>IFERROR(__xludf.DUMMYFUNCTION("""COMPUTED_VALUE"""),128.93)</f>
        <v>128.93</v>
      </c>
      <c r="F2368" s="3">
        <f t="shared" si="1"/>
        <v>0.006380351554</v>
      </c>
    </row>
    <row r="2369">
      <c r="A2369" s="6"/>
      <c r="D2369" s="5">
        <f>IFERROR(__xludf.DUMMYFUNCTION("""COMPUTED_VALUE"""),45160.66666666667)</f>
        <v>45160.66667</v>
      </c>
      <c r="E2369" s="3">
        <f>IFERROR(__xludf.DUMMYFUNCTION("""COMPUTED_VALUE"""),129.69)</f>
        <v>129.69</v>
      </c>
      <c r="F2369" s="3">
        <f t="shared" si="1"/>
        <v>0.005877365925</v>
      </c>
    </row>
    <row r="2370">
      <c r="A2370" s="6"/>
      <c r="D2370" s="5">
        <f>IFERROR(__xludf.DUMMYFUNCTION("""COMPUTED_VALUE"""),45161.66666666667)</f>
        <v>45161.66667</v>
      </c>
      <c r="E2370" s="3">
        <f>IFERROR(__xludf.DUMMYFUNCTION("""COMPUTED_VALUE"""),133.21)</f>
        <v>133.21</v>
      </c>
      <c r="F2370" s="3">
        <f t="shared" si="1"/>
        <v>0.02677984302</v>
      </c>
    </row>
    <row r="2371">
      <c r="A2371" s="6"/>
      <c r="D2371" s="5">
        <f>IFERROR(__xludf.DUMMYFUNCTION("""COMPUTED_VALUE"""),45162.66666666667)</f>
        <v>45162.66667</v>
      </c>
      <c r="E2371" s="3">
        <f>IFERROR(__xludf.DUMMYFUNCTION("""COMPUTED_VALUE"""),130.42)</f>
        <v>130.42</v>
      </c>
      <c r="F2371" s="3">
        <f t="shared" si="1"/>
        <v>-0.0211668184</v>
      </c>
    </row>
    <row r="2372">
      <c r="A2372" s="6"/>
      <c r="D2372" s="5">
        <f>IFERROR(__xludf.DUMMYFUNCTION("""COMPUTED_VALUE"""),45163.66666666667)</f>
        <v>45163.66667</v>
      </c>
      <c r="E2372" s="3">
        <f>IFERROR(__xludf.DUMMYFUNCTION("""COMPUTED_VALUE"""),130.69)</f>
        <v>130.69</v>
      </c>
      <c r="F2372" s="3">
        <f t="shared" si="1"/>
        <v>0.002068094644</v>
      </c>
    </row>
    <row r="2373">
      <c r="A2373" s="6"/>
      <c r="D2373" s="5">
        <f>IFERROR(__xludf.DUMMYFUNCTION("""COMPUTED_VALUE"""),45166.66666666667)</f>
        <v>45166.66667</v>
      </c>
      <c r="E2373" s="3">
        <f>IFERROR(__xludf.DUMMYFUNCTION("""COMPUTED_VALUE"""),131.79)</f>
        <v>131.79</v>
      </c>
      <c r="F2373" s="3">
        <f t="shared" si="1"/>
        <v>0.008381640047</v>
      </c>
    </row>
    <row r="2374">
      <c r="A2374" s="6"/>
      <c r="D2374" s="5">
        <f>IFERROR(__xludf.DUMMYFUNCTION("""COMPUTED_VALUE"""),45167.66666666667)</f>
        <v>45167.66667</v>
      </c>
      <c r="E2374" s="3">
        <f>IFERROR(__xludf.DUMMYFUNCTION("""COMPUTED_VALUE"""),135.49)</f>
        <v>135.49</v>
      </c>
      <c r="F2374" s="3">
        <f t="shared" si="1"/>
        <v>0.0276880902</v>
      </c>
    </row>
    <row r="2375">
      <c r="A2375" s="6"/>
      <c r="D2375" s="5">
        <f>IFERROR(__xludf.DUMMYFUNCTION("""COMPUTED_VALUE"""),45168.66666666667)</f>
        <v>45168.66667</v>
      </c>
      <c r="E2375" s="3">
        <f>IFERROR(__xludf.DUMMYFUNCTION("""COMPUTED_VALUE"""),136.93)</f>
        <v>136.93</v>
      </c>
      <c r="F2375" s="3">
        <f t="shared" si="1"/>
        <v>0.01057200949</v>
      </c>
    </row>
    <row r="2376">
      <c r="A2376" s="6"/>
      <c r="D2376" s="5">
        <f>IFERROR(__xludf.DUMMYFUNCTION("""COMPUTED_VALUE"""),45169.66666666667)</f>
        <v>45169.66667</v>
      </c>
      <c r="E2376" s="3">
        <f>IFERROR(__xludf.DUMMYFUNCTION("""COMPUTED_VALUE"""),137.35)</f>
        <v>137.35</v>
      </c>
      <c r="F2376" s="3">
        <f t="shared" si="1"/>
        <v>0.003062566197</v>
      </c>
    </row>
    <row r="2377">
      <c r="A2377" s="6"/>
      <c r="D2377" s="5">
        <f>IFERROR(__xludf.DUMMYFUNCTION("""COMPUTED_VALUE"""),45170.66666666667)</f>
        <v>45170.66667</v>
      </c>
      <c r="E2377" s="3">
        <f>IFERROR(__xludf.DUMMYFUNCTION("""COMPUTED_VALUE"""),136.8)</f>
        <v>136.8</v>
      </c>
      <c r="F2377" s="3">
        <f t="shared" si="1"/>
        <v>-0.004012407353</v>
      </c>
    </row>
    <row r="2378">
      <c r="A2378" s="6"/>
      <c r="D2378" s="5">
        <f>IFERROR(__xludf.DUMMYFUNCTION("""COMPUTED_VALUE"""),45174.66666666667)</f>
        <v>45174.66667</v>
      </c>
      <c r="E2378" s="3">
        <f>IFERROR(__xludf.DUMMYFUNCTION("""COMPUTED_VALUE"""),136.71)</f>
        <v>136.71</v>
      </c>
      <c r="F2378" s="3">
        <f t="shared" si="1"/>
        <v>-0.0006581112445</v>
      </c>
    </row>
    <row r="2379">
      <c r="A2379" s="6"/>
      <c r="D2379" s="5">
        <f>IFERROR(__xludf.DUMMYFUNCTION("""COMPUTED_VALUE"""),45175.66666666667)</f>
        <v>45175.66667</v>
      </c>
      <c r="E2379" s="3">
        <f>IFERROR(__xludf.DUMMYFUNCTION("""COMPUTED_VALUE"""),135.37)</f>
        <v>135.37</v>
      </c>
      <c r="F2379" s="3">
        <f t="shared" si="1"/>
        <v>-0.009850123746</v>
      </c>
    </row>
    <row r="2380">
      <c r="A2380" s="6"/>
      <c r="D2380" s="5">
        <f>IFERROR(__xludf.DUMMYFUNCTION("""COMPUTED_VALUE"""),45176.66666666667)</f>
        <v>45176.66667</v>
      </c>
      <c r="E2380" s="3">
        <f>IFERROR(__xludf.DUMMYFUNCTION("""COMPUTED_VALUE"""),136.2)</f>
        <v>136.2</v>
      </c>
      <c r="F2380" s="3">
        <f t="shared" si="1"/>
        <v>0.006112623518</v>
      </c>
    </row>
    <row r="2381">
      <c r="A2381" s="6"/>
      <c r="D2381" s="5">
        <f>IFERROR(__xludf.DUMMYFUNCTION("""COMPUTED_VALUE"""),45177.66666666667)</f>
        <v>45177.66667</v>
      </c>
      <c r="E2381" s="3">
        <f>IFERROR(__xludf.DUMMYFUNCTION("""COMPUTED_VALUE"""),137.2)</f>
        <v>137.2</v>
      </c>
      <c r="F2381" s="3">
        <f t="shared" si="1"/>
        <v>0.007315321576</v>
      </c>
    </row>
    <row r="2382">
      <c r="A2382" s="6"/>
      <c r="D2382" s="5">
        <f>IFERROR(__xludf.DUMMYFUNCTION("""COMPUTED_VALUE"""),45180.66666666667)</f>
        <v>45180.66667</v>
      </c>
      <c r="E2382" s="3">
        <f>IFERROR(__xludf.DUMMYFUNCTION("""COMPUTED_VALUE"""),137.74)</f>
        <v>137.74</v>
      </c>
      <c r="F2382" s="3">
        <f t="shared" si="1"/>
        <v>0.003928134825</v>
      </c>
    </row>
    <row r="2383">
      <c r="A2383" s="6"/>
      <c r="D2383" s="5">
        <f>IFERROR(__xludf.DUMMYFUNCTION("""COMPUTED_VALUE"""),45181.66666666667)</f>
        <v>45181.66667</v>
      </c>
      <c r="E2383" s="3">
        <f>IFERROR(__xludf.DUMMYFUNCTION("""COMPUTED_VALUE"""),136.07)</f>
        <v>136.07</v>
      </c>
      <c r="F2383" s="3">
        <f t="shared" si="1"/>
        <v>-0.01219839091</v>
      </c>
    </row>
    <row r="2384">
      <c r="A2384" s="6"/>
      <c r="D2384" s="5">
        <f>IFERROR(__xludf.DUMMYFUNCTION("""COMPUTED_VALUE"""),45182.66666666667)</f>
        <v>45182.66667</v>
      </c>
      <c r="E2384" s="3">
        <f>IFERROR(__xludf.DUMMYFUNCTION("""COMPUTED_VALUE"""),137.5)</f>
        <v>137.5</v>
      </c>
      <c r="F2384" s="3">
        <f t="shared" si="1"/>
        <v>0.0104544579</v>
      </c>
    </row>
    <row r="2385">
      <c r="A2385" s="6"/>
      <c r="D2385" s="5">
        <f>IFERROR(__xludf.DUMMYFUNCTION("""COMPUTED_VALUE"""),45183.66666666667)</f>
        <v>45183.66667</v>
      </c>
      <c r="E2385" s="3">
        <f>IFERROR(__xludf.DUMMYFUNCTION("""COMPUTED_VALUE"""),138.99)</f>
        <v>138.99</v>
      </c>
      <c r="F2385" s="3">
        <f t="shared" si="1"/>
        <v>0.01077807099</v>
      </c>
    </row>
    <row r="2386">
      <c r="A2386" s="6"/>
      <c r="D2386" s="5">
        <f>IFERROR(__xludf.DUMMYFUNCTION("""COMPUTED_VALUE"""),45184.66666666667)</f>
        <v>45184.66667</v>
      </c>
      <c r="E2386" s="3">
        <f>IFERROR(__xludf.DUMMYFUNCTION("""COMPUTED_VALUE"""),138.3)</f>
        <v>138.3</v>
      </c>
      <c r="F2386" s="3">
        <f t="shared" si="1"/>
        <v>-0.004976749426</v>
      </c>
    </row>
    <row r="2387">
      <c r="A2387" s="6"/>
      <c r="D2387" s="5">
        <f>IFERROR(__xludf.DUMMYFUNCTION("""COMPUTED_VALUE"""),45187.66666666667)</f>
        <v>45187.66667</v>
      </c>
      <c r="E2387" s="3">
        <f>IFERROR(__xludf.DUMMYFUNCTION("""COMPUTED_VALUE"""),138.96)</f>
        <v>138.96</v>
      </c>
      <c r="F2387" s="3">
        <f t="shared" si="1"/>
        <v>0.004760883262</v>
      </c>
    </row>
    <row r="2388">
      <c r="A2388" s="6"/>
      <c r="D2388" s="5">
        <f>IFERROR(__xludf.DUMMYFUNCTION("""COMPUTED_VALUE"""),45188.66666666667)</f>
        <v>45188.66667</v>
      </c>
      <c r="E2388" s="3">
        <f>IFERROR(__xludf.DUMMYFUNCTION("""COMPUTED_VALUE"""),138.83)</f>
        <v>138.83</v>
      </c>
      <c r="F2388" s="3">
        <f t="shared" si="1"/>
        <v>-0.0009359588861</v>
      </c>
    </row>
    <row r="2389">
      <c r="A2389" s="6"/>
      <c r="D2389" s="5">
        <f>IFERROR(__xludf.DUMMYFUNCTION("""COMPUTED_VALUE"""),45189.66666666667)</f>
        <v>45189.66667</v>
      </c>
      <c r="E2389" s="3">
        <f>IFERROR(__xludf.DUMMYFUNCTION("""COMPUTED_VALUE"""),134.59)</f>
        <v>134.59</v>
      </c>
      <c r="F2389" s="3">
        <f t="shared" si="1"/>
        <v>-0.0310170428</v>
      </c>
    </row>
    <row r="2390">
      <c r="A2390" s="6"/>
      <c r="D2390" s="5">
        <f>IFERROR(__xludf.DUMMYFUNCTION("""COMPUTED_VALUE"""),45190.66666666667)</f>
        <v>45190.66667</v>
      </c>
      <c r="E2390" s="3">
        <f>IFERROR(__xludf.DUMMYFUNCTION("""COMPUTED_VALUE"""),131.36)</f>
        <v>131.36</v>
      </c>
      <c r="F2390" s="3">
        <f t="shared" si="1"/>
        <v>-0.02429147454</v>
      </c>
    </row>
    <row r="2391">
      <c r="A2391" s="6"/>
      <c r="D2391" s="5">
        <f>IFERROR(__xludf.DUMMYFUNCTION("""COMPUTED_VALUE"""),45191.66666666667)</f>
        <v>45191.66667</v>
      </c>
      <c r="E2391" s="3">
        <f>IFERROR(__xludf.DUMMYFUNCTION("""COMPUTED_VALUE"""),131.25)</f>
        <v>131.25</v>
      </c>
      <c r="F2391" s="3">
        <f t="shared" si="1"/>
        <v>-0.0008377442324</v>
      </c>
    </row>
    <row r="2392">
      <c r="A2392" s="6"/>
      <c r="D2392" s="5">
        <f>IFERROR(__xludf.DUMMYFUNCTION("""COMPUTED_VALUE"""),45194.66666666667)</f>
        <v>45194.66667</v>
      </c>
      <c r="E2392" s="3">
        <f>IFERROR(__xludf.DUMMYFUNCTION("""COMPUTED_VALUE"""),132.17)</f>
        <v>132.17</v>
      </c>
      <c r="F2392" s="3">
        <f t="shared" si="1"/>
        <v>0.006985071298</v>
      </c>
    </row>
    <row r="2393">
      <c r="A2393" s="6"/>
      <c r="D2393" s="5">
        <f>IFERROR(__xludf.DUMMYFUNCTION("""COMPUTED_VALUE"""),45195.66666666667)</f>
        <v>45195.66667</v>
      </c>
      <c r="E2393" s="3">
        <f>IFERROR(__xludf.DUMMYFUNCTION("""COMPUTED_VALUE"""),129.45)</f>
        <v>129.45</v>
      </c>
      <c r="F2393" s="3">
        <f t="shared" si="1"/>
        <v>-0.02079426657</v>
      </c>
    </row>
    <row r="2394">
      <c r="A2394" s="6"/>
      <c r="D2394" s="5">
        <f>IFERROR(__xludf.DUMMYFUNCTION("""COMPUTED_VALUE"""),45196.66666666667)</f>
        <v>45196.66667</v>
      </c>
      <c r="E2394" s="3">
        <f>IFERROR(__xludf.DUMMYFUNCTION("""COMPUTED_VALUE"""),131.46)</f>
        <v>131.46</v>
      </c>
      <c r="F2394" s="3">
        <f t="shared" si="1"/>
        <v>0.01540791664</v>
      </c>
    </row>
    <row r="2395">
      <c r="A2395" s="6"/>
      <c r="D2395" s="5">
        <f>IFERROR(__xludf.DUMMYFUNCTION("""COMPUTED_VALUE"""),45197.66666666667)</f>
        <v>45197.66667</v>
      </c>
      <c r="E2395" s="3">
        <f>IFERROR(__xludf.DUMMYFUNCTION("""COMPUTED_VALUE"""),133.13)</f>
        <v>133.13</v>
      </c>
      <c r="F2395" s="3">
        <f t="shared" si="1"/>
        <v>0.01262347161</v>
      </c>
    </row>
    <row r="2396">
      <c r="A2396" s="6"/>
      <c r="D2396" s="5">
        <f>IFERROR(__xludf.DUMMYFUNCTION("""COMPUTED_VALUE"""),45198.66666666667)</f>
        <v>45198.66667</v>
      </c>
      <c r="E2396" s="3">
        <f>IFERROR(__xludf.DUMMYFUNCTION("""COMPUTED_VALUE"""),131.85)</f>
        <v>131.85</v>
      </c>
      <c r="F2396" s="3">
        <f t="shared" si="1"/>
        <v>-0.009661181645</v>
      </c>
    </row>
    <row r="2397">
      <c r="A2397" s="6"/>
      <c r="D2397" s="5">
        <f>IFERROR(__xludf.DUMMYFUNCTION("""COMPUTED_VALUE"""),45201.66666666667)</f>
        <v>45201.66667</v>
      </c>
      <c r="E2397" s="3">
        <f>IFERROR(__xludf.DUMMYFUNCTION("""COMPUTED_VALUE"""),135.17)</f>
        <v>135.17</v>
      </c>
      <c r="F2397" s="3">
        <f t="shared" si="1"/>
        <v>0.0248683327</v>
      </c>
    </row>
    <row r="2398">
      <c r="A2398" s="6"/>
      <c r="D2398" s="5">
        <f>IFERROR(__xludf.DUMMYFUNCTION("""COMPUTED_VALUE"""),45202.66666666667)</f>
        <v>45202.66667</v>
      </c>
      <c r="E2398" s="3">
        <f>IFERROR(__xludf.DUMMYFUNCTION("""COMPUTED_VALUE"""),133.3)</f>
        <v>133.3</v>
      </c>
      <c r="F2398" s="3">
        <f t="shared" si="1"/>
        <v>-0.01393101831</v>
      </c>
    </row>
    <row r="2399">
      <c r="A2399" s="6"/>
      <c r="D2399" s="5">
        <f>IFERROR(__xludf.DUMMYFUNCTION("""COMPUTED_VALUE"""),45203.66666666667)</f>
        <v>45203.66667</v>
      </c>
      <c r="E2399" s="3">
        <f>IFERROR(__xludf.DUMMYFUNCTION("""COMPUTED_VALUE"""),136.27)</f>
        <v>136.27</v>
      </c>
      <c r="F2399" s="3">
        <f t="shared" si="1"/>
        <v>0.02203598458</v>
      </c>
    </row>
    <row r="2400">
      <c r="A2400" s="6"/>
      <c r="D2400" s="5">
        <f>IFERROR(__xludf.DUMMYFUNCTION("""COMPUTED_VALUE"""),45204.66666666667)</f>
        <v>45204.66667</v>
      </c>
      <c r="E2400" s="3">
        <f>IFERROR(__xludf.DUMMYFUNCTION("""COMPUTED_VALUE"""),135.99)</f>
        <v>135.99</v>
      </c>
      <c r="F2400" s="3">
        <f t="shared" si="1"/>
        <v>-0.002056858141</v>
      </c>
    </row>
    <row r="2401">
      <c r="A2401" s="6"/>
      <c r="D2401" s="5">
        <f>IFERROR(__xludf.DUMMYFUNCTION("""COMPUTED_VALUE"""),45205.66666666667)</f>
        <v>45205.66667</v>
      </c>
      <c r="E2401" s="3">
        <f>IFERROR(__xludf.DUMMYFUNCTION("""COMPUTED_VALUE"""),138.73)</f>
        <v>138.73</v>
      </c>
      <c r="F2401" s="3">
        <f t="shared" si="1"/>
        <v>0.01994824447</v>
      </c>
    </row>
    <row r="2402">
      <c r="A2402" s="6"/>
      <c r="D2402" s="5">
        <f>IFERROR(__xludf.DUMMYFUNCTION("""COMPUTED_VALUE"""),45208.66666666667)</f>
        <v>45208.66667</v>
      </c>
      <c r="E2402" s="3">
        <f>IFERROR(__xludf.DUMMYFUNCTION("""COMPUTED_VALUE"""),139.5)</f>
        <v>139.5</v>
      </c>
      <c r="F2402" s="3">
        <f t="shared" si="1"/>
        <v>0.005535003169</v>
      </c>
    </row>
    <row r="2403">
      <c r="A2403" s="6"/>
      <c r="D2403" s="5">
        <f>IFERROR(__xludf.DUMMYFUNCTION("""COMPUTED_VALUE"""),45209.66666666667)</f>
        <v>45209.66667</v>
      </c>
      <c r="E2403" s="3">
        <f>IFERROR(__xludf.DUMMYFUNCTION("""COMPUTED_VALUE"""),139.2)</f>
        <v>139.2</v>
      </c>
      <c r="F2403" s="3">
        <f t="shared" si="1"/>
        <v>-0.002152853361</v>
      </c>
    </row>
    <row r="2404">
      <c r="A2404" s="6"/>
      <c r="D2404" s="5">
        <f>IFERROR(__xludf.DUMMYFUNCTION("""COMPUTED_VALUE"""),45210.66666666667)</f>
        <v>45210.66667</v>
      </c>
      <c r="E2404" s="3">
        <f>IFERROR(__xludf.DUMMYFUNCTION("""COMPUTED_VALUE"""),141.7)</f>
        <v>141.7</v>
      </c>
      <c r="F2404" s="3">
        <f t="shared" si="1"/>
        <v>0.0178003988</v>
      </c>
    </row>
    <row r="2405">
      <c r="A2405" s="6"/>
      <c r="D2405" s="5">
        <f>IFERROR(__xludf.DUMMYFUNCTION("""COMPUTED_VALUE"""),45211.66666666667)</f>
        <v>45211.66667</v>
      </c>
      <c r="E2405" s="3">
        <f>IFERROR(__xludf.DUMMYFUNCTION("""COMPUTED_VALUE"""),140.29)</f>
        <v>140.29</v>
      </c>
      <c r="F2405" s="3">
        <f t="shared" si="1"/>
        <v>-0.01000043797</v>
      </c>
    </row>
    <row r="2406">
      <c r="A2406" s="6"/>
      <c r="D2406" s="5">
        <f>IFERROR(__xludf.DUMMYFUNCTION("""COMPUTED_VALUE"""),45212.66666666667)</f>
        <v>45212.66667</v>
      </c>
      <c r="E2406" s="3">
        <f>IFERROR(__xludf.DUMMYFUNCTION("""COMPUTED_VALUE"""),138.58)</f>
        <v>138.58</v>
      </c>
      <c r="F2406" s="3">
        <f t="shared" si="1"/>
        <v>-0.01226393253</v>
      </c>
    </row>
    <row r="2407">
      <c r="A2407" s="6"/>
      <c r="D2407" s="5">
        <f>IFERROR(__xludf.DUMMYFUNCTION("""COMPUTED_VALUE"""),45215.66666666667)</f>
        <v>45215.66667</v>
      </c>
      <c r="E2407" s="3">
        <f>IFERROR(__xludf.DUMMYFUNCTION("""COMPUTED_VALUE"""),140.49)</f>
        <v>140.49</v>
      </c>
      <c r="F2407" s="3">
        <f t="shared" si="1"/>
        <v>0.01368853566</v>
      </c>
    </row>
    <row r="2408">
      <c r="A2408" s="6"/>
      <c r="D2408" s="5">
        <f>IFERROR(__xludf.DUMMYFUNCTION("""COMPUTED_VALUE"""),45216.66666666667)</f>
        <v>45216.66667</v>
      </c>
      <c r="E2408" s="3">
        <f>IFERROR(__xludf.DUMMYFUNCTION("""COMPUTED_VALUE"""),140.99)</f>
        <v>140.99</v>
      </c>
      <c r="F2408" s="3">
        <f t="shared" si="1"/>
        <v>0.003552654014</v>
      </c>
    </row>
    <row r="2409">
      <c r="A2409" s="6"/>
      <c r="D2409" s="5">
        <f>IFERROR(__xludf.DUMMYFUNCTION("""COMPUTED_VALUE"""),45217.66666666667)</f>
        <v>45217.66667</v>
      </c>
      <c r="E2409" s="3">
        <f>IFERROR(__xludf.DUMMYFUNCTION("""COMPUTED_VALUE"""),139.28)</f>
        <v>139.28</v>
      </c>
      <c r="F2409" s="3">
        <f t="shared" si="1"/>
        <v>-0.01220267042</v>
      </c>
    </row>
    <row r="2410">
      <c r="A2410" s="6"/>
      <c r="D2410" s="5">
        <f>IFERROR(__xludf.DUMMYFUNCTION("""COMPUTED_VALUE"""),45218.66666666667)</f>
        <v>45218.66667</v>
      </c>
      <c r="E2410" s="3">
        <f>IFERROR(__xludf.DUMMYFUNCTION("""COMPUTED_VALUE"""),138.98)</f>
        <v>138.98</v>
      </c>
      <c r="F2410" s="3">
        <f t="shared" si="1"/>
        <v>-0.002156257574</v>
      </c>
    </row>
    <row r="2411">
      <c r="A2411" s="6"/>
      <c r="D2411" s="5">
        <f>IFERROR(__xludf.DUMMYFUNCTION("""COMPUTED_VALUE"""),45219.66666666667)</f>
        <v>45219.66667</v>
      </c>
      <c r="E2411" s="3">
        <f>IFERROR(__xludf.DUMMYFUNCTION("""COMPUTED_VALUE"""),136.74)</f>
        <v>136.74</v>
      </c>
      <c r="F2411" s="3">
        <f t="shared" si="1"/>
        <v>-0.0162487254</v>
      </c>
    </row>
    <row r="2412">
      <c r="A2412" s="6"/>
      <c r="D2412" s="5">
        <f>IFERROR(__xludf.DUMMYFUNCTION("""COMPUTED_VALUE"""),45222.66666666667)</f>
        <v>45222.66667</v>
      </c>
      <c r="E2412" s="3">
        <f>IFERROR(__xludf.DUMMYFUNCTION("""COMPUTED_VALUE"""),137.9)</f>
        <v>137.9</v>
      </c>
      <c r="F2412" s="3">
        <f t="shared" si="1"/>
        <v>0.008447472314</v>
      </c>
    </row>
    <row r="2413">
      <c r="A2413" s="6"/>
      <c r="D2413" s="5">
        <f>IFERROR(__xludf.DUMMYFUNCTION("""COMPUTED_VALUE"""),45223.66666666667)</f>
        <v>45223.66667</v>
      </c>
      <c r="E2413" s="3">
        <f>IFERROR(__xludf.DUMMYFUNCTION("""COMPUTED_VALUE"""),140.12)</f>
        <v>140.12</v>
      </c>
      <c r="F2413" s="3">
        <f t="shared" si="1"/>
        <v>0.01597041353</v>
      </c>
    </row>
    <row r="2414">
      <c r="A2414" s="6"/>
      <c r="D2414" s="5">
        <f>IFERROR(__xludf.DUMMYFUNCTION("""COMPUTED_VALUE"""),45224.66666666667)</f>
        <v>45224.66667</v>
      </c>
      <c r="E2414" s="3">
        <f>IFERROR(__xludf.DUMMYFUNCTION("""COMPUTED_VALUE"""),126.67)</f>
        <v>126.67</v>
      </c>
      <c r="F2414" s="3">
        <f t="shared" si="1"/>
        <v>-0.1009139188</v>
      </c>
    </row>
    <row r="2415">
      <c r="A2415" s="6"/>
      <c r="D2415" s="5">
        <f>IFERROR(__xludf.DUMMYFUNCTION("""COMPUTED_VALUE"""),45225.66666666667)</f>
        <v>45225.66667</v>
      </c>
      <c r="E2415" s="3">
        <f>IFERROR(__xludf.DUMMYFUNCTION("""COMPUTED_VALUE"""),123.44)</f>
        <v>123.44</v>
      </c>
      <c r="F2415" s="3">
        <f t="shared" si="1"/>
        <v>-0.02583007144</v>
      </c>
    </row>
    <row r="2416">
      <c r="A2416" s="6"/>
      <c r="D2416" s="5">
        <f>IFERROR(__xludf.DUMMYFUNCTION("""COMPUTED_VALUE"""),45226.66666666667)</f>
        <v>45226.66667</v>
      </c>
      <c r="E2416" s="3">
        <f>IFERROR(__xludf.DUMMYFUNCTION("""COMPUTED_VALUE"""),123.4)</f>
        <v>123.4</v>
      </c>
      <c r="F2416" s="3">
        <f t="shared" si="1"/>
        <v>-0.0003240965836</v>
      </c>
    </row>
    <row r="2417">
      <c r="A2417" s="6"/>
      <c r="D2417" s="5">
        <f>IFERROR(__xludf.DUMMYFUNCTION("""COMPUTED_VALUE"""),45229.66666666667)</f>
        <v>45229.66667</v>
      </c>
      <c r="E2417" s="3">
        <f>IFERROR(__xludf.DUMMYFUNCTION("""COMPUTED_VALUE"""),125.75)</f>
        <v>125.75</v>
      </c>
      <c r="F2417" s="3">
        <f t="shared" si="1"/>
        <v>0.01886469751</v>
      </c>
    </row>
    <row r="2418">
      <c r="A2418" s="6"/>
      <c r="D2418" s="5">
        <f>IFERROR(__xludf.DUMMYFUNCTION("""COMPUTED_VALUE"""),45230.66666666667)</f>
        <v>45230.66667</v>
      </c>
      <c r="E2418" s="3">
        <f>IFERROR(__xludf.DUMMYFUNCTION("""COMPUTED_VALUE"""),125.3)</f>
        <v>125.3</v>
      </c>
      <c r="F2418" s="3">
        <f t="shared" si="1"/>
        <v>-0.003584947078</v>
      </c>
    </row>
    <row r="2419">
      <c r="A2419" s="6"/>
      <c r="D2419" s="5">
        <f>IFERROR(__xludf.DUMMYFUNCTION("""COMPUTED_VALUE"""),45231.66666666667)</f>
        <v>45231.66667</v>
      </c>
      <c r="E2419" s="3">
        <f>IFERROR(__xludf.DUMMYFUNCTION("""COMPUTED_VALUE"""),127.57)</f>
        <v>127.57</v>
      </c>
      <c r="F2419" s="3">
        <f t="shared" si="1"/>
        <v>0.01795437165</v>
      </c>
    </row>
    <row r="2420">
      <c r="A2420" s="6"/>
      <c r="D2420" s="5">
        <f>IFERROR(__xludf.DUMMYFUNCTION("""COMPUTED_VALUE"""),45232.66666666667)</f>
        <v>45232.66667</v>
      </c>
      <c r="E2420" s="3">
        <f>IFERROR(__xludf.DUMMYFUNCTION("""COMPUTED_VALUE"""),128.58)</f>
        <v>128.58</v>
      </c>
      <c r="F2420" s="3">
        <f t="shared" si="1"/>
        <v>0.007886045163</v>
      </c>
    </row>
    <row r="2421">
      <c r="A2421" s="6"/>
      <c r="D2421" s="5">
        <f>IFERROR(__xludf.DUMMYFUNCTION("""COMPUTED_VALUE"""),45233.66666666667)</f>
        <v>45233.66667</v>
      </c>
      <c r="E2421" s="3">
        <f>IFERROR(__xludf.DUMMYFUNCTION("""COMPUTED_VALUE"""),130.37)</f>
        <v>130.37</v>
      </c>
      <c r="F2421" s="3">
        <f t="shared" si="1"/>
        <v>0.01382528296</v>
      </c>
    </row>
    <row r="2422">
      <c r="A2422" s="6"/>
      <c r="D2422" s="5">
        <f>IFERROR(__xludf.DUMMYFUNCTION("""COMPUTED_VALUE"""),45236.66666666667)</f>
        <v>45236.66667</v>
      </c>
      <c r="E2422" s="3">
        <f>IFERROR(__xludf.DUMMYFUNCTION("""COMPUTED_VALUE"""),131.45)</f>
        <v>131.45</v>
      </c>
      <c r="F2422" s="3">
        <f t="shared" si="1"/>
        <v>0.008249989501</v>
      </c>
    </row>
    <row r="2423">
      <c r="A2423" s="6"/>
      <c r="D2423" s="5">
        <f>IFERROR(__xludf.DUMMYFUNCTION("""COMPUTED_VALUE"""),45237.66666666667)</f>
        <v>45237.66667</v>
      </c>
      <c r="E2423" s="3">
        <f>IFERROR(__xludf.DUMMYFUNCTION("""COMPUTED_VALUE"""),132.4)</f>
        <v>132.4</v>
      </c>
      <c r="F2423" s="3">
        <f t="shared" si="1"/>
        <v>0.007201092327</v>
      </c>
    </row>
    <row r="2424">
      <c r="A2424" s="6"/>
      <c r="D2424" s="5">
        <f>IFERROR(__xludf.DUMMYFUNCTION("""COMPUTED_VALUE"""),45238.66666666667)</f>
        <v>45238.66667</v>
      </c>
      <c r="E2424" s="3">
        <f>IFERROR(__xludf.DUMMYFUNCTION("""COMPUTED_VALUE"""),133.26)</f>
        <v>133.26</v>
      </c>
      <c r="F2424" s="3">
        <f t="shared" si="1"/>
        <v>0.006474463631</v>
      </c>
    </row>
    <row r="2425">
      <c r="A2425" s="6"/>
      <c r="D2425" s="5">
        <f>IFERROR(__xludf.DUMMYFUNCTION("""COMPUTED_VALUE"""),45239.66666666667)</f>
        <v>45239.66667</v>
      </c>
      <c r="E2425" s="3">
        <f>IFERROR(__xludf.DUMMYFUNCTION("""COMPUTED_VALUE"""),131.69)</f>
        <v>131.69</v>
      </c>
      <c r="F2425" s="3">
        <f t="shared" si="1"/>
        <v>-0.01185143141</v>
      </c>
    </row>
    <row r="2426">
      <c r="A2426" s="6"/>
      <c r="D2426" s="5">
        <f>IFERROR(__xludf.DUMMYFUNCTION("""COMPUTED_VALUE"""),45240.66666666667)</f>
        <v>45240.66667</v>
      </c>
      <c r="E2426" s="3">
        <f>IFERROR(__xludf.DUMMYFUNCTION("""COMPUTED_VALUE"""),134.06)</f>
        <v>134.06</v>
      </c>
      <c r="F2426" s="3">
        <f t="shared" si="1"/>
        <v>0.01783678521</v>
      </c>
    </row>
    <row r="2427">
      <c r="A2427" s="6"/>
      <c r="D2427" s="5">
        <f>IFERROR(__xludf.DUMMYFUNCTION("""COMPUTED_VALUE"""),45243.66666666667)</f>
        <v>45243.66667</v>
      </c>
      <c r="E2427" s="3">
        <f>IFERROR(__xludf.DUMMYFUNCTION("""COMPUTED_VALUE"""),133.64)</f>
        <v>133.64</v>
      </c>
      <c r="F2427" s="3">
        <f t="shared" si="1"/>
        <v>-0.003137843441</v>
      </c>
    </row>
    <row r="2428">
      <c r="A2428" s="6"/>
      <c r="D2428" s="5">
        <f>IFERROR(__xludf.DUMMYFUNCTION("""COMPUTED_VALUE"""),45244.66666666667)</f>
        <v>45244.66667</v>
      </c>
      <c r="E2428" s="3">
        <f>IFERROR(__xludf.DUMMYFUNCTION("""COMPUTED_VALUE"""),135.43)</f>
        <v>135.43</v>
      </c>
      <c r="F2428" s="3">
        <f t="shared" si="1"/>
        <v>0.01330528418</v>
      </c>
    </row>
    <row r="2429">
      <c r="A2429" s="6"/>
      <c r="D2429" s="5">
        <f>IFERROR(__xludf.DUMMYFUNCTION("""COMPUTED_VALUE"""),45245.66666666667)</f>
        <v>45245.66667</v>
      </c>
      <c r="E2429" s="3">
        <f>IFERROR(__xludf.DUMMYFUNCTION("""COMPUTED_VALUE"""),136.38)</f>
        <v>136.38</v>
      </c>
      <c r="F2429" s="3">
        <f t="shared" si="1"/>
        <v>0.006990205425</v>
      </c>
    </row>
    <row r="2430">
      <c r="A2430" s="6"/>
      <c r="D2430" s="5">
        <f>IFERROR(__xludf.DUMMYFUNCTION("""COMPUTED_VALUE"""),45246.66666666667)</f>
        <v>45246.66667</v>
      </c>
      <c r="E2430" s="3">
        <f>IFERROR(__xludf.DUMMYFUNCTION("""COMPUTED_VALUE"""),138.7)</f>
        <v>138.7</v>
      </c>
      <c r="F2430" s="3">
        <f t="shared" si="1"/>
        <v>0.01686822023</v>
      </c>
    </row>
    <row r="2431">
      <c r="A2431" s="6"/>
      <c r="D2431" s="5">
        <f>IFERROR(__xludf.DUMMYFUNCTION("""COMPUTED_VALUE"""),45247.66666666667)</f>
        <v>45247.66667</v>
      </c>
      <c r="E2431" s="3">
        <f>IFERROR(__xludf.DUMMYFUNCTION("""COMPUTED_VALUE"""),136.94)</f>
        <v>136.94</v>
      </c>
      <c r="F2431" s="3">
        <f t="shared" si="1"/>
        <v>-0.01277045363</v>
      </c>
    </row>
    <row r="2432">
      <c r="A2432" s="6"/>
      <c r="D2432" s="5">
        <f>IFERROR(__xludf.DUMMYFUNCTION("""COMPUTED_VALUE"""),45250.66666666667)</f>
        <v>45250.66667</v>
      </c>
      <c r="E2432" s="3">
        <f>IFERROR(__xludf.DUMMYFUNCTION("""COMPUTED_VALUE"""),137.92)</f>
        <v>137.92</v>
      </c>
      <c r="F2432" s="3">
        <f t="shared" si="1"/>
        <v>0.007130933222</v>
      </c>
    </row>
    <row r="2433">
      <c r="A2433" s="6"/>
      <c r="D2433" s="5">
        <f>IFERROR(__xludf.DUMMYFUNCTION("""COMPUTED_VALUE"""),45251.66666666667)</f>
        <v>45251.66667</v>
      </c>
      <c r="E2433" s="3">
        <f>IFERROR(__xludf.DUMMYFUNCTION("""COMPUTED_VALUE"""),138.62)</f>
        <v>138.62</v>
      </c>
      <c r="F2433" s="3">
        <f t="shared" si="1"/>
        <v>0.005062569574</v>
      </c>
    </row>
    <row r="2434">
      <c r="A2434" s="6"/>
      <c r="D2434" s="5">
        <f>IFERROR(__xludf.DUMMYFUNCTION("""COMPUTED_VALUE"""),45252.66666666667)</f>
        <v>45252.66667</v>
      </c>
      <c r="E2434" s="3">
        <f>IFERROR(__xludf.DUMMYFUNCTION("""COMPUTED_VALUE"""),140.02)</f>
        <v>140.02</v>
      </c>
      <c r="F2434" s="3">
        <f t="shared" si="1"/>
        <v>0.01004889306</v>
      </c>
    </row>
    <row r="2435">
      <c r="A2435" s="6"/>
      <c r="D2435" s="5">
        <f>IFERROR(__xludf.DUMMYFUNCTION("""COMPUTED_VALUE"""),45254.54513888889)</f>
        <v>45254.54514</v>
      </c>
      <c r="E2435" s="3">
        <f>IFERROR(__xludf.DUMMYFUNCTION("""COMPUTED_VALUE"""),138.22)</f>
        <v>138.22</v>
      </c>
      <c r="F2435" s="3">
        <f t="shared" si="1"/>
        <v>-0.01293865089</v>
      </c>
    </row>
    <row r="2436">
      <c r="A2436" s="6"/>
      <c r="D2436" s="5">
        <f>IFERROR(__xludf.DUMMYFUNCTION("""COMPUTED_VALUE"""),45257.66666666667)</f>
        <v>45257.66667</v>
      </c>
      <c r="E2436" s="3">
        <f>IFERROR(__xludf.DUMMYFUNCTION("""COMPUTED_VALUE"""),138.05)</f>
        <v>138.05</v>
      </c>
      <c r="F2436" s="3">
        <f t="shared" si="1"/>
        <v>-0.001230680287</v>
      </c>
    </row>
    <row r="2437">
      <c r="A2437" s="6"/>
      <c r="D2437" s="5">
        <f>IFERROR(__xludf.DUMMYFUNCTION("""COMPUTED_VALUE"""),45258.66666666667)</f>
        <v>45258.66667</v>
      </c>
      <c r="E2437" s="3">
        <f>IFERROR(__xludf.DUMMYFUNCTION("""COMPUTED_VALUE"""),138.62)</f>
        <v>138.62</v>
      </c>
      <c r="F2437" s="3">
        <f t="shared" si="1"/>
        <v>0.004120438114</v>
      </c>
    </row>
    <row r="2438">
      <c r="A2438" s="6"/>
      <c r="D2438" s="5">
        <f>IFERROR(__xludf.DUMMYFUNCTION("""COMPUTED_VALUE"""),45259.66666666667)</f>
        <v>45259.66667</v>
      </c>
      <c r="E2438" s="3">
        <f>IFERROR(__xludf.DUMMYFUNCTION("""COMPUTED_VALUE"""),136.4)</f>
        <v>136.4</v>
      </c>
      <c r="F2438" s="3">
        <f t="shared" si="1"/>
        <v>-0.01614463108</v>
      </c>
    </row>
    <row r="2439">
      <c r="A2439" s="6"/>
      <c r="D2439" s="5">
        <f>IFERROR(__xludf.DUMMYFUNCTION("""COMPUTED_VALUE"""),45260.66666666667)</f>
        <v>45260.66667</v>
      </c>
      <c r="E2439" s="3">
        <f>IFERROR(__xludf.DUMMYFUNCTION("""COMPUTED_VALUE"""),133.92)</f>
        <v>133.92</v>
      </c>
      <c r="F2439" s="3">
        <f t="shared" si="1"/>
        <v>-0.01834913867</v>
      </c>
    </row>
    <row r="2440">
      <c r="A2440" s="6"/>
      <c r="D2440" s="5">
        <f>IFERROR(__xludf.DUMMYFUNCTION("""COMPUTED_VALUE"""),45261.66666666667)</f>
        <v>45261.66667</v>
      </c>
      <c r="E2440" s="3">
        <f>IFERROR(__xludf.DUMMYFUNCTION("""COMPUTED_VALUE"""),133.32)</f>
        <v>133.32</v>
      </c>
      <c r="F2440" s="3">
        <f t="shared" si="1"/>
        <v>-0.004490353302</v>
      </c>
    </row>
    <row r="2441">
      <c r="A2441" s="6"/>
      <c r="D2441" s="5">
        <f>IFERROR(__xludf.DUMMYFUNCTION("""COMPUTED_VALUE"""),45264.66666666667)</f>
        <v>45264.66667</v>
      </c>
      <c r="E2441" s="3">
        <f>IFERROR(__xludf.DUMMYFUNCTION("""COMPUTED_VALUE"""),130.63)</f>
        <v>130.63</v>
      </c>
      <c r="F2441" s="3">
        <f t="shared" si="1"/>
        <v>-0.02038335394</v>
      </c>
    </row>
    <row r="2442">
      <c r="A2442" s="6"/>
      <c r="D2442" s="5">
        <f>IFERROR(__xludf.DUMMYFUNCTION("""COMPUTED_VALUE"""),45265.66666666667)</f>
        <v>45265.66667</v>
      </c>
      <c r="E2442" s="3">
        <f>IFERROR(__xludf.DUMMYFUNCTION("""COMPUTED_VALUE"""),132.39)</f>
        <v>132.39</v>
      </c>
      <c r="F2442" s="3">
        <f t="shared" si="1"/>
        <v>0.01338321245</v>
      </c>
    </row>
    <row r="2443">
      <c r="A2443" s="6"/>
      <c r="D2443" s="5">
        <f>IFERROR(__xludf.DUMMYFUNCTION("""COMPUTED_VALUE"""),45266.66666666667)</f>
        <v>45266.66667</v>
      </c>
      <c r="E2443" s="3">
        <f>IFERROR(__xludf.DUMMYFUNCTION("""COMPUTED_VALUE"""),131.43)</f>
        <v>131.43</v>
      </c>
      <c r="F2443" s="3">
        <f t="shared" si="1"/>
        <v>-0.007277721456</v>
      </c>
    </row>
    <row r="2444">
      <c r="A2444" s="6"/>
      <c r="D2444" s="5">
        <f>IFERROR(__xludf.DUMMYFUNCTION("""COMPUTED_VALUE"""),45267.66666666667)</f>
        <v>45267.66667</v>
      </c>
      <c r="E2444" s="3">
        <f>IFERROR(__xludf.DUMMYFUNCTION("""COMPUTED_VALUE"""),138.45)</f>
        <v>138.45</v>
      </c>
      <c r="F2444" s="3">
        <f t="shared" si="1"/>
        <v>0.05203485912</v>
      </c>
    </row>
    <row r="2445">
      <c r="A2445" s="6"/>
      <c r="D2445" s="5">
        <f>IFERROR(__xludf.DUMMYFUNCTION("""COMPUTED_VALUE"""),45268.66666666667)</f>
        <v>45268.66667</v>
      </c>
      <c r="E2445" s="3">
        <f>IFERROR(__xludf.DUMMYFUNCTION("""COMPUTED_VALUE"""),136.64)</f>
        <v>136.64</v>
      </c>
      <c r="F2445" s="3">
        <f t="shared" si="1"/>
        <v>-0.01315951958</v>
      </c>
    </row>
    <row r="2446">
      <c r="A2446" s="6"/>
      <c r="D2446" s="5">
        <f>IFERROR(__xludf.DUMMYFUNCTION("""COMPUTED_VALUE"""),45271.66666666667)</f>
        <v>45271.66667</v>
      </c>
      <c r="E2446" s="3">
        <f>IFERROR(__xludf.DUMMYFUNCTION("""COMPUTED_VALUE"""),134.7)</f>
        <v>134.7</v>
      </c>
      <c r="F2446" s="3">
        <f t="shared" si="1"/>
        <v>-0.01429964662</v>
      </c>
    </row>
    <row r="2447">
      <c r="A2447" s="6"/>
      <c r="D2447" s="5">
        <f>IFERROR(__xludf.DUMMYFUNCTION("""COMPUTED_VALUE"""),45272.66666666667)</f>
        <v>45272.66667</v>
      </c>
      <c r="E2447" s="3">
        <f>IFERROR(__xludf.DUMMYFUNCTION("""COMPUTED_VALUE"""),133.64)</f>
        <v>133.64</v>
      </c>
      <c r="F2447" s="3">
        <f t="shared" si="1"/>
        <v>-0.007900465928</v>
      </c>
    </row>
    <row r="2448">
      <c r="A2448" s="6"/>
      <c r="D2448" s="5">
        <f>IFERROR(__xludf.DUMMYFUNCTION("""COMPUTED_VALUE"""),45273.66666666667)</f>
        <v>45273.66667</v>
      </c>
      <c r="E2448" s="3">
        <f>IFERROR(__xludf.DUMMYFUNCTION("""COMPUTED_VALUE"""),133.97)</f>
        <v>133.97</v>
      </c>
      <c r="F2448" s="3">
        <f t="shared" si="1"/>
        <v>0.0024662768</v>
      </c>
    </row>
    <row r="2449">
      <c r="A2449" s="6"/>
      <c r="D2449" s="5">
        <f>IFERROR(__xludf.DUMMYFUNCTION("""COMPUTED_VALUE"""),45274.66666666667)</f>
        <v>45274.66667</v>
      </c>
      <c r="E2449" s="3">
        <f>IFERROR(__xludf.DUMMYFUNCTION("""COMPUTED_VALUE"""),133.2)</f>
        <v>133.2</v>
      </c>
      <c r="F2449" s="3">
        <f t="shared" si="1"/>
        <v>-0.005764136183</v>
      </c>
    </row>
    <row r="2450">
      <c r="A2450" s="6"/>
      <c r="D2450" s="5">
        <f>IFERROR(__xludf.DUMMYFUNCTION("""COMPUTED_VALUE"""),45275.66666666667)</f>
        <v>45275.66667</v>
      </c>
      <c r="E2450" s="3">
        <f>IFERROR(__xludf.DUMMYFUNCTION("""COMPUTED_VALUE"""),133.84)</f>
        <v>133.84</v>
      </c>
      <c r="F2450" s="3">
        <f t="shared" si="1"/>
        <v>0.004793298572</v>
      </c>
    </row>
    <row r="2451">
      <c r="A2451" s="6"/>
      <c r="D2451" s="5">
        <f>IFERROR(__xludf.DUMMYFUNCTION("""COMPUTED_VALUE"""),45278.66666666667)</f>
        <v>45278.66667</v>
      </c>
      <c r="E2451" s="3">
        <f>IFERROR(__xludf.DUMMYFUNCTION("""COMPUTED_VALUE"""),137.19)</f>
        <v>137.19</v>
      </c>
      <c r="F2451" s="3">
        <f t="shared" si="1"/>
        <v>0.02472176966</v>
      </c>
    </row>
    <row r="2452">
      <c r="A2452" s="6"/>
      <c r="D2452" s="5">
        <f>IFERROR(__xludf.DUMMYFUNCTION("""COMPUTED_VALUE"""),45279.66666666667)</f>
        <v>45279.66667</v>
      </c>
      <c r="E2452" s="3">
        <f>IFERROR(__xludf.DUMMYFUNCTION("""COMPUTED_VALUE"""),138.1)</f>
        <v>138.1</v>
      </c>
      <c r="F2452" s="3">
        <f t="shared" si="1"/>
        <v>0.006611234077</v>
      </c>
    </row>
    <row r="2453">
      <c r="A2453" s="6"/>
      <c r="D2453" s="5">
        <f>IFERROR(__xludf.DUMMYFUNCTION("""COMPUTED_VALUE"""),45280.66666666667)</f>
        <v>45280.66667</v>
      </c>
      <c r="E2453" s="3">
        <f>IFERROR(__xludf.DUMMYFUNCTION("""COMPUTED_VALUE"""),139.66)</f>
        <v>139.66</v>
      </c>
      <c r="F2453" s="3">
        <f t="shared" si="1"/>
        <v>0.011232837</v>
      </c>
    </row>
    <row r="2454">
      <c r="A2454" s="6"/>
      <c r="D2454" s="5">
        <f>IFERROR(__xludf.DUMMYFUNCTION("""COMPUTED_VALUE"""),45281.66666666667)</f>
        <v>45281.66667</v>
      </c>
      <c r="E2454" s="3">
        <f>IFERROR(__xludf.DUMMYFUNCTION("""COMPUTED_VALUE"""),141.8)</f>
        <v>141.8</v>
      </c>
      <c r="F2454" s="3">
        <f t="shared" si="1"/>
        <v>0.01520671668</v>
      </c>
    </row>
    <row r="2455">
      <c r="A2455" s="6"/>
      <c r="D2455" s="5">
        <f>IFERROR(__xludf.DUMMYFUNCTION("""COMPUTED_VALUE"""),45282.66666666667)</f>
        <v>45282.66667</v>
      </c>
      <c r="E2455" s="3">
        <f>IFERROR(__xludf.DUMMYFUNCTION("""COMPUTED_VALUE"""),142.72)</f>
        <v>142.72</v>
      </c>
      <c r="F2455" s="3">
        <f t="shared" si="1"/>
        <v>0.006467054734</v>
      </c>
    </row>
    <row r="2456">
      <c r="A2456" s="6"/>
      <c r="D2456" s="5">
        <f>IFERROR(__xludf.DUMMYFUNCTION("""COMPUTED_VALUE"""),45286.66666666667)</f>
        <v>45286.66667</v>
      </c>
      <c r="E2456" s="3">
        <f>IFERROR(__xludf.DUMMYFUNCTION("""COMPUTED_VALUE"""),142.82)</f>
        <v>142.82</v>
      </c>
      <c r="F2456" s="3">
        <f t="shared" si="1"/>
        <v>0.0007004272893</v>
      </c>
    </row>
    <row r="2457">
      <c r="A2457" s="6"/>
      <c r="D2457" s="5">
        <f>IFERROR(__xludf.DUMMYFUNCTION("""COMPUTED_VALUE"""),45287.66666666667)</f>
        <v>45287.66667</v>
      </c>
      <c r="E2457" s="3">
        <f>IFERROR(__xludf.DUMMYFUNCTION("""COMPUTED_VALUE"""),141.44)</f>
        <v>141.44</v>
      </c>
      <c r="F2457" s="3">
        <f t="shared" si="1"/>
        <v>-0.009709497232</v>
      </c>
    </row>
    <row r="2458">
      <c r="A2458" s="6"/>
      <c r="D2458" s="5">
        <f>IFERROR(__xludf.DUMMYFUNCTION("""COMPUTED_VALUE"""),45288.66666666667)</f>
        <v>45288.66667</v>
      </c>
      <c r="E2458" s="3">
        <f>IFERROR(__xludf.DUMMYFUNCTION("""COMPUTED_VALUE"""),141.28)</f>
        <v>141.28</v>
      </c>
      <c r="F2458" s="3">
        <f t="shared" si="1"/>
        <v>-0.001131862034</v>
      </c>
    </row>
    <row r="2459">
      <c r="A2459" s="6"/>
      <c r="D2459" s="5">
        <f>IFERROR(__xludf.DUMMYFUNCTION("""COMPUTED_VALUE"""),45289.66666666667)</f>
        <v>45289.66667</v>
      </c>
      <c r="E2459" s="3">
        <f>IFERROR(__xludf.DUMMYFUNCTION("""COMPUTED_VALUE"""),140.93)</f>
        <v>140.93</v>
      </c>
      <c r="F2459" s="3">
        <f t="shared" si="1"/>
        <v>-0.002480423652</v>
      </c>
    </row>
    <row r="2460">
      <c r="A2460" s="6"/>
      <c r="D2460" s="5">
        <f>IFERROR(__xludf.DUMMYFUNCTION("""COMPUTED_VALUE"""),45293.66666666667)</f>
        <v>45293.66667</v>
      </c>
      <c r="E2460" s="3">
        <f>IFERROR(__xludf.DUMMYFUNCTION("""COMPUTED_VALUE"""),139.56)</f>
        <v>139.56</v>
      </c>
      <c r="F2460" s="3">
        <f t="shared" si="1"/>
        <v>-0.009768696885</v>
      </c>
    </row>
    <row r="2461">
      <c r="A2461" s="6"/>
      <c r="D2461" s="5">
        <f>IFERROR(__xludf.DUMMYFUNCTION("""COMPUTED_VALUE"""),45294.66666666667)</f>
        <v>45294.66667</v>
      </c>
      <c r="E2461" s="3">
        <f>IFERROR(__xludf.DUMMYFUNCTION("""COMPUTED_VALUE"""),140.36)</f>
        <v>140.36</v>
      </c>
      <c r="F2461" s="3">
        <f t="shared" si="1"/>
        <v>0.005715934396</v>
      </c>
    </row>
    <row r="2462">
      <c r="A2462" s="6"/>
      <c r="D2462" s="5">
        <f>IFERROR(__xludf.DUMMYFUNCTION("""COMPUTED_VALUE"""),45295.66666666667)</f>
        <v>45295.66667</v>
      </c>
      <c r="E2462" s="3">
        <f>IFERROR(__xludf.DUMMYFUNCTION("""COMPUTED_VALUE"""),138.04)</f>
        <v>138.04</v>
      </c>
      <c r="F2462" s="3">
        <f t="shared" si="1"/>
        <v>-0.01666705249</v>
      </c>
    </row>
    <row r="2463">
      <c r="A2463" s="6"/>
      <c r="D2463" s="5">
        <f>IFERROR(__xludf.DUMMYFUNCTION("""COMPUTED_VALUE"""),45296.66666666667)</f>
        <v>45296.66667</v>
      </c>
      <c r="E2463" s="3">
        <f>IFERROR(__xludf.DUMMYFUNCTION("""COMPUTED_VALUE"""),137.39)</f>
        <v>137.39</v>
      </c>
      <c r="F2463" s="3">
        <f t="shared" si="1"/>
        <v>-0.004719901294</v>
      </c>
    </row>
    <row r="2464">
      <c r="A2464" s="6"/>
      <c r="D2464" s="5">
        <f>IFERROR(__xludf.DUMMYFUNCTION("""COMPUTED_VALUE"""),45299.66666666667)</f>
        <v>45299.66667</v>
      </c>
      <c r="E2464" s="3">
        <f>IFERROR(__xludf.DUMMYFUNCTION("""COMPUTED_VALUE"""),140.53)</f>
        <v>140.53</v>
      </c>
      <c r="F2464" s="3">
        <f t="shared" si="1"/>
        <v>0.02259739218</v>
      </c>
    </row>
    <row r="2465">
      <c r="A2465" s="6"/>
      <c r="D2465" s="5">
        <f>IFERROR(__xludf.DUMMYFUNCTION("""COMPUTED_VALUE"""),45300.66666666667)</f>
        <v>45300.66667</v>
      </c>
      <c r="E2465" s="3">
        <f>IFERROR(__xludf.DUMMYFUNCTION("""COMPUTED_VALUE"""),142.56)</f>
        <v>142.56</v>
      </c>
      <c r="F2465" s="3">
        <f t="shared" si="1"/>
        <v>0.01434197461</v>
      </c>
    </row>
    <row r="2466">
      <c r="A2466" s="6"/>
      <c r="D2466" s="5">
        <f>IFERROR(__xludf.DUMMYFUNCTION("""COMPUTED_VALUE"""),45301.66666666667)</f>
        <v>45301.66667</v>
      </c>
      <c r="E2466" s="3">
        <f>IFERROR(__xludf.DUMMYFUNCTION("""COMPUTED_VALUE"""),143.8)</f>
        <v>143.8</v>
      </c>
      <c r="F2466" s="3">
        <f t="shared" si="1"/>
        <v>0.008660481564</v>
      </c>
    </row>
    <row r="2467">
      <c r="A2467" s="6"/>
      <c r="D2467" s="5">
        <f>IFERROR(__xludf.DUMMYFUNCTION("""COMPUTED_VALUE"""),45302.66666666667)</f>
        <v>45302.66667</v>
      </c>
      <c r="E2467" s="3">
        <f>IFERROR(__xludf.DUMMYFUNCTION("""COMPUTED_VALUE"""),143.67)</f>
        <v>143.67</v>
      </c>
      <c r="F2467" s="3">
        <f t="shared" si="1"/>
        <v>-0.0009044422643</v>
      </c>
    </row>
    <row r="2468">
      <c r="A2468" s="6"/>
      <c r="D2468" s="5">
        <f>IFERROR(__xludf.DUMMYFUNCTION("""COMPUTED_VALUE"""),45303.66666666667)</f>
        <v>45303.66667</v>
      </c>
      <c r="E2468" s="3">
        <f>IFERROR(__xludf.DUMMYFUNCTION("""COMPUTED_VALUE"""),144.24)</f>
        <v>144.24</v>
      </c>
      <c r="F2468" s="3">
        <f t="shared" si="1"/>
        <v>0.003959575872</v>
      </c>
    </row>
    <row r="2469">
      <c r="A2469" s="6"/>
      <c r="D2469" s="5">
        <f>IFERROR(__xludf.DUMMYFUNCTION("""COMPUTED_VALUE"""),45307.66666666667)</f>
        <v>45307.66667</v>
      </c>
      <c r="E2469" s="3">
        <f>IFERROR(__xludf.DUMMYFUNCTION("""COMPUTED_VALUE"""),144.08)</f>
        <v>144.08</v>
      </c>
      <c r="F2469" s="3">
        <f t="shared" si="1"/>
        <v>-0.001109878027</v>
      </c>
    </row>
    <row r="2470">
      <c r="A2470" s="6"/>
      <c r="D2470" s="5">
        <f>IFERROR(__xludf.DUMMYFUNCTION("""COMPUTED_VALUE"""),45308.66666666667)</f>
        <v>45308.66667</v>
      </c>
      <c r="E2470" s="3">
        <f>IFERROR(__xludf.DUMMYFUNCTION("""COMPUTED_VALUE"""),142.89)</f>
        <v>142.89</v>
      </c>
      <c r="F2470" s="3">
        <f t="shared" si="1"/>
        <v>-0.008293597387</v>
      </c>
    </row>
    <row r="2471">
      <c r="A2471" s="6"/>
      <c r="D2471" s="5">
        <f>IFERROR(__xludf.DUMMYFUNCTION("""COMPUTED_VALUE"""),45309.66666666667)</f>
        <v>45309.66667</v>
      </c>
      <c r="E2471" s="3">
        <f>IFERROR(__xludf.DUMMYFUNCTION("""COMPUTED_VALUE"""),144.99)</f>
        <v>144.99</v>
      </c>
      <c r="F2471" s="3">
        <f t="shared" si="1"/>
        <v>0.01458967104</v>
      </c>
    </row>
    <row r="2472">
      <c r="A2472" s="6"/>
      <c r="D2472" s="5">
        <f>IFERROR(__xludf.DUMMYFUNCTION("""COMPUTED_VALUE"""),45310.66666666667)</f>
        <v>45310.66667</v>
      </c>
      <c r="E2472" s="3">
        <f>IFERROR(__xludf.DUMMYFUNCTION("""COMPUTED_VALUE"""),147.97)</f>
        <v>147.97</v>
      </c>
      <c r="F2472" s="3">
        <f t="shared" si="1"/>
        <v>0.02034477599</v>
      </c>
    </row>
    <row r="2473">
      <c r="A2473" s="6"/>
      <c r="D2473" s="5">
        <f>IFERROR(__xludf.DUMMYFUNCTION("""COMPUTED_VALUE"""),45313.66666666667)</f>
        <v>45313.66667</v>
      </c>
      <c r="E2473" s="3">
        <f>IFERROR(__xludf.DUMMYFUNCTION("""COMPUTED_VALUE"""),147.71)</f>
        <v>147.71</v>
      </c>
      <c r="F2473" s="3">
        <f t="shared" si="1"/>
        <v>-0.001758658462</v>
      </c>
    </row>
    <row r="2474">
      <c r="A2474" s="6"/>
      <c r="D2474" s="5">
        <f>IFERROR(__xludf.DUMMYFUNCTION("""COMPUTED_VALUE"""),45314.66666666667)</f>
        <v>45314.66667</v>
      </c>
      <c r="E2474" s="3">
        <f>IFERROR(__xludf.DUMMYFUNCTION("""COMPUTED_VALUE"""),148.68)</f>
        <v>148.68</v>
      </c>
      <c r="F2474" s="3">
        <f t="shared" si="1"/>
        <v>0.006545453377</v>
      </c>
    </row>
    <row r="2475">
      <c r="A2475" s="6"/>
      <c r="D2475" s="5">
        <f>IFERROR(__xludf.DUMMYFUNCTION("""COMPUTED_VALUE"""),45315.66666666667)</f>
        <v>45315.66667</v>
      </c>
      <c r="E2475" s="3">
        <f>IFERROR(__xludf.DUMMYFUNCTION("""COMPUTED_VALUE"""),150.35)</f>
        <v>150.35</v>
      </c>
      <c r="F2475" s="3">
        <f t="shared" si="1"/>
        <v>0.01116956401</v>
      </c>
    </row>
    <row r="2476">
      <c r="A2476" s="6"/>
      <c r="D2476" s="5">
        <f>IFERROR(__xludf.DUMMYFUNCTION("""COMPUTED_VALUE"""),45316.66666666667)</f>
        <v>45316.66667</v>
      </c>
      <c r="E2476" s="3">
        <f>IFERROR(__xludf.DUMMYFUNCTION("""COMPUTED_VALUE"""),153.64)</f>
        <v>153.64</v>
      </c>
      <c r="F2476" s="3">
        <f t="shared" si="1"/>
        <v>0.02164629404</v>
      </c>
    </row>
    <row r="2477">
      <c r="A2477" s="6"/>
      <c r="D2477" s="5">
        <f>IFERROR(__xludf.DUMMYFUNCTION("""COMPUTED_VALUE"""),45317.66666666667)</f>
        <v>45317.66667</v>
      </c>
      <c r="E2477" s="3">
        <f>IFERROR(__xludf.DUMMYFUNCTION("""COMPUTED_VALUE"""),153.79)</f>
        <v>153.79</v>
      </c>
      <c r="F2477" s="3">
        <f t="shared" si="1"/>
        <v>0.0009758319741</v>
      </c>
    </row>
    <row r="2478">
      <c r="A2478" s="6"/>
      <c r="D2478" s="5">
        <f>IFERROR(__xludf.DUMMYFUNCTION("""COMPUTED_VALUE"""),45320.66666666667)</f>
        <v>45320.66667</v>
      </c>
      <c r="E2478" s="3">
        <f>IFERROR(__xludf.DUMMYFUNCTION("""COMPUTED_VALUE"""),154.84)</f>
        <v>154.84</v>
      </c>
      <c r="F2478" s="3">
        <f t="shared" si="1"/>
        <v>0.006804290258</v>
      </c>
    </row>
    <row r="2479">
      <c r="A2479" s="6"/>
      <c r="D2479" s="5">
        <f>IFERROR(__xludf.DUMMYFUNCTION("""COMPUTED_VALUE"""),45321.66666666667)</f>
        <v>45321.66667</v>
      </c>
      <c r="E2479" s="3">
        <f>IFERROR(__xludf.DUMMYFUNCTION("""COMPUTED_VALUE"""),153.05)</f>
        <v>153.05</v>
      </c>
      <c r="F2479" s="3">
        <f t="shared" si="1"/>
        <v>-0.01162766032</v>
      </c>
    </row>
    <row r="2480">
      <c r="A2480" s="6"/>
      <c r="D2480" s="5">
        <f>IFERROR(__xludf.DUMMYFUNCTION("""COMPUTED_VALUE"""),45322.66666666667)</f>
        <v>45322.66667</v>
      </c>
      <c r="E2480" s="3">
        <f>IFERROR(__xludf.DUMMYFUNCTION("""COMPUTED_VALUE"""),141.8)</f>
        <v>141.8</v>
      </c>
      <c r="F2480" s="3">
        <f t="shared" si="1"/>
        <v>-0.07634705129</v>
      </c>
    </row>
    <row r="2481">
      <c r="A2481" s="6"/>
      <c r="D2481" s="5">
        <f>IFERROR(__xludf.DUMMYFUNCTION("""COMPUTED_VALUE"""),45323.66666666667)</f>
        <v>45323.66667</v>
      </c>
      <c r="E2481" s="3">
        <f>IFERROR(__xludf.DUMMYFUNCTION("""COMPUTED_VALUE"""),142.71)</f>
        <v>142.71</v>
      </c>
      <c r="F2481" s="3">
        <f t="shared" si="1"/>
        <v>0.006396985014</v>
      </c>
    </row>
    <row r="2482">
      <c r="A2482" s="6"/>
      <c r="D2482" s="5">
        <f>IFERROR(__xludf.DUMMYFUNCTION("""COMPUTED_VALUE"""),45324.66666666667)</f>
        <v>45324.66667</v>
      </c>
      <c r="E2482" s="3">
        <f>IFERROR(__xludf.DUMMYFUNCTION("""COMPUTED_VALUE"""),143.54)</f>
        <v>143.54</v>
      </c>
      <c r="F2482" s="3">
        <f t="shared" si="1"/>
        <v>0.00579914289</v>
      </c>
    </row>
    <row r="2483">
      <c r="A2483" s="6"/>
      <c r="D2483" s="5">
        <f>IFERROR(__xludf.DUMMYFUNCTION("""COMPUTED_VALUE"""),45327.66666666667)</f>
        <v>45327.66667</v>
      </c>
      <c r="E2483" s="3">
        <f>IFERROR(__xludf.DUMMYFUNCTION("""COMPUTED_VALUE"""),144.93)</f>
        <v>144.93</v>
      </c>
      <c r="F2483" s="3">
        <f t="shared" si="1"/>
        <v>0.009637125232</v>
      </c>
    </row>
    <row r="2484">
      <c r="A2484" s="6"/>
      <c r="D2484" s="5">
        <f>IFERROR(__xludf.DUMMYFUNCTION("""COMPUTED_VALUE"""),45328.66666666667)</f>
        <v>45328.66667</v>
      </c>
      <c r="E2484" s="3">
        <f>IFERROR(__xludf.DUMMYFUNCTION("""COMPUTED_VALUE"""),145.41)</f>
        <v>145.41</v>
      </c>
      <c r="F2484" s="3">
        <f t="shared" si="1"/>
        <v>0.003306471291</v>
      </c>
    </row>
    <row r="2485">
      <c r="A2485" s="6"/>
      <c r="D2485" s="5">
        <f>IFERROR(__xludf.DUMMYFUNCTION("""COMPUTED_VALUE"""),45329.66666666667)</f>
        <v>45329.66667</v>
      </c>
      <c r="E2485" s="3">
        <f>IFERROR(__xludf.DUMMYFUNCTION("""COMPUTED_VALUE"""),146.68)</f>
        <v>146.68</v>
      </c>
      <c r="F2485" s="3">
        <f t="shared" si="1"/>
        <v>0.008696004678</v>
      </c>
    </row>
    <row r="2486">
      <c r="A2486" s="6"/>
      <c r="D2486" s="5">
        <f>IFERROR(__xludf.DUMMYFUNCTION("""COMPUTED_VALUE"""),45330.66666666667)</f>
        <v>45330.66667</v>
      </c>
      <c r="E2486" s="3">
        <f>IFERROR(__xludf.DUMMYFUNCTION("""COMPUTED_VALUE"""),147.22)</f>
        <v>147.22</v>
      </c>
      <c r="F2486" s="3">
        <f t="shared" si="1"/>
        <v>0.003674723427</v>
      </c>
    </row>
    <row r="2487">
      <c r="A2487" s="6"/>
      <c r="D2487" s="5">
        <f>IFERROR(__xludf.DUMMYFUNCTION("""COMPUTED_VALUE"""),45331.66666666667)</f>
        <v>45331.66667</v>
      </c>
      <c r="E2487" s="3">
        <f>IFERROR(__xludf.DUMMYFUNCTION("""COMPUTED_VALUE"""),150.22)</f>
        <v>150.22</v>
      </c>
      <c r="F2487" s="3">
        <f t="shared" si="1"/>
        <v>0.02017281963</v>
      </c>
    </row>
    <row r="2488">
      <c r="A2488" s="6"/>
      <c r="D2488" s="5">
        <f>IFERROR(__xludf.DUMMYFUNCTION("""COMPUTED_VALUE"""),45334.66666666667)</f>
        <v>45334.66667</v>
      </c>
      <c r="E2488" s="3">
        <f>IFERROR(__xludf.DUMMYFUNCTION("""COMPUTED_VALUE"""),148.73)</f>
        <v>148.73</v>
      </c>
      <c r="F2488" s="3">
        <f t="shared" si="1"/>
        <v>-0.009968304653</v>
      </c>
    </row>
    <row r="2489">
      <c r="A2489" s="6"/>
      <c r="D2489" s="5">
        <f>IFERROR(__xludf.DUMMYFUNCTION("""COMPUTED_VALUE"""),45335.66666666667)</f>
        <v>45335.66667</v>
      </c>
      <c r="E2489" s="3">
        <f>IFERROR(__xludf.DUMMYFUNCTION("""COMPUTED_VALUE"""),146.37)</f>
        <v>146.37</v>
      </c>
      <c r="F2489" s="3">
        <f t="shared" si="1"/>
        <v>-0.01599491911</v>
      </c>
    </row>
    <row r="2490">
      <c r="A2490" s="6"/>
      <c r="D2490" s="5">
        <f>IFERROR(__xludf.DUMMYFUNCTION("""COMPUTED_VALUE"""),45336.66666666667)</f>
        <v>45336.66667</v>
      </c>
      <c r="E2490" s="3">
        <f>IFERROR(__xludf.DUMMYFUNCTION("""COMPUTED_VALUE"""),147.14)</f>
        <v>147.14</v>
      </c>
      <c r="F2490" s="3">
        <f t="shared" si="1"/>
        <v>0.005246852008</v>
      </c>
    </row>
    <row r="2491">
      <c r="A2491" s="6"/>
      <c r="D2491" s="5">
        <f>IFERROR(__xludf.DUMMYFUNCTION("""COMPUTED_VALUE"""),45337.66666666667)</f>
        <v>45337.66667</v>
      </c>
      <c r="E2491" s="3">
        <f>IFERROR(__xludf.DUMMYFUNCTION("""COMPUTED_VALUE"""),143.94)</f>
        <v>143.94</v>
      </c>
      <c r="F2491" s="3">
        <f t="shared" si="1"/>
        <v>-0.02198796842</v>
      </c>
    </row>
    <row r="2492">
      <c r="A2492" s="6"/>
      <c r="D2492" s="5">
        <f>IFERROR(__xludf.DUMMYFUNCTION("""COMPUTED_VALUE"""),45338.66666666667)</f>
        <v>45338.66667</v>
      </c>
      <c r="E2492" s="3">
        <f>IFERROR(__xludf.DUMMYFUNCTION("""COMPUTED_VALUE"""),141.76)</f>
        <v>141.76</v>
      </c>
      <c r="F2492" s="3">
        <f t="shared" si="1"/>
        <v>-0.01526105922</v>
      </c>
    </row>
    <row r="2493">
      <c r="A2493" s="6"/>
      <c r="D2493" s="5">
        <f>IFERROR(__xludf.DUMMYFUNCTION("""COMPUTED_VALUE"""),45342.66666666667)</f>
        <v>45342.66667</v>
      </c>
      <c r="E2493" s="3">
        <f>IFERROR(__xludf.DUMMYFUNCTION("""COMPUTED_VALUE"""),142.2)</f>
        <v>142.2</v>
      </c>
      <c r="F2493" s="3">
        <f t="shared" si="1"/>
        <v>0.003099030512</v>
      </c>
    </row>
    <row r="2494">
      <c r="A2494" s="6"/>
      <c r="D2494" s="5">
        <f>IFERROR(__xludf.DUMMYFUNCTION("""COMPUTED_VALUE"""),45343.66666666667)</f>
        <v>45343.66667</v>
      </c>
      <c r="E2494" s="3">
        <f>IFERROR(__xludf.DUMMYFUNCTION("""COMPUTED_VALUE"""),143.84)</f>
        <v>143.84</v>
      </c>
      <c r="F2494" s="3">
        <f t="shared" si="1"/>
        <v>0.01146705335</v>
      </c>
    </row>
    <row r="2495">
      <c r="A2495" s="6"/>
      <c r="D2495" s="5">
        <f>IFERROR(__xludf.DUMMYFUNCTION("""COMPUTED_VALUE"""),45344.66666666667)</f>
        <v>45344.66667</v>
      </c>
      <c r="E2495" s="3">
        <f>IFERROR(__xludf.DUMMYFUNCTION("""COMPUTED_VALUE"""),145.32)</f>
        <v>145.32</v>
      </c>
      <c r="F2495" s="3">
        <f t="shared" si="1"/>
        <v>0.01023663663</v>
      </c>
    </row>
    <row r="2496">
      <c r="A2496" s="6"/>
      <c r="D2496" s="5">
        <f>IFERROR(__xludf.DUMMYFUNCTION("""COMPUTED_VALUE"""),45345.66666666667)</f>
        <v>45345.66667</v>
      </c>
      <c r="E2496" s="3">
        <f>IFERROR(__xludf.DUMMYFUNCTION("""COMPUTED_VALUE"""),145.29)</f>
        <v>145.29</v>
      </c>
      <c r="F2496" s="3">
        <f t="shared" si="1"/>
        <v>-0.0002064622698</v>
      </c>
    </row>
    <row r="2497">
      <c r="A2497" s="6"/>
      <c r="D2497" s="5">
        <f>IFERROR(__xludf.DUMMYFUNCTION("""COMPUTED_VALUE"""),45348.66666666667)</f>
        <v>45348.66667</v>
      </c>
      <c r="E2497" s="3">
        <f>IFERROR(__xludf.DUMMYFUNCTION("""COMPUTED_VALUE"""),138.75)</f>
        <v>138.75</v>
      </c>
      <c r="F2497" s="3">
        <f t="shared" si="1"/>
        <v>-0.04605799246</v>
      </c>
    </row>
    <row r="2498">
      <c r="A2498" s="6"/>
      <c r="D2498" s="5">
        <f>IFERROR(__xludf.DUMMYFUNCTION("""COMPUTED_VALUE"""),45349.66666666667)</f>
        <v>45349.66667</v>
      </c>
      <c r="E2498" s="3">
        <f>IFERROR(__xludf.DUMMYFUNCTION("""COMPUTED_VALUE"""),140.1)</f>
        <v>140.1</v>
      </c>
      <c r="F2498" s="3">
        <f t="shared" si="1"/>
        <v>0.009682700716</v>
      </c>
    </row>
    <row r="2499">
      <c r="A2499" s="6"/>
      <c r="D2499" s="5">
        <f>IFERROR(__xludf.DUMMYFUNCTION("""COMPUTED_VALUE"""),45350.66666666667)</f>
        <v>45350.66667</v>
      </c>
      <c r="E2499" s="3">
        <f>IFERROR(__xludf.DUMMYFUNCTION("""COMPUTED_VALUE"""),137.43)</f>
        <v>137.43</v>
      </c>
      <c r="F2499" s="3">
        <f t="shared" si="1"/>
        <v>-0.01924175678</v>
      </c>
    </row>
    <row r="2500">
      <c r="A2500" s="6"/>
      <c r="D2500" s="5">
        <f>IFERROR(__xludf.DUMMYFUNCTION("""COMPUTED_VALUE"""),45351.66666666667)</f>
        <v>45351.66667</v>
      </c>
      <c r="E2500" s="3">
        <f>IFERROR(__xludf.DUMMYFUNCTION("""COMPUTED_VALUE"""),139.78)</f>
        <v>139.78</v>
      </c>
      <c r="F2500" s="3">
        <f t="shared" si="1"/>
        <v>0.01695506148</v>
      </c>
    </row>
    <row r="2501">
      <c r="A2501" s="6"/>
      <c r="D2501" s="5">
        <f>IFERROR(__xludf.DUMMYFUNCTION("""COMPUTED_VALUE"""),45352.66666666667)</f>
        <v>45352.66667</v>
      </c>
      <c r="E2501" s="3">
        <f>IFERROR(__xludf.DUMMYFUNCTION("""COMPUTED_VALUE"""),138.08)</f>
        <v>138.08</v>
      </c>
      <c r="F2501" s="3">
        <f t="shared" si="1"/>
        <v>-0.01223653071</v>
      </c>
    </row>
    <row r="2502">
      <c r="A2502" s="6"/>
      <c r="D2502" s="5">
        <f>IFERROR(__xludf.DUMMYFUNCTION("""COMPUTED_VALUE"""),45355.66666666667)</f>
        <v>45355.66667</v>
      </c>
      <c r="E2502" s="3">
        <f>IFERROR(__xludf.DUMMYFUNCTION("""COMPUTED_VALUE"""),134.2)</f>
        <v>134.2</v>
      </c>
      <c r="F2502" s="3">
        <f t="shared" si="1"/>
        <v>-0.0285020028</v>
      </c>
    </row>
    <row r="2503">
      <c r="A2503" s="6"/>
      <c r="D2503" s="5">
        <f>IFERROR(__xludf.DUMMYFUNCTION("""COMPUTED_VALUE"""),45356.66666666667)</f>
        <v>45356.66667</v>
      </c>
      <c r="E2503" s="3">
        <f>IFERROR(__xludf.DUMMYFUNCTION("""COMPUTED_VALUE"""),133.78)</f>
        <v>133.78</v>
      </c>
      <c r="F2503" s="3">
        <f t="shared" si="1"/>
        <v>-0.003134564847</v>
      </c>
    </row>
    <row r="2504">
      <c r="A2504" s="6"/>
      <c r="D2504" s="5">
        <f>IFERROR(__xludf.DUMMYFUNCTION("""COMPUTED_VALUE"""),45357.66666666667)</f>
        <v>45357.66667</v>
      </c>
      <c r="E2504" s="3">
        <f>IFERROR(__xludf.DUMMYFUNCTION("""COMPUTED_VALUE"""),132.56)</f>
        <v>132.56</v>
      </c>
      <c r="F2504" s="3">
        <f t="shared" si="1"/>
        <v>-0.009161286572</v>
      </c>
    </row>
    <row r="2505">
      <c r="A2505" s="6"/>
      <c r="D2505" s="5">
        <f>IFERROR(__xludf.DUMMYFUNCTION("""COMPUTED_VALUE"""),45358.66666666667)</f>
        <v>45358.66667</v>
      </c>
      <c r="E2505" s="3">
        <f>IFERROR(__xludf.DUMMYFUNCTION("""COMPUTED_VALUE"""),135.24)</f>
        <v>135.24</v>
      </c>
      <c r="F2505" s="3">
        <f t="shared" si="1"/>
        <v>0.02001560472</v>
      </c>
    </row>
    <row r="2506">
      <c r="A2506" s="6"/>
      <c r="D2506" s="5">
        <f>IFERROR(__xludf.DUMMYFUNCTION("""COMPUTED_VALUE"""),45359.66666666667)</f>
        <v>45359.66667</v>
      </c>
      <c r="E2506" s="3">
        <f>IFERROR(__xludf.DUMMYFUNCTION("""COMPUTED_VALUE"""),136.29)</f>
        <v>136.29</v>
      </c>
      <c r="F2506" s="3">
        <f t="shared" si="1"/>
        <v>0.0077339906</v>
      </c>
    </row>
    <row r="2507">
      <c r="A2507" s="6"/>
      <c r="D2507" s="5">
        <f>IFERROR(__xludf.DUMMYFUNCTION("""COMPUTED_VALUE"""),45362.66666666667)</f>
        <v>45362.66667</v>
      </c>
      <c r="E2507" s="3">
        <f>IFERROR(__xludf.DUMMYFUNCTION("""COMPUTED_VALUE"""),138.94)</f>
        <v>138.94</v>
      </c>
      <c r="F2507" s="3">
        <f t="shared" si="1"/>
        <v>0.01925721683</v>
      </c>
    </row>
    <row r="2508">
      <c r="A2508" s="6"/>
      <c r="D2508" s="5">
        <f>IFERROR(__xludf.DUMMYFUNCTION("""COMPUTED_VALUE"""),45363.66666666667)</f>
        <v>45363.66667</v>
      </c>
      <c r="E2508" s="3">
        <f>IFERROR(__xludf.DUMMYFUNCTION("""COMPUTED_VALUE"""),139.62)</f>
        <v>139.62</v>
      </c>
      <c r="F2508" s="3">
        <f t="shared" si="1"/>
        <v>0.004882261278</v>
      </c>
    </row>
    <row r="2509">
      <c r="A2509" s="6"/>
      <c r="D2509" s="5">
        <f>IFERROR(__xludf.DUMMYFUNCTION("""COMPUTED_VALUE"""),45364.66666666667)</f>
        <v>45364.66667</v>
      </c>
      <c r="E2509" s="3">
        <f>IFERROR(__xludf.DUMMYFUNCTION("""COMPUTED_VALUE"""),140.77)</f>
        <v>140.77</v>
      </c>
      <c r="F2509" s="3">
        <f t="shared" si="1"/>
        <v>0.008202906298</v>
      </c>
    </row>
    <row r="2510">
      <c r="A2510" s="6"/>
      <c r="D2510" s="5">
        <f>IFERROR(__xludf.DUMMYFUNCTION("""COMPUTED_VALUE"""),45365.66666666667)</f>
        <v>45365.66667</v>
      </c>
      <c r="E2510" s="3">
        <f>IFERROR(__xludf.DUMMYFUNCTION("""COMPUTED_VALUE"""),144.34)</f>
        <v>144.34</v>
      </c>
      <c r="F2510" s="3">
        <f t="shared" si="1"/>
        <v>0.0250442748</v>
      </c>
    </row>
    <row r="2511">
      <c r="A2511" s="6"/>
      <c r="D2511" s="5">
        <f>IFERROR(__xludf.DUMMYFUNCTION("""COMPUTED_VALUE"""),45366.66666666667)</f>
        <v>45366.66667</v>
      </c>
      <c r="E2511" s="3">
        <f>IFERROR(__xludf.DUMMYFUNCTION("""COMPUTED_VALUE"""),142.17)</f>
        <v>142.17</v>
      </c>
      <c r="F2511" s="3">
        <f t="shared" si="1"/>
        <v>-0.015148103</v>
      </c>
    </row>
    <row r="2512">
      <c r="A2512" s="6"/>
      <c r="D2512" s="5">
        <f>IFERROR(__xludf.DUMMYFUNCTION("""COMPUTED_VALUE"""),45369.66666666667)</f>
        <v>45369.66667</v>
      </c>
      <c r="E2512" s="3">
        <f>IFERROR(__xludf.DUMMYFUNCTION("""COMPUTED_VALUE"""),148.48)</f>
        <v>148.48</v>
      </c>
      <c r="F2512" s="3">
        <f t="shared" si="1"/>
        <v>0.04342674439</v>
      </c>
    </row>
    <row r="2513">
      <c r="A2513" s="6"/>
      <c r="D2513" s="5">
        <f>IFERROR(__xludf.DUMMYFUNCTION("""COMPUTED_VALUE"""),45370.66666666667)</f>
        <v>45370.66667</v>
      </c>
      <c r="E2513" s="3">
        <f>IFERROR(__xludf.DUMMYFUNCTION("""COMPUTED_VALUE"""),147.92)</f>
        <v>147.92</v>
      </c>
      <c r="F2513" s="3">
        <f t="shared" si="1"/>
        <v>-0.003778681959</v>
      </c>
    </row>
    <row r="2514">
      <c r="A2514" s="6"/>
      <c r="D2514" s="5">
        <f>IFERROR(__xludf.DUMMYFUNCTION("""COMPUTED_VALUE"""),45371.66666666667)</f>
        <v>45371.66667</v>
      </c>
      <c r="E2514" s="3">
        <f>IFERROR(__xludf.DUMMYFUNCTION("""COMPUTED_VALUE"""),149.68)</f>
        <v>149.68</v>
      </c>
      <c r="F2514" s="3">
        <f t="shared" si="1"/>
        <v>0.01182809489</v>
      </c>
    </row>
    <row r="2515">
      <c r="A2515" s="6"/>
      <c r="D2515" s="5">
        <f>IFERROR(__xludf.DUMMYFUNCTION("""COMPUTED_VALUE"""),45372.66666666667)</f>
        <v>45372.66667</v>
      </c>
      <c r="E2515" s="3">
        <f>IFERROR(__xludf.DUMMYFUNCTION("""COMPUTED_VALUE"""),148.74)</f>
        <v>148.74</v>
      </c>
      <c r="F2515" s="3">
        <f t="shared" si="1"/>
        <v>-0.006299866691</v>
      </c>
    </row>
    <row r="2516">
      <c r="A2516" s="6"/>
      <c r="D2516" s="5">
        <f>IFERROR(__xludf.DUMMYFUNCTION("""COMPUTED_VALUE"""),45373.66666666667)</f>
        <v>45373.66667</v>
      </c>
      <c r="E2516" s="3">
        <f>IFERROR(__xludf.DUMMYFUNCTION("""COMPUTED_VALUE"""),151.77)</f>
        <v>151.77</v>
      </c>
      <c r="F2516" s="3">
        <f t="shared" si="1"/>
        <v>0.0201664017</v>
      </c>
    </row>
    <row r="2517">
      <c r="A2517" s="6"/>
      <c r="D2517" s="5">
        <f>IFERROR(__xludf.DUMMYFUNCTION("""COMPUTED_VALUE"""),45376.66666666667)</f>
        <v>45376.66667</v>
      </c>
      <c r="E2517" s="3">
        <f>IFERROR(__xludf.DUMMYFUNCTION("""COMPUTED_VALUE"""),151.15)</f>
        <v>151.15</v>
      </c>
      <c r="F2517" s="3">
        <f t="shared" si="1"/>
        <v>-0.004093495746</v>
      </c>
    </row>
    <row r="2518">
      <c r="A2518" s="6"/>
      <c r="D2518" s="5">
        <f>IFERROR(__xludf.DUMMYFUNCTION("""COMPUTED_VALUE"""),45377.66666666667)</f>
        <v>45377.66667</v>
      </c>
      <c r="E2518" s="3">
        <f>IFERROR(__xludf.DUMMYFUNCTION("""COMPUTED_VALUE"""),151.7)</f>
        <v>151.7</v>
      </c>
      <c r="F2518" s="3">
        <f t="shared" si="1"/>
        <v>0.003632165129</v>
      </c>
    </row>
    <row r="2519">
      <c r="A2519" s="6"/>
      <c r="D2519" s="5">
        <f>IFERROR(__xludf.DUMMYFUNCTION("""COMPUTED_VALUE"""),45378.66666666667)</f>
        <v>45378.66667</v>
      </c>
      <c r="E2519" s="3">
        <f>IFERROR(__xludf.DUMMYFUNCTION("""COMPUTED_VALUE"""),151.94)</f>
        <v>151.94</v>
      </c>
      <c r="F2519" s="3">
        <f t="shared" si="1"/>
        <v>0.001580819721</v>
      </c>
    </row>
    <row r="2520">
      <c r="A2520" s="6"/>
      <c r="D2520" s="5">
        <f>IFERROR(__xludf.DUMMYFUNCTION("""COMPUTED_VALUE"""),45379.66666666667)</f>
        <v>45379.66667</v>
      </c>
      <c r="E2520" s="3">
        <f>IFERROR(__xludf.DUMMYFUNCTION("""COMPUTED_VALUE"""),152.26)</f>
        <v>152.26</v>
      </c>
      <c r="F2520" s="3">
        <f t="shared" si="1"/>
        <v>0.002103879803</v>
      </c>
    </row>
    <row r="2521">
      <c r="A2521" s="6"/>
      <c r="D2521" s="5">
        <f>IFERROR(__xludf.DUMMYFUNCTION("""COMPUTED_VALUE"""),45383.66666666667)</f>
        <v>45383.66667</v>
      </c>
      <c r="E2521" s="3">
        <f>IFERROR(__xludf.DUMMYFUNCTION("""COMPUTED_VALUE"""),156.5)</f>
        <v>156.5</v>
      </c>
      <c r="F2521" s="3">
        <f t="shared" si="1"/>
        <v>0.0274664241</v>
      </c>
    </row>
    <row r="2522">
      <c r="A2522" s="6"/>
      <c r="D2522" s="5">
        <f>IFERROR(__xludf.DUMMYFUNCTION("""COMPUTED_VALUE"""),45384.66666666667)</f>
        <v>45384.66667</v>
      </c>
      <c r="E2522" s="3">
        <f>IFERROR(__xludf.DUMMYFUNCTION("""COMPUTED_VALUE"""),155.87)</f>
        <v>155.87</v>
      </c>
      <c r="F2522" s="3">
        <f t="shared" si="1"/>
        <v>-0.004033683479</v>
      </c>
    </row>
    <row r="2523">
      <c r="A2523" s="6"/>
      <c r="D2523" s="5">
        <f>IFERROR(__xludf.DUMMYFUNCTION("""COMPUTED_VALUE"""),45385.66666666667)</f>
        <v>45385.66667</v>
      </c>
      <c r="E2523" s="3">
        <f>IFERROR(__xludf.DUMMYFUNCTION("""COMPUTED_VALUE"""),156.37)</f>
        <v>156.37</v>
      </c>
      <c r="F2523" s="3">
        <f t="shared" si="1"/>
        <v>0.003202667354</v>
      </c>
    </row>
    <row r="2524">
      <c r="A2524" s="6"/>
      <c r="D2524" s="5">
        <f>IFERROR(__xludf.DUMMYFUNCTION("""COMPUTED_VALUE"""),45386.66666666667)</f>
        <v>45386.66667</v>
      </c>
      <c r="E2524" s="3">
        <f>IFERROR(__xludf.DUMMYFUNCTION("""COMPUTED_VALUE"""),151.94)</f>
        <v>151.94</v>
      </c>
      <c r="F2524" s="3">
        <f t="shared" si="1"/>
        <v>-0.02873928778</v>
      </c>
    </row>
    <row r="2525">
      <c r="A2525" s="6"/>
      <c r="D2525" s="5">
        <f>IFERROR(__xludf.DUMMYFUNCTION("""COMPUTED_VALUE"""),45387.66666666667)</f>
        <v>45387.66667</v>
      </c>
      <c r="E2525" s="3">
        <f>IFERROR(__xludf.DUMMYFUNCTION("""COMPUTED_VALUE"""),153.94)</f>
        <v>153.94</v>
      </c>
      <c r="F2525" s="3">
        <f t="shared" si="1"/>
        <v>0.01307721003</v>
      </c>
    </row>
    <row r="2526">
      <c r="A2526" s="6"/>
      <c r="D2526" s="5">
        <f>IFERROR(__xludf.DUMMYFUNCTION("""COMPUTED_VALUE"""),45390.66666666667)</f>
        <v>45390.66667</v>
      </c>
      <c r="E2526" s="3">
        <f>IFERROR(__xludf.DUMMYFUNCTION("""COMPUTED_VALUE"""),156.14)</f>
        <v>156.14</v>
      </c>
      <c r="F2526" s="3">
        <f t="shared" si="1"/>
        <v>0.01419012459</v>
      </c>
    </row>
    <row r="2527">
      <c r="A2527" s="6"/>
      <c r="D2527" s="5">
        <f>IFERROR(__xludf.DUMMYFUNCTION("""COMPUTED_VALUE"""),45391.66666666667)</f>
        <v>45391.66667</v>
      </c>
      <c r="E2527" s="3">
        <f>IFERROR(__xludf.DUMMYFUNCTION("""COMPUTED_VALUE"""),158.14)</f>
        <v>158.14</v>
      </c>
      <c r="F2527" s="3">
        <f t="shared" si="1"/>
        <v>0.01272767595</v>
      </c>
    </row>
    <row r="2528">
      <c r="A2528" s="6"/>
      <c r="D2528" s="5">
        <f>IFERROR(__xludf.DUMMYFUNCTION("""COMPUTED_VALUE"""),45392.66666666667)</f>
        <v>45392.66667</v>
      </c>
      <c r="E2528" s="3">
        <f>IFERROR(__xludf.DUMMYFUNCTION("""COMPUTED_VALUE"""),157.66)</f>
        <v>157.66</v>
      </c>
      <c r="F2528" s="3">
        <f t="shared" si="1"/>
        <v>-0.003039901011</v>
      </c>
    </row>
    <row r="2529">
      <c r="A2529" s="6"/>
      <c r="D2529" s="5">
        <f>IFERROR(__xludf.DUMMYFUNCTION("""COMPUTED_VALUE"""),45393.66666666667)</f>
        <v>45393.66667</v>
      </c>
      <c r="E2529" s="3">
        <f>IFERROR(__xludf.DUMMYFUNCTION("""COMPUTED_VALUE"""),160.79)</f>
        <v>160.79</v>
      </c>
      <c r="F2529" s="3">
        <f t="shared" si="1"/>
        <v>0.01965835012</v>
      </c>
    </row>
    <row r="2530">
      <c r="A2530" s="6"/>
      <c r="D2530" s="5">
        <f>IFERROR(__xludf.DUMMYFUNCTION("""COMPUTED_VALUE"""),45394.66666666667)</f>
        <v>45394.66667</v>
      </c>
      <c r="E2530" s="3">
        <f>IFERROR(__xludf.DUMMYFUNCTION("""COMPUTED_VALUE"""),159.19)</f>
        <v>159.19</v>
      </c>
      <c r="F2530" s="3">
        <f t="shared" si="1"/>
        <v>-0.01000070839</v>
      </c>
    </row>
    <row r="2531">
      <c r="A2531" s="6"/>
      <c r="D2531" s="5">
        <f>IFERROR(__xludf.DUMMYFUNCTION("""COMPUTED_VALUE"""),45397.66666666667)</f>
        <v>45397.66667</v>
      </c>
      <c r="E2531" s="3">
        <f>IFERROR(__xludf.DUMMYFUNCTION("""COMPUTED_VALUE"""),156.33)</f>
        <v>156.33</v>
      </c>
      <c r="F2531" s="3">
        <f t="shared" si="1"/>
        <v>-0.01812929978</v>
      </c>
    </row>
    <row r="2532">
      <c r="A2532" s="6"/>
      <c r="D2532" s="5">
        <f>IFERROR(__xludf.DUMMYFUNCTION("""COMPUTED_VALUE"""),45398.66666666667)</f>
        <v>45398.66667</v>
      </c>
      <c r="E2532" s="3">
        <f>IFERROR(__xludf.DUMMYFUNCTION("""COMPUTED_VALUE"""),156.0)</f>
        <v>156</v>
      </c>
      <c r="F2532" s="3">
        <f t="shared" si="1"/>
        <v>-0.00211315034</v>
      </c>
    </row>
    <row r="2533">
      <c r="A2533" s="6"/>
      <c r="D2533" s="5">
        <f>IFERROR(__xludf.DUMMYFUNCTION("""COMPUTED_VALUE"""),45399.66666666667)</f>
        <v>45399.66667</v>
      </c>
      <c r="E2533" s="3">
        <f>IFERROR(__xludf.DUMMYFUNCTION("""COMPUTED_VALUE"""),156.88)</f>
        <v>156.88</v>
      </c>
      <c r="F2533" s="3">
        <f t="shared" si="1"/>
        <v>0.005625174639</v>
      </c>
    </row>
    <row r="2534">
      <c r="A2534" s="6"/>
      <c r="D2534" s="5">
        <f>IFERROR(__xludf.DUMMYFUNCTION("""COMPUTED_VALUE"""),45400.66666666667)</f>
        <v>45400.66667</v>
      </c>
      <c r="E2534" s="3">
        <f>IFERROR(__xludf.DUMMYFUNCTION("""COMPUTED_VALUE"""),157.46)</f>
        <v>157.46</v>
      </c>
      <c r="F2534" s="3">
        <f t="shared" si="1"/>
        <v>0.003690275868</v>
      </c>
    </row>
    <row r="2535">
      <c r="A2535" s="6"/>
      <c r="D2535" s="5">
        <f>IFERROR(__xludf.DUMMYFUNCTION("""COMPUTED_VALUE"""),45401.66666666667)</f>
        <v>45401.66667</v>
      </c>
      <c r="E2535" s="3">
        <f>IFERROR(__xludf.DUMMYFUNCTION("""COMPUTED_VALUE"""),155.72)</f>
        <v>155.72</v>
      </c>
      <c r="F2535" s="3">
        <f t="shared" si="1"/>
        <v>-0.01111193501</v>
      </c>
    </row>
    <row r="2536">
      <c r="A2536" s="6"/>
      <c r="D2536" s="5">
        <f>IFERROR(__xludf.DUMMYFUNCTION("""COMPUTED_VALUE"""),45404.66666666667)</f>
        <v>45404.66667</v>
      </c>
      <c r="E2536" s="3">
        <f>IFERROR(__xludf.DUMMYFUNCTION("""COMPUTED_VALUE"""),157.95)</f>
        <v>157.95</v>
      </c>
      <c r="F2536" s="3">
        <f t="shared" si="1"/>
        <v>0.01421900451</v>
      </c>
    </row>
    <row r="2537">
      <c r="A2537" s="6"/>
      <c r="D2537" s="5">
        <f>IFERROR(__xludf.DUMMYFUNCTION("""COMPUTED_VALUE"""),45405.66666666667)</f>
        <v>45405.66667</v>
      </c>
      <c r="E2537" s="3">
        <f>IFERROR(__xludf.DUMMYFUNCTION("""COMPUTED_VALUE"""),159.92)</f>
        <v>159.92</v>
      </c>
      <c r="F2537" s="3">
        <f t="shared" si="1"/>
        <v>0.01239516294</v>
      </c>
    </row>
    <row r="2538">
      <c r="A2538" s="6"/>
      <c r="D2538" s="5">
        <f>IFERROR(__xludf.DUMMYFUNCTION("""COMPUTED_VALUE"""),45406.66666666667)</f>
        <v>45406.66667</v>
      </c>
      <c r="E2538" s="3">
        <f>IFERROR(__xludf.DUMMYFUNCTION("""COMPUTED_VALUE"""),161.1)</f>
        <v>161.1</v>
      </c>
      <c r="F2538" s="3">
        <f t="shared" si="1"/>
        <v>0.007351599991</v>
      </c>
    </row>
    <row r="2539">
      <c r="A2539" s="6"/>
      <c r="D2539" s="5">
        <f>IFERROR(__xludf.DUMMYFUNCTION("""COMPUTED_VALUE"""),45407.66666666667)</f>
        <v>45407.66667</v>
      </c>
      <c r="E2539" s="3">
        <f>IFERROR(__xludf.DUMMYFUNCTION("""COMPUTED_VALUE"""),157.95)</f>
        <v>157.95</v>
      </c>
      <c r="F2539" s="3">
        <f t="shared" si="1"/>
        <v>-0.01974676293</v>
      </c>
    </row>
    <row r="2540">
      <c r="A2540" s="6"/>
      <c r="D2540" s="5">
        <f>IFERROR(__xludf.DUMMYFUNCTION("""COMPUTED_VALUE"""),45408.66666666667)</f>
        <v>45408.66667</v>
      </c>
      <c r="E2540" s="3">
        <f>IFERROR(__xludf.DUMMYFUNCTION("""COMPUTED_VALUE"""),173.69)</f>
        <v>173.69</v>
      </c>
      <c r="F2540" s="3">
        <f t="shared" si="1"/>
        <v>0.09499357382</v>
      </c>
    </row>
    <row r="2541">
      <c r="A2541" s="6"/>
      <c r="D2541" s="5">
        <f>IFERROR(__xludf.DUMMYFUNCTION("""COMPUTED_VALUE"""),45411.66666666667)</f>
        <v>45411.66667</v>
      </c>
      <c r="E2541" s="3">
        <f>IFERROR(__xludf.DUMMYFUNCTION("""COMPUTED_VALUE"""),167.9)</f>
        <v>167.9</v>
      </c>
      <c r="F2541" s="3">
        <f t="shared" si="1"/>
        <v>-0.03390353698</v>
      </c>
    </row>
    <row r="2542">
      <c r="A2542" s="6"/>
      <c r="D2542" s="5">
        <f>IFERROR(__xludf.DUMMYFUNCTION("""COMPUTED_VALUE"""),45412.66666666667)</f>
        <v>45412.66667</v>
      </c>
      <c r="E2542" s="3">
        <f>IFERROR(__xludf.DUMMYFUNCTION("""COMPUTED_VALUE"""),164.64)</f>
        <v>164.64</v>
      </c>
      <c r="F2542" s="3">
        <f t="shared" si="1"/>
        <v>-0.019607292</v>
      </c>
    </row>
    <row r="2543">
      <c r="A2543" s="6"/>
      <c r="D2543" s="5">
        <f>IFERROR(__xludf.DUMMYFUNCTION("""COMPUTED_VALUE"""),45413.66666666667)</f>
        <v>45413.66667</v>
      </c>
      <c r="E2543" s="3">
        <f>IFERROR(__xludf.DUMMYFUNCTION("""COMPUTED_VALUE"""),165.57)</f>
        <v>165.57</v>
      </c>
      <c r="F2543" s="3">
        <f t="shared" si="1"/>
        <v>0.005632794034</v>
      </c>
    </row>
    <row r="2544">
      <c r="A2544" s="6"/>
      <c r="D2544" s="5">
        <f>IFERROR(__xludf.DUMMYFUNCTION("""COMPUTED_VALUE"""),45414.66666666667)</f>
        <v>45414.66667</v>
      </c>
      <c r="E2544" s="3">
        <f>IFERROR(__xludf.DUMMYFUNCTION("""COMPUTED_VALUE"""),168.46)</f>
        <v>168.46</v>
      </c>
      <c r="F2544" s="3">
        <f t="shared" si="1"/>
        <v>0.01730426677</v>
      </c>
    </row>
    <row r="2545">
      <c r="A2545" s="6"/>
      <c r="D2545" s="5">
        <f>IFERROR(__xludf.DUMMYFUNCTION("""COMPUTED_VALUE"""),45415.66666666667)</f>
        <v>45415.66667</v>
      </c>
      <c r="E2545" s="3">
        <f>IFERROR(__xludf.DUMMYFUNCTION("""COMPUTED_VALUE"""),168.99)</f>
        <v>168.99</v>
      </c>
      <c r="F2545" s="3">
        <f t="shared" si="1"/>
        <v>0.003141208688</v>
      </c>
    </row>
    <row r="2546">
      <c r="A2546" s="6"/>
      <c r="D2546" s="5">
        <f>IFERROR(__xludf.DUMMYFUNCTION("""COMPUTED_VALUE"""),45418.66666666667)</f>
        <v>45418.66667</v>
      </c>
      <c r="E2546" s="3">
        <f>IFERROR(__xludf.DUMMYFUNCTION("""COMPUTED_VALUE"""),169.83)</f>
        <v>169.83</v>
      </c>
      <c r="F2546" s="3">
        <f t="shared" si="1"/>
        <v>0.004958395142</v>
      </c>
    </row>
    <row r="2547">
      <c r="A2547" s="6"/>
      <c r="D2547" s="5">
        <f>IFERROR(__xludf.DUMMYFUNCTION("""COMPUTED_VALUE"""),45419.66666666667)</f>
        <v>45419.66667</v>
      </c>
      <c r="E2547" s="3">
        <f>IFERROR(__xludf.DUMMYFUNCTION("""COMPUTED_VALUE"""),172.98)</f>
        <v>172.98</v>
      </c>
      <c r="F2547" s="3">
        <f t="shared" si="1"/>
        <v>0.01837804416</v>
      </c>
    </row>
    <row r="2548">
      <c r="A2548" s="6"/>
      <c r="D2548" s="5">
        <f>IFERROR(__xludf.DUMMYFUNCTION("""COMPUTED_VALUE"""),45420.66666666667)</f>
        <v>45420.66667</v>
      </c>
      <c r="E2548" s="3">
        <f>IFERROR(__xludf.DUMMYFUNCTION("""COMPUTED_VALUE"""),171.16)</f>
        <v>171.16</v>
      </c>
      <c r="F2548" s="3">
        <f t="shared" si="1"/>
        <v>-0.01057718933</v>
      </c>
    </row>
    <row r="2549">
      <c r="A2549" s="6"/>
      <c r="D2549" s="5">
        <f>IFERROR(__xludf.DUMMYFUNCTION("""COMPUTED_VALUE"""),45421.66666666667)</f>
        <v>45421.66667</v>
      </c>
      <c r="E2549" s="3">
        <f>IFERROR(__xludf.DUMMYFUNCTION("""COMPUTED_VALUE"""),171.58)</f>
        <v>171.58</v>
      </c>
      <c r="F2549" s="3">
        <f t="shared" si="1"/>
        <v>0.002450838596</v>
      </c>
    </row>
    <row r="2550">
      <c r="A2550" s="6"/>
      <c r="D2550" s="5">
        <f>IFERROR(__xludf.DUMMYFUNCTION("""COMPUTED_VALUE"""),45422.66666666667)</f>
        <v>45422.66667</v>
      </c>
      <c r="E2550" s="3">
        <f>IFERROR(__xludf.DUMMYFUNCTION("""COMPUTED_VALUE"""),170.29)</f>
        <v>170.29</v>
      </c>
      <c r="F2550" s="3">
        <f t="shared" si="1"/>
        <v>-0.007546764106</v>
      </c>
    </row>
    <row r="2551">
      <c r="A2551" s="6"/>
      <c r="D2551" s="5">
        <f>IFERROR(__xludf.DUMMYFUNCTION("""COMPUTED_VALUE"""),45425.66666666667)</f>
        <v>45425.66667</v>
      </c>
      <c r="E2551" s="3">
        <f>IFERROR(__xludf.DUMMYFUNCTION("""COMPUTED_VALUE"""),170.9)</f>
        <v>170.9</v>
      </c>
      <c r="F2551" s="3">
        <f t="shared" si="1"/>
        <v>0.003575724083</v>
      </c>
    </row>
    <row r="2552">
      <c r="A2552" s="6"/>
      <c r="D2552" s="5">
        <f>IFERROR(__xludf.DUMMYFUNCTION("""COMPUTED_VALUE"""),45426.66666666667)</f>
        <v>45426.66667</v>
      </c>
      <c r="E2552" s="3">
        <f>IFERROR(__xludf.DUMMYFUNCTION("""COMPUTED_VALUE"""),171.93)</f>
        <v>171.93</v>
      </c>
      <c r="F2552" s="3">
        <f t="shared" si="1"/>
        <v>0.00600882711</v>
      </c>
    </row>
    <row r="2553">
      <c r="A2553" s="6"/>
      <c r="D2553" s="5">
        <f>IFERROR(__xludf.DUMMYFUNCTION("""COMPUTED_VALUE"""),45427.66666666667)</f>
        <v>45427.66667</v>
      </c>
      <c r="E2553" s="3">
        <f>IFERROR(__xludf.DUMMYFUNCTION("""COMPUTED_VALUE"""),173.88)</f>
        <v>173.88</v>
      </c>
      <c r="F2553" s="3">
        <f t="shared" si="1"/>
        <v>0.01127798889</v>
      </c>
    </row>
    <row r="2554">
      <c r="A2554" s="6"/>
      <c r="D2554" s="5">
        <f>IFERROR(__xludf.DUMMYFUNCTION("""COMPUTED_VALUE"""),45428.66666666667)</f>
        <v>45428.66667</v>
      </c>
      <c r="E2554" s="3">
        <f>IFERROR(__xludf.DUMMYFUNCTION("""COMPUTED_VALUE"""),175.43)</f>
        <v>175.43</v>
      </c>
      <c r="F2554" s="3">
        <f t="shared" si="1"/>
        <v>0.008874696821</v>
      </c>
    </row>
    <row r="2555">
      <c r="A2555" s="6"/>
      <c r="D2555" s="5">
        <f>IFERROR(__xludf.DUMMYFUNCTION("""COMPUTED_VALUE"""),45429.66666666667)</f>
        <v>45429.66667</v>
      </c>
      <c r="E2555" s="3">
        <f>IFERROR(__xludf.DUMMYFUNCTION("""COMPUTED_VALUE"""),177.29)</f>
        <v>177.29</v>
      </c>
      <c r="F2555" s="3">
        <f t="shared" si="1"/>
        <v>0.01054670697</v>
      </c>
    </row>
    <row r="2556">
      <c r="A2556" s="6"/>
      <c r="D2556" s="5">
        <f>IFERROR(__xludf.DUMMYFUNCTION("""COMPUTED_VALUE"""),45432.66666666667)</f>
        <v>45432.66667</v>
      </c>
      <c r="E2556" s="3">
        <f>IFERROR(__xludf.DUMMYFUNCTION("""COMPUTED_VALUE"""),178.46)</f>
        <v>178.46</v>
      </c>
      <c r="F2556" s="3">
        <f t="shared" si="1"/>
        <v>0.006577676562</v>
      </c>
    </row>
    <row r="2557">
      <c r="A2557" s="6"/>
      <c r="D2557" s="5">
        <f>IFERROR(__xludf.DUMMYFUNCTION("""COMPUTED_VALUE"""),45433.66666666667)</f>
        <v>45433.66667</v>
      </c>
      <c r="E2557" s="3">
        <f>IFERROR(__xludf.DUMMYFUNCTION("""COMPUTED_VALUE"""),179.54)</f>
        <v>179.54</v>
      </c>
      <c r="F2557" s="3">
        <f t="shared" si="1"/>
        <v>0.006033537857</v>
      </c>
    </row>
    <row r="2558">
      <c r="A2558" s="6"/>
      <c r="D2558" s="5">
        <f>IFERROR(__xludf.DUMMYFUNCTION("""COMPUTED_VALUE"""),45434.66666666667)</f>
        <v>45434.66667</v>
      </c>
      <c r="E2558" s="3">
        <f>IFERROR(__xludf.DUMMYFUNCTION("""COMPUTED_VALUE"""),178.0)</f>
        <v>178</v>
      </c>
      <c r="F2558" s="3">
        <f t="shared" si="1"/>
        <v>-0.008614474036</v>
      </c>
    </row>
    <row r="2559">
      <c r="A2559" s="6"/>
      <c r="D2559" s="5">
        <f>IFERROR(__xludf.DUMMYFUNCTION("""COMPUTED_VALUE"""),45435.66666666667)</f>
        <v>45435.66667</v>
      </c>
      <c r="E2559" s="3">
        <f>IFERROR(__xludf.DUMMYFUNCTION("""COMPUTED_VALUE"""),175.06)</f>
        <v>175.06</v>
      </c>
      <c r="F2559" s="3">
        <f t="shared" si="1"/>
        <v>-0.01665477799</v>
      </c>
    </row>
    <row r="2560">
      <c r="A2560" s="6"/>
      <c r="D2560" s="5">
        <f>IFERROR(__xludf.DUMMYFUNCTION("""COMPUTED_VALUE"""),45436.66666666667)</f>
        <v>45436.66667</v>
      </c>
      <c r="E2560" s="3">
        <f>IFERROR(__xludf.DUMMYFUNCTION("""COMPUTED_VALUE"""),176.33)</f>
        <v>176.33</v>
      </c>
      <c r="F2560" s="3">
        <f t="shared" si="1"/>
        <v>0.007228467116</v>
      </c>
    </row>
    <row r="2561">
      <c r="A2561" s="6"/>
      <c r="D2561" s="5">
        <f>IFERROR(__xludf.DUMMYFUNCTION("""COMPUTED_VALUE"""),45440.66666666667)</f>
        <v>45440.66667</v>
      </c>
      <c r="E2561" s="3">
        <f>IFERROR(__xludf.DUMMYFUNCTION("""COMPUTED_VALUE"""),178.02)</f>
        <v>178.02</v>
      </c>
      <c r="F2561" s="3">
        <f t="shared" si="1"/>
        <v>0.009538664111</v>
      </c>
    </row>
    <row r="2562">
      <c r="A2562" s="6"/>
      <c r="D2562" s="5">
        <f>IFERROR(__xludf.DUMMYFUNCTION("""COMPUTED_VALUE"""),45441.66666666667)</f>
        <v>45441.66667</v>
      </c>
      <c r="E2562" s="3">
        <f>IFERROR(__xludf.DUMMYFUNCTION("""COMPUTED_VALUE"""),177.4)</f>
        <v>177.4</v>
      </c>
      <c r="F2562" s="3">
        <f t="shared" si="1"/>
        <v>-0.003488833655</v>
      </c>
    </row>
    <row r="2563">
      <c r="A2563" s="6"/>
      <c r="D2563" s="5">
        <f>IFERROR(__xludf.DUMMYFUNCTION("""COMPUTED_VALUE"""),45442.66666666667)</f>
        <v>45442.66667</v>
      </c>
      <c r="E2563" s="3">
        <f>IFERROR(__xludf.DUMMYFUNCTION("""COMPUTED_VALUE"""),173.56)</f>
        <v>173.56</v>
      </c>
      <c r="F2563" s="3">
        <f t="shared" si="1"/>
        <v>-0.02188370895</v>
      </c>
    </row>
    <row r="2564">
      <c r="A2564" s="6"/>
      <c r="D2564" s="5">
        <f>IFERROR(__xludf.DUMMYFUNCTION("""COMPUTED_VALUE"""),45443.66666666667)</f>
        <v>45443.66667</v>
      </c>
      <c r="E2564" s="3">
        <f>IFERROR(__xludf.DUMMYFUNCTION("""COMPUTED_VALUE"""),173.96)</f>
        <v>173.96</v>
      </c>
      <c r="F2564" s="3">
        <f t="shared" si="1"/>
        <v>0.002302026799</v>
      </c>
    </row>
    <row r="2565">
      <c r="A2565" s="6"/>
      <c r="D2565" s="5">
        <f>IFERROR(__xludf.DUMMYFUNCTION("""COMPUTED_VALUE"""),45446.66666666667)</f>
        <v>45446.66667</v>
      </c>
      <c r="E2565" s="3">
        <f>IFERROR(__xludf.DUMMYFUNCTION("""COMPUTED_VALUE"""),174.42)</f>
        <v>174.42</v>
      </c>
      <c r="F2565" s="3">
        <f t="shared" si="1"/>
        <v>0.002640796069</v>
      </c>
    </row>
    <row r="2566">
      <c r="A2566" s="6"/>
      <c r="D2566" s="5">
        <f>IFERROR(__xludf.DUMMYFUNCTION("""COMPUTED_VALUE"""),45447.66666666667)</f>
        <v>45447.66667</v>
      </c>
      <c r="E2566" s="3">
        <f>IFERROR(__xludf.DUMMYFUNCTION("""COMPUTED_VALUE"""),175.13)</f>
        <v>175.13</v>
      </c>
      <c r="F2566" s="3">
        <f t="shared" si="1"/>
        <v>0.004062371486</v>
      </c>
    </row>
    <row r="2567">
      <c r="A2567" s="6"/>
      <c r="D2567" s="5">
        <f>IFERROR(__xludf.DUMMYFUNCTION("""COMPUTED_VALUE"""),45448.66666666667)</f>
        <v>45448.66667</v>
      </c>
      <c r="E2567" s="3">
        <f>IFERROR(__xludf.DUMMYFUNCTION("""COMPUTED_VALUE"""),177.07)</f>
        <v>177.07</v>
      </c>
      <c r="F2567" s="3">
        <f t="shared" si="1"/>
        <v>0.01101657933</v>
      </c>
    </row>
    <row r="2568">
      <c r="A2568" s="6"/>
      <c r="D2568" s="5">
        <f>IFERROR(__xludf.DUMMYFUNCTION("""COMPUTED_VALUE"""),45449.66666666667)</f>
        <v>45449.66667</v>
      </c>
      <c r="E2568" s="3">
        <f>IFERROR(__xludf.DUMMYFUNCTION("""COMPUTED_VALUE"""),178.35)</f>
        <v>178.35</v>
      </c>
      <c r="F2568" s="3">
        <f t="shared" si="1"/>
        <v>0.007202777187</v>
      </c>
    </row>
    <row r="2569">
      <c r="A2569" s="6"/>
      <c r="D2569" s="5">
        <f>IFERROR(__xludf.DUMMYFUNCTION("""COMPUTED_VALUE"""),45450.66666666667)</f>
        <v>45450.66667</v>
      </c>
      <c r="E2569" s="3">
        <f>IFERROR(__xludf.DUMMYFUNCTION("""COMPUTED_VALUE"""),175.95)</f>
        <v>175.95</v>
      </c>
      <c r="F2569" s="3">
        <f t="shared" si="1"/>
        <v>-0.01354804804</v>
      </c>
    </row>
    <row r="2570">
      <c r="A2570" s="6"/>
      <c r="D2570" s="5">
        <f>IFERROR(__xludf.DUMMYFUNCTION("""COMPUTED_VALUE"""),45453.66666666667)</f>
        <v>45453.66667</v>
      </c>
      <c r="E2570" s="3">
        <f>IFERROR(__xludf.DUMMYFUNCTION("""COMPUTED_VALUE"""),176.63)</f>
        <v>176.63</v>
      </c>
      <c r="F2570" s="3">
        <f t="shared" si="1"/>
        <v>0.0038572854</v>
      </c>
    </row>
    <row r="2571">
      <c r="A2571" s="6"/>
      <c r="D2571" s="5">
        <f>IFERROR(__xludf.DUMMYFUNCTION("""COMPUTED_VALUE"""),45454.66666666667)</f>
        <v>45454.66667</v>
      </c>
      <c r="E2571" s="3">
        <f>IFERROR(__xludf.DUMMYFUNCTION("""COMPUTED_VALUE"""),178.19)</f>
        <v>178.19</v>
      </c>
      <c r="F2571" s="3">
        <f t="shared" si="1"/>
        <v>0.008793247572</v>
      </c>
    </row>
    <row r="2572">
      <c r="A2572" s="6"/>
      <c r="D2572" s="5">
        <f>IFERROR(__xludf.DUMMYFUNCTION("""COMPUTED_VALUE"""),45455.66666666667)</f>
        <v>45455.66667</v>
      </c>
      <c r="E2572" s="3">
        <f>IFERROR(__xludf.DUMMYFUNCTION("""COMPUTED_VALUE"""),179.56)</f>
        <v>179.56</v>
      </c>
      <c r="F2572" s="3">
        <f t="shared" si="1"/>
        <v>0.007659017174</v>
      </c>
    </row>
    <row r="2573">
      <c r="A2573" s="6"/>
      <c r="D2573" s="5">
        <f>IFERROR(__xludf.DUMMYFUNCTION("""COMPUTED_VALUE"""),45456.66666666667)</f>
        <v>45456.66667</v>
      </c>
      <c r="E2573" s="3">
        <f>IFERROR(__xludf.DUMMYFUNCTION("""COMPUTED_VALUE"""),176.74)</f>
        <v>176.74</v>
      </c>
      <c r="F2573" s="3">
        <f t="shared" si="1"/>
        <v>-0.01582968782</v>
      </c>
    </row>
    <row r="2574">
      <c r="A2574" s="6"/>
      <c r="D2574" s="5">
        <f>IFERROR(__xludf.DUMMYFUNCTION("""COMPUTED_VALUE"""),45457.66666666667)</f>
        <v>45457.66667</v>
      </c>
      <c r="E2574" s="3">
        <f>IFERROR(__xludf.DUMMYFUNCTION("""COMPUTED_VALUE"""),178.37)</f>
        <v>178.37</v>
      </c>
      <c r="F2574" s="3">
        <f t="shared" si="1"/>
        <v>0.00918031848</v>
      </c>
    </row>
    <row r="2575">
      <c r="A2575" s="6"/>
      <c r="D2575" s="5">
        <f>IFERROR(__xludf.DUMMYFUNCTION("""COMPUTED_VALUE"""),45460.66666666667)</f>
        <v>45460.66667</v>
      </c>
      <c r="E2575" s="3">
        <f>IFERROR(__xludf.DUMMYFUNCTION("""COMPUTED_VALUE"""),178.78)</f>
        <v>178.78</v>
      </c>
      <c r="F2575" s="3">
        <f t="shared" si="1"/>
        <v>0.002295955089</v>
      </c>
    </row>
    <row r="2576">
      <c r="A2576" s="6"/>
      <c r="D2576" s="5">
        <f>IFERROR(__xludf.DUMMYFUNCTION("""COMPUTED_VALUE"""),45461.66666666667)</f>
        <v>45461.66667</v>
      </c>
      <c r="E2576" s="3">
        <f>IFERROR(__xludf.DUMMYFUNCTION("""COMPUTED_VALUE"""),176.45)</f>
        <v>176.45</v>
      </c>
      <c r="F2576" s="3">
        <f t="shared" si="1"/>
        <v>-0.01311844954</v>
      </c>
    </row>
    <row r="2577">
      <c r="A2577" s="6"/>
      <c r="D2577" s="5">
        <f>IFERROR(__xludf.DUMMYFUNCTION("""COMPUTED_VALUE"""),45463.66666666667)</f>
        <v>45463.66667</v>
      </c>
      <c r="E2577" s="3">
        <f>IFERROR(__xludf.DUMMYFUNCTION("""COMPUTED_VALUE"""),177.71)</f>
        <v>177.71</v>
      </c>
      <c r="F2577" s="3">
        <f t="shared" si="1"/>
        <v>0.007115458076</v>
      </c>
    </row>
    <row r="2578">
      <c r="A2578" s="6"/>
      <c r="D2578" s="5">
        <f>IFERROR(__xludf.DUMMYFUNCTION("""COMPUTED_VALUE"""),45464.66666666667)</f>
        <v>45464.66667</v>
      </c>
      <c r="E2578" s="3">
        <f>IFERROR(__xludf.DUMMYFUNCTION("""COMPUTED_VALUE"""),180.26)</f>
        <v>180.26</v>
      </c>
      <c r="F2578" s="3">
        <f t="shared" si="1"/>
        <v>0.01424724493</v>
      </c>
    </row>
    <row r="2579">
      <c r="A2579" s="6"/>
      <c r="D2579" s="5">
        <f>IFERROR(__xludf.DUMMYFUNCTION("""COMPUTED_VALUE"""),45467.66666666667)</f>
        <v>45467.66667</v>
      </c>
      <c r="E2579" s="3">
        <f>IFERROR(__xludf.DUMMYFUNCTION("""COMPUTED_VALUE"""),180.79)</f>
        <v>180.79</v>
      </c>
      <c r="F2579" s="3">
        <f t="shared" si="1"/>
        <v>0.002935883566</v>
      </c>
    </row>
    <row r="2580">
      <c r="A2580" s="6"/>
      <c r="D2580" s="5">
        <f>IFERROR(__xludf.DUMMYFUNCTION("""COMPUTED_VALUE"""),45468.66666666667)</f>
        <v>45468.66667</v>
      </c>
      <c r="E2580" s="3">
        <f>IFERROR(__xludf.DUMMYFUNCTION("""COMPUTED_VALUE"""),185.58)</f>
        <v>185.58</v>
      </c>
      <c r="F2580" s="3">
        <f t="shared" si="1"/>
        <v>0.02614991923</v>
      </c>
    </row>
    <row r="2581">
      <c r="A2581" s="6"/>
      <c r="D2581" s="5">
        <f>IFERROR(__xludf.DUMMYFUNCTION("""COMPUTED_VALUE"""),45469.66666666667)</f>
        <v>45469.66667</v>
      </c>
      <c r="E2581" s="3">
        <f>IFERROR(__xludf.DUMMYFUNCTION("""COMPUTED_VALUE"""),185.37)</f>
        <v>185.37</v>
      </c>
      <c r="F2581" s="3">
        <f t="shared" si="1"/>
        <v>-0.001132228184</v>
      </c>
    </row>
    <row r="2582">
      <c r="A2582" s="6"/>
      <c r="D2582" s="5">
        <f>IFERROR(__xludf.DUMMYFUNCTION("""COMPUTED_VALUE"""),45470.66666666667)</f>
        <v>45470.66667</v>
      </c>
      <c r="E2582" s="3">
        <f>IFERROR(__xludf.DUMMYFUNCTION("""COMPUTED_VALUE"""),186.86)</f>
        <v>186.86</v>
      </c>
      <c r="F2582" s="3">
        <f t="shared" si="1"/>
        <v>0.008005845624</v>
      </c>
    </row>
    <row r="2583">
      <c r="A2583" s="6"/>
      <c r="D2583" s="5">
        <f>IFERROR(__xludf.DUMMYFUNCTION("""COMPUTED_VALUE"""),45471.66666666667)</f>
        <v>45471.66667</v>
      </c>
      <c r="E2583" s="3">
        <f>IFERROR(__xludf.DUMMYFUNCTION("""COMPUTED_VALUE"""),183.42)</f>
        <v>183.42</v>
      </c>
      <c r="F2583" s="3">
        <f t="shared" si="1"/>
        <v>-0.01858106823</v>
      </c>
    </row>
    <row r="2584">
      <c r="A2584" s="6"/>
      <c r="D2584" s="5">
        <f>IFERROR(__xludf.DUMMYFUNCTION("""COMPUTED_VALUE"""),45474.66666666667)</f>
        <v>45474.66667</v>
      </c>
      <c r="E2584" s="3">
        <f>IFERROR(__xludf.DUMMYFUNCTION("""COMPUTED_VALUE"""),184.49)</f>
        <v>184.49</v>
      </c>
      <c r="F2584" s="3">
        <f t="shared" si="1"/>
        <v>0.005816656339</v>
      </c>
    </row>
    <row r="2585">
      <c r="A2585" s="6"/>
      <c r="D2585" s="5">
        <f>IFERROR(__xludf.DUMMYFUNCTION("""COMPUTED_VALUE"""),45475.66666666667)</f>
        <v>45475.66667</v>
      </c>
      <c r="E2585" s="3">
        <f>IFERROR(__xludf.DUMMYFUNCTION("""COMPUTED_VALUE"""),186.61)</f>
        <v>186.61</v>
      </c>
      <c r="F2585" s="3">
        <f t="shared" si="1"/>
        <v>0.01142561608</v>
      </c>
    </row>
    <row r="2586">
      <c r="A2586" s="6"/>
      <c r="D2586" s="5">
        <f>IFERROR(__xludf.DUMMYFUNCTION("""COMPUTED_VALUE"""),45476.54513888889)</f>
        <v>45476.54514</v>
      </c>
      <c r="E2586" s="3">
        <f>IFERROR(__xludf.DUMMYFUNCTION("""COMPUTED_VALUE"""),187.39)</f>
        <v>187.39</v>
      </c>
      <c r="F2586" s="3">
        <f t="shared" si="1"/>
        <v>0.004171129042</v>
      </c>
    </row>
    <row r="2587">
      <c r="A2587" s="6"/>
      <c r="D2587" s="5">
        <f>IFERROR(__xludf.DUMMYFUNCTION("""COMPUTED_VALUE"""),45478.66666666667)</f>
        <v>45478.66667</v>
      </c>
      <c r="E2587" s="3">
        <f>IFERROR(__xludf.DUMMYFUNCTION("""COMPUTED_VALUE"""),191.96)</f>
        <v>191.96</v>
      </c>
      <c r="F2587" s="3">
        <f t="shared" si="1"/>
        <v>0.0240950104</v>
      </c>
    </row>
    <row r="2588">
      <c r="A2588" s="6"/>
      <c r="D2588" s="5">
        <f>IFERROR(__xludf.DUMMYFUNCTION("""COMPUTED_VALUE"""),45481.66666666667)</f>
        <v>45481.66667</v>
      </c>
      <c r="E2588" s="3">
        <f>IFERROR(__xludf.DUMMYFUNCTION("""COMPUTED_VALUE"""),190.48)</f>
        <v>190.48</v>
      </c>
      <c r="F2588" s="3">
        <f t="shared" si="1"/>
        <v>-0.007739814811</v>
      </c>
    </row>
    <row r="2589">
      <c r="A2589" s="6"/>
      <c r="D2589" s="5">
        <f>IFERROR(__xludf.DUMMYFUNCTION("""COMPUTED_VALUE"""),45482.66666666667)</f>
        <v>45482.66667</v>
      </c>
      <c r="E2589" s="3">
        <f>IFERROR(__xludf.DUMMYFUNCTION("""COMPUTED_VALUE"""),190.44)</f>
        <v>190.44</v>
      </c>
      <c r="F2589" s="3">
        <f t="shared" si="1"/>
        <v>-0.0002100178523</v>
      </c>
    </row>
    <row r="2590">
      <c r="A2590" s="6"/>
      <c r="D2590" s="5">
        <f>IFERROR(__xludf.DUMMYFUNCTION("""COMPUTED_VALUE"""),45483.66666666667)</f>
        <v>45483.66667</v>
      </c>
      <c r="E2590" s="3">
        <f>IFERROR(__xludf.DUMMYFUNCTION("""COMPUTED_VALUE"""),192.66)</f>
        <v>192.66</v>
      </c>
      <c r="F2590" s="3">
        <f t="shared" si="1"/>
        <v>0.011589793</v>
      </c>
    </row>
    <row r="2591">
      <c r="A2591" s="6"/>
      <c r="D2591" s="5">
        <f>IFERROR(__xludf.DUMMYFUNCTION("""COMPUTED_VALUE"""),45484.66666666667)</f>
        <v>45484.66667</v>
      </c>
      <c r="E2591" s="3">
        <f>IFERROR(__xludf.DUMMYFUNCTION("""COMPUTED_VALUE"""),187.3)</f>
        <v>187.3</v>
      </c>
      <c r="F2591" s="3">
        <f t="shared" si="1"/>
        <v>-0.02821536788</v>
      </c>
    </row>
    <row r="2592">
      <c r="A2592" s="6"/>
      <c r="D2592" s="5">
        <f>IFERROR(__xludf.DUMMYFUNCTION("""COMPUTED_VALUE"""),45485.66666666667)</f>
        <v>45485.66667</v>
      </c>
      <c r="E2592" s="3">
        <f>IFERROR(__xludf.DUMMYFUNCTION("""COMPUTED_VALUE"""),186.78)</f>
        <v>186.78</v>
      </c>
      <c r="F2592" s="3">
        <f t="shared" si="1"/>
        <v>-0.002780155768</v>
      </c>
    </row>
    <row r="2593">
      <c r="A2593" s="6"/>
      <c r="D2593" s="5">
        <f>IFERROR(__xludf.DUMMYFUNCTION("""COMPUTED_VALUE"""),45488.66666666667)</f>
        <v>45488.66667</v>
      </c>
      <c r="E2593" s="3">
        <f>IFERROR(__xludf.DUMMYFUNCTION("""COMPUTED_VALUE"""),188.19)</f>
        <v>188.19</v>
      </c>
      <c r="F2593" s="3">
        <f t="shared" si="1"/>
        <v>0.007520637095</v>
      </c>
    </row>
    <row r="2594">
      <c r="A2594" s="6"/>
      <c r="D2594" s="5">
        <f>IFERROR(__xludf.DUMMYFUNCTION("""COMPUTED_VALUE"""),45489.66666666667)</f>
        <v>45489.66667</v>
      </c>
      <c r="E2594" s="3">
        <f>IFERROR(__xludf.DUMMYFUNCTION("""COMPUTED_VALUE"""),185.5)</f>
        <v>185.5</v>
      </c>
      <c r="F2594" s="3">
        <f t="shared" si="1"/>
        <v>-0.01439720873</v>
      </c>
    </row>
    <row r="2595">
      <c r="A2595" s="6"/>
      <c r="D2595" s="5">
        <f>IFERROR(__xludf.DUMMYFUNCTION("""COMPUTED_VALUE"""),45490.66666666667)</f>
        <v>45490.66667</v>
      </c>
      <c r="E2595" s="3">
        <f>IFERROR(__xludf.DUMMYFUNCTION("""COMPUTED_VALUE"""),182.62)</f>
        <v>182.62</v>
      </c>
      <c r="F2595" s="3">
        <f t="shared" si="1"/>
        <v>-0.01564739086</v>
      </c>
    </row>
    <row r="2596">
      <c r="A2596" s="6"/>
      <c r="D2596" s="5">
        <f>IFERROR(__xludf.DUMMYFUNCTION("""COMPUTED_VALUE"""),45491.66666666667)</f>
        <v>45491.66667</v>
      </c>
      <c r="E2596" s="3">
        <f>IFERROR(__xludf.DUMMYFUNCTION("""COMPUTED_VALUE"""),179.22)</f>
        <v>179.22</v>
      </c>
      <c r="F2596" s="3">
        <f t="shared" si="1"/>
        <v>-0.01879338973</v>
      </c>
    </row>
    <row r="2597">
      <c r="A2597" s="6"/>
      <c r="D2597" s="5">
        <f>IFERROR(__xludf.DUMMYFUNCTION("""COMPUTED_VALUE"""),45492.66666666667)</f>
        <v>45492.66667</v>
      </c>
      <c r="E2597" s="3">
        <f>IFERROR(__xludf.DUMMYFUNCTION("""COMPUTED_VALUE"""),179.39)</f>
        <v>179.39</v>
      </c>
      <c r="F2597" s="3">
        <f t="shared" si="1"/>
        <v>0.0009481052549</v>
      </c>
    </row>
    <row r="2598">
      <c r="A2598" s="6"/>
      <c r="D2598" s="5">
        <f>IFERROR(__xludf.DUMMYFUNCTION("""COMPUTED_VALUE"""),45495.66666666667)</f>
        <v>45495.66667</v>
      </c>
      <c r="E2598" s="3">
        <f>IFERROR(__xludf.DUMMYFUNCTION("""COMPUTED_VALUE"""),183.35)</f>
        <v>183.35</v>
      </c>
      <c r="F2598" s="3">
        <f t="shared" si="1"/>
        <v>0.02183468781</v>
      </c>
    </row>
    <row r="2599">
      <c r="A2599" s="6"/>
      <c r="D2599" s="5">
        <f>IFERROR(__xludf.DUMMYFUNCTION("""COMPUTED_VALUE"""),45496.66666666667)</f>
        <v>45496.66667</v>
      </c>
      <c r="E2599" s="3">
        <f>IFERROR(__xludf.DUMMYFUNCTION("""COMPUTED_VALUE"""),183.6)</f>
        <v>183.6</v>
      </c>
      <c r="F2599" s="3">
        <f t="shared" si="1"/>
        <v>0.001362583669</v>
      </c>
    </row>
    <row r="2600">
      <c r="A2600" s="6"/>
      <c r="D2600" s="5">
        <f>IFERROR(__xludf.DUMMYFUNCTION("""COMPUTED_VALUE"""),45497.66666666667)</f>
        <v>45497.66667</v>
      </c>
      <c r="E2600" s="3">
        <f>IFERROR(__xludf.DUMMYFUNCTION("""COMPUTED_VALUE"""),174.37)</f>
        <v>174.37</v>
      </c>
      <c r="F2600" s="3">
        <f t="shared" si="1"/>
        <v>-0.05157999986</v>
      </c>
    </row>
    <row r="2601">
      <c r="A2601" s="6"/>
      <c r="D2601" s="5">
        <f>IFERROR(__xludf.DUMMYFUNCTION("""COMPUTED_VALUE"""),45498.66666666667)</f>
        <v>45498.66667</v>
      </c>
      <c r="E2601" s="3">
        <f>IFERROR(__xludf.DUMMYFUNCTION("""COMPUTED_VALUE"""),169.16)</f>
        <v>169.16</v>
      </c>
      <c r="F2601" s="3">
        <f t="shared" si="1"/>
        <v>-0.03033446573</v>
      </c>
    </row>
    <row r="2602">
      <c r="A2602" s="6"/>
      <c r="D2602" s="5">
        <f>IFERROR(__xludf.DUMMYFUNCTION("""COMPUTED_VALUE"""),45499.66666666667)</f>
        <v>45499.66667</v>
      </c>
      <c r="E2602" s="3">
        <f>IFERROR(__xludf.DUMMYFUNCTION("""COMPUTED_VALUE"""),168.68)</f>
        <v>168.68</v>
      </c>
      <c r="F2602" s="3">
        <f t="shared" si="1"/>
        <v>-0.002841583726</v>
      </c>
    </row>
    <row r="2603">
      <c r="A2603" s="6"/>
      <c r="D2603" s="5">
        <f>IFERROR(__xludf.DUMMYFUNCTION("""COMPUTED_VALUE"""),45502.66666666667)</f>
        <v>45502.66667</v>
      </c>
      <c r="E2603" s="3">
        <f>IFERROR(__xludf.DUMMYFUNCTION("""COMPUTED_VALUE"""),171.13)</f>
        <v>171.13</v>
      </c>
      <c r="F2603" s="3">
        <f t="shared" si="1"/>
        <v>0.01442007271</v>
      </c>
    </row>
    <row r="2604">
      <c r="A2604" s="6"/>
      <c r="D2604" s="5">
        <f>IFERROR(__xludf.DUMMYFUNCTION("""COMPUTED_VALUE"""),45503.66666666667)</f>
        <v>45503.66667</v>
      </c>
      <c r="E2604" s="3">
        <f>IFERROR(__xludf.DUMMYFUNCTION("""COMPUTED_VALUE"""),171.86)</f>
        <v>171.86</v>
      </c>
      <c r="F2604" s="3">
        <f t="shared" si="1"/>
        <v>0.004256690296</v>
      </c>
    </row>
    <row r="2605">
      <c r="A2605" s="6"/>
      <c r="D2605" s="5">
        <f>IFERROR(__xludf.DUMMYFUNCTION("""COMPUTED_VALUE"""),45504.66666666667)</f>
        <v>45504.66667</v>
      </c>
      <c r="E2605" s="3">
        <f>IFERROR(__xludf.DUMMYFUNCTION("""COMPUTED_VALUE"""),173.15)</f>
        <v>173.15</v>
      </c>
      <c r="F2605" s="3">
        <f t="shared" si="1"/>
        <v>0.007478078963</v>
      </c>
    </row>
    <row r="2606">
      <c r="A2606" s="6"/>
      <c r="D2606" s="5">
        <f>IFERROR(__xludf.DUMMYFUNCTION("""COMPUTED_VALUE"""),45505.66666666667)</f>
        <v>45505.66667</v>
      </c>
      <c r="E2606" s="3">
        <f>IFERROR(__xludf.DUMMYFUNCTION("""COMPUTED_VALUE"""),172.45)</f>
        <v>172.45</v>
      </c>
      <c r="F2606" s="3">
        <f t="shared" si="1"/>
        <v>-0.004050931466</v>
      </c>
    </row>
    <row r="2607">
      <c r="A2607" s="6"/>
      <c r="D2607" s="5">
        <f>IFERROR(__xludf.DUMMYFUNCTION("""COMPUTED_VALUE"""),45506.66666666667)</f>
        <v>45506.66667</v>
      </c>
      <c r="E2607" s="3">
        <f>IFERROR(__xludf.DUMMYFUNCTION("""COMPUTED_VALUE"""),168.4)</f>
        <v>168.4</v>
      </c>
      <c r="F2607" s="3">
        <f t="shared" si="1"/>
        <v>-0.02376523757</v>
      </c>
    </row>
    <row r="2608">
      <c r="A2608" s="6"/>
      <c r="D2608" s="5">
        <f>IFERROR(__xludf.DUMMYFUNCTION("""COMPUTED_VALUE"""),45509.66666666667)</f>
        <v>45509.66667</v>
      </c>
      <c r="E2608" s="3">
        <f>IFERROR(__xludf.DUMMYFUNCTION("""COMPUTED_VALUE"""),160.64)</f>
        <v>160.64</v>
      </c>
      <c r="F2608" s="3">
        <f t="shared" si="1"/>
        <v>-0.0471762653</v>
      </c>
    </row>
    <row r="2609">
      <c r="A2609" s="6"/>
      <c r="D2609" s="5">
        <f>IFERROR(__xludf.DUMMYFUNCTION("""COMPUTED_VALUE"""),45510.66666666667)</f>
        <v>45510.66667</v>
      </c>
      <c r="E2609" s="3">
        <f>IFERROR(__xludf.DUMMYFUNCTION("""COMPUTED_VALUE"""),160.54)</f>
        <v>160.54</v>
      </c>
      <c r="F2609" s="3">
        <f t="shared" si="1"/>
        <v>-0.0006227037999</v>
      </c>
    </row>
    <row r="2610">
      <c r="A2610" s="6"/>
      <c r="D2610" s="5">
        <f>IFERROR(__xludf.DUMMYFUNCTION("""COMPUTED_VALUE"""),45511.66666666667)</f>
        <v>45511.66667</v>
      </c>
      <c r="E2610" s="3">
        <f>IFERROR(__xludf.DUMMYFUNCTION("""COMPUTED_VALUE"""),160.75)</f>
        <v>160.75</v>
      </c>
      <c r="F2610" s="3">
        <f t="shared" si="1"/>
        <v>0.001307230414</v>
      </c>
    </row>
    <row r="2611">
      <c r="A2611" s="6"/>
      <c r="D2611" s="5">
        <f>IFERROR(__xludf.DUMMYFUNCTION("""COMPUTED_VALUE"""),45512.66666666667)</f>
        <v>45512.66667</v>
      </c>
      <c r="E2611" s="3">
        <f>IFERROR(__xludf.DUMMYFUNCTION("""COMPUTED_VALUE"""),163.84)</f>
        <v>163.84</v>
      </c>
      <c r="F2611" s="3">
        <f t="shared" si="1"/>
        <v>0.01903997873</v>
      </c>
    </row>
    <row r="2612">
      <c r="A2612" s="6"/>
      <c r="D2612" s="5">
        <f>IFERROR(__xludf.DUMMYFUNCTION("""COMPUTED_VALUE"""),45513.66666666667)</f>
        <v>45513.66667</v>
      </c>
      <c r="E2612" s="3">
        <f>IFERROR(__xludf.DUMMYFUNCTION("""COMPUTED_VALUE"""),165.39)</f>
        <v>165.39</v>
      </c>
      <c r="F2612" s="3">
        <f t="shared" si="1"/>
        <v>0.009415979419</v>
      </c>
    </row>
    <row r="2613">
      <c r="A2613" s="6"/>
      <c r="D2613" s="5">
        <f>IFERROR(__xludf.DUMMYFUNCTION("""COMPUTED_VALUE"""),45516.66666666667)</f>
        <v>45516.66667</v>
      </c>
      <c r="E2613" s="3">
        <f>IFERROR(__xludf.DUMMYFUNCTION("""COMPUTED_VALUE"""),163.95)</f>
        <v>163.95</v>
      </c>
      <c r="F2613" s="3">
        <f t="shared" si="1"/>
        <v>-0.008744817979</v>
      </c>
    </row>
    <row r="2614">
      <c r="A2614" s="6"/>
      <c r="D2614" s="5">
        <f>IFERROR(__xludf.DUMMYFUNCTION("""COMPUTED_VALUE"""),45517.66666666667)</f>
        <v>45517.66667</v>
      </c>
      <c r="E2614" s="3">
        <f>IFERROR(__xludf.DUMMYFUNCTION("""COMPUTED_VALUE"""),165.93)</f>
        <v>165.93</v>
      </c>
      <c r="F2614" s="3">
        <f t="shared" si="1"/>
        <v>0.01200450938</v>
      </c>
    </row>
    <row r="2615">
      <c r="A2615" s="6"/>
      <c r="D2615" s="5">
        <f>IFERROR(__xludf.DUMMYFUNCTION("""COMPUTED_VALUE"""),45518.66666666667)</f>
        <v>45518.66667</v>
      </c>
      <c r="E2615" s="3">
        <f>IFERROR(__xludf.DUMMYFUNCTION("""COMPUTED_VALUE"""),162.03)</f>
        <v>162.03</v>
      </c>
      <c r="F2615" s="3">
        <f t="shared" si="1"/>
        <v>-0.0237845094</v>
      </c>
    </row>
    <row r="2616">
      <c r="A2616" s="6"/>
      <c r="D2616" s="5">
        <f>IFERROR(__xludf.DUMMYFUNCTION("""COMPUTED_VALUE"""),45519.66666666667)</f>
        <v>45519.66667</v>
      </c>
      <c r="E2616" s="3">
        <f>IFERROR(__xludf.DUMMYFUNCTION("""COMPUTED_VALUE"""),163.17)</f>
        <v>163.17</v>
      </c>
      <c r="F2616" s="3">
        <f t="shared" si="1"/>
        <v>0.00701109883</v>
      </c>
    </row>
    <row r="2617">
      <c r="A2617" s="6"/>
      <c r="D2617" s="5">
        <f>IFERROR(__xludf.DUMMYFUNCTION("""COMPUTED_VALUE"""),45520.66666666667)</f>
        <v>45520.66667</v>
      </c>
      <c r="E2617" s="3">
        <f>IFERROR(__xludf.DUMMYFUNCTION("""COMPUTED_VALUE"""),164.74)</f>
        <v>164.74</v>
      </c>
      <c r="F2617" s="3">
        <f t="shared" si="1"/>
        <v>0.00957587141</v>
      </c>
    </row>
    <row r="2618">
      <c r="A2618" s="6"/>
      <c r="D2618" s="5">
        <f>IFERROR(__xludf.DUMMYFUNCTION("""COMPUTED_VALUE"""),45523.66666666667)</f>
        <v>45523.66667</v>
      </c>
      <c r="E2618" s="3">
        <f>IFERROR(__xludf.DUMMYFUNCTION("""COMPUTED_VALUE"""),168.4)</f>
        <v>168.4</v>
      </c>
      <c r="F2618" s="3">
        <f t="shared" si="1"/>
        <v>0.0219736283</v>
      </c>
    </row>
    <row r="2619">
      <c r="A2619" s="6"/>
      <c r="D2619" s="5">
        <f>IFERROR(__xludf.DUMMYFUNCTION("""COMPUTED_VALUE"""),45524.66666666667)</f>
        <v>45524.66667</v>
      </c>
      <c r="E2619" s="3">
        <f>IFERROR(__xludf.DUMMYFUNCTION("""COMPUTED_VALUE"""),168.96)</f>
        <v>168.96</v>
      </c>
      <c r="F2619" s="3">
        <f t="shared" si="1"/>
        <v>0.00331989871</v>
      </c>
    </row>
    <row r="2620">
      <c r="A2620" s="6"/>
      <c r="D2620" s="5">
        <f>IFERROR(__xludf.DUMMYFUNCTION("""COMPUTED_VALUE"""),45525.66666666667)</f>
        <v>45525.66667</v>
      </c>
      <c r="E2620" s="3">
        <f>IFERROR(__xludf.DUMMYFUNCTION("""COMPUTED_VALUE"""),167.63)</f>
        <v>167.63</v>
      </c>
      <c r="F2620" s="3">
        <f t="shared" si="1"/>
        <v>-0.007902830875</v>
      </c>
    </row>
    <row r="2621">
      <c r="A2621" s="6"/>
      <c r="D2621" s="5">
        <f>IFERROR(__xludf.DUMMYFUNCTION("""COMPUTED_VALUE"""),45526.66666666667)</f>
        <v>45526.66667</v>
      </c>
      <c r="E2621" s="3">
        <f>IFERROR(__xludf.DUMMYFUNCTION("""COMPUTED_VALUE"""),165.49)</f>
        <v>165.49</v>
      </c>
      <c r="F2621" s="3">
        <f t="shared" si="1"/>
        <v>-0.01284839961</v>
      </c>
    </row>
    <row r="2622">
      <c r="A2622" s="6"/>
      <c r="D2622" s="5">
        <f>IFERROR(__xludf.DUMMYFUNCTION("""COMPUTED_VALUE"""),45527.66666666667)</f>
        <v>45527.66667</v>
      </c>
      <c r="E2622" s="3">
        <f>IFERROR(__xludf.DUMMYFUNCTION("""COMPUTED_VALUE"""),167.43)</f>
        <v>167.43</v>
      </c>
      <c r="F2622" s="3">
        <f t="shared" si="1"/>
        <v>0.01165458344</v>
      </c>
    </row>
    <row r="2623">
      <c r="A2623" s="6"/>
      <c r="D2623" s="5">
        <f>IFERROR(__xludf.DUMMYFUNCTION("""COMPUTED_VALUE"""),45530.66666666667)</f>
        <v>45530.66667</v>
      </c>
      <c r="E2623" s="3">
        <f>IFERROR(__xludf.DUMMYFUNCTION("""COMPUTED_VALUE"""),167.93)</f>
        <v>167.93</v>
      </c>
      <c r="F2623" s="3">
        <f t="shared" si="1"/>
        <v>0.002981872438</v>
      </c>
    </row>
    <row r="2624">
      <c r="A2624" s="6"/>
      <c r="D2624" s="5">
        <f>IFERROR(__xludf.DUMMYFUNCTION("""COMPUTED_VALUE"""),45531.66666666667)</f>
        <v>45531.66667</v>
      </c>
      <c r="E2624" s="3">
        <f>IFERROR(__xludf.DUMMYFUNCTION("""COMPUTED_VALUE"""),166.38)</f>
        <v>166.38</v>
      </c>
      <c r="F2624" s="3">
        <f t="shared" si="1"/>
        <v>-0.009272897051</v>
      </c>
    </row>
    <row r="2625">
      <c r="A2625" s="6"/>
      <c r="D2625" s="5">
        <f>IFERROR(__xludf.DUMMYFUNCTION("""COMPUTED_VALUE"""),45532.66666666667)</f>
        <v>45532.66667</v>
      </c>
      <c r="E2625" s="3">
        <f>IFERROR(__xludf.DUMMYFUNCTION("""COMPUTED_VALUE"""),164.5)</f>
        <v>164.5</v>
      </c>
      <c r="F2625" s="3">
        <f t="shared" si="1"/>
        <v>-0.01136375865</v>
      </c>
    </row>
    <row r="2626">
      <c r="A2626" s="6"/>
      <c r="D2626" s="5">
        <f>IFERROR(__xludf.DUMMYFUNCTION("""COMPUTED_VALUE"""),45533.66666666667)</f>
        <v>45533.66667</v>
      </c>
      <c r="E2626" s="3">
        <f>IFERROR(__xludf.DUMMYFUNCTION("""COMPUTED_VALUE"""),163.4)</f>
        <v>163.4</v>
      </c>
      <c r="F2626" s="3">
        <f t="shared" si="1"/>
        <v>-0.00670938778</v>
      </c>
    </row>
    <row r="2627">
      <c r="A2627" s="6"/>
      <c r="D2627" s="5">
        <f>IFERROR(__xludf.DUMMYFUNCTION("""COMPUTED_VALUE"""),45534.66666666667)</f>
        <v>45534.66667</v>
      </c>
      <c r="E2627" s="3">
        <f>IFERROR(__xludf.DUMMYFUNCTION("""COMPUTED_VALUE"""),165.11)</f>
        <v>165.11</v>
      </c>
      <c r="F2627" s="3">
        <f t="shared" si="1"/>
        <v>0.01041073602</v>
      </c>
    </row>
    <row r="2628">
      <c r="A2628" s="6"/>
      <c r="D2628" s="5">
        <f>IFERROR(__xludf.DUMMYFUNCTION("""COMPUTED_VALUE"""),45538.66666666667)</f>
        <v>45538.66667</v>
      </c>
      <c r="E2628" s="3">
        <f>IFERROR(__xludf.DUMMYFUNCTION("""COMPUTED_VALUE"""),158.61)</f>
        <v>158.61</v>
      </c>
      <c r="F2628" s="3">
        <f t="shared" si="1"/>
        <v>-0.04016355953</v>
      </c>
    </row>
    <row r="2629">
      <c r="A2629" s="6"/>
      <c r="D2629" s="5">
        <f>IFERROR(__xludf.DUMMYFUNCTION("""COMPUTED_VALUE"""),45539.66666666667)</f>
        <v>45539.66667</v>
      </c>
      <c r="E2629" s="3">
        <f>IFERROR(__xludf.DUMMYFUNCTION("""COMPUTED_VALUE"""),157.81)</f>
        <v>157.81</v>
      </c>
      <c r="F2629" s="3">
        <f t="shared" si="1"/>
        <v>-0.005056581155</v>
      </c>
    </row>
    <row r="2630">
      <c r="A2630" s="6"/>
      <c r="D2630" s="5">
        <f>IFERROR(__xludf.DUMMYFUNCTION("""COMPUTED_VALUE"""),45540.66666666667)</f>
        <v>45540.66667</v>
      </c>
      <c r="E2630" s="3">
        <f>IFERROR(__xludf.DUMMYFUNCTION("""COMPUTED_VALUE"""),158.6)</f>
        <v>158.6</v>
      </c>
      <c r="F2630" s="3">
        <f t="shared" si="1"/>
        <v>0.004993531441</v>
      </c>
    </row>
    <row r="2631">
      <c r="A2631" s="6"/>
      <c r="D2631" s="5">
        <f>IFERROR(__xludf.DUMMYFUNCTION("""COMPUTED_VALUE"""),45541.66666666667)</f>
        <v>45541.66667</v>
      </c>
      <c r="E2631" s="3">
        <f>IFERROR(__xludf.DUMMYFUNCTION("""COMPUTED_VALUE"""),152.13)</f>
        <v>152.13</v>
      </c>
      <c r="F2631" s="3">
        <f t="shared" si="1"/>
        <v>-0.04164989073</v>
      </c>
    </row>
    <row r="2632">
      <c r="A2632" s="6"/>
      <c r="D2632" s="5">
        <f>IFERROR(__xludf.DUMMYFUNCTION("""COMPUTED_VALUE"""),45544.66666666667)</f>
        <v>45544.66667</v>
      </c>
      <c r="E2632" s="3">
        <f>IFERROR(__xludf.DUMMYFUNCTION("""COMPUTED_VALUE"""),149.54)</f>
        <v>149.54</v>
      </c>
      <c r="F2632" s="3">
        <f t="shared" si="1"/>
        <v>-0.0171715029</v>
      </c>
    </row>
    <row r="2633">
      <c r="A2633" s="6"/>
      <c r="D2633" s="5">
        <f>IFERROR(__xludf.DUMMYFUNCTION("""COMPUTED_VALUE"""),45545.66666666667)</f>
        <v>45545.66667</v>
      </c>
      <c r="E2633" s="3">
        <f>IFERROR(__xludf.DUMMYFUNCTION("""COMPUTED_VALUE"""),150.01)</f>
        <v>150.01</v>
      </c>
      <c r="F2633" s="3">
        <f t="shared" si="1"/>
        <v>0.003138042969</v>
      </c>
    </row>
    <row r="2634">
      <c r="A2634" s="6"/>
      <c r="D2634" s="5">
        <f>IFERROR(__xludf.DUMMYFUNCTION("""COMPUTED_VALUE"""),45546.66666666667)</f>
        <v>45546.66667</v>
      </c>
      <c r="E2634" s="3">
        <f>IFERROR(__xludf.DUMMYFUNCTION("""COMPUTED_VALUE"""),152.15)</f>
        <v>152.15</v>
      </c>
      <c r="F2634" s="3">
        <f t="shared" si="1"/>
        <v>0.0141649178</v>
      </c>
    </row>
    <row r="2635">
      <c r="A2635" s="6"/>
      <c r="D2635" s="5">
        <f>IFERROR(__xludf.DUMMYFUNCTION("""COMPUTED_VALUE"""),45547.66666666667)</f>
        <v>45547.66667</v>
      </c>
      <c r="E2635" s="3">
        <f>IFERROR(__xludf.DUMMYFUNCTION("""COMPUTED_VALUE"""),155.54)</f>
        <v>155.54</v>
      </c>
      <c r="F2635" s="3">
        <f t="shared" si="1"/>
        <v>0.02203605692</v>
      </c>
    </row>
    <row r="2636">
      <c r="A2636" s="6"/>
      <c r="D2636" s="5">
        <f>IFERROR(__xludf.DUMMYFUNCTION("""COMPUTED_VALUE"""),45548.66666666667)</f>
        <v>45548.66667</v>
      </c>
      <c r="E2636" s="3">
        <f>IFERROR(__xludf.DUMMYFUNCTION("""COMPUTED_VALUE"""),158.37)</f>
        <v>158.37</v>
      </c>
      <c r="F2636" s="3">
        <f t="shared" si="1"/>
        <v>0.01803113424</v>
      </c>
    </row>
    <row r="2637">
      <c r="A2637" s="6"/>
      <c r="D2637" s="5">
        <f>IFERROR(__xludf.DUMMYFUNCTION("""COMPUTED_VALUE"""),45551.66666666667)</f>
        <v>45551.66667</v>
      </c>
      <c r="E2637" s="3">
        <f>IFERROR(__xludf.DUMMYFUNCTION("""COMPUTED_VALUE"""),158.99)</f>
        <v>158.99</v>
      </c>
      <c r="F2637" s="3">
        <f t="shared" si="1"/>
        <v>0.003907239657</v>
      </c>
    </row>
    <row r="2638">
      <c r="A2638" s="6"/>
      <c r="D2638" s="5">
        <f>IFERROR(__xludf.DUMMYFUNCTION("""COMPUTED_VALUE"""),45552.66666666667)</f>
        <v>45552.66667</v>
      </c>
      <c r="E2638" s="3">
        <f>IFERROR(__xludf.DUMMYFUNCTION("""COMPUTED_VALUE"""),160.28)</f>
        <v>160.28</v>
      </c>
      <c r="F2638" s="3">
        <f t="shared" si="1"/>
        <v>0.008080978607</v>
      </c>
    </row>
    <row r="2639">
      <c r="A2639" s="6"/>
      <c r="D2639" s="5">
        <f>IFERROR(__xludf.DUMMYFUNCTION("""COMPUTED_VALUE"""),45553.66666666667)</f>
        <v>45553.66667</v>
      </c>
      <c r="E2639" s="3">
        <f>IFERROR(__xludf.DUMMYFUNCTION("""COMPUTED_VALUE"""),160.81)</f>
        <v>160.81</v>
      </c>
      <c r="F2639" s="3">
        <f t="shared" si="1"/>
        <v>0.003301258098</v>
      </c>
    </row>
    <row r="2640">
      <c r="A2640" s="6"/>
      <c r="D2640" s="5">
        <f>IFERROR(__xludf.DUMMYFUNCTION("""COMPUTED_VALUE"""),45554.66666666667)</f>
        <v>45554.66667</v>
      </c>
      <c r="E2640" s="3">
        <f>IFERROR(__xludf.DUMMYFUNCTION("""COMPUTED_VALUE"""),163.24)</f>
        <v>163.24</v>
      </c>
      <c r="F2640" s="3">
        <f t="shared" si="1"/>
        <v>0.01499796667</v>
      </c>
    </row>
    <row r="2641">
      <c r="A2641" s="6"/>
      <c r="D2641" s="5">
        <f>IFERROR(__xludf.DUMMYFUNCTION("""COMPUTED_VALUE"""),45555.66666666667)</f>
        <v>45555.66667</v>
      </c>
      <c r="E2641" s="3">
        <f>IFERROR(__xludf.DUMMYFUNCTION("""COMPUTED_VALUE"""),164.64)</f>
        <v>164.64</v>
      </c>
      <c r="F2641" s="3">
        <f t="shared" si="1"/>
        <v>0.008539761548</v>
      </c>
    </row>
    <row r="2642">
      <c r="A2642" s="6"/>
      <c r="D2642" s="5">
        <f>IFERROR(__xludf.DUMMYFUNCTION("""COMPUTED_VALUE"""),45558.66666666667)</f>
        <v>45558.66667</v>
      </c>
      <c r="E2642" s="3">
        <f>IFERROR(__xludf.DUMMYFUNCTION("""COMPUTED_VALUE"""),163.07)</f>
        <v>163.07</v>
      </c>
      <c r="F2642" s="3">
        <f t="shared" si="1"/>
        <v>-0.009581715613</v>
      </c>
    </row>
    <row r="2643">
      <c r="A2643" s="6"/>
      <c r="D2643" s="5">
        <f>IFERROR(__xludf.DUMMYFUNCTION("""COMPUTED_VALUE"""),45559.66666666667)</f>
        <v>45559.66667</v>
      </c>
      <c r="E2643" s="3">
        <f>IFERROR(__xludf.DUMMYFUNCTION("""COMPUTED_VALUE"""),163.64)</f>
        <v>163.64</v>
      </c>
      <c r="F2643" s="3">
        <f t="shared" si="1"/>
        <v>0.003489336588</v>
      </c>
    </row>
    <row r="2644">
      <c r="A2644" s="6"/>
      <c r="D2644" s="5">
        <f>IFERROR(__xludf.DUMMYFUNCTION("""COMPUTED_VALUE"""),45560.66666666667)</f>
        <v>45560.66667</v>
      </c>
      <c r="E2644" s="3">
        <f>IFERROR(__xludf.DUMMYFUNCTION("""COMPUTED_VALUE"""),162.99)</f>
        <v>162.99</v>
      </c>
      <c r="F2644" s="3">
        <f t="shared" si="1"/>
        <v>-0.00398004383</v>
      </c>
    </row>
    <row r="2645">
      <c r="A2645" s="6"/>
      <c r="D2645" s="5">
        <f>IFERROR(__xludf.DUMMYFUNCTION("""COMPUTED_VALUE"""),45561.66666666667)</f>
        <v>45561.66667</v>
      </c>
      <c r="E2645" s="3">
        <f>IFERROR(__xludf.DUMMYFUNCTION("""COMPUTED_VALUE"""),163.83)</f>
        <v>163.83</v>
      </c>
      <c r="F2645" s="3">
        <f t="shared" si="1"/>
        <v>0.005140455601</v>
      </c>
    </row>
    <row r="2646">
      <c r="A2646" s="6"/>
      <c r="D2646" s="5">
        <f>IFERROR(__xludf.DUMMYFUNCTION("""COMPUTED_VALUE"""),45562.66666666667)</f>
        <v>45562.66667</v>
      </c>
      <c r="E2646" s="3">
        <f>IFERROR(__xludf.DUMMYFUNCTION("""COMPUTED_VALUE"""),165.29)</f>
        <v>165.29</v>
      </c>
      <c r="F2646" s="3">
        <f t="shared" si="1"/>
        <v>0.008872202097</v>
      </c>
    </row>
    <row r="2647">
      <c r="A2647" s="6"/>
      <c r="D2647" s="5">
        <f>IFERROR(__xludf.DUMMYFUNCTION("""COMPUTED_VALUE"""),45565.66666666667)</f>
        <v>45565.66667</v>
      </c>
      <c r="E2647" s="3">
        <f>IFERROR(__xludf.DUMMYFUNCTION("""COMPUTED_VALUE"""),167.19)</f>
        <v>167.19</v>
      </c>
      <c r="F2647" s="3">
        <f t="shared" si="1"/>
        <v>0.01142938332</v>
      </c>
    </row>
    <row r="2648">
      <c r="A2648" s="6"/>
      <c r="D2648" s="5">
        <f>IFERROR(__xludf.DUMMYFUNCTION("""COMPUTED_VALUE"""),45566.66666666667)</f>
        <v>45566.66667</v>
      </c>
      <c r="E2648" s="3">
        <f>IFERROR(__xludf.DUMMYFUNCTION("""COMPUTED_VALUE"""),168.42)</f>
        <v>168.42</v>
      </c>
      <c r="F2648" s="3">
        <f t="shared" si="1"/>
        <v>0.007329969352</v>
      </c>
    </row>
    <row r="2649">
      <c r="A2649" s="6"/>
      <c r="D2649" s="5">
        <f>IFERROR(__xludf.DUMMYFUNCTION("""COMPUTED_VALUE"""),45567.66666666667)</f>
        <v>45567.66667</v>
      </c>
      <c r="E2649" s="3">
        <f>IFERROR(__xludf.DUMMYFUNCTION("""COMPUTED_VALUE"""),167.31)</f>
        <v>167.31</v>
      </c>
      <c r="F2649" s="3">
        <f t="shared" si="1"/>
        <v>-0.006612480532</v>
      </c>
    </row>
    <row r="2650">
      <c r="A2650" s="6"/>
      <c r="D2650" s="5">
        <f>IFERROR(__xludf.DUMMYFUNCTION("""COMPUTED_VALUE"""),45568.66666666667)</f>
        <v>45568.66667</v>
      </c>
      <c r="E2650" s="3">
        <f>IFERROR(__xludf.DUMMYFUNCTION("""COMPUTED_VALUE"""),167.21)</f>
        <v>167.21</v>
      </c>
      <c r="F2650" s="3">
        <f t="shared" si="1"/>
        <v>-0.000597871595</v>
      </c>
    </row>
    <row r="2651">
      <c r="A2651" s="6"/>
      <c r="D2651" s="5">
        <f>IFERROR(__xludf.DUMMYFUNCTION("""COMPUTED_VALUE"""),45569.66666666667)</f>
        <v>45569.66667</v>
      </c>
      <c r="E2651" s="3">
        <f>IFERROR(__xludf.DUMMYFUNCTION("""COMPUTED_VALUE"""),168.56)</f>
        <v>168.56</v>
      </c>
      <c r="F2651" s="3">
        <f t="shared" si="1"/>
        <v>0.008041262021</v>
      </c>
    </row>
    <row r="2652">
      <c r="A2652" s="6"/>
      <c r="D2652" s="5">
        <f>IFERROR(__xludf.DUMMYFUNCTION("""COMPUTED_VALUE"""),45572.66666666667)</f>
        <v>45572.66667</v>
      </c>
      <c r="E2652" s="3">
        <f>IFERROR(__xludf.DUMMYFUNCTION("""COMPUTED_VALUE"""),164.39)</f>
        <v>164.39</v>
      </c>
      <c r="F2652" s="3">
        <f t="shared" si="1"/>
        <v>-0.02505011597</v>
      </c>
    </row>
    <row r="2653">
      <c r="A2653" s="6"/>
      <c r="D2653" s="5">
        <f>IFERROR(__xludf.DUMMYFUNCTION("""COMPUTED_VALUE"""),45573.66666666667)</f>
        <v>45573.66667</v>
      </c>
      <c r="E2653" s="3">
        <f>IFERROR(__xludf.DUMMYFUNCTION("""COMPUTED_VALUE"""),164.39)</f>
        <v>164.39</v>
      </c>
      <c r="F2653" s="3">
        <f t="shared" si="1"/>
        <v>0</v>
      </c>
    </row>
    <row r="2654">
      <c r="A2654" s="6"/>
      <c r="D2654" s="5">
        <f>IFERROR(__xludf.DUMMYFUNCTION("""COMPUTED_VALUE"""),45574.66666666667)</f>
        <v>45574.66667</v>
      </c>
      <c r="E2654" s="3">
        <f>IFERROR(__xludf.DUMMYFUNCTION("""COMPUTED_VALUE"""),163.06)</f>
        <v>163.06</v>
      </c>
      <c r="F2654" s="3">
        <f t="shared" si="1"/>
        <v>-0.008123422287</v>
      </c>
    </row>
    <row r="2655">
      <c r="A2655" s="6"/>
      <c r="D2655" s="5">
        <f>IFERROR(__xludf.DUMMYFUNCTION("""COMPUTED_VALUE"""),45575.66666666667)</f>
        <v>45575.66667</v>
      </c>
      <c r="E2655" s="3">
        <f>IFERROR(__xludf.DUMMYFUNCTION("""COMPUTED_VALUE"""),163.18)</f>
        <v>163.18</v>
      </c>
      <c r="F2655" s="3">
        <f t="shared" si="1"/>
        <v>0.0007356547659</v>
      </c>
    </row>
    <row r="2656">
      <c r="A2656" s="6"/>
      <c r="D2656" s="5">
        <f>IFERROR(__xludf.DUMMYFUNCTION("""COMPUTED_VALUE"""),45576.66666666667)</f>
        <v>45576.66667</v>
      </c>
      <c r="E2656" s="3">
        <f>IFERROR(__xludf.DUMMYFUNCTION("""COMPUTED_VALUE"""),164.52)</f>
        <v>164.52</v>
      </c>
      <c r="F2656" s="3">
        <f t="shared" si="1"/>
        <v>0.008178257362</v>
      </c>
    </row>
    <row r="2657">
      <c r="A2657" s="6"/>
      <c r="D2657" s="5">
        <f>IFERROR(__xludf.DUMMYFUNCTION("""COMPUTED_VALUE"""),45579.66666666667)</f>
        <v>45579.66667</v>
      </c>
      <c r="E2657" s="3">
        <f>IFERROR(__xludf.DUMMYFUNCTION("""COMPUTED_VALUE"""),166.35)</f>
        <v>166.35</v>
      </c>
      <c r="F2657" s="3">
        <f t="shared" si="1"/>
        <v>0.0110618591</v>
      </c>
    </row>
    <row r="2658">
      <c r="A2658" s="6"/>
      <c r="D2658" s="5">
        <f>IFERROR(__xludf.DUMMYFUNCTION("""COMPUTED_VALUE"""),45580.66666666667)</f>
        <v>45580.66667</v>
      </c>
      <c r="E2658" s="3">
        <f>IFERROR(__xludf.DUMMYFUNCTION("""COMPUTED_VALUE"""),166.9)</f>
        <v>166.9</v>
      </c>
      <c r="F2658" s="3">
        <f t="shared" si="1"/>
        <v>0.003300828203</v>
      </c>
    </row>
    <row r="2659">
      <c r="A2659" s="6"/>
      <c r="D2659" s="5">
        <f>IFERROR(__xludf.DUMMYFUNCTION("""COMPUTED_VALUE"""),45581.66666666667)</f>
        <v>45581.66667</v>
      </c>
      <c r="E2659" s="3">
        <f>IFERROR(__xludf.DUMMYFUNCTION("""COMPUTED_VALUE"""),166.74)</f>
        <v>166.74</v>
      </c>
      <c r="F2659" s="3">
        <f t="shared" si="1"/>
        <v>-0.0009591176853</v>
      </c>
    </row>
    <row r="2660">
      <c r="A2660" s="6"/>
      <c r="D2660" s="5">
        <f>IFERROR(__xludf.DUMMYFUNCTION("""COMPUTED_VALUE"""),45582.66666666667)</f>
        <v>45582.66667</v>
      </c>
      <c r="E2660" s="3">
        <f>IFERROR(__xludf.DUMMYFUNCTION("""COMPUTED_VALUE"""),164.51)</f>
        <v>164.51</v>
      </c>
      <c r="F2660" s="3">
        <f t="shared" si="1"/>
        <v>-0.01346435435</v>
      </c>
    </row>
    <row r="2661">
      <c r="A2661" s="6"/>
      <c r="D2661" s="5">
        <f>IFERROR(__xludf.DUMMYFUNCTION("""COMPUTED_VALUE"""),45583.66666666667)</f>
        <v>45583.66667</v>
      </c>
      <c r="E2661" s="3">
        <f>IFERROR(__xludf.DUMMYFUNCTION("""COMPUTED_VALUE"""),165.05)</f>
        <v>165.05</v>
      </c>
      <c r="F2661" s="3">
        <f t="shared" si="1"/>
        <v>0.003277099668</v>
      </c>
    </row>
    <row r="2662">
      <c r="A2662" s="6"/>
      <c r="D2662" s="5">
        <f>IFERROR(__xludf.DUMMYFUNCTION("""COMPUTED_VALUE"""),45586.66666666667)</f>
        <v>45586.66667</v>
      </c>
      <c r="E2662" s="3">
        <f>IFERROR(__xludf.DUMMYFUNCTION("""COMPUTED_VALUE"""),165.8)</f>
        <v>165.8</v>
      </c>
      <c r="F2662" s="3">
        <f t="shared" si="1"/>
        <v>0.004533784402</v>
      </c>
    </row>
    <row r="2663">
      <c r="A2663" s="6"/>
    </row>
    <row r="2664">
      <c r="A2664" s="6"/>
    </row>
    <row r="2665">
      <c r="A2665" s="6"/>
    </row>
    <row r="2666">
      <c r="A2666" s="6"/>
    </row>
    <row r="2667">
      <c r="A2667" s="6"/>
    </row>
    <row r="2668">
      <c r="A2668" s="6"/>
    </row>
    <row r="2669">
      <c r="A2669" s="6"/>
    </row>
    <row r="2670">
      <c r="A2670" s="6"/>
    </row>
    <row r="2671">
      <c r="A2671" s="6"/>
    </row>
    <row r="2672">
      <c r="A2672" s="6"/>
    </row>
    <row r="2673">
      <c r="A2673" s="6"/>
    </row>
    <row r="2674">
      <c r="A2674" s="6"/>
    </row>
    <row r="2675">
      <c r="A2675" s="6"/>
    </row>
    <row r="2676">
      <c r="A2676" s="6"/>
    </row>
    <row r="2677">
      <c r="A2677" s="6"/>
    </row>
    <row r="2678">
      <c r="A2678" s="6"/>
    </row>
    <row r="2679">
      <c r="A2679" s="6"/>
    </row>
    <row r="2680">
      <c r="A2680" s="6"/>
    </row>
    <row r="2681">
      <c r="A2681" s="6"/>
    </row>
    <row r="2682">
      <c r="A2682" s="6"/>
    </row>
    <row r="2683">
      <c r="A2683" s="6"/>
    </row>
    <row r="2684">
      <c r="A2684" s="6"/>
    </row>
    <row r="2685">
      <c r="A2685" s="6"/>
    </row>
    <row r="2686">
      <c r="A2686" s="6"/>
    </row>
    <row r="2687">
      <c r="A2687" s="6"/>
    </row>
    <row r="2688">
      <c r="A2688" s="6"/>
    </row>
    <row r="2689">
      <c r="A2689" s="6"/>
    </row>
    <row r="2690">
      <c r="A2690" s="6"/>
    </row>
    <row r="2691">
      <c r="A2691" s="6"/>
    </row>
    <row r="2692">
      <c r="A2692" s="6"/>
    </row>
    <row r="2693">
      <c r="A2693" s="6"/>
    </row>
    <row r="2694">
      <c r="A2694" s="6"/>
    </row>
    <row r="2695">
      <c r="A2695" s="6"/>
    </row>
    <row r="2696">
      <c r="A2696" s="6"/>
    </row>
    <row r="2697">
      <c r="A2697" s="6"/>
    </row>
    <row r="2698">
      <c r="A2698" s="6"/>
    </row>
    <row r="2699">
      <c r="A2699" s="6"/>
    </row>
    <row r="2700">
      <c r="A2700" s="6"/>
    </row>
    <row r="2701">
      <c r="A2701" s="6"/>
    </row>
    <row r="2702">
      <c r="A2702" s="6"/>
    </row>
    <row r="2703">
      <c r="A2703" s="6"/>
    </row>
    <row r="2704">
      <c r="A2704" s="6"/>
    </row>
    <row r="2705">
      <c r="A2705" s="6"/>
    </row>
    <row r="2706">
      <c r="A2706" s="6"/>
    </row>
    <row r="2707">
      <c r="A2707" s="6"/>
    </row>
    <row r="2708">
      <c r="A2708" s="6"/>
    </row>
    <row r="2709">
      <c r="A2709" s="6"/>
    </row>
    <row r="2710">
      <c r="A2710" s="6"/>
    </row>
    <row r="2711">
      <c r="A2711" s="6"/>
    </row>
    <row r="2712">
      <c r="A2712" s="6"/>
    </row>
    <row r="2713">
      <c r="A2713" s="6"/>
    </row>
    <row r="2714">
      <c r="A2714" s="6"/>
    </row>
    <row r="2715">
      <c r="A2715" s="6"/>
    </row>
    <row r="2716">
      <c r="A2716" s="6"/>
    </row>
    <row r="2717">
      <c r="A2717" s="6"/>
    </row>
    <row r="2718">
      <c r="A2718" s="6"/>
    </row>
    <row r="2719">
      <c r="A2719" s="6"/>
    </row>
    <row r="2720">
      <c r="A2720" s="6"/>
    </row>
    <row r="2721">
      <c r="A2721" s="6"/>
    </row>
    <row r="2722">
      <c r="A2722" s="6"/>
    </row>
    <row r="2723">
      <c r="A2723" s="6"/>
    </row>
    <row r="2724">
      <c r="A2724" s="6"/>
    </row>
    <row r="2725">
      <c r="A2725" s="6"/>
    </row>
    <row r="2726">
      <c r="A2726" s="6"/>
    </row>
    <row r="2727">
      <c r="A2727" s="6"/>
    </row>
    <row r="2728">
      <c r="A2728" s="6"/>
    </row>
    <row r="2729">
      <c r="A2729" s="6"/>
    </row>
    <row r="2730">
      <c r="A2730" s="6"/>
    </row>
    <row r="2731">
      <c r="A2731" s="6"/>
    </row>
    <row r="2732">
      <c r="A2732" s="6"/>
    </row>
    <row r="2733">
      <c r="A2733" s="6"/>
    </row>
    <row r="2734">
      <c r="A2734" s="6"/>
    </row>
    <row r="2735">
      <c r="A2735" s="6"/>
    </row>
    <row r="2736">
      <c r="A2736" s="6"/>
    </row>
    <row r="2737">
      <c r="A2737" s="6"/>
    </row>
    <row r="2738">
      <c r="A2738" s="6"/>
    </row>
    <row r="2739">
      <c r="A2739" s="6"/>
    </row>
    <row r="2740">
      <c r="A2740" s="6"/>
    </row>
    <row r="2741">
      <c r="A2741" s="6"/>
    </row>
    <row r="2742">
      <c r="A2742" s="6"/>
    </row>
    <row r="2743">
      <c r="A2743" s="6"/>
    </row>
    <row r="2744">
      <c r="A2744" s="6"/>
    </row>
    <row r="2745">
      <c r="A2745" s="6"/>
    </row>
    <row r="2746">
      <c r="A2746" s="6"/>
    </row>
    <row r="2747">
      <c r="A2747" s="6"/>
    </row>
    <row r="2748">
      <c r="A2748" s="6"/>
    </row>
    <row r="2749">
      <c r="A2749" s="6"/>
    </row>
    <row r="2750">
      <c r="A2750" s="6"/>
    </row>
    <row r="2751">
      <c r="A2751" s="6"/>
    </row>
    <row r="2752">
      <c r="A2752" s="6"/>
    </row>
    <row r="2753">
      <c r="A2753" s="6"/>
    </row>
    <row r="2754">
      <c r="A2754" s="6"/>
    </row>
    <row r="2755">
      <c r="A2755" s="6"/>
    </row>
    <row r="2756">
      <c r="A2756" s="6"/>
    </row>
    <row r="2757">
      <c r="A2757" s="6"/>
    </row>
    <row r="2758">
      <c r="A2758" s="6"/>
    </row>
    <row r="2759">
      <c r="A2759" s="6"/>
    </row>
    <row r="2760">
      <c r="A2760" s="6"/>
    </row>
    <row r="2761">
      <c r="A2761" s="6"/>
    </row>
    <row r="2762">
      <c r="A2762" s="6"/>
    </row>
    <row r="2763">
      <c r="A2763" s="6"/>
    </row>
    <row r="2764">
      <c r="A2764" s="6"/>
    </row>
    <row r="2765">
      <c r="A2765" s="6"/>
    </row>
    <row r="2766">
      <c r="A2766" s="6"/>
    </row>
    <row r="2767">
      <c r="A2767" s="6"/>
    </row>
    <row r="2768">
      <c r="A2768" s="6"/>
    </row>
    <row r="2769">
      <c r="A2769" s="6"/>
    </row>
    <row r="2770">
      <c r="A2770" s="6"/>
    </row>
    <row r="2771">
      <c r="A2771" s="6"/>
    </row>
    <row r="2772">
      <c r="A2772" s="6"/>
    </row>
    <row r="2773">
      <c r="A2773" s="6"/>
    </row>
    <row r="2774">
      <c r="A2774" s="6"/>
    </row>
    <row r="2775">
      <c r="A2775" s="6"/>
    </row>
    <row r="2776">
      <c r="A2776" s="6"/>
    </row>
    <row r="2777">
      <c r="A2777" s="6"/>
    </row>
    <row r="2778">
      <c r="A2778" s="6"/>
    </row>
    <row r="2779">
      <c r="A2779" s="6"/>
    </row>
    <row r="2780">
      <c r="A2780" s="6"/>
    </row>
    <row r="2781">
      <c r="A2781" s="6"/>
    </row>
    <row r="2782">
      <c r="A2782" s="6"/>
    </row>
    <row r="2783">
      <c r="A2783" s="6"/>
    </row>
    <row r="2784">
      <c r="A2784" s="6"/>
    </row>
    <row r="2785">
      <c r="A2785" s="6"/>
    </row>
    <row r="2786">
      <c r="A2786" s="6"/>
    </row>
    <row r="2787">
      <c r="A2787" s="6"/>
    </row>
    <row r="2788">
      <c r="A2788" s="6"/>
    </row>
    <row r="2789">
      <c r="A2789" s="6"/>
    </row>
    <row r="2790">
      <c r="A2790" s="6"/>
    </row>
    <row r="2791">
      <c r="A2791" s="6"/>
    </row>
    <row r="2792">
      <c r="A2792" s="6"/>
    </row>
    <row r="2793">
      <c r="A2793" s="6"/>
    </row>
    <row r="2794">
      <c r="A2794" s="6"/>
    </row>
    <row r="2795">
      <c r="A2795" s="6"/>
    </row>
    <row r="2796">
      <c r="A2796" s="6"/>
    </row>
    <row r="2797">
      <c r="A2797" s="6"/>
    </row>
    <row r="2798">
      <c r="A2798" s="6"/>
    </row>
    <row r="2799">
      <c r="A2799" s="6"/>
    </row>
    <row r="2800">
      <c r="A2800" s="6"/>
    </row>
    <row r="2801">
      <c r="A2801" s="6"/>
    </row>
    <row r="2802">
      <c r="A2802" s="6"/>
    </row>
    <row r="2803">
      <c r="A2803" s="6"/>
    </row>
    <row r="2804">
      <c r="A2804" s="6"/>
    </row>
    <row r="2805">
      <c r="A2805" s="6"/>
    </row>
    <row r="2806">
      <c r="A2806" s="6"/>
    </row>
    <row r="2807">
      <c r="A2807" s="6"/>
    </row>
    <row r="2808">
      <c r="A2808" s="6"/>
    </row>
    <row r="2809">
      <c r="A2809" s="6"/>
    </row>
    <row r="2810">
      <c r="A2810" s="6"/>
    </row>
    <row r="2811">
      <c r="A2811" s="6"/>
    </row>
    <row r="2812">
      <c r="A2812" s="6"/>
    </row>
    <row r="2813">
      <c r="A2813" s="6"/>
    </row>
    <row r="2814">
      <c r="A2814" s="6"/>
    </row>
    <row r="2815">
      <c r="A2815" s="6"/>
    </row>
    <row r="2816">
      <c r="A2816" s="6"/>
    </row>
    <row r="2817">
      <c r="A2817" s="6"/>
    </row>
    <row r="2818">
      <c r="A2818" s="6"/>
    </row>
    <row r="2819">
      <c r="A2819" s="6"/>
    </row>
    <row r="2820">
      <c r="A2820" s="6"/>
    </row>
    <row r="2821">
      <c r="A2821" s="6"/>
    </row>
    <row r="2822">
      <c r="A2822" s="6"/>
    </row>
    <row r="2823">
      <c r="A2823" s="6"/>
    </row>
    <row r="2824">
      <c r="A2824" s="6"/>
    </row>
    <row r="2825">
      <c r="A2825" s="6"/>
    </row>
    <row r="2826">
      <c r="A2826" s="6"/>
    </row>
    <row r="2827">
      <c r="A2827" s="6"/>
    </row>
    <row r="2828">
      <c r="A2828" s="6"/>
    </row>
    <row r="2829">
      <c r="A2829" s="6"/>
    </row>
    <row r="2830">
      <c r="A2830" s="6"/>
    </row>
    <row r="2831">
      <c r="A2831" s="6"/>
    </row>
    <row r="2832">
      <c r="A2832" s="6"/>
    </row>
    <row r="2833">
      <c r="A2833" s="6"/>
    </row>
    <row r="2834">
      <c r="A2834" s="6"/>
    </row>
    <row r="2835">
      <c r="A2835" s="6"/>
    </row>
    <row r="2836">
      <c r="A2836" s="6"/>
    </row>
    <row r="2837">
      <c r="A2837" s="6"/>
    </row>
    <row r="2838">
      <c r="A2838" s="6"/>
    </row>
    <row r="2839">
      <c r="A2839" s="6"/>
    </row>
    <row r="2840">
      <c r="A2840" s="6"/>
    </row>
    <row r="2841">
      <c r="A2841" s="6"/>
    </row>
    <row r="2842">
      <c r="A2842" s="6"/>
    </row>
    <row r="2843">
      <c r="A2843" s="6"/>
    </row>
    <row r="2844">
      <c r="A2844" s="6"/>
    </row>
    <row r="2845">
      <c r="A2845" s="6"/>
    </row>
    <row r="2846">
      <c r="A2846" s="6"/>
    </row>
    <row r="2847">
      <c r="A2847" s="6"/>
    </row>
    <row r="2848">
      <c r="A2848" s="6"/>
    </row>
    <row r="2849">
      <c r="A2849" s="6"/>
    </row>
    <row r="2850">
      <c r="A2850" s="6"/>
    </row>
    <row r="2851">
      <c r="A2851" s="6"/>
    </row>
    <row r="2852">
      <c r="A2852" s="6"/>
    </row>
    <row r="2853">
      <c r="A2853" s="6"/>
    </row>
    <row r="2854">
      <c r="A2854" s="6"/>
    </row>
    <row r="2855">
      <c r="A2855" s="6"/>
    </row>
    <row r="2856">
      <c r="A2856" s="6"/>
    </row>
    <row r="2857">
      <c r="A2857" s="6"/>
    </row>
    <row r="2858">
      <c r="A2858" s="6"/>
    </row>
    <row r="2859">
      <c r="A2859" s="6"/>
    </row>
    <row r="2860">
      <c r="A2860" s="6"/>
    </row>
    <row r="2861">
      <c r="A2861" s="6"/>
    </row>
    <row r="2862">
      <c r="A2862" s="6"/>
    </row>
    <row r="2863">
      <c r="A2863" s="6"/>
    </row>
    <row r="2864">
      <c r="A2864" s="6"/>
    </row>
    <row r="2865">
      <c r="A2865" s="6"/>
    </row>
    <row r="2866">
      <c r="A2866" s="6"/>
    </row>
    <row r="2867">
      <c r="A2867" s="6"/>
    </row>
    <row r="2868">
      <c r="A2868" s="6"/>
    </row>
    <row r="2869">
      <c r="A2869" s="6"/>
    </row>
    <row r="2870">
      <c r="A2870" s="6"/>
    </row>
    <row r="2871">
      <c r="A2871" s="6"/>
    </row>
    <row r="2872">
      <c r="A2872" s="6"/>
    </row>
    <row r="2873">
      <c r="A2873" s="6"/>
    </row>
    <row r="2874">
      <c r="A2874" s="6"/>
    </row>
    <row r="2875">
      <c r="A2875" s="6"/>
    </row>
    <row r="2876">
      <c r="A2876" s="6"/>
    </row>
    <row r="2877">
      <c r="A2877" s="6"/>
    </row>
    <row r="2878">
      <c r="A2878" s="6"/>
    </row>
    <row r="2879">
      <c r="A2879" s="6"/>
    </row>
    <row r="2880">
      <c r="A2880" s="6"/>
    </row>
    <row r="2881">
      <c r="A2881" s="6"/>
    </row>
    <row r="2882">
      <c r="A2882" s="6"/>
    </row>
    <row r="2883">
      <c r="A2883" s="6"/>
    </row>
    <row r="2884">
      <c r="A2884" s="6"/>
    </row>
    <row r="2885">
      <c r="A2885" s="6"/>
    </row>
    <row r="2886">
      <c r="A2886" s="6"/>
    </row>
    <row r="2887">
      <c r="A2887" s="6"/>
    </row>
    <row r="2888">
      <c r="A2888" s="6"/>
    </row>
    <row r="2889">
      <c r="A2889" s="6"/>
    </row>
    <row r="2890">
      <c r="A2890" s="6"/>
    </row>
    <row r="2891">
      <c r="A2891" s="6"/>
    </row>
    <row r="2892">
      <c r="A2892" s="6"/>
    </row>
    <row r="2893">
      <c r="A2893" s="6"/>
    </row>
    <row r="2894">
      <c r="A2894" s="6"/>
    </row>
    <row r="2895">
      <c r="A2895" s="6"/>
    </row>
    <row r="2896">
      <c r="A2896" s="6"/>
    </row>
    <row r="2897">
      <c r="A2897" s="6"/>
    </row>
    <row r="2898">
      <c r="A2898" s="6"/>
    </row>
    <row r="2899">
      <c r="A2899" s="6"/>
    </row>
    <row r="2900">
      <c r="A2900" s="6"/>
    </row>
    <row r="2901">
      <c r="A2901" s="6"/>
    </row>
    <row r="2902">
      <c r="A2902" s="6"/>
    </row>
    <row r="2903">
      <c r="A2903" s="6"/>
    </row>
    <row r="2904">
      <c r="A2904" s="6"/>
    </row>
    <row r="2905">
      <c r="A2905" s="6"/>
    </row>
    <row r="2906">
      <c r="A2906" s="6"/>
    </row>
    <row r="2907">
      <c r="A2907" s="6"/>
    </row>
    <row r="2908">
      <c r="A2908" s="6"/>
    </row>
    <row r="2909">
      <c r="A2909" s="6"/>
    </row>
    <row r="2910">
      <c r="A2910" s="6"/>
    </row>
    <row r="2911">
      <c r="A2911" s="6"/>
    </row>
    <row r="2912">
      <c r="A2912" s="6"/>
    </row>
    <row r="2913">
      <c r="A2913" s="6"/>
    </row>
    <row r="2914">
      <c r="A2914" s="6"/>
    </row>
    <row r="2915">
      <c r="A2915" s="6"/>
    </row>
    <row r="2916">
      <c r="A2916" s="6"/>
    </row>
    <row r="2917">
      <c r="A2917" s="6"/>
    </row>
    <row r="2918">
      <c r="A2918" s="6"/>
    </row>
    <row r="2919">
      <c r="A2919" s="6"/>
    </row>
    <row r="2920">
      <c r="A2920" s="6"/>
    </row>
    <row r="2921">
      <c r="A2921" s="6"/>
    </row>
    <row r="2922">
      <c r="A2922" s="6"/>
    </row>
    <row r="2923">
      <c r="A2923" s="6"/>
    </row>
    <row r="2924">
      <c r="A2924" s="6"/>
    </row>
    <row r="2925">
      <c r="A2925" s="6"/>
    </row>
    <row r="2926">
      <c r="A2926" s="6"/>
    </row>
    <row r="2927">
      <c r="A2927" s="6"/>
    </row>
    <row r="2928">
      <c r="A2928" s="6"/>
    </row>
    <row r="2929">
      <c r="A2929" s="6"/>
    </row>
    <row r="2930">
      <c r="A2930" s="6"/>
    </row>
    <row r="2931">
      <c r="A2931" s="6"/>
    </row>
    <row r="2932">
      <c r="A2932" s="6"/>
    </row>
    <row r="2933">
      <c r="A2933" s="6"/>
    </row>
    <row r="2934">
      <c r="A2934" s="6"/>
    </row>
    <row r="2935">
      <c r="A2935" s="6"/>
    </row>
    <row r="2936">
      <c r="A2936" s="6"/>
    </row>
    <row r="2937">
      <c r="A2937" s="6"/>
    </row>
    <row r="2938">
      <c r="A2938" s="6"/>
    </row>
    <row r="2939">
      <c r="A2939" s="6"/>
    </row>
    <row r="2940">
      <c r="A2940" s="6"/>
    </row>
    <row r="2941">
      <c r="A2941" s="6"/>
    </row>
    <row r="2942">
      <c r="A2942" s="6"/>
    </row>
    <row r="2943">
      <c r="A2943" s="6"/>
    </row>
    <row r="2944">
      <c r="A2944" s="6"/>
    </row>
    <row r="2945">
      <c r="A2945" s="6"/>
    </row>
    <row r="2946">
      <c r="A2946" s="6"/>
    </row>
    <row r="2947">
      <c r="A2947" s="6"/>
    </row>
    <row r="2948">
      <c r="A2948" s="6"/>
    </row>
    <row r="2949">
      <c r="A2949" s="6"/>
    </row>
    <row r="2950">
      <c r="A2950" s="6"/>
    </row>
    <row r="2951">
      <c r="A2951" s="6"/>
    </row>
    <row r="2952">
      <c r="A2952" s="6"/>
    </row>
    <row r="2953">
      <c r="A2953" s="6"/>
    </row>
    <row r="2954">
      <c r="A2954" s="6"/>
    </row>
    <row r="2955">
      <c r="A2955" s="6"/>
    </row>
    <row r="2956">
      <c r="A2956" s="6"/>
    </row>
    <row r="2957">
      <c r="A2957" s="6"/>
    </row>
    <row r="2958">
      <c r="A2958" s="6"/>
    </row>
    <row r="2959">
      <c r="A2959" s="6"/>
    </row>
    <row r="2960">
      <c r="A2960" s="6"/>
    </row>
    <row r="2961">
      <c r="A2961" s="6"/>
    </row>
    <row r="2962">
      <c r="A2962" s="6"/>
    </row>
    <row r="2963">
      <c r="A2963" s="6"/>
    </row>
    <row r="2964">
      <c r="A2964" s="6"/>
    </row>
    <row r="2965">
      <c r="A2965" s="6"/>
    </row>
    <row r="2966">
      <c r="A2966" s="6"/>
    </row>
    <row r="2967">
      <c r="A2967" s="6"/>
    </row>
    <row r="2968">
      <c r="A2968" s="6"/>
    </row>
    <row r="2969">
      <c r="A2969" s="6"/>
    </row>
    <row r="2970">
      <c r="A2970" s="6"/>
    </row>
    <row r="2971">
      <c r="A2971" s="6"/>
    </row>
    <row r="2972">
      <c r="A2972" s="6"/>
    </row>
    <row r="2973">
      <c r="A2973" s="6"/>
    </row>
    <row r="2974">
      <c r="A2974" s="6"/>
    </row>
    <row r="2975">
      <c r="A2975" s="6"/>
    </row>
    <row r="2976">
      <c r="A2976" s="6"/>
    </row>
    <row r="2977">
      <c r="A2977" s="6"/>
    </row>
    <row r="2978">
      <c r="A2978" s="6"/>
    </row>
    <row r="2979">
      <c r="A2979" s="6"/>
    </row>
    <row r="2980">
      <c r="A2980" s="6"/>
    </row>
    <row r="2981">
      <c r="A2981" s="6"/>
    </row>
    <row r="2982">
      <c r="A2982" s="6"/>
    </row>
    <row r="2983">
      <c r="A2983" s="6"/>
    </row>
    <row r="2984">
      <c r="A2984" s="6"/>
    </row>
    <row r="2985">
      <c r="A2985" s="6"/>
    </row>
    <row r="2986">
      <c r="A2986" s="6"/>
    </row>
    <row r="2987">
      <c r="A2987" s="6"/>
    </row>
    <row r="2988">
      <c r="A2988" s="6"/>
    </row>
    <row r="2989">
      <c r="A2989" s="6"/>
    </row>
    <row r="2990">
      <c r="A2990" s="6"/>
    </row>
    <row r="2991">
      <c r="A2991" s="6"/>
    </row>
    <row r="2992">
      <c r="A2992" s="6"/>
    </row>
    <row r="2993">
      <c r="A2993" s="6"/>
    </row>
    <row r="2994">
      <c r="A2994" s="6"/>
    </row>
    <row r="2995">
      <c r="A2995" s="6"/>
    </row>
    <row r="2996">
      <c r="A2996" s="6"/>
    </row>
    <row r="2997">
      <c r="A2997" s="6"/>
    </row>
    <row r="2998">
      <c r="A2998" s="6"/>
    </row>
    <row r="2999">
      <c r="A2999" s="6"/>
    </row>
    <row r="3000">
      <c r="A3000" s="6"/>
    </row>
    <row r="3001">
      <c r="A3001" s="6"/>
    </row>
    <row r="3002">
      <c r="A3002" s="6"/>
    </row>
    <row r="3003">
      <c r="A3003" s="6"/>
    </row>
    <row r="3004">
      <c r="A3004" s="6"/>
    </row>
    <row r="3005">
      <c r="A3005" s="6"/>
    </row>
    <row r="3006">
      <c r="A3006" s="6"/>
    </row>
    <row r="3007">
      <c r="A3007" s="6"/>
    </row>
    <row r="3008">
      <c r="A3008" s="6"/>
    </row>
    <row r="3009">
      <c r="A3009" s="6"/>
    </row>
    <row r="3010">
      <c r="A3010" s="6"/>
    </row>
    <row r="3011">
      <c r="A3011" s="6"/>
    </row>
    <row r="3012">
      <c r="A3012" s="6"/>
    </row>
    <row r="3013">
      <c r="A3013" s="6"/>
    </row>
    <row r="3014">
      <c r="A3014" s="6"/>
    </row>
    <row r="3015">
      <c r="A3015" s="6"/>
    </row>
    <row r="3016">
      <c r="A3016" s="6"/>
    </row>
    <row r="3017">
      <c r="A3017" s="6"/>
    </row>
    <row r="3018">
      <c r="A3018" s="6"/>
    </row>
    <row r="3019">
      <c r="A3019" s="6"/>
    </row>
    <row r="3020">
      <c r="A3020" s="6"/>
    </row>
    <row r="3021">
      <c r="A3021" s="6"/>
    </row>
    <row r="3022">
      <c r="A3022" s="6"/>
    </row>
    <row r="3023">
      <c r="A3023" s="6"/>
    </row>
    <row r="3024">
      <c r="A3024" s="6"/>
    </row>
    <row r="3025">
      <c r="A3025" s="6"/>
    </row>
    <row r="3026">
      <c r="A3026" s="6"/>
    </row>
    <row r="3027">
      <c r="A3027" s="6"/>
    </row>
    <row r="3028">
      <c r="A3028" s="6"/>
    </row>
    <row r="3029">
      <c r="A3029" s="6"/>
    </row>
    <row r="3030">
      <c r="A3030" s="6"/>
    </row>
    <row r="3031">
      <c r="A3031" s="6"/>
    </row>
    <row r="3032">
      <c r="A3032" s="6"/>
    </row>
    <row r="3033">
      <c r="A3033" s="6"/>
    </row>
    <row r="3034">
      <c r="A3034" s="6"/>
    </row>
    <row r="3035">
      <c r="A3035" s="6"/>
    </row>
    <row r="3036">
      <c r="A3036" s="6"/>
    </row>
    <row r="3037">
      <c r="A3037" s="6"/>
    </row>
    <row r="3038">
      <c r="A3038" s="6"/>
    </row>
    <row r="3039">
      <c r="A3039" s="6"/>
    </row>
    <row r="3040">
      <c r="A3040" s="6"/>
    </row>
    <row r="3041">
      <c r="A3041" s="6"/>
    </row>
    <row r="3042">
      <c r="A3042" s="6"/>
    </row>
    <row r="3043">
      <c r="A3043" s="6"/>
    </row>
    <row r="3044">
      <c r="A3044" s="6"/>
    </row>
    <row r="3045">
      <c r="A3045" s="6"/>
    </row>
    <row r="3046">
      <c r="A3046" s="6"/>
    </row>
    <row r="3047">
      <c r="A3047" s="6"/>
    </row>
    <row r="3048">
      <c r="A3048" s="6"/>
    </row>
    <row r="3049">
      <c r="A3049" s="6"/>
    </row>
    <row r="3050">
      <c r="A3050" s="6"/>
    </row>
    <row r="3051">
      <c r="A3051" s="6"/>
    </row>
    <row r="3052">
      <c r="A3052" s="6"/>
    </row>
    <row r="3053">
      <c r="A3053" s="6"/>
    </row>
    <row r="3054">
      <c r="A3054" s="6"/>
    </row>
    <row r="3055">
      <c r="A3055" s="6"/>
    </row>
    <row r="3056">
      <c r="A3056" s="6"/>
    </row>
    <row r="3057">
      <c r="A3057" s="6"/>
    </row>
    <row r="3058">
      <c r="A3058" s="6"/>
    </row>
    <row r="3059">
      <c r="A3059" s="6"/>
    </row>
    <row r="3060">
      <c r="A3060" s="6"/>
    </row>
    <row r="3061">
      <c r="A3061" s="6"/>
    </row>
    <row r="3062">
      <c r="A3062" s="6"/>
    </row>
    <row r="3063">
      <c r="A3063" s="6"/>
    </row>
    <row r="3064">
      <c r="A3064" s="6"/>
    </row>
    <row r="3065">
      <c r="A3065" s="6"/>
    </row>
    <row r="3066">
      <c r="A3066" s="6"/>
    </row>
    <row r="3067">
      <c r="A3067" s="6"/>
    </row>
    <row r="3068">
      <c r="A3068" s="6"/>
    </row>
    <row r="3069">
      <c r="A3069" s="6"/>
    </row>
    <row r="3070">
      <c r="A3070" s="6"/>
    </row>
    <row r="3071">
      <c r="A3071" s="6"/>
    </row>
    <row r="3072">
      <c r="A3072" s="6"/>
    </row>
    <row r="3073">
      <c r="A3073" s="6"/>
    </row>
    <row r="3074">
      <c r="A3074" s="6"/>
    </row>
    <row r="3075">
      <c r="A3075" s="6"/>
    </row>
    <row r="3076">
      <c r="A3076" s="6"/>
    </row>
    <row r="3077">
      <c r="A3077" s="6"/>
    </row>
    <row r="3078">
      <c r="A3078" s="6"/>
    </row>
    <row r="3079">
      <c r="A3079" s="6"/>
    </row>
    <row r="3080">
      <c r="A3080" s="6"/>
    </row>
    <row r="3081">
      <c r="A3081" s="6"/>
    </row>
    <row r="3082">
      <c r="A3082" s="6"/>
    </row>
    <row r="3083">
      <c r="A3083" s="6"/>
    </row>
    <row r="3084">
      <c r="A3084" s="6"/>
    </row>
    <row r="3085">
      <c r="A3085" s="6"/>
    </row>
    <row r="3086">
      <c r="A3086" s="6"/>
    </row>
    <row r="3087">
      <c r="A3087" s="6"/>
    </row>
    <row r="3088">
      <c r="A3088" s="6"/>
    </row>
    <row r="3089">
      <c r="A3089" s="6"/>
    </row>
    <row r="3090">
      <c r="A3090" s="6"/>
    </row>
    <row r="3091">
      <c r="A3091" s="6"/>
    </row>
    <row r="3092">
      <c r="A3092" s="6"/>
    </row>
    <row r="3093">
      <c r="A3093" s="6"/>
    </row>
    <row r="3094">
      <c r="A3094" s="6"/>
    </row>
    <row r="3095">
      <c r="A3095" s="6"/>
    </row>
    <row r="3096">
      <c r="A3096" s="6"/>
    </row>
    <row r="3097">
      <c r="A3097" s="6"/>
    </row>
    <row r="3098">
      <c r="A3098" s="6"/>
    </row>
    <row r="3099">
      <c r="A3099" s="6"/>
    </row>
    <row r="3100">
      <c r="A3100" s="6"/>
    </row>
    <row r="3101">
      <c r="A3101" s="6"/>
    </row>
    <row r="3102">
      <c r="A3102" s="6"/>
    </row>
    <row r="3103">
      <c r="A3103" s="6"/>
    </row>
    <row r="3104">
      <c r="A3104" s="6"/>
    </row>
    <row r="3105">
      <c r="A3105" s="6"/>
    </row>
    <row r="3106">
      <c r="A3106" s="6"/>
    </row>
    <row r="3107">
      <c r="A3107" s="6"/>
    </row>
    <row r="3108">
      <c r="A3108" s="6"/>
    </row>
    <row r="3109">
      <c r="A3109" s="6"/>
    </row>
    <row r="3110">
      <c r="A3110" s="6"/>
    </row>
    <row r="3111">
      <c r="A3111" s="6"/>
    </row>
    <row r="3112">
      <c r="A3112" s="6"/>
    </row>
    <row r="3113">
      <c r="A3113" s="6"/>
    </row>
    <row r="3114">
      <c r="A3114" s="6"/>
    </row>
    <row r="3115">
      <c r="A3115" s="6"/>
    </row>
    <row r="3116">
      <c r="A3116" s="6"/>
    </row>
    <row r="3117">
      <c r="A3117" s="6"/>
    </row>
    <row r="3118">
      <c r="A3118" s="6"/>
    </row>
    <row r="3119">
      <c r="A3119" s="6"/>
    </row>
    <row r="3120">
      <c r="A3120" s="6"/>
    </row>
    <row r="3121">
      <c r="A3121" s="6"/>
    </row>
    <row r="3122">
      <c r="A3122" s="6"/>
    </row>
    <row r="3123">
      <c r="A3123" s="6"/>
    </row>
    <row r="3124">
      <c r="A3124" s="6"/>
    </row>
    <row r="3125">
      <c r="A3125" s="6"/>
    </row>
    <row r="3126">
      <c r="A3126" s="6"/>
    </row>
    <row r="3127">
      <c r="A3127" s="6"/>
    </row>
    <row r="3128">
      <c r="A3128" s="6"/>
    </row>
    <row r="3129">
      <c r="A3129" s="6"/>
    </row>
    <row r="3130">
      <c r="A3130" s="6"/>
    </row>
    <row r="3131">
      <c r="A3131" s="6"/>
    </row>
    <row r="3132">
      <c r="A3132" s="6"/>
    </row>
    <row r="3133">
      <c r="A3133" s="6"/>
    </row>
    <row r="3134">
      <c r="A3134" s="6"/>
    </row>
    <row r="3135">
      <c r="A3135" s="6"/>
    </row>
    <row r="3136">
      <c r="A3136" s="6"/>
    </row>
    <row r="3137">
      <c r="A3137" s="6"/>
    </row>
    <row r="3138">
      <c r="A3138" s="6"/>
    </row>
    <row r="3139">
      <c r="A3139" s="6"/>
    </row>
    <row r="3140">
      <c r="A3140" s="6"/>
    </row>
    <row r="3141">
      <c r="A3141" s="6"/>
    </row>
    <row r="3142">
      <c r="A3142" s="6"/>
    </row>
    <row r="3143">
      <c r="A3143" s="6"/>
    </row>
    <row r="3144">
      <c r="A3144" s="6"/>
    </row>
    <row r="3145">
      <c r="A3145" s="6"/>
    </row>
    <row r="3146">
      <c r="A3146" s="6"/>
    </row>
    <row r="3147">
      <c r="A3147" s="6"/>
    </row>
    <row r="3148">
      <c r="A3148" s="6"/>
    </row>
    <row r="3149">
      <c r="A3149" s="6"/>
    </row>
    <row r="3150">
      <c r="A3150" s="6"/>
    </row>
    <row r="3151">
      <c r="A3151" s="6"/>
    </row>
    <row r="3152">
      <c r="A3152" s="6"/>
    </row>
    <row r="3153">
      <c r="A3153" s="6"/>
    </row>
    <row r="3154">
      <c r="A3154" s="6"/>
    </row>
    <row r="3155">
      <c r="A3155" s="6"/>
    </row>
    <row r="3156">
      <c r="A3156" s="6"/>
    </row>
    <row r="3157">
      <c r="A3157" s="6"/>
    </row>
    <row r="3158">
      <c r="A3158" s="6"/>
    </row>
    <row r="3159">
      <c r="A3159" s="6"/>
    </row>
    <row r="3160">
      <c r="A3160" s="6"/>
    </row>
    <row r="3161">
      <c r="A3161" s="6"/>
    </row>
    <row r="3162">
      <c r="A3162" s="6"/>
    </row>
  </sheetData>
  <drawing r:id="rId1"/>
</worksheet>
</file>