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Semester 8\Feasibility Study\Project\"/>
    </mc:Choice>
  </mc:AlternateContent>
  <xr:revisionPtr revIDLastSave="0" documentId="13_ncr:1_{4D1373FA-FAA1-472E-818E-4278A8FFDBA3}" xr6:coauthVersionLast="47" xr6:coauthVersionMax="47" xr10:uidLastSave="{00000000-0000-0000-0000-000000000000}"/>
  <bookViews>
    <workbookView xWindow="-96" yWindow="0" windowWidth="11712" windowHeight="12336" xr2:uid="{75EA613A-7DC6-4A1E-8687-96427D814F1A}"/>
  </bookViews>
  <sheets>
    <sheet name="8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2" l="1"/>
  <c r="AD18" i="2"/>
  <c r="AE18" i="2"/>
  <c r="AB18" i="2"/>
  <c r="AC17" i="2"/>
  <c r="AD17" i="2"/>
  <c r="AE17" i="2"/>
  <c r="AB17" i="2"/>
  <c r="AC16" i="2"/>
  <c r="AD16" i="2"/>
  <c r="AE16" i="2"/>
  <c r="AB16" i="2"/>
  <c r="AC15" i="2"/>
  <c r="AD15" i="2"/>
  <c r="AE15" i="2"/>
  <c r="AB15" i="2"/>
  <c r="AB11" i="2"/>
  <c r="AC14" i="2"/>
  <c r="AD14" i="2"/>
  <c r="AE14" i="2"/>
  <c r="AB14" i="2"/>
  <c r="AB12" i="2"/>
  <c r="W17" i="2"/>
  <c r="T12" i="2"/>
  <c r="T9" i="2"/>
  <c r="U9" i="2" s="1"/>
  <c r="V9" i="2" s="1"/>
  <c r="W9" i="2" s="1"/>
  <c r="U27" i="2"/>
  <c r="V27" i="2"/>
  <c r="W27" i="2"/>
  <c r="T27" i="2"/>
  <c r="T26" i="2"/>
  <c r="U11" i="2"/>
  <c r="V11" i="2" s="1"/>
  <c r="W11" i="2" s="1"/>
  <c r="U12" i="2"/>
  <c r="V12" i="2"/>
  <c r="W12" i="2"/>
  <c r="V13" i="2"/>
  <c r="W13" i="2"/>
  <c r="U13" i="2"/>
  <c r="T13" i="2"/>
  <c r="T7" i="2"/>
  <c r="U7" i="2" s="1"/>
  <c r="V7" i="2" s="1"/>
  <c r="W7" i="2" s="1"/>
  <c r="N17" i="2"/>
  <c r="O17" i="2" s="1"/>
  <c r="P17" i="2" s="1"/>
  <c r="L17" i="2"/>
  <c r="L15" i="2"/>
  <c r="M15" i="2"/>
  <c r="T20" i="2" s="1"/>
  <c r="N15" i="2"/>
  <c r="U20" i="2" s="1"/>
  <c r="O15" i="2"/>
  <c r="V20" i="2" s="1"/>
  <c r="P15" i="2"/>
  <c r="W20" i="2" s="1"/>
  <c r="K15" i="2"/>
  <c r="K11" i="2" s="1"/>
  <c r="K7" i="2" s="1"/>
  <c r="K20" i="2" s="1"/>
  <c r="L13" i="2"/>
  <c r="T8" i="2" s="1"/>
  <c r="U8" i="2" s="1"/>
  <c r="V8" i="2" s="1"/>
  <c r="W8" i="2" s="1"/>
  <c r="E15" i="2"/>
  <c r="E18" i="2" s="1"/>
  <c r="G6" i="2"/>
  <c r="P8" i="2" s="1"/>
  <c r="W14" i="2" s="1"/>
  <c r="F6" i="2"/>
  <c r="O8" i="2" s="1"/>
  <c r="V14" i="2" s="1"/>
  <c r="E6" i="2"/>
  <c r="N8" i="2" s="1"/>
  <c r="U14" i="2" s="1"/>
  <c r="D6" i="2"/>
  <c r="D8" i="2" s="1"/>
  <c r="G11" i="2"/>
  <c r="G13" i="2" s="1"/>
  <c r="P18" i="2" s="1"/>
  <c r="F11" i="2"/>
  <c r="F13" i="2" s="1"/>
  <c r="O18" i="2" s="1"/>
  <c r="E11" i="2"/>
  <c r="E13" i="2" s="1"/>
  <c r="N18" i="2" s="1"/>
  <c r="D11" i="2"/>
  <c r="D13" i="2" s="1"/>
  <c r="M18" i="2" s="1"/>
  <c r="G9" i="2"/>
  <c r="P14" i="2" s="1"/>
  <c r="F9" i="2"/>
  <c r="O14" i="2" s="1"/>
  <c r="E9" i="2"/>
  <c r="N14" i="2" s="1"/>
  <c r="D9" i="2"/>
  <c r="M14" i="2" s="1"/>
  <c r="E7" i="2"/>
  <c r="V17" i="2"/>
  <c r="U17" i="2"/>
  <c r="T17" i="2"/>
  <c r="D18" i="2"/>
  <c r="T21" i="2" l="1"/>
  <c r="U21" i="2"/>
  <c r="W21" i="2"/>
  <c r="V21" i="2"/>
  <c r="V10" i="2"/>
  <c r="U10" i="2"/>
  <c r="W10" i="2"/>
  <c r="U6" i="2"/>
  <c r="W6" i="2"/>
  <c r="V6" i="2"/>
  <c r="L11" i="2"/>
  <c r="L7" i="2" s="1"/>
  <c r="T6" i="2"/>
  <c r="M8" i="2"/>
  <c r="T14" i="2" s="1"/>
  <c r="T10" i="2"/>
  <c r="L6" i="2"/>
  <c r="E8" i="2"/>
  <c r="E10" i="2" s="1"/>
  <c r="F15" i="2"/>
  <c r="D10" i="2"/>
  <c r="AB9" i="2" s="1"/>
  <c r="F7" i="2"/>
  <c r="E14" i="2" l="1"/>
  <c r="AC10" i="2" s="1"/>
  <c r="AC9" i="2"/>
  <c r="V5" i="2"/>
  <c r="U5" i="2"/>
  <c r="W5" i="2"/>
  <c r="L20" i="2"/>
  <c r="M6" i="2" s="1"/>
  <c r="T5" i="2"/>
  <c r="G7" i="2"/>
  <c r="F8" i="2"/>
  <c r="F10" i="2" s="1"/>
  <c r="F18" i="2"/>
  <c r="G15" i="2"/>
  <c r="G18" i="2" s="1"/>
  <c r="D14" i="2"/>
  <c r="AB10" i="2" s="1"/>
  <c r="F14" i="2" l="1"/>
  <c r="AD10" i="2" s="1"/>
  <c r="AD9" i="2"/>
  <c r="E19" i="2"/>
  <c r="E20" i="2" s="1"/>
  <c r="U22" i="2" s="1"/>
  <c r="U19" i="2" s="1"/>
  <c r="G8" i="2"/>
  <c r="G10" i="2" s="1"/>
  <c r="D19" i="2"/>
  <c r="D20" i="2" s="1"/>
  <c r="AC7" i="2" l="1"/>
  <c r="AC6" i="2"/>
  <c r="G14" i="2"/>
  <c r="AE9" i="2"/>
  <c r="F19" i="2"/>
  <c r="F20" i="2" s="1"/>
  <c r="V22" i="2" s="1"/>
  <c r="V19" i="2" s="1"/>
  <c r="U16" i="2"/>
  <c r="E21" i="2"/>
  <c r="N16" i="2"/>
  <c r="N11" i="2" s="1"/>
  <c r="N7" i="2" s="1"/>
  <c r="M16" i="2"/>
  <c r="M11" i="2" s="1"/>
  <c r="M7" i="2" s="1"/>
  <c r="M20" i="2" s="1"/>
  <c r="T22" i="2"/>
  <c r="T19" i="2" s="1"/>
  <c r="AB6" i="2" s="1"/>
  <c r="D21" i="2"/>
  <c r="V16" i="2" l="1"/>
  <c r="AD6" i="2"/>
  <c r="AD7" i="2"/>
  <c r="T25" i="2"/>
  <c r="T23" i="2" s="1"/>
  <c r="AB13" i="2"/>
  <c r="G19" i="2"/>
  <c r="AE10" i="2"/>
  <c r="O16" i="2"/>
  <c r="O11" i="2" s="1"/>
  <c r="O7" i="2" s="1"/>
  <c r="F21" i="2"/>
  <c r="AC11" i="2"/>
  <c r="AC12" i="2"/>
  <c r="AC8" i="2"/>
  <c r="N6" i="2"/>
  <c r="N20" i="2" s="1"/>
  <c r="O6" i="2" s="1"/>
  <c r="O20" i="2" s="1"/>
  <c r="P6" i="2"/>
  <c r="T16" i="2"/>
  <c r="AB7" i="2"/>
  <c r="E22" i="2"/>
  <c r="U25" i="2" s="1"/>
  <c r="AB8" i="2"/>
  <c r="T15" i="2" l="1"/>
  <c r="G20" i="2"/>
  <c r="G21" i="2"/>
  <c r="AD12" i="2"/>
  <c r="AD11" i="2"/>
  <c r="AD8" i="2"/>
  <c r="F22" i="2"/>
  <c r="AC13" i="2"/>
  <c r="U26" i="2"/>
  <c r="U23" i="2" s="1"/>
  <c r="U15" i="2" s="1"/>
  <c r="AE12" i="2" l="1"/>
  <c r="AE11" i="2"/>
  <c r="AE8" i="2"/>
  <c r="W22" i="2"/>
  <c r="W19" i="2" s="1"/>
  <c r="P16" i="2"/>
  <c r="P11" i="2" s="1"/>
  <c r="P7" i="2" s="1"/>
  <c r="P20" i="2" s="1"/>
  <c r="G22" i="2"/>
  <c r="W25" i="2" s="1"/>
  <c r="AD13" i="2"/>
  <c r="V26" i="2"/>
  <c r="V25" i="2"/>
  <c r="V23" i="2" s="1"/>
  <c r="V15" i="2" s="1"/>
  <c r="W16" i="2" l="1"/>
  <c r="AE7" i="2"/>
  <c r="AE6" i="2"/>
  <c r="AE13" i="2"/>
  <c r="W26" i="2"/>
  <c r="W23" i="2" s="1"/>
  <c r="W15" i="2" l="1"/>
</calcChain>
</file>

<file path=xl/sharedStrings.xml><?xml version="1.0" encoding="utf-8"?>
<sst xmlns="http://schemas.openxmlformats.org/spreadsheetml/2006/main" count="117" uniqueCount="92">
  <si>
    <t>زمین</t>
  </si>
  <si>
    <t>ساختمان</t>
  </si>
  <si>
    <t>موجودی کالا</t>
  </si>
  <si>
    <t>مالیات پرداختنی</t>
  </si>
  <si>
    <t>ذخایر قانونی</t>
  </si>
  <si>
    <t>سود و زیان انباشته</t>
  </si>
  <si>
    <t xml:space="preserve">پیش بینی نسبتهای مالی طی سالهای بهره برداری </t>
  </si>
  <si>
    <t>ردیف</t>
  </si>
  <si>
    <t>شرح</t>
  </si>
  <si>
    <t>سال اول</t>
  </si>
  <si>
    <t>سال دوم</t>
  </si>
  <si>
    <t>سال سوم</t>
  </si>
  <si>
    <t>سال چهارم</t>
  </si>
  <si>
    <t>کل فروش خالص</t>
  </si>
  <si>
    <t>وجوه نقد ابتدای دوره</t>
  </si>
  <si>
    <t>دارایی ها</t>
  </si>
  <si>
    <t>نسبتهای نقدینگی</t>
  </si>
  <si>
    <t>حسابهای دریافتنی</t>
  </si>
  <si>
    <t>سایر درآمدهای عملیاتی</t>
  </si>
  <si>
    <t>ورودی های نقدینگی</t>
  </si>
  <si>
    <t>1-1</t>
  </si>
  <si>
    <t>دارایی های غیر جاری</t>
  </si>
  <si>
    <t>نسبت جاری</t>
  </si>
  <si>
    <t>کل درآمد</t>
  </si>
  <si>
    <t>فروش</t>
  </si>
  <si>
    <t>نسبت سریع (آنی)</t>
  </si>
  <si>
    <t>1-2</t>
  </si>
  <si>
    <t>ماشین آلات</t>
  </si>
  <si>
    <t>هزینه تمام شده اقلام فروخته شده</t>
  </si>
  <si>
    <t>وام</t>
  </si>
  <si>
    <t xml:space="preserve">نسبتهای سودآوری </t>
  </si>
  <si>
    <t>سود ناخالص</t>
  </si>
  <si>
    <t>حاشیه سود خالص</t>
  </si>
  <si>
    <t>هزینه های اداری</t>
  </si>
  <si>
    <t>سرمایه گذاری سهامداران</t>
  </si>
  <si>
    <t>حاشیه سود ناخالص</t>
  </si>
  <si>
    <t>هزینه های فروش</t>
  </si>
  <si>
    <t>حاشیه سود عملیاتی</t>
  </si>
  <si>
    <t xml:space="preserve"> </t>
  </si>
  <si>
    <t>جمع هزینه های عملیاتی</t>
  </si>
  <si>
    <t>خروجی نقدینگی</t>
  </si>
  <si>
    <t>دارایی های جاری</t>
  </si>
  <si>
    <t>نرخ برگشت دارایی ها</t>
  </si>
  <si>
    <t>سود عملیاتی</t>
  </si>
  <si>
    <t>خرید دارایی ثابت</t>
  </si>
  <si>
    <t>بانک</t>
  </si>
  <si>
    <t>نرخ برگشت حقوق صاحبان سهام</t>
  </si>
  <si>
    <t>هزینه استهلاک</t>
  </si>
  <si>
    <t>ساخت ساختمان</t>
  </si>
  <si>
    <t>درصد سود تقسیمی</t>
  </si>
  <si>
    <t>2-1</t>
  </si>
  <si>
    <t>هزینه بهره بانکی</t>
  </si>
  <si>
    <t>هزینه تولید</t>
  </si>
  <si>
    <t>اوراق بهادار</t>
  </si>
  <si>
    <t>2-2</t>
  </si>
  <si>
    <t>هزینه های غیر منتظره</t>
  </si>
  <si>
    <t>بازپرداخت وام</t>
  </si>
  <si>
    <t>نسبتهای توان مالی</t>
  </si>
  <si>
    <t>جمع هزینه های غیر عملیاتی</t>
  </si>
  <si>
    <t>پرداخت مالیات</t>
  </si>
  <si>
    <t>نسبت بدهی به حقوق صاحبان سهام</t>
  </si>
  <si>
    <t>سود قبل از کسر مالیات</t>
  </si>
  <si>
    <t>نسبت کل دارایی ها به حقوق صاحبان سهام</t>
  </si>
  <si>
    <t>مالیات</t>
  </si>
  <si>
    <t>نقدینگی پایان دوره</t>
  </si>
  <si>
    <t>بدهی ها و حقوق مالکانه</t>
  </si>
  <si>
    <t>نسبت کل دارایی ها به کل بدهی ها</t>
  </si>
  <si>
    <t>سود/زیان خالص</t>
  </si>
  <si>
    <t>کل بدهی ها</t>
  </si>
  <si>
    <t xml:space="preserve">نسبت سرمایه گذاری </t>
  </si>
  <si>
    <t>سود قابل تقسیم</t>
  </si>
  <si>
    <t>2-1-1</t>
  </si>
  <si>
    <t>بدهی های بلند مدت</t>
  </si>
  <si>
    <t>نسبت پوشش بهره</t>
  </si>
  <si>
    <t>حسابهای پرداختنی بلند مدت</t>
  </si>
  <si>
    <t>2-1-2</t>
  </si>
  <si>
    <t>بدهی های جاری</t>
  </si>
  <si>
    <t>وام بانکی کوتاه مدت</t>
  </si>
  <si>
    <t>حسابهای پرداختنی کوتاه مدت</t>
  </si>
  <si>
    <t>جمع کل حقوق مالکان</t>
  </si>
  <si>
    <t>سهام مالکان (سرمایه)</t>
  </si>
  <si>
    <t>سرمایه گذاری جدید</t>
  </si>
  <si>
    <t>تولید باتری لیتیومی</t>
  </si>
  <si>
    <t>پیش بینی صورت سود و زیان طی سالهای بهره برداری (اعداد به میلیارد ریال)</t>
  </si>
  <si>
    <t>پیش بینی وضعیت مالی (ترازنامه)  طی سالهای بهره برداری (اعداد به میلیارد ریال)</t>
  </si>
  <si>
    <t>پیش بینی صورت جریان نقدینگی طی سالهای سرمایه گذاری و بهره برداری (اعداد به میلیارد ریال)</t>
  </si>
  <si>
    <t>مطالعات امکان‌سنجی</t>
  </si>
  <si>
    <t>خرید،نصب و نگهداری تجهیزات</t>
  </si>
  <si>
    <t>استخدام، آموزش و حقوق کارکنان</t>
  </si>
  <si>
    <t>سرمایه‌گذاری</t>
  </si>
  <si>
    <t>بهره‌برداری</t>
  </si>
  <si>
    <t>نسبت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</si>
</sst>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9">
    <font>
      <sz val="12"/>
      <color theme="1"/>
      <name val="B Nazanin"/>
      <family val="2"/>
    </font>
    <font>
      <sz val="12"/>
      <color theme="1"/>
      <name val="Calibri"/>
      <family val="2"/>
      <scheme val="minor"/>
    </font>
    <font>
      <sz val="12"/>
      <color theme="1"/>
      <name val="B Yas"/>
      <charset val="178"/>
    </font>
    <font>
      <b/>
      <sz val="14"/>
      <color theme="1"/>
      <name val="B Yas"/>
      <charset val="178"/>
    </font>
    <font>
      <b/>
      <i/>
      <sz val="14"/>
      <color theme="1"/>
      <name val="B Yas"/>
      <charset val="178"/>
    </font>
    <font>
      <sz val="16"/>
      <color theme="1"/>
      <name val="B Yas"/>
      <charset val="178"/>
    </font>
    <font>
      <sz val="14"/>
      <color theme="1"/>
      <name val="B Yas"/>
      <charset val="178"/>
    </font>
    <font>
      <u/>
      <sz val="16"/>
      <color theme="1"/>
      <name val="B Yas"/>
      <charset val="178"/>
    </font>
    <font>
      <b/>
      <sz val="12"/>
      <color theme="1"/>
      <name val="B Yas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thick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9" fontId="3" fillId="2" borderId="3" xfId="1" applyNumberFormat="1" applyFont="1" applyFill="1" applyBorder="1" applyAlignment="1">
      <alignment horizontal="center" vertical="center"/>
    </xf>
    <xf numFmtId="8" fontId="2" fillId="2" borderId="0" xfId="1" applyNumberFormat="1" applyFont="1" applyFill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3" fillId="2" borderId="35" xfId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6" fillId="2" borderId="39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1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0" fontId="3" fillId="2" borderId="39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4" xfId="1" applyFont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/>
    </xf>
    <xf numFmtId="0" fontId="3" fillId="2" borderId="45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6" xfId="1" applyFont="1" applyFill="1" applyBorder="1" applyAlignment="1">
      <alignment horizontal="center" vertical="center"/>
    </xf>
    <xf numFmtId="0" fontId="3" fillId="2" borderId="47" xfId="1" applyFont="1" applyFill="1" applyBorder="1" applyAlignment="1">
      <alignment horizontal="center" vertical="center"/>
    </xf>
    <xf numFmtId="0" fontId="3" fillId="2" borderId="48" xfId="1" applyFont="1" applyFill="1" applyBorder="1" applyAlignment="1">
      <alignment horizontal="center" vertical="center"/>
    </xf>
    <xf numFmtId="0" fontId="3" fillId="2" borderId="49" xfId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center" vertical="center"/>
    </xf>
    <xf numFmtId="0" fontId="3" fillId="2" borderId="51" xfId="1" applyFont="1" applyFill="1" applyBorder="1" applyAlignment="1">
      <alignment horizontal="center" vertical="center"/>
    </xf>
    <xf numFmtId="0" fontId="3" fillId="2" borderId="45" xfId="1" applyFont="1" applyFill="1" applyBorder="1" applyAlignment="1">
      <alignment horizontal="center" vertical="center"/>
    </xf>
    <xf numFmtId="0" fontId="3" fillId="2" borderId="52" xfId="1" applyFont="1" applyFill="1" applyBorder="1" applyAlignment="1">
      <alignment horizontal="center" vertical="center"/>
    </xf>
    <xf numFmtId="0" fontId="3" fillId="2" borderId="53" xfId="1" applyFont="1" applyFill="1" applyBorder="1" applyAlignment="1">
      <alignment horizontal="center" vertical="center"/>
    </xf>
    <xf numFmtId="0" fontId="3" fillId="2" borderId="5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6" fillId="2" borderId="4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38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3" fillId="2" borderId="59" xfId="1" applyFont="1" applyFill="1" applyBorder="1" applyAlignment="1">
      <alignment horizontal="center" vertical="center"/>
    </xf>
    <xf numFmtId="0" fontId="3" fillId="2" borderId="60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3" fillId="2" borderId="61" xfId="1" applyFont="1" applyFill="1" applyBorder="1" applyAlignment="1">
      <alignment horizontal="center" vertical="center"/>
    </xf>
    <xf numFmtId="0" fontId="3" fillId="2" borderId="62" xfId="1" applyFont="1" applyFill="1" applyBorder="1" applyAlignment="1">
      <alignment horizontal="center" vertical="center"/>
    </xf>
    <xf numFmtId="0" fontId="3" fillId="2" borderId="63" xfId="1" applyFont="1" applyFill="1" applyBorder="1" applyAlignment="1">
      <alignment horizontal="center" vertical="center"/>
    </xf>
    <xf numFmtId="0" fontId="3" fillId="2" borderId="52" xfId="1" applyFont="1" applyFill="1" applyBorder="1" applyAlignment="1">
      <alignment horizontal="center" vertical="center"/>
    </xf>
    <xf numFmtId="0" fontId="3" fillId="2" borderId="48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" fontId="6" fillId="2" borderId="8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1" fontId="6" fillId="2" borderId="2" xfId="1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1" fontId="6" fillId="2" borderId="7" xfId="1" applyNumberFormat="1" applyFont="1" applyFill="1" applyBorder="1" applyAlignment="1">
      <alignment horizontal="center" vertical="center"/>
    </xf>
    <xf numFmtId="1" fontId="7" fillId="2" borderId="5" xfId="1" applyNumberFormat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1" fontId="6" fillId="2" borderId="9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49" fontId="6" fillId="2" borderId="64" xfId="1" applyNumberFormat="1" applyFont="1" applyFill="1" applyBorder="1" applyAlignment="1">
      <alignment horizontal="center" vertical="center"/>
    </xf>
    <xf numFmtId="1" fontId="6" fillId="2" borderId="65" xfId="1" applyNumberFormat="1" applyFont="1" applyFill="1" applyBorder="1" applyAlignment="1">
      <alignment horizontal="center" vertical="center"/>
    </xf>
    <xf numFmtId="1" fontId="6" fillId="2" borderId="13" xfId="1" applyNumberFormat="1" applyFont="1" applyFill="1" applyBorder="1" applyAlignment="1">
      <alignment horizontal="center" vertical="center"/>
    </xf>
    <xf numFmtId="1" fontId="6" fillId="2" borderId="25" xfId="1" applyNumberFormat="1" applyFont="1" applyFill="1" applyBorder="1" applyAlignment="1">
      <alignment horizontal="center" vertical="center"/>
    </xf>
    <xf numFmtId="49" fontId="6" fillId="2" borderId="31" xfId="1" applyNumberFormat="1" applyFont="1" applyFill="1" applyBorder="1" applyAlignment="1">
      <alignment horizontal="center" vertical="center"/>
    </xf>
    <xf numFmtId="1" fontId="6" fillId="2" borderId="21" xfId="1" applyNumberFormat="1" applyFont="1" applyFill="1" applyBorder="1" applyAlignment="1">
      <alignment horizontal="center" vertical="center"/>
    </xf>
    <xf numFmtId="49" fontId="6" fillId="2" borderId="18" xfId="1" applyNumberFormat="1" applyFont="1" applyFill="1" applyBorder="1" applyAlignment="1">
      <alignment horizontal="center" vertical="center"/>
    </xf>
    <xf numFmtId="1" fontId="6" fillId="2" borderId="19" xfId="1" applyNumberFormat="1" applyFont="1" applyFill="1" applyBorder="1" applyAlignment="1">
      <alignment horizontal="center" vertical="center"/>
    </xf>
    <xf numFmtId="0" fontId="6" fillId="2" borderId="4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1" fontId="6" fillId="2" borderId="43" xfId="1" applyNumberFormat="1" applyFont="1" applyFill="1" applyBorder="1" applyAlignment="1">
      <alignment horizontal="center" vertical="center"/>
    </xf>
    <xf numFmtId="1" fontId="6" fillId="2" borderId="44" xfId="1" applyNumberFormat="1" applyFont="1" applyFill="1" applyBorder="1" applyAlignment="1">
      <alignment horizontal="center" vertical="center"/>
    </xf>
    <xf numFmtId="1" fontId="7" fillId="2" borderId="17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9" fontId="3" fillId="2" borderId="25" xfId="1" applyNumberFormat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5" fillId="2" borderId="57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1" fontId="7" fillId="2" borderId="4" xfId="1" applyNumberFormat="1" applyFont="1" applyFill="1" applyBorder="1" applyAlignment="1">
      <alignment horizontal="center" vertical="center"/>
    </xf>
    <xf numFmtId="1" fontId="7" fillId="2" borderId="66" xfId="1" applyNumberFormat="1" applyFont="1" applyFill="1" applyBorder="1" applyAlignment="1">
      <alignment horizontal="center" vertical="center"/>
    </xf>
    <xf numFmtId="0" fontId="6" fillId="2" borderId="67" xfId="1" applyFont="1" applyFill="1" applyBorder="1" applyAlignment="1">
      <alignment horizontal="center" vertical="center"/>
    </xf>
    <xf numFmtId="0" fontId="6" fillId="2" borderId="68" xfId="1" applyFont="1" applyFill="1" applyBorder="1" applyAlignment="1">
      <alignment horizontal="center" vertical="center"/>
    </xf>
    <xf numFmtId="0" fontId="6" fillId="2" borderId="69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/>
    </xf>
    <xf numFmtId="0" fontId="8" fillId="2" borderId="41" xfId="1" applyFont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/>
    </xf>
    <xf numFmtId="9" fontId="3" fillId="2" borderId="40" xfId="1" applyNumberFormat="1" applyFont="1" applyFill="1" applyBorder="1" applyAlignment="1">
      <alignment horizontal="center" vertical="center"/>
    </xf>
    <xf numFmtId="9" fontId="3" fillId="2" borderId="41" xfId="1" applyNumberFormat="1" applyFont="1" applyFill="1" applyBorder="1" applyAlignment="1">
      <alignment horizontal="center" vertical="center"/>
    </xf>
    <xf numFmtId="9" fontId="3" fillId="2" borderId="43" xfId="1" applyNumberFormat="1" applyFont="1" applyFill="1" applyBorder="1" applyAlignment="1">
      <alignment horizontal="center" vertical="center"/>
    </xf>
    <xf numFmtId="9" fontId="3" fillId="2" borderId="44" xfId="1" applyNumberFormat="1" applyFont="1" applyFill="1" applyBorder="1" applyAlignment="1">
      <alignment horizontal="center" vertical="center"/>
    </xf>
    <xf numFmtId="2" fontId="3" fillId="2" borderId="40" xfId="1" applyNumberFormat="1" applyFont="1" applyFill="1" applyBorder="1" applyAlignment="1">
      <alignment horizontal="center" vertical="center"/>
    </xf>
    <xf numFmtId="2" fontId="3" fillId="2" borderId="41" xfId="1" applyNumberFormat="1" applyFont="1" applyFill="1" applyBorder="1" applyAlignment="1">
      <alignment horizontal="center" vertical="center"/>
    </xf>
    <xf numFmtId="2" fontId="3" fillId="2" borderId="43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</cellXfs>
  <cellStyles count="3">
    <cellStyle name="Comma 2" xfId="2" xr:uid="{8523321D-6749-4782-9D2A-2190AF4FAD55}"/>
    <cellStyle name="Normal" xfId="0" builtinId="0"/>
    <cellStyle name="Normal 2" xfId="1" xr:uid="{D4D34092-C809-4DF4-B858-B7AF3D55A6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9ACD-5EC3-46FF-B159-C0CEFC6D0446}">
  <dimension ref="B1:AE29"/>
  <sheetViews>
    <sheetView rightToLeft="1" tabSelected="1" topLeftCell="V1" zoomScale="60" zoomScaleNormal="60" workbookViewId="0">
      <selection activeCell="AA21" sqref="AA21"/>
    </sheetView>
  </sheetViews>
  <sheetFormatPr defaultRowHeight="21"/>
  <cols>
    <col min="1" max="1" width="8.7265625" style="1"/>
    <col min="2" max="2" width="6.90625" style="1" customWidth="1"/>
    <col min="3" max="3" width="26.7265625" style="1" bestFit="1" customWidth="1"/>
    <col min="4" max="4" width="11" style="1" bestFit="1" customWidth="1"/>
    <col min="5" max="7" width="8.90625" style="1" bestFit="1" customWidth="1"/>
    <col min="8" max="8" width="8.7265625" style="1"/>
    <col min="9" max="9" width="8.90625" style="1" bestFit="1" customWidth="1"/>
    <col min="10" max="10" width="26.7265625" style="1" bestFit="1" customWidth="1"/>
    <col min="11" max="11" width="7.1796875" style="1" bestFit="1" customWidth="1"/>
    <col min="12" max="13" width="8.90625" style="1" bestFit="1" customWidth="1"/>
    <col min="14" max="15" width="8.90625" style="1" customWidth="1"/>
    <col min="16" max="16" width="8.90625" style="1" bestFit="1" customWidth="1"/>
    <col min="17" max="17" width="8.7265625" style="1"/>
    <col min="18" max="18" width="8.90625" style="1" bestFit="1" customWidth="1"/>
    <col min="19" max="19" width="23.36328125" style="1" bestFit="1" customWidth="1"/>
    <col min="20" max="23" width="12" style="1" bestFit="1" customWidth="1"/>
    <col min="24" max="25" width="8.7265625" style="1"/>
    <col min="26" max="26" width="12.453125" style="1" bestFit="1" customWidth="1"/>
    <col min="27" max="27" width="33.08984375" style="1" bestFit="1" customWidth="1"/>
    <col min="28" max="29" width="8.90625" style="1" bestFit="1" customWidth="1"/>
    <col min="30" max="16384" width="8.7265625" style="1"/>
  </cols>
  <sheetData>
    <row r="1" spans="2:31" ht="21.6" thickBot="1"/>
    <row r="2" spans="2:31" ht="24.6">
      <c r="B2" s="31" t="s">
        <v>82</v>
      </c>
      <c r="C2" s="28"/>
      <c r="D2" s="28"/>
      <c r="E2" s="28"/>
      <c r="F2" s="28"/>
      <c r="G2" s="29"/>
      <c r="I2" s="31" t="s">
        <v>82</v>
      </c>
      <c r="J2" s="28"/>
      <c r="K2" s="28"/>
      <c r="L2" s="28"/>
      <c r="M2" s="28"/>
      <c r="N2" s="28"/>
      <c r="O2" s="28"/>
      <c r="P2" s="29"/>
      <c r="R2" s="31" t="s">
        <v>82</v>
      </c>
      <c r="S2" s="28"/>
      <c r="T2" s="28"/>
      <c r="U2" s="28"/>
      <c r="V2" s="28"/>
      <c r="W2" s="29"/>
      <c r="Y2" s="50" t="s">
        <v>82</v>
      </c>
      <c r="Z2" s="55"/>
      <c r="AA2" s="55"/>
      <c r="AB2" s="55"/>
      <c r="AC2" s="55"/>
      <c r="AD2" s="55"/>
      <c r="AE2" s="51"/>
    </row>
    <row r="3" spans="2:31" ht="25.2" thickBot="1">
      <c r="B3" s="49" t="s">
        <v>83</v>
      </c>
      <c r="C3" s="44"/>
      <c r="D3" s="44"/>
      <c r="E3" s="44"/>
      <c r="F3" s="44"/>
      <c r="G3" s="45"/>
      <c r="I3" s="49" t="s">
        <v>85</v>
      </c>
      <c r="J3" s="44"/>
      <c r="K3" s="44"/>
      <c r="L3" s="44"/>
      <c r="M3" s="44"/>
      <c r="N3" s="44"/>
      <c r="O3" s="44"/>
      <c r="P3" s="45"/>
      <c r="R3" s="71" t="s">
        <v>84</v>
      </c>
      <c r="S3" s="72"/>
      <c r="T3" s="72"/>
      <c r="U3" s="72"/>
      <c r="V3" s="72"/>
      <c r="W3" s="73"/>
      <c r="Y3" s="38" t="s">
        <v>6</v>
      </c>
      <c r="Z3" s="114"/>
      <c r="AA3" s="114"/>
      <c r="AB3" s="114"/>
      <c r="AC3" s="114"/>
      <c r="AD3" s="114"/>
      <c r="AE3" s="125"/>
    </row>
    <row r="4" spans="2:31" ht="25.2" thickBot="1">
      <c r="B4" s="50" t="s">
        <v>7</v>
      </c>
      <c r="C4" s="59" t="s">
        <v>8</v>
      </c>
      <c r="D4" s="46" t="s">
        <v>90</v>
      </c>
      <c r="E4" s="47"/>
      <c r="F4" s="47"/>
      <c r="G4" s="48"/>
      <c r="I4" s="50" t="s">
        <v>7</v>
      </c>
      <c r="J4" s="51" t="s">
        <v>8</v>
      </c>
      <c r="K4" s="50" t="s">
        <v>89</v>
      </c>
      <c r="L4" s="59"/>
      <c r="M4" s="50" t="s">
        <v>90</v>
      </c>
      <c r="N4" s="55"/>
      <c r="O4" s="55"/>
      <c r="P4" s="51"/>
      <c r="R4" s="122" t="s">
        <v>7</v>
      </c>
      <c r="S4" s="123" t="s">
        <v>8</v>
      </c>
      <c r="T4" s="123" t="s">
        <v>9</v>
      </c>
      <c r="U4" s="123" t="s">
        <v>10</v>
      </c>
      <c r="V4" s="123" t="s">
        <v>11</v>
      </c>
      <c r="W4" s="124" t="s">
        <v>12</v>
      </c>
      <c r="Y4" s="50" t="s">
        <v>7</v>
      </c>
      <c r="Z4" s="27" t="s">
        <v>91</v>
      </c>
      <c r="AA4" s="55" t="s">
        <v>8</v>
      </c>
      <c r="AB4" s="126" t="s">
        <v>90</v>
      </c>
      <c r="AC4" s="126"/>
      <c r="AD4" s="126"/>
      <c r="AE4" s="127"/>
    </row>
    <row r="5" spans="2:31" ht="28.8" thickBot="1">
      <c r="B5" s="56"/>
      <c r="C5" s="60"/>
      <c r="D5" s="64" t="s">
        <v>9</v>
      </c>
      <c r="E5" s="53" t="s">
        <v>10</v>
      </c>
      <c r="F5" s="53" t="s">
        <v>11</v>
      </c>
      <c r="G5" s="54" t="s">
        <v>12</v>
      </c>
      <c r="I5" s="40"/>
      <c r="J5" s="52"/>
      <c r="K5" s="23" t="s">
        <v>9</v>
      </c>
      <c r="L5" s="36" t="s">
        <v>10</v>
      </c>
      <c r="M5" s="23" t="s">
        <v>9</v>
      </c>
      <c r="N5" s="8" t="s">
        <v>10</v>
      </c>
      <c r="O5" s="8" t="s">
        <v>11</v>
      </c>
      <c r="P5" s="24" t="s">
        <v>12</v>
      </c>
      <c r="R5" s="118">
        <v>1</v>
      </c>
      <c r="S5" s="119" t="s">
        <v>15</v>
      </c>
      <c r="T5" s="120">
        <f>T6+T10</f>
        <v>1948.8485714285714</v>
      </c>
      <c r="U5" s="120">
        <f>U6+U10</f>
        <v>2621.1097142857143</v>
      </c>
      <c r="V5" s="120">
        <f>V6+V10</f>
        <v>2802.4402285714282</v>
      </c>
      <c r="W5" s="121">
        <f>W6+W10</f>
        <v>3186.3502742857136</v>
      </c>
      <c r="Y5" s="56"/>
      <c r="Z5" s="117"/>
      <c r="AA5" s="57"/>
      <c r="AB5" s="53" t="s">
        <v>9</v>
      </c>
      <c r="AC5" s="53" t="s">
        <v>10</v>
      </c>
      <c r="AD5" s="53" t="s">
        <v>11</v>
      </c>
      <c r="AE5" s="54" t="s">
        <v>12</v>
      </c>
    </row>
    <row r="6" spans="2:31" ht="25.8" thickTop="1" thickBot="1">
      <c r="B6" s="20">
        <v>1</v>
      </c>
      <c r="C6" s="35" t="s">
        <v>13</v>
      </c>
      <c r="D6" s="20">
        <f>1.05*1000000*500000/1000000000</f>
        <v>525</v>
      </c>
      <c r="E6" s="3">
        <f>2.8*1000000*550000/1000000000</f>
        <v>1540</v>
      </c>
      <c r="F6" s="3">
        <f>3.15*1000000*600000/1000000000</f>
        <v>1890</v>
      </c>
      <c r="G6" s="12">
        <f>3.5*1000000*650000/1000000000</f>
        <v>2275</v>
      </c>
      <c r="I6" s="16">
        <v>1</v>
      </c>
      <c r="J6" s="17" t="s">
        <v>14</v>
      </c>
      <c r="K6" s="16">
        <v>2000</v>
      </c>
      <c r="L6" s="39">
        <f>K20</f>
        <v>2560</v>
      </c>
      <c r="M6" s="76">
        <f>L20</f>
        <v>2655</v>
      </c>
      <c r="N6" s="77">
        <f t="shared" ref="N6:O6" si="0">M20</f>
        <v>3250</v>
      </c>
      <c r="O6" s="77">
        <f t="shared" si="0"/>
        <v>4850</v>
      </c>
      <c r="P6" s="78">
        <f>M20</f>
        <v>3250</v>
      </c>
      <c r="R6" s="98" t="s">
        <v>20</v>
      </c>
      <c r="S6" s="85" t="s">
        <v>21</v>
      </c>
      <c r="T6" s="86">
        <f>SUM(T7:T9)</f>
        <v>1418.52</v>
      </c>
      <c r="U6" s="86">
        <f>SUM(U7:U9)</f>
        <v>1702.2239999999997</v>
      </c>
      <c r="V6" s="86">
        <f>SUM(V7:V9)</f>
        <v>2042.6687999999995</v>
      </c>
      <c r="W6" s="99">
        <f>SUM(W7:W9)</f>
        <v>2447.3145599999993</v>
      </c>
      <c r="Y6" s="30">
        <v>1</v>
      </c>
      <c r="Z6" s="27" t="s">
        <v>16</v>
      </c>
      <c r="AA6" s="128" t="s">
        <v>22</v>
      </c>
      <c r="AB6" s="133">
        <f>T10/T19</f>
        <v>0.77399043536049827</v>
      </c>
      <c r="AC6" s="133">
        <f>U10/U19</f>
        <v>0.60059361865778693</v>
      </c>
      <c r="AD6" s="133">
        <f>V10/V19</f>
        <v>0.43910903609120383</v>
      </c>
      <c r="AE6" s="134">
        <f>W10/W19</f>
        <v>0.37570195237128956</v>
      </c>
    </row>
    <row r="7" spans="2:31" ht="25.8" thickTop="1" thickBot="1">
      <c r="B7" s="11">
        <v>2</v>
      </c>
      <c r="C7" s="37" t="s">
        <v>18</v>
      </c>
      <c r="D7" s="11">
        <v>100</v>
      </c>
      <c r="E7" s="5">
        <f>1.15*D7</f>
        <v>114.99999999999999</v>
      </c>
      <c r="F7" s="5">
        <f>1.15*E7</f>
        <v>132.24999999999997</v>
      </c>
      <c r="G7" s="13">
        <f>1.15*F7</f>
        <v>152.08749999999995</v>
      </c>
      <c r="I7" s="68">
        <v>2</v>
      </c>
      <c r="J7" s="19" t="s">
        <v>19</v>
      </c>
      <c r="K7" s="32">
        <f>SUM(K8:K11)</f>
        <v>768</v>
      </c>
      <c r="L7" s="34">
        <f>SUM(L8:L11)</f>
        <v>1405.1</v>
      </c>
      <c r="M7" s="32">
        <f>SUM(M8:M11)</f>
        <v>1280.1875</v>
      </c>
      <c r="N7" s="6">
        <f t="shared" ref="N7:O7" si="1">SUM(N8:N11)</f>
        <v>3129.9625000000001</v>
      </c>
      <c r="O7" s="6">
        <f t="shared" si="1"/>
        <v>3699.256875</v>
      </c>
      <c r="P7" s="19">
        <f>SUM(P8:P11)</f>
        <v>4312.0797812500005</v>
      </c>
      <c r="R7" s="75"/>
      <c r="S7" s="87" t="s">
        <v>0</v>
      </c>
      <c r="T7" s="88">
        <f>K12*1.2</f>
        <v>54</v>
      </c>
      <c r="U7" s="88">
        <f>T7*1.2</f>
        <v>64.8</v>
      </c>
      <c r="V7" s="88">
        <f t="shared" ref="V7" si="2">U7*1.2</f>
        <v>77.759999999999991</v>
      </c>
      <c r="W7" s="100">
        <f>V7*1.15</f>
        <v>89.423999999999978</v>
      </c>
      <c r="Y7" s="83"/>
      <c r="Z7" s="117"/>
      <c r="AA7" s="53" t="s">
        <v>25</v>
      </c>
      <c r="AB7" s="135">
        <f>(T10-T13)/T19</f>
        <v>0.69324090121317161</v>
      </c>
      <c r="AC7" s="135">
        <f>(U10-U13)/U19</f>
        <v>0.57648471776269028</v>
      </c>
      <c r="AD7" s="135">
        <f>(V10-V13)/V19</f>
        <v>0.3964729225537682</v>
      </c>
      <c r="AE7" s="136">
        <f>(W10-W13)/W19</f>
        <v>0.35695044333881154</v>
      </c>
    </row>
    <row r="8" spans="2:31" ht="25.8" thickTop="1" thickBot="1">
      <c r="B8" s="14"/>
      <c r="C8" s="61" t="s">
        <v>23</v>
      </c>
      <c r="D8" s="14">
        <f>SUM(D6:D7)</f>
        <v>625</v>
      </c>
      <c r="E8" s="4">
        <f t="shared" ref="E8" si="3">SUM(E6:E7)</f>
        <v>1655</v>
      </c>
      <c r="F8" s="4">
        <f>SUM(F6:F7)</f>
        <v>2022.25</v>
      </c>
      <c r="G8" s="15">
        <f>SUM(G6:G7)</f>
        <v>2427.0875000000001</v>
      </c>
      <c r="I8" s="69"/>
      <c r="J8" s="12" t="s">
        <v>24</v>
      </c>
      <c r="K8" s="20">
        <v>0</v>
      </c>
      <c r="L8" s="35">
        <v>15</v>
      </c>
      <c r="M8" s="20">
        <f>D6</f>
        <v>525</v>
      </c>
      <c r="N8" s="3">
        <f>E6</f>
        <v>1540</v>
      </c>
      <c r="O8" s="3">
        <f t="shared" ref="O8:P8" si="4">F6</f>
        <v>1890</v>
      </c>
      <c r="P8" s="12">
        <f t="shared" si="4"/>
        <v>2275</v>
      </c>
      <c r="R8" s="41"/>
      <c r="S8" s="42" t="s">
        <v>1</v>
      </c>
      <c r="T8" s="89">
        <f>L13*1.2</f>
        <v>373.56</v>
      </c>
      <c r="U8" s="89">
        <f>T8*1.2</f>
        <v>448.27199999999999</v>
      </c>
      <c r="V8" s="89">
        <f t="shared" ref="V8" si="5">U8*1.2</f>
        <v>537.92639999999994</v>
      </c>
      <c r="W8" s="101">
        <f>V8*1.2</f>
        <v>645.51167999999996</v>
      </c>
      <c r="Y8" s="30">
        <v>2</v>
      </c>
      <c r="Z8" s="27" t="s">
        <v>30</v>
      </c>
      <c r="AA8" s="128" t="s">
        <v>32</v>
      </c>
      <c r="AB8" s="129">
        <f>D21/D8</f>
        <v>0.1341</v>
      </c>
      <c r="AC8" s="129">
        <f>E21/E8</f>
        <v>0.15944864048338372</v>
      </c>
      <c r="AD8" s="129">
        <f>F21/F8</f>
        <v>0.20851557670911114</v>
      </c>
      <c r="AE8" s="130">
        <f>G21/G8</f>
        <v>0.24864651305319654</v>
      </c>
    </row>
    <row r="9" spans="2:31" ht="25.8" thickTop="1" thickBot="1">
      <c r="B9" s="16">
        <v>3</v>
      </c>
      <c r="C9" s="39" t="s">
        <v>28</v>
      </c>
      <c r="D9" s="16">
        <f>(1557.5-223.2-140.8)*1.05/3.5</f>
        <v>358.05</v>
      </c>
      <c r="E9" s="7">
        <f>(1557.5-223.2-140.8)*2.8/3.5</f>
        <v>954.8</v>
      </c>
      <c r="F9" s="7">
        <f>(1557.5-223.2-140.8)*3.15/3.5</f>
        <v>1074.1500000000001</v>
      </c>
      <c r="G9" s="17">
        <f>(1557.5-223.2-140.8)*3.5/3.5</f>
        <v>1193.5</v>
      </c>
      <c r="I9" s="69"/>
      <c r="J9" s="24" t="s">
        <v>29</v>
      </c>
      <c r="K9" s="23">
        <v>500</v>
      </c>
      <c r="L9" s="36">
        <v>0</v>
      </c>
      <c r="M9" s="23">
        <v>0</v>
      </c>
      <c r="N9" s="8">
        <v>0</v>
      </c>
      <c r="O9" s="8">
        <v>0</v>
      </c>
      <c r="P9" s="24">
        <v>0</v>
      </c>
      <c r="R9" s="41"/>
      <c r="S9" s="42" t="s">
        <v>27</v>
      </c>
      <c r="T9" s="89">
        <f>L17*1.2</f>
        <v>990.95999999999992</v>
      </c>
      <c r="U9" s="89">
        <f>1.2*T9</f>
        <v>1189.1519999999998</v>
      </c>
      <c r="V9" s="89">
        <f t="shared" ref="V9:W9" si="6">1.2*U9</f>
        <v>1426.9823999999996</v>
      </c>
      <c r="W9" s="101">
        <f t="shared" si="6"/>
        <v>1712.3788799999995</v>
      </c>
      <c r="Y9" s="69"/>
      <c r="Z9" s="115"/>
      <c r="AA9" s="8" t="s">
        <v>35</v>
      </c>
      <c r="AB9" s="9">
        <f>D10/D8</f>
        <v>0.42712</v>
      </c>
      <c r="AC9" s="9">
        <f>E10/E8</f>
        <v>0.42308157099697891</v>
      </c>
      <c r="AD9" s="9">
        <f>F10/F8</f>
        <v>0.46883421931017427</v>
      </c>
      <c r="AE9" s="116">
        <f>G10/G8</f>
        <v>0.50825835492127913</v>
      </c>
    </row>
    <row r="10" spans="2:31" ht="25.8" thickTop="1" thickBot="1">
      <c r="B10" s="18" t="s">
        <v>31</v>
      </c>
      <c r="C10" s="62"/>
      <c r="D10" s="32">
        <f>D8-D9</f>
        <v>266.95</v>
      </c>
      <c r="E10" s="6">
        <f t="shared" ref="E10:G10" si="7">E8-E9</f>
        <v>700.2</v>
      </c>
      <c r="F10" s="6">
        <f t="shared" si="7"/>
        <v>948.09999999999991</v>
      </c>
      <c r="G10" s="19">
        <f t="shared" si="7"/>
        <v>1233.5875000000001</v>
      </c>
      <c r="I10" s="70"/>
      <c r="J10" s="24" t="s">
        <v>34</v>
      </c>
      <c r="K10" s="23">
        <v>60</v>
      </c>
      <c r="L10" s="36">
        <v>80</v>
      </c>
      <c r="M10" s="76">
        <v>70</v>
      </c>
      <c r="N10" s="77">
        <v>60</v>
      </c>
      <c r="O10" s="77">
        <v>65</v>
      </c>
      <c r="P10" s="78">
        <v>70</v>
      </c>
      <c r="R10" s="102" t="s">
        <v>26</v>
      </c>
      <c r="S10" s="90" t="s">
        <v>41</v>
      </c>
      <c r="T10" s="91">
        <f>SUM(T11:T14)</f>
        <v>530.32857142857142</v>
      </c>
      <c r="U10" s="91">
        <f>SUM(U11:U14)</f>
        <v>918.88571428571436</v>
      </c>
      <c r="V10" s="91">
        <f>SUM(V11:V14)</f>
        <v>759.7714285714286</v>
      </c>
      <c r="W10" s="103">
        <f>SUM(W11:W14)</f>
        <v>739.03571428571422</v>
      </c>
      <c r="Y10" s="69"/>
      <c r="Z10" s="115"/>
      <c r="AA10" s="8" t="s">
        <v>37</v>
      </c>
      <c r="AB10" s="9">
        <f>D14/D8</f>
        <v>0.24440000000000001</v>
      </c>
      <c r="AC10" s="9">
        <f>E14/E8</f>
        <v>0.24229607250755292</v>
      </c>
      <c r="AD10" s="9">
        <f>F14/F8</f>
        <v>0.30164420818395354</v>
      </c>
      <c r="AE10" s="116">
        <f>G14/G8</f>
        <v>0.35292814947957174</v>
      </c>
    </row>
    <row r="11" spans="2:31" ht="25.8" thickTop="1" thickBot="1">
      <c r="B11" s="20">
        <v>4</v>
      </c>
      <c r="C11" s="35" t="s">
        <v>33</v>
      </c>
      <c r="D11" s="20">
        <f>364*1.05/3.5</f>
        <v>109.2</v>
      </c>
      <c r="E11" s="3">
        <f>364*2.8/3.5</f>
        <v>291.2</v>
      </c>
      <c r="F11" s="3">
        <f>364*3.15/3.5</f>
        <v>327.59999999999997</v>
      </c>
      <c r="G11" s="12">
        <f>364*3.5/3.5</f>
        <v>364</v>
      </c>
      <c r="I11" s="68">
        <v>3</v>
      </c>
      <c r="J11" s="19" t="s">
        <v>40</v>
      </c>
      <c r="K11" s="32">
        <f>SUM(K12:K19)</f>
        <v>208</v>
      </c>
      <c r="L11" s="34">
        <f>SUM(L12:L19)</f>
        <v>1310.0999999999999</v>
      </c>
      <c r="M11" s="79">
        <f>SUM(M12:M19)</f>
        <v>685.1875</v>
      </c>
      <c r="N11" s="80">
        <f t="shared" ref="N11:O11" si="8">SUM(N12:N19)</f>
        <v>1529.9625000000001</v>
      </c>
      <c r="O11" s="80">
        <f t="shared" si="8"/>
        <v>1744.256875</v>
      </c>
      <c r="P11" s="81">
        <f>SUM(P12:P19)</f>
        <v>1967.07978125</v>
      </c>
      <c r="R11" s="75"/>
      <c r="S11" s="87" t="s">
        <v>45</v>
      </c>
      <c r="T11" s="88">
        <v>300</v>
      </c>
      <c r="U11" s="88">
        <f>1.2*T11</f>
        <v>360</v>
      </c>
      <c r="V11" s="88">
        <f t="shared" ref="V11:W11" si="9">1.2*U11</f>
        <v>432</v>
      </c>
      <c r="W11" s="100">
        <f t="shared" si="9"/>
        <v>518.4</v>
      </c>
      <c r="Y11" s="69"/>
      <c r="Z11" s="115"/>
      <c r="AA11" s="8" t="s">
        <v>42</v>
      </c>
      <c r="AB11" s="9">
        <f>D21/T5</f>
        <v>4.300616334626893E-2</v>
      </c>
      <c r="AC11" s="9">
        <f>E21/U5</f>
        <v>0.10067777726424273</v>
      </c>
      <c r="AD11" s="9">
        <f>F21/V5</f>
        <v>0.15046551955006396</v>
      </c>
      <c r="AE11" s="116">
        <f>G21/W5</f>
        <v>0.1893975212393384</v>
      </c>
    </row>
    <row r="12" spans="2:31" ht="25.8" thickTop="1" thickBot="1">
      <c r="B12" s="11">
        <v>5</v>
      </c>
      <c r="C12" s="37" t="s">
        <v>36</v>
      </c>
      <c r="D12" s="11">
        <v>5</v>
      </c>
      <c r="E12" s="5">
        <v>8</v>
      </c>
      <c r="F12" s="5">
        <v>10.5</v>
      </c>
      <c r="G12" s="13">
        <v>13</v>
      </c>
      <c r="I12" s="69"/>
      <c r="J12" s="12" t="s">
        <v>44</v>
      </c>
      <c r="K12" s="20">
        <v>45</v>
      </c>
      <c r="L12" s="35">
        <v>0</v>
      </c>
      <c r="M12" s="20">
        <v>15</v>
      </c>
      <c r="N12" s="3">
        <v>15</v>
      </c>
      <c r="O12" s="3">
        <v>15</v>
      </c>
      <c r="P12" s="12">
        <v>15</v>
      </c>
      <c r="R12" s="41"/>
      <c r="S12" s="42" t="s">
        <v>53</v>
      </c>
      <c r="T12" s="89">
        <f>M10</f>
        <v>70</v>
      </c>
      <c r="U12" s="89">
        <f>N10</f>
        <v>60</v>
      </c>
      <c r="V12" s="89">
        <f>O10</f>
        <v>65</v>
      </c>
      <c r="W12" s="101">
        <f>P10</f>
        <v>70</v>
      </c>
      <c r="Y12" s="69"/>
      <c r="Z12" s="115"/>
      <c r="AA12" s="8" t="s">
        <v>46</v>
      </c>
      <c r="AB12" s="9">
        <f>D21/T24</f>
        <v>7.6193181818181813E-2</v>
      </c>
      <c r="AC12" s="9">
        <f>E21/U24</f>
        <v>0.3716725352112677</v>
      </c>
      <c r="AD12" s="9">
        <f>F21/V24</f>
        <v>1.0541765624999999</v>
      </c>
      <c r="AE12" s="116">
        <f>G21/W24</f>
        <v>1.6999629401408456</v>
      </c>
    </row>
    <row r="13" spans="2:31" ht="25.8" thickTop="1" thickBot="1">
      <c r="B13" s="21" t="s">
        <v>38</v>
      </c>
      <c r="C13" s="33" t="s">
        <v>39</v>
      </c>
      <c r="D13" s="21">
        <f>SUM(D11:D12)</f>
        <v>114.2</v>
      </c>
      <c r="E13" s="2">
        <f t="shared" ref="E13:G13" si="10">SUM(E11:E12)</f>
        <v>299.2</v>
      </c>
      <c r="F13" s="2">
        <f t="shared" si="10"/>
        <v>338.09999999999997</v>
      </c>
      <c r="G13" s="22">
        <f t="shared" si="10"/>
        <v>377</v>
      </c>
      <c r="I13" s="69"/>
      <c r="J13" s="24" t="s">
        <v>48</v>
      </c>
      <c r="K13" s="23">
        <v>0</v>
      </c>
      <c r="L13" s="36">
        <f>251.3+60</f>
        <v>311.3</v>
      </c>
      <c r="M13" s="23">
        <v>0</v>
      </c>
      <c r="N13" s="8">
        <v>0</v>
      </c>
      <c r="O13" s="8">
        <v>0</v>
      </c>
      <c r="P13" s="24">
        <v>0</v>
      </c>
      <c r="R13" s="41"/>
      <c r="S13" s="42" t="s">
        <v>2</v>
      </c>
      <c r="T13" s="89">
        <f>1291*0.15/3.5</f>
        <v>55.328571428571429</v>
      </c>
      <c r="U13" s="89">
        <f>1291*0.1/3.5</f>
        <v>36.885714285714286</v>
      </c>
      <c r="V13" s="89">
        <f>1291*0.2/3.5</f>
        <v>73.771428571428572</v>
      </c>
      <c r="W13" s="101">
        <f>1291*0.1/3.5</f>
        <v>36.885714285714286</v>
      </c>
      <c r="Y13" s="83"/>
      <c r="Z13" s="117"/>
      <c r="AA13" s="53" t="s">
        <v>49</v>
      </c>
      <c r="AB13" s="131">
        <f>D22/D21</f>
        <v>0.59656972408650266</v>
      </c>
      <c r="AC13" s="131">
        <f>E22/E21</f>
        <v>0.59656972408650255</v>
      </c>
      <c r="AD13" s="131">
        <f>F22/F21</f>
        <v>0.59656972408650255</v>
      </c>
      <c r="AE13" s="132">
        <f>G22/G21</f>
        <v>0.59656972408650255</v>
      </c>
    </row>
    <row r="14" spans="2:31" ht="25.8" thickTop="1" thickBot="1">
      <c r="B14" s="18" t="s">
        <v>43</v>
      </c>
      <c r="C14" s="62"/>
      <c r="D14" s="32">
        <f>D10-D13</f>
        <v>152.75</v>
      </c>
      <c r="E14" s="6">
        <f>E10-E13</f>
        <v>401.00000000000006</v>
      </c>
      <c r="F14" s="6">
        <f t="shared" ref="F14" si="11">F10-F13</f>
        <v>610</v>
      </c>
      <c r="G14" s="19">
        <f>G10-G13</f>
        <v>856.58750000000009</v>
      </c>
      <c r="I14" s="69"/>
      <c r="J14" s="24" t="s">
        <v>52</v>
      </c>
      <c r="K14" s="23">
        <v>0</v>
      </c>
      <c r="L14" s="36">
        <v>15</v>
      </c>
      <c r="M14" s="23">
        <f>D9</f>
        <v>358.05</v>
      </c>
      <c r="N14" s="8">
        <f>E9</f>
        <v>954.8</v>
      </c>
      <c r="O14" s="8">
        <f t="shared" ref="O14:P14" si="12">F9</f>
        <v>1074.1500000000001</v>
      </c>
      <c r="P14" s="24">
        <f t="shared" si="12"/>
        <v>1193.5</v>
      </c>
      <c r="R14" s="41"/>
      <c r="S14" s="42" t="s">
        <v>17</v>
      </c>
      <c r="T14" s="89">
        <f>0.2*M8</f>
        <v>105</v>
      </c>
      <c r="U14" s="89">
        <f>0.3*N8</f>
        <v>462</v>
      </c>
      <c r="V14" s="89">
        <f>0.1*O8</f>
        <v>189</v>
      </c>
      <c r="W14" s="101">
        <f>0.05*P8</f>
        <v>113.75</v>
      </c>
      <c r="Y14" s="30">
        <v>3</v>
      </c>
      <c r="Z14" s="27" t="s">
        <v>57</v>
      </c>
      <c r="AA14" s="128" t="s">
        <v>60</v>
      </c>
      <c r="AB14" s="129">
        <f>T16/T24</f>
        <v>0.64107954545454549</v>
      </c>
      <c r="AC14" s="129">
        <f t="shared" ref="AC14:AE14" si="13">U16/U24</f>
        <v>2.2112147887323945</v>
      </c>
      <c r="AD14" s="129">
        <f t="shared" si="13"/>
        <v>4.7756421874999999</v>
      </c>
      <c r="AE14" s="130">
        <f t="shared" si="13"/>
        <v>6.1044500880281687</v>
      </c>
    </row>
    <row r="15" spans="2:31" ht="29.4" thickTop="1" thickBot="1">
      <c r="B15" s="20">
        <v>6</v>
      </c>
      <c r="C15" s="35" t="s">
        <v>47</v>
      </c>
      <c r="D15" s="20">
        <v>21</v>
      </c>
      <c r="E15" s="3">
        <f>D15*1.15</f>
        <v>24.15</v>
      </c>
      <c r="F15" s="3">
        <f t="shared" ref="F15:G15" si="14">E15*1.15</f>
        <v>27.772499999999997</v>
      </c>
      <c r="G15" s="12">
        <f t="shared" si="14"/>
        <v>31.938374999999994</v>
      </c>
      <c r="I15" s="69"/>
      <c r="J15" s="24" t="s">
        <v>56</v>
      </c>
      <c r="K15" s="23">
        <f>$K$9*0.3</f>
        <v>150</v>
      </c>
      <c r="L15" s="36">
        <f>$K$9*0.3</f>
        <v>150</v>
      </c>
      <c r="M15" s="23">
        <f>$K$9*0.3</f>
        <v>150</v>
      </c>
      <c r="N15" s="8">
        <f>$K$9*0.3</f>
        <v>150</v>
      </c>
      <c r="O15" s="8">
        <f>$K$9*0.3</f>
        <v>150</v>
      </c>
      <c r="P15" s="24">
        <f>$K$9*0.3</f>
        <v>150</v>
      </c>
      <c r="R15" s="97">
        <v>2</v>
      </c>
      <c r="S15" s="95" t="s">
        <v>65</v>
      </c>
      <c r="T15" s="92">
        <f>T16+T23</f>
        <v>1949</v>
      </c>
      <c r="U15" s="92">
        <f>U16+U23</f>
        <v>2620.8500000000004</v>
      </c>
      <c r="V15" s="92">
        <f>V16+V23</f>
        <v>2801.9274999999998</v>
      </c>
      <c r="W15" s="110">
        <f>W16+W23</f>
        <v>3185.5666250000004</v>
      </c>
      <c r="Y15" s="69"/>
      <c r="Z15" s="115"/>
      <c r="AA15" s="8" t="s">
        <v>62</v>
      </c>
      <c r="AB15" s="8">
        <f>T5/T24</f>
        <v>1.7716805194805194</v>
      </c>
      <c r="AC15" s="8">
        <f t="shared" ref="AC15:AE15" si="15">U5/U24</f>
        <v>3.6917038229376256</v>
      </c>
      <c r="AD15" s="8">
        <f t="shared" si="15"/>
        <v>7.0061005714285702</v>
      </c>
      <c r="AE15" s="24">
        <f t="shared" si="15"/>
        <v>8.9756345754527143</v>
      </c>
    </row>
    <row r="16" spans="2:31" ht="25.8" thickTop="1" thickBot="1">
      <c r="B16" s="23">
        <v>7</v>
      </c>
      <c r="C16" s="36" t="s">
        <v>51</v>
      </c>
      <c r="D16" s="23">
        <v>10</v>
      </c>
      <c r="E16" s="8">
        <v>5</v>
      </c>
      <c r="F16" s="8">
        <v>5</v>
      </c>
      <c r="G16" s="24">
        <v>5</v>
      </c>
      <c r="I16" s="69"/>
      <c r="J16" s="24" t="s">
        <v>59</v>
      </c>
      <c r="K16" s="23">
        <v>5</v>
      </c>
      <c r="L16" s="36">
        <v>5</v>
      </c>
      <c r="M16" s="23">
        <f>D20</f>
        <v>27.9375</v>
      </c>
      <c r="N16" s="8">
        <f t="shared" ref="N16:P16" si="16">E20</f>
        <v>87.96250000000002</v>
      </c>
      <c r="O16" s="8">
        <f t="shared" si="16"/>
        <v>140.55687499999999</v>
      </c>
      <c r="P16" s="24">
        <f t="shared" si="16"/>
        <v>201.16228125000004</v>
      </c>
      <c r="R16" s="104" t="s">
        <v>50</v>
      </c>
      <c r="S16" s="93" t="s">
        <v>68</v>
      </c>
      <c r="T16" s="94">
        <f>T17+T19</f>
        <v>705.1875</v>
      </c>
      <c r="U16" s="94">
        <f>U17+U19</f>
        <v>1569.9625000000001</v>
      </c>
      <c r="V16" s="94">
        <f>V17+V19</f>
        <v>1910.256875</v>
      </c>
      <c r="W16" s="105">
        <f>W17+W19</f>
        <v>2167.07978125</v>
      </c>
      <c r="Y16" s="69"/>
      <c r="Z16" s="115"/>
      <c r="AA16" s="8" t="s">
        <v>66</v>
      </c>
      <c r="AB16" s="8">
        <f>T5/T16</f>
        <v>2.7635892176599435</v>
      </c>
      <c r="AC16" s="8">
        <f t="shared" ref="AC16:AE16" si="17">U5/U16</f>
        <v>1.6695365107674318</v>
      </c>
      <c r="AD16" s="8">
        <f t="shared" si="17"/>
        <v>1.4670488902553633</v>
      </c>
      <c r="AE16" s="24">
        <f t="shared" si="17"/>
        <v>1.4703428557889942</v>
      </c>
    </row>
    <row r="17" spans="2:31" ht="25.8" thickTop="1" thickBot="1">
      <c r="B17" s="11">
        <v>8</v>
      </c>
      <c r="C17" s="37" t="s">
        <v>55</v>
      </c>
      <c r="D17" s="11">
        <v>10</v>
      </c>
      <c r="E17" s="5">
        <v>20</v>
      </c>
      <c r="F17" s="5">
        <v>15</v>
      </c>
      <c r="G17" s="13">
        <v>15</v>
      </c>
      <c r="I17" s="69"/>
      <c r="J17" s="24" t="s">
        <v>87</v>
      </c>
      <c r="K17" s="23">
        <v>0</v>
      </c>
      <c r="L17" s="36">
        <f>817+8.8</f>
        <v>825.8</v>
      </c>
      <c r="M17" s="23">
        <v>20</v>
      </c>
      <c r="N17" s="8">
        <f>1.15*M17</f>
        <v>23</v>
      </c>
      <c r="O17" s="8">
        <f t="shared" ref="O17:P17" si="18">1.15*N17</f>
        <v>26.45</v>
      </c>
      <c r="P17" s="24">
        <f t="shared" si="18"/>
        <v>30.417499999999997</v>
      </c>
      <c r="R17" s="102" t="s">
        <v>71</v>
      </c>
      <c r="S17" s="90" t="s">
        <v>72</v>
      </c>
      <c r="T17" s="90">
        <f>SUM(T18:T18)</f>
        <v>20</v>
      </c>
      <c r="U17" s="90">
        <f>SUM(U18:U18)</f>
        <v>40</v>
      </c>
      <c r="V17" s="90">
        <f>SUM(V18:V18)</f>
        <v>180</v>
      </c>
      <c r="W17" s="74">
        <f>SUM(W18:W18)</f>
        <v>200</v>
      </c>
      <c r="Y17" s="69"/>
      <c r="Z17" s="115"/>
      <c r="AA17" s="8" t="s">
        <v>69</v>
      </c>
      <c r="AB17" s="8">
        <f>T17/(T17+T24)</f>
        <v>1.7857142857142856E-2</v>
      </c>
      <c r="AC17" s="8">
        <f t="shared" ref="AC17:AE17" si="19">U17/(U17+U24)</f>
        <v>5.3333333333333337E-2</v>
      </c>
      <c r="AD17" s="8">
        <f t="shared" si="19"/>
        <v>0.31034482758620691</v>
      </c>
      <c r="AE17" s="24">
        <f t="shared" si="19"/>
        <v>0.36036036036036034</v>
      </c>
    </row>
    <row r="18" spans="2:31" ht="25.8" thickTop="1" thickBot="1">
      <c r="B18" s="66" t="s">
        <v>58</v>
      </c>
      <c r="C18" s="67"/>
      <c r="D18" s="21">
        <f>SUM(D15:D17)</f>
        <v>41</v>
      </c>
      <c r="E18" s="2">
        <f>SUM(E15:E17)</f>
        <v>49.15</v>
      </c>
      <c r="F18" s="2">
        <f>SUM(F15:F17)</f>
        <v>47.772499999999994</v>
      </c>
      <c r="G18" s="22">
        <f>SUM(G15:G17)</f>
        <v>51.938374999999994</v>
      </c>
      <c r="I18" s="69"/>
      <c r="J18" s="24" t="s">
        <v>88</v>
      </c>
      <c r="K18" s="23">
        <v>0</v>
      </c>
      <c r="L18" s="36">
        <v>3</v>
      </c>
      <c r="M18" s="23">
        <f>D13</f>
        <v>114.2</v>
      </c>
      <c r="N18" s="8">
        <f t="shared" ref="N18:P18" si="20">E13</f>
        <v>299.2</v>
      </c>
      <c r="O18" s="8">
        <f t="shared" si="20"/>
        <v>338.09999999999997</v>
      </c>
      <c r="P18" s="24">
        <f t="shared" si="20"/>
        <v>377</v>
      </c>
      <c r="R18" s="41"/>
      <c r="S18" s="42" t="s">
        <v>74</v>
      </c>
      <c r="T18" s="42">
        <v>20</v>
      </c>
      <c r="U18" s="42">
        <v>40</v>
      </c>
      <c r="V18" s="42">
        <v>180</v>
      </c>
      <c r="W18" s="43">
        <v>200</v>
      </c>
      <c r="Y18" s="83"/>
      <c r="Z18" s="117"/>
      <c r="AA18" s="53" t="s">
        <v>73</v>
      </c>
      <c r="AB18" s="53">
        <f>D14/D16</f>
        <v>15.275</v>
      </c>
      <c r="AC18" s="53">
        <f t="shared" ref="AC18:AE18" si="21">E14/E16</f>
        <v>80.200000000000017</v>
      </c>
      <c r="AD18" s="53">
        <f t="shared" si="21"/>
        <v>122</v>
      </c>
      <c r="AE18" s="54">
        <f t="shared" si="21"/>
        <v>171.31750000000002</v>
      </c>
    </row>
    <row r="19" spans="2:31" ht="25.8" thickTop="1" thickBot="1">
      <c r="B19" s="18" t="s">
        <v>61</v>
      </c>
      <c r="C19" s="62"/>
      <c r="D19" s="32">
        <f>D14-D18</f>
        <v>111.75</v>
      </c>
      <c r="E19" s="6">
        <f>E14-E18</f>
        <v>351.85000000000008</v>
      </c>
      <c r="F19" s="6">
        <f>F14-F18</f>
        <v>562.22749999999996</v>
      </c>
      <c r="G19" s="19">
        <f>G14-G18</f>
        <v>804.64912500000014</v>
      </c>
      <c r="I19" s="83"/>
      <c r="J19" s="54" t="s">
        <v>86</v>
      </c>
      <c r="K19" s="64">
        <v>8</v>
      </c>
      <c r="L19" s="84">
        <v>0</v>
      </c>
      <c r="M19" s="64">
        <v>0</v>
      </c>
      <c r="N19" s="53">
        <v>0</v>
      </c>
      <c r="O19" s="53">
        <v>0</v>
      </c>
      <c r="P19" s="54">
        <v>0</v>
      </c>
      <c r="R19" s="102" t="s">
        <v>75</v>
      </c>
      <c r="S19" s="90" t="s">
        <v>76</v>
      </c>
      <c r="T19" s="91">
        <f>SUM(T20:T22)</f>
        <v>685.1875</v>
      </c>
      <c r="U19" s="91">
        <f>SUM(U20:U22)</f>
        <v>1529.9625000000001</v>
      </c>
      <c r="V19" s="91">
        <f>SUM(V20:V22)</f>
        <v>1730.256875</v>
      </c>
      <c r="W19" s="103">
        <f>SUM(W20:W22)</f>
        <v>1967.07978125</v>
      </c>
    </row>
    <row r="20" spans="2:31" ht="25.8" thickTop="1" thickBot="1">
      <c r="B20" s="16">
        <v>9</v>
      </c>
      <c r="C20" s="39" t="s">
        <v>63</v>
      </c>
      <c r="D20" s="16">
        <f>D19*0.25</f>
        <v>27.9375</v>
      </c>
      <c r="E20" s="7">
        <f t="shared" ref="E20:G20" si="22">E19*0.25</f>
        <v>87.96250000000002</v>
      </c>
      <c r="F20" s="7">
        <f t="shared" si="22"/>
        <v>140.55687499999999</v>
      </c>
      <c r="G20" s="17">
        <f t="shared" si="22"/>
        <v>201.16228125000004</v>
      </c>
      <c r="I20" s="65">
        <v>3</v>
      </c>
      <c r="J20" s="26" t="s">
        <v>64</v>
      </c>
      <c r="K20" s="65">
        <f>K6+K7-K11</f>
        <v>2560</v>
      </c>
      <c r="L20" s="82">
        <f>L6+L7-L11</f>
        <v>2655</v>
      </c>
      <c r="M20" s="65">
        <f>M6+M7-M11</f>
        <v>3250</v>
      </c>
      <c r="N20" s="25">
        <f>N6+N7-N11</f>
        <v>4850</v>
      </c>
      <c r="O20" s="25">
        <f>O6+O7-O11</f>
        <v>6804.9999999999991</v>
      </c>
      <c r="P20" s="26">
        <f>P6+P7-P11</f>
        <v>5595</v>
      </c>
      <c r="R20" s="75"/>
      <c r="S20" s="87" t="s">
        <v>77</v>
      </c>
      <c r="T20" s="88">
        <f>M15</f>
        <v>150</v>
      </c>
      <c r="U20" s="88">
        <f>N15</f>
        <v>150</v>
      </c>
      <c r="V20" s="88">
        <f>O15</f>
        <v>150</v>
      </c>
      <c r="W20" s="100">
        <f>P15</f>
        <v>150</v>
      </c>
    </row>
    <row r="21" spans="2:31" ht="25.8" thickTop="1" thickBot="1">
      <c r="B21" s="18" t="s">
        <v>67</v>
      </c>
      <c r="C21" s="62"/>
      <c r="D21" s="32">
        <f>D19-D20</f>
        <v>83.8125</v>
      </c>
      <c r="E21" s="6">
        <f t="shared" ref="E21:G21" si="23">E19-E20</f>
        <v>263.88750000000005</v>
      </c>
      <c r="F21" s="6">
        <f t="shared" si="23"/>
        <v>421.67062499999997</v>
      </c>
      <c r="G21" s="19">
        <f t="shared" si="23"/>
        <v>603.48684375000016</v>
      </c>
      <c r="R21" s="41"/>
      <c r="S21" s="42" t="s">
        <v>78</v>
      </c>
      <c r="T21" s="89">
        <f>M18+M17+M14+M12</f>
        <v>507.25</v>
      </c>
      <c r="U21" s="89">
        <f>N18+N17+N14+N12</f>
        <v>1292</v>
      </c>
      <c r="V21" s="89">
        <f>O18+O17+O14+O12-14</f>
        <v>1439.7</v>
      </c>
      <c r="W21" s="101">
        <f>P18+P17+P14+P12</f>
        <v>1615.9175</v>
      </c>
    </row>
    <row r="22" spans="2:31" ht="25.8" thickTop="1" thickBot="1">
      <c r="B22" s="58" t="s">
        <v>70</v>
      </c>
      <c r="C22" s="63"/>
      <c r="D22" s="65">
        <v>50</v>
      </c>
      <c r="E22" s="25">
        <f>D22*E21/D21</f>
        <v>157.42729306487698</v>
      </c>
      <c r="F22" s="25">
        <f t="shared" ref="F22:G22" si="24">E22*F21/E21</f>
        <v>251.55592841163306</v>
      </c>
      <c r="G22" s="26">
        <f t="shared" si="24"/>
        <v>360.02197986577187</v>
      </c>
      <c r="R22" s="41"/>
      <c r="S22" s="42" t="s">
        <v>3</v>
      </c>
      <c r="T22" s="89">
        <f>D20</f>
        <v>27.9375</v>
      </c>
      <c r="U22" s="89">
        <f>E20</f>
        <v>87.96250000000002</v>
      </c>
      <c r="V22" s="89">
        <f>F20</f>
        <v>140.55687499999999</v>
      </c>
      <c r="W22" s="101">
        <f>G20</f>
        <v>201.16228125000004</v>
      </c>
    </row>
    <row r="23" spans="2:31" ht="25.8" thickTop="1" thickBot="1">
      <c r="D23" s="10"/>
      <c r="R23" s="102" t="s">
        <v>54</v>
      </c>
      <c r="S23" s="90" t="s">
        <v>79</v>
      </c>
      <c r="T23" s="91">
        <f>SUM(T24:T29)</f>
        <v>1243.8125</v>
      </c>
      <c r="U23" s="91">
        <f>SUM(U24:U29)</f>
        <v>1050.8875</v>
      </c>
      <c r="V23" s="91">
        <f>SUM(V24:V29)</f>
        <v>891.67062499999997</v>
      </c>
      <c r="W23" s="103">
        <f>SUM(W24:W29)</f>
        <v>1018.4868437500002</v>
      </c>
      <c r="Y23" s="112"/>
      <c r="Z23" s="112"/>
      <c r="AA23" s="113"/>
      <c r="AB23" s="113"/>
      <c r="AC23" s="113"/>
      <c r="AD23" s="113"/>
      <c r="AE23" s="113"/>
    </row>
    <row r="24" spans="2:31" ht="25.2" thickTop="1">
      <c r="R24" s="75"/>
      <c r="S24" s="87" t="s">
        <v>80</v>
      </c>
      <c r="T24" s="88">
        <v>1100</v>
      </c>
      <c r="U24" s="88">
        <v>710</v>
      </c>
      <c r="V24" s="88">
        <v>400</v>
      </c>
      <c r="W24" s="100">
        <v>355</v>
      </c>
      <c r="Y24" s="111"/>
      <c r="Z24" s="111"/>
      <c r="AA24" s="111"/>
      <c r="AB24" s="111"/>
      <c r="AC24" s="111"/>
      <c r="AD24" s="111"/>
      <c r="AE24" s="111"/>
    </row>
    <row r="25" spans="2:31" ht="24.6">
      <c r="R25" s="41"/>
      <c r="S25" s="42" t="s">
        <v>4</v>
      </c>
      <c r="T25" s="89">
        <f>D21-D22</f>
        <v>33.8125</v>
      </c>
      <c r="U25" s="89">
        <f>E21-E22</f>
        <v>106.46020693512307</v>
      </c>
      <c r="V25" s="89">
        <f>F21-F22</f>
        <v>170.11469658836691</v>
      </c>
      <c r="W25" s="101">
        <f>G21-G22</f>
        <v>243.46486388422829</v>
      </c>
      <c r="Y25" s="111"/>
      <c r="Z25" s="111"/>
      <c r="AA25" s="111"/>
      <c r="AB25" s="111"/>
      <c r="AC25" s="111"/>
      <c r="AD25" s="111"/>
      <c r="AE25" s="111"/>
    </row>
    <row r="26" spans="2:31" ht="24.6">
      <c r="R26" s="41"/>
      <c r="S26" s="42" t="s">
        <v>5</v>
      </c>
      <c r="T26" s="89">
        <f>D22</f>
        <v>50</v>
      </c>
      <c r="U26" s="89">
        <f>E22-3</f>
        <v>154.42729306487698</v>
      </c>
      <c r="V26" s="89">
        <f t="shared" ref="V26:W26" si="25">F22</f>
        <v>251.55592841163306</v>
      </c>
      <c r="W26" s="89">
        <f t="shared" si="25"/>
        <v>360.02197986577187</v>
      </c>
      <c r="Y26" s="111"/>
      <c r="Z26" s="111"/>
      <c r="AA26" s="111"/>
      <c r="AB26" s="111"/>
      <c r="AC26" s="111"/>
      <c r="AD26" s="111"/>
      <c r="AE26" s="111"/>
    </row>
    <row r="27" spans="2:31" ht="25.2" thickBot="1">
      <c r="R27" s="106"/>
      <c r="S27" s="107" t="s">
        <v>81</v>
      </c>
      <c r="T27" s="108">
        <f>K10</f>
        <v>60</v>
      </c>
      <c r="U27" s="108">
        <f>L10</f>
        <v>80</v>
      </c>
      <c r="V27" s="108">
        <f>M10</f>
        <v>70</v>
      </c>
      <c r="W27" s="109">
        <f>N10</f>
        <v>60</v>
      </c>
      <c r="Y27" s="111"/>
      <c r="Z27" s="111"/>
      <c r="AA27" s="111"/>
      <c r="AB27" s="111"/>
      <c r="AC27" s="111"/>
      <c r="AD27" s="111"/>
      <c r="AE27" s="111"/>
    </row>
    <row r="28" spans="2:31" ht="24.6">
      <c r="Y28" s="111"/>
      <c r="Z28" s="111"/>
      <c r="AA28" s="111"/>
      <c r="AB28" s="111"/>
      <c r="AC28" s="111"/>
      <c r="AD28" s="111"/>
      <c r="AE28" s="111"/>
    </row>
    <row r="29" spans="2:31" ht="24.6">
      <c r="R29" s="96"/>
      <c r="S29" s="96"/>
      <c r="T29" s="96"/>
      <c r="U29" s="96"/>
      <c r="V29" s="96"/>
      <c r="W29" s="96"/>
      <c r="Y29" s="111"/>
      <c r="Z29" s="111"/>
      <c r="AA29" s="111"/>
      <c r="AB29" s="111"/>
      <c r="AC29" s="111"/>
      <c r="AD29" s="111"/>
      <c r="AE29" s="111"/>
    </row>
  </sheetData>
  <mergeCells count="33">
    <mergeCell ref="Y6:Y7"/>
    <mergeCell ref="Z6:Z7"/>
    <mergeCell ref="Y8:Y13"/>
    <mergeCell ref="Z8:Z13"/>
    <mergeCell ref="Y14:Y18"/>
    <mergeCell ref="Z14:Z18"/>
    <mergeCell ref="AB4:AE4"/>
    <mergeCell ref="AA4:AA5"/>
    <mergeCell ref="Y4:Y5"/>
    <mergeCell ref="Y2:AE2"/>
    <mergeCell ref="Y3:AE3"/>
    <mergeCell ref="Z4:Z5"/>
    <mergeCell ref="B22:C22"/>
    <mergeCell ref="I7:I10"/>
    <mergeCell ref="I11:I19"/>
    <mergeCell ref="R2:W2"/>
    <mergeCell ref="R3:W3"/>
    <mergeCell ref="I4:I5"/>
    <mergeCell ref="J4:J5"/>
    <mergeCell ref="K4:L4"/>
    <mergeCell ref="M4:P4"/>
    <mergeCell ref="B4:B5"/>
    <mergeCell ref="C4:C5"/>
    <mergeCell ref="D4:G4"/>
    <mergeCell ref="B2:G2"/>
    <mergeCell ref="B3:G3"/>
    <mergeCell ref="I2:P2"/>
    <mergeCell ref="I3:P3"/>
    <mergeCell ref="B18:C18"/>
    <mergeCell ref="B21:C21"/>
    <mergeCell ref="B10:C10"/>
    <mergeCell ref="B14:C14"/>
    <mergeCell ref="B19:C19"/>
  </mergeCells>
  <pageMargins left="0.7" right="0.7" top="0.75" bottom="0.75" header="0.3" footer="0.3"/>
  <ignoredErrors>
    <ignoredError sqref="U10:W10 V13 V21 U26" formula="1"/>
    <ignoredError sqref="R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2023-08-01T17:16:08Z</dcterms:created>
  <dcterms:modified xsi:type="dcterms:W3CDTF">2023-08-02T19:03:05Z</dcterms:modified>
</cp:coreProperties>
</file>