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her\Downloads\"/>
    </mc:Choice>
  </mc:AlternateContent>
  <xr:revisionPtr revIDLastSave="0" documentId="8_{F785E3EC-BB0A-4309-AB04-7E505E484F58}" xr6:coauthVersionLast="47" xr6:coauthVersionMax="47" xr10:uidLastSave="{00000000-0000-0000-0000-000000000000}"/>
  <bookViews>
    <workbookView xWindow="5145" yWindow="-16320" windowWidth="29040" windowHeight="16440" tabRatio="610" xr2:uid="{00000000-000D-0000-FFFF-FFFF00000000}"/>
  </bookViews>
  <sheets>
    <sheet name="OV" sheetId="20" r:id="rId1"/>
    <sheet name="Assumptions" sheetId="23" r:id="rId2"/>
    <sheet name="IS " sheetId="24" r:id="rId3"/>
    <sheet name="BS" sheetId="15" r:id="rId4"/>
    <sheet name="CF" sheetId="18" r:id="rId5"/>
    <sheet name="DCF" sheetId="28" r:id="rId6"/>
    <sheet name="FR%" sheetId="14" r:id="rId7"/>
    <sheet name="Multiple" sheetId="29" r:id="rId8"/>
    <sheet name="DA" sheetId="25" r:id="rId9"/>
  </sheets>
  <definedNames>
    <definedName name="solver_eng" localSheetId="3" hidden="1">1</definedName>
    <definedName name="solver_eng" localSheetId="5" hidden="1">1</definedName>
    <definedName name="solver_lin" localSheetId="3" hidden="1">2</definedName>
    <definedName name="solver_lin" localSheetId="5" hidden="1">2</definedName>
    <definedName name="solver_neg" localSheetId="3" hidden="1">1</definedName>
    <definedName name="solver_neg" localSheetId="5" hidden="1">1</definedName>
    <definedName name="solver_num" localSheetId="3" hidden="1">0</definedName>
    <definedName name="solver_num" localSheetId="5" hidden="1">0</definedName>
    <definedName name="solver_opt" localSheetId="5" hidden="1">DCF!$F$59</definedName>
    <definedName name="solver_typ" localSheetId="3" hidden="1">2</definedName>
    <definedName name="solver_typ" localSheetId="5" hidden="1">1</definedName>
    <definedName name="solver_val" localSheetId="3" hidden="1">0</definedName>
    <definedName name="solver_val" localSheetId="5" hidden="1">0</definedName>
    <definedName name="solver_ver" localSheetId="3" hidden="1">2</definedName>
    <definedName name="solver_ver" localSheetId="5" hidden="1">2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9" l="1"/>
  <c r="B14" i="29"/>
  <c r="B15" i="29"/>
  <c r="B16" i="29"/>
  <c r="B8" i="14"/>
  <c r="C17" i="24"/>
  <c r="C18" i="24"/>
  <c r="C16" i="14"/>
  <c r="D16" i="14"/>
  <c r="E16" i="14"/>
  <c r="B23" i="24"/>
  <c r="D31" i="24"/>
  <c r="C15" i="14" s="1"/>
  <c r="E31" i="24"/>
  <c r="D15" i="14" s="1"/>
  <c r="F31" i="24"/>
  <c r="E15" i="14" s="1"/>
  <c r="C27" i="14"/>
  <c r="D27" i="14"/>
  <c r="E27" i="14"/>
  <c r="B27" i="14"/>
  <c r="J15" i="15"/>
  <c r="I15" i="15"/>
  <c r="H15" i="15"/>
  <c r="G15" i="15"/>
  <c r="F15" i="15"/>
  <c r="E5" i="14"/>
  <c r="C73" i="25"/>
  <c r="D73" i="25"/>
  <c r="E73" i="25"/>
  <c r="C74" i="25"/>
  <c r="D74" i="25"/>
  <c r="E74" i="25"/>
  <c r="C75" i="25"/>
  <c r="D75" i="25"/>
  <c r="E75" i="25"/>
  <c r="C76" i="25"/>
  <c r="D76" i="25"/>
  <c r="E76" i="25"/>
  <c r="B74" i="25"/>
  <c r="B75" i="25"/>
  <c r="B76" i="25"/>
  <c r="B73" i="25"/>
  <c r="F17" i="24"/>
  <c r="C29" i="28"/>
  <c r="C17" i="28" l="1"/>
  <c r="G16" i="24"/>
  <c r="C12" i="23" l="1"/>
  <c r="D12" i="23"/>
  <c r="E12" i="23"/>
  <c r="F12" i="23" s="1"/>
  <c r="B12" i="23"/>
  <c r="G12" i="23" l="1"/>
  <c r="H12" i="23" l="1"/>
  <c r="I12" i="23" l="1"/>
  <c r="J12" i="23" l="1"/>
  <c r="B13" i="24" l="1"/>
  <c r="E5" i="23"/>
  <c r="E4" i="23"/>
  <c r="F13" i="24"/>
  <c r="F10" i="15"/>
  <c r="G10" i="15"/>
  <c r="C6" i="14"/>
  <c r="F48" i="15"/>
  <c r="F23" i="24"/>
  <c r="F19" i="24"/>
  <c r="D17" i="18"/>
  <c r="C10" i="28" l="1"/>
  <c r="H25" i="28"/>
  <c r="C23" i="28"/>
  <c r="C8" i="28" l="1"/>
  <c r="C18" i="28" s="1"/>
  <c r="G9" i="18"/>
  <c r="H9" i="18"/>
  <c r="I9" i="18"/>
  <c r="J9" i="18"/>
  <c r="F9" i="18"/>
  <c r="D23" i="15" l="1"/>
  <c r="G21" i="18"/>
  <c r="H21" i="18"/>
  <c r="I21" i="18"/>
  <c r="J21" i="18"/>
  <c r="F21" i="18"/>
  <c r="F15" i="18"/>
  <c r="C19" i="28" l="1"/>
  <c r="C52" i="28"/>
  <c r="C22" i="28"/>
  <c r="C24" i="28" l="1"/>
  <c r="C26" i="28" s="1"/>
  <c r="H24" i="28"/>
  <c r="H26" i="28" s="1"/>
  <c r="J11" i="28"/>
  <c r="K11" i="28" s="1"/>
  <c r="L11" i="28" s="1"/>
  <c r="M11" i="28" s="1"/>
  <c r="F24" i="15" l="1"/>
  <c r="F25" i="15"/>
  <c r="F26" i="15"/>
  <c r="I12" i="15"/>
  <c r="J12" i="15" s="1"/>
  <c r="H12" i="15"/>
  <c r="G12" i="15"/>
  <c r="G25" i="15"/>
  <c r="H25" i="15" s="1"/>
  <c r="I25" i="15" s="1"/>
  <c r="J25" i="15" s="1"/>
  <c r="C17" i="23" l="1"/>
  <c r="D17" i="23"/>
  <c r="E17" i="23"/>
  <c r="B17" i="23"/>
  <c r="C31" i="23"/>
  <c r="D31" i="23"/>
  <c r="E31" i="23"/>
  <c r="B31" i="23"/>
  <c r="C30" i="23"/>
  <c r="D30" i="23"/>
  <c r="B30" i="23"/>
  <c r="C29" i="23"/>
  <c r="D29" i="23"/>
  <c r="E29" i="23"/>
  <c r="C28" i="23"/>
  <c r="D28" i="23"/>
  <c r="E28" i="23"/>
  <c r="B29" i="23"/>
  <c r="B28" i="23"/>
  <c r="B2" i="23"/>
  <c r="C2" i="23"/>
  <c r="D2" i="23"/>
  <c r="E2" i="23"/>
  <c r="E18" i="14" l="1"/>
  <c r="E19" i="14"/>
  <c r="B12" i="29" s="1"/>
  <c r="F23" i="14"/>
  <c r="E24" i="14"/>
  <c r="E25" i="14"/>
  <c r="E12" i="14"/>
  <c r="E13" i="14"/>
  <c r="E14" i="14"/>
  <c r="C10" i="14" l="1"/>
  <c r="D10" i="14" s="1"/>
  <c r="E10" i="14" s="1"/>
  <c r="F10" i="14" s="1"/>
  <c r="G10" i="14" s="1"/>
  <c r="H10" i="14" s="1"/>
  <c r="I10" i="14" s="1"/>
  <c r="J10" i="14" s="1"/>
  <c r="C9" i="14"/>
  <c r="D9" i="14"/>
  <c r="E9" i="14"/>
  <c r="C8" i="14"/>
  <c r="D8" i="14"/>
  <c r="E8" i="14"/>
  <c r="B9" i="14"/>
  <c r="G50" i="15" l="1"/>
  <c r="H50" i="15" s="1"/>
  <c r="I50" i="15" s="1"/>
  <c r="J50" i="15" s="1"/>
  <c r="B10" i="15" l="1"/>
  <c r="D10" i="15"/>
  <c r="H11" i="15"/>
  <c r="C34" i="18"/>
  <c r="E26" i="18"/>
  <c r="E34" i="18"/>
  <c r="D34" i="18"/>
  <c r="B34" i="18"/>
  <c r="E16" i="18"/>
  <c r="E15" i="18"/>
  <c r="E23" i="18"/>
  <c r="E21" i="18"/>
  <c r="C24" i="18"/>
  <c r="D24" i="18"/>
  <c r="B24" i="18"/>
  <c r="F31" i="15"/>
  <c r="E18" i="23"/>
  <c r="F32" i="18"/>
  <c r="E29" i="15"/>
  <c r="F29" i="15" s="1"/>
  <c r="F56" i="15"/>
  <c r="G26" i="15"/>
  <c r="F18" i="15"/>
  <c r="E35" i="15"/>
  <c r="C51" i="28" l="1"/>
  <c r="F57" i="15"/>
  <c r="F58" i="15" s="1"/>
  <c r="F30" i="15" s="1"/>
  <c r="G24" i="15"/>
  <c r="H26" i="15"/>
  <c r="I26" i="15" s="1"/>
  <c r="J26" i="15" s="1"/>
  <c r="E19" i="18"/>
  <c r="E24" i="18"/>
  <c r="G31" i="15"/>
  <c r="H31" i="15" s="1"/>
  <c r="H32" i="18"/>
  <c r="G32" i="18"/>
  <c r="G29" i="15"/>
  <c r="E36" i="18" l="1"/>
  <c r="I31" i="15"/>
  <c r="H24" i="15"/>
  <c r="G27" i="18"/>
  <c r="I32" i="18"/>
  <c r="J32" i="18"/>
  <c r="H29" i="15"/>
  <c r="J31" i="15"/>
  <c r="G18" i="15"/>
  <c r="I24" i="15" l="1"/>
  <c r="I29" i="15"/>
  <c r="I18" i="15"/>
  <c r="H18" i="15"/>
  <c r="J24" i="15" l="1"/>
  <c r="J29" i="15"/>
  <c r="J18" i="15"/>
  <c r="E6" i="14" l="1"/>
  <c r="E4" i="14"/>
  <c r="C33" i="25"/>
  <c r="E7" i="23"/>
  <c r="E11" i="23"/>
  <c r="G20" i="24" s="1"/>
  <c r="C11" i="23"/>
  <c r="D11" i="23"/>
  <c r="B11" i="23"/>
  <c r="H16" i="24"/>
  <c r="I16" i="24" s="1"/>
  <c r="J16" i="24" s="1"/>
  <c r="K16" i="24" s="1"/>
  <c r="F9" i="24"/>
  <c r="K37" i="25"/>
  <c r="H37" i="25"/>
  <c r="I39" i="25" s="1"/>
  <c r="I37" i="25"/>
  <c r="J39" i="25" s="1"/>
  <c r="J37" i="25"/>
  <c r="K39" i="25" s="1"/>
  <c r="G37" i="25"/>
  <c r="G36" i="25" s="1"/>
  <c r="K35" i="25"/>
  <c r="J35" i="25"/>
  <c r="I35" i="25"/>
  <c r="H35" i="25"/>
  <c r="G35" i="25"/>
  <c r="G34" i="25" s="1"/>
  <c r="D35" i="25"/>
  <c r="E35" i="25"/>
  <c r="F35" i="25"/>
  <c r="C35" i="25"/>
  <c r="H33" i="25"/>
  <c r="I33" i="25"/>
  <c r="J33" i="25"/>
  <c r="K33" i="25"/>
  <c r="G33" i="25"/>
  <c r="G32" i="25" s="1"/>
  <c r="D39" i="25"/>
  <c r="E39" i="25"/>
  <c r="F39" i="25"/>
  <c r="C39" i="25"/>
  <c r="D37" i="25"/>
  <c r="E37" i="25"/>
  <c r="F37" i="25"/>
  <c r="G39" i="25" s="1"/>
  <c r="G38" i="25" s="1"/>
  <c r="C37" i="25"/>
  <c r="D33" i="25"/>
  <c r="E33" i="25"/>
  <c r="F33" i="25"/>
  <c r="E3" i="23"/>
  <c r="E6" i="23"/>
  <c r="E8" i="23"/>
  <c r="E9" i="23"/>
  <c r="E10" i="23"/>
  <c r="E14" i="23"/>
  <c r="E16" i="23"/>
  <c r="E21" i="23"/>
  <c r="E22" i="23"/>
  <c r="E25" i="23"/>
  <c r="E32" i="23"/>
  <c r="E34" i="23"/>
  <c r="E36" i="23"/>
  <c r="E37" i="23"/>
  <c r="E20" i="23"/>
  <c r="G40" i="25" l="1"/>
  <c r="F2" i="23" s="1"/>
  <c r="G6" i="24" s="1"/>
  <c r="F10" i="24"/>
  <c r="E21" i="14"/>
  <c r="G29" i="24"/>
  <c r="C55" i="28"/>
  <c r="H34" i="25"/>
  <c r="I34" i="25" s="1"/>
  <c r="J34" i="25" s="1"/>
  <c r="K34" i="25" s="1"/>
  <c r="H32" i="25"/>
  <c r="H36" i="25"/>
  <c r="I36" i="25" s="1"/>
  <c r="J36" i="25" s="1"/>
  <c r="K36" i="25" s="1"/>
  <c r="H39" i="25"/>
  <c r="H38" i="25" s="1"/>
  <c r="I38" i="25" s="1"/>
  <c r="E8" i="15"/>
  <c r="G21" i="24" l="1"/>
  <c r="F27" i="14"/>
  <c r="E30" i="23"/>
  <c r="E19" i="23"/>
  <c r="F40" i="15"/>
  <c r="F20" i="15"/>
  <c r="F16" i="18" s="1"/>
  <c r="H29" i="24"/>
  <c r="I32" i="25"/>
  <c r="J32" i="25" s="1"/>
  <c r="K32" i="25" s="1"/>
  <c r="H40" i="25"/>
  <c r="G2" i="23" s="1"/>
  <c r="H6" i="24" s="1"/>
  <c r="G13" i="24"/>
  <c r="G12" i="24"/>
  <c r="G11" i="24"/>
  <c r="J38" i="25"/>
  <c r="G27" i="14" l="1"/>
  <c r="H21" i="24"/>
  <c r="G20" i="15"/>
  <c r="G16" i="18" s="1"/>
  <c r="F22" i="15"/>
  <c r="F17" i="18" s="1"/>
  <c r="G22" i="15"/>
  <c r="G8" i="24"/>
  <c r="I40" i="25"/>
  <c r="H2" i="23" s="1"/>
  <c r="I6" i="24" s="1"/>
  <c r="H13" i="24"/>
  <c r="H15" i="24" s="1"/>
  <c r="H12" i="24"/>
  <c r="G14" i="24"/>
  <c r="G15" i="24"/>
  <c r="I29" i="24"/>
  <c r="H11" i="24"/>
  <c r="H8" i="24"/>
  <c r="J40" i="25"/>
  <c r="K38" i="25"/>
  <c r="K40" i="25" s="1"/>
  <c r="B3" i="23"/>
  <c r="B4" i="23"/>
  <c r="B5" i="23"/>
  <c r="B6" i="23"/>
  <c r="B8" i="23"/>
  <c r="B9" i="23"/>
  <c r="B14" i="23"/>
  <c r="C6" i="23"/>
  <c r="D6" i="23"/>
  <c r="C5" i="23"/>
  <c r="D5" i="23"/>
  <c r="B29" i="15"/>
  <c r="C37" i="23"/>
  <c r="D37" i="23"/>
  <c r="B37" i="23"/>
  <c r="C32" i="23"/>
  <c r="D32" i="23"/>
  <c r="B32" i="23"/>
  <c r="C25" i="23"/>
  <c r="D25" i="23"/>
  <c r="B25" i="23"/>
  <c r="B23" i="15"/>
  <c r="D8" i="23"/>
  <c r="D34" i="23"/>
  <c r="C23" i="15"/>
  <c r="D14" i="15"/>
  <c r="D4" i="23"/>
  <c r="C4" i="23"/>
  <c r="C16" i="23"/>
  <c r="D16" i="23"/>
  <c r="B16" i="23"/>
  <c r="C22" i="23"/>
  <c r="D22" i="23"/>
  <c r="B22" i="23"/>
  <c r="C10" i="15"/>
  <c r="I2" i="23" l="1"/>
  <c r="J6" i="24" s="1"/>
  <c r="H27" i="14"/>
  <c r="I21" i="24"/>
  <c r="J2" i="23"/>
  <c r="F9" i="14"/>
  <c r="G17" i="24"/>
  <c r="G17" i="18"/>
  <c r="I13" i="24"/>
  <c r="I14" i="24" s="1"/>
  <c r="G9" i="24"/>
  <c r="G18" i="24" s="1"/>
  <c r="D21" i="23"/>
  <c r="D16" i="15"/>
  <c r="H14" i="24"/>
  <c r="I8" i="24"/>
  <c r="H22" i="15"/>
  <c r="H17" i="18" s="1"/>
  <c r="I11" i="24"/>
  <c r="I12" i="24"/>
  <c r="H9" i="24"/>
  <c r="H18" i="24" s="1"/>
  <c r="G9" i="14"/>
  <c r="D27" i="15"/>
  <c r="D5" i="14"/>
  <c r="D4" i="14"/>
  <c r="B4" i="14"/>
  <c r="B5" i="14"/>
  <c r="C27" i="15"/>
  <c r="C5" i="14"/>
  <c r="C4" i="14"/>
  <c r="B6" i="14"/>
  <c r="D6" i="14"/>
  <c r="F19" i="15"/>
  <c r="H20" i="15"/>
  <c r="H16" i="18" s="1"/>
  <c r="K29" i="24"/>
  <c r="J29" i="24"/>
  <c r="H17" i="24"/>
  <c r="B35" i="23"/>
  <c r="B27" i="15"/>
  <c r="D7" i="23"/>
  <c r="I22" i="15" l="1"/>
  <c r="I17" i="18" s="1"/>
  <c r="I20" i="15"/>
  <c r="I16" i="18" s="1"/>
  <c r="J12" i="24"/>
  <c r="J11" i="24"/>
  <c r="J8" i="24"/>
  <c r="J13" i="24"/>
  <c r="J15" i="24" s="1"/>
  <c r="I27" i="14"/>
  <c r="J21" i="24"/>
  <c r="K6" i="24"/>
  <c r="H19" i="24"/>
  <c r="G16" i="14"/>
  <c r="F16" i="14"/>
  <c r="G31" i="24"/>
  <c r="G19" i="24"/>
  <c r="I7" i="28"/>
  <c r="I15" i="24"/>
  <c r="G10" i="24"/>
  <c r="F21" i="14"/>
  <c r="J7" i="28"/>
  <c r="J8" i="28" s="1"/>
  <c r="J9" i="28" s="1"/>
  <c r="G19" i="15"/>
  <c r="D12" i="14"/>
  <c r="I17" i="24"/>
  <c r="H9" i="14"/>
  <c r="G21" i="15"/>
  <c r="I9" i="24"/>
  <c r="H23" i="14"/>
  <c r="G8" i="14"/>
  <c r="H10" i="24"/>
  <c r="G21" i="14"/>
  <c r="B30" i="15"/>
  <c r="B36" i="23" s="1"/>
  <c r="C35" i="23"/>
  <c r="J14" i="24" l="1"/>
  <c r="J17" i="24"/>
  <c r="I9" i="14"/>
  <c r="J9" i="24"/>
  <c r="J10" i="24" s="1"/>
  <c r="K21" i="24"/>
  <c r="J27" i="14"/>
  <c r="K8" i="24"/>
  <c r="K11" i="24"/>
  <c r="K13" i="24"/>
  <c r="K12" i="24"/>
  <c r="J22" i="15"/>
  <c r="J17" i="18" s="1"/>
  <c r="H21" i="14"/>
  <c r="I18" i="24"/>
  <c r="I10" i="24"/>
  <c r="J20" i="15"/>
  <c r="J16" i="18" s="1"/>
  <c r="F21" i="15"/>
  <c r="F33" i="18" s="1"/>
  <c r="F34" i="18" s="1"/>
  <c r="H8" i="14"/>
  <c r="G23" i="15"/>
  <c r="J25" i="28" s="1"/>
  <c r="I8" i="14"/>
  <c r="H19" i="15"/>
  <c r="I19" i="15"/>
  <c r="D35" i="23"/>
  <c r="C30" i="15"/>
  <c r="C36" i="23" s="1"/>
  <c r="I21" i="14" l="1"/>
  <c r="J18" i="24"/>
  <c r="I16" i="14" s="1"/>
  <c r="K15" i="24"/>
  <c r="K14" i="24"/>
  <c r="K9" i="24"/>
  <c r="J9" i="14"/>
  <c r="K17" i="24"/>
  <c r="I19" i="24"/>
  <c r="H16" i="14"/>
  <c r="I23" i="14"/>
  <c r="F23" i="15"/>
  <c r="F5" i="14" s="1"/>
  <c r="G33" i="18"/>
  <c r="G34" i="18" s="1"/>
  <c r="H28" i="14"/>
  <c r="K7" i="28"/>
  <c r="G27" i="15"/>
  <c r="J8" i="14"/>
  <c r="I21" i="15"/>
  <c r="H21" i="15"/>
  <c r="J19" i="15"/>
  <c r="D30" i="15"/>
  <c r="D36" i="23" s="1"/>
  <c r="E35" i="23"/>
  <c r="L7" i="28" l="1"/>
  <c r="L8" i="28" s="1"/>
  <c r="L9" i="28" s="1"/>
  <c r="J19" i="24"/>
  <c r="J23" i="14"/>
  <c r="I28" i="14"/>
  <c r="K10" i="24"/>
  <c r="K18" i="24"/>
  <c r="J21" i="14"/>
  <c r="F4" i="14"/>
  <c r="I25" i="28"/>
  <c r="F27" i="15"/>
  <c r="F15" i="14" s="1"/>
  <c r="H23" i="15"/>
  <c r="K25" i="28" s="1"/>
  <c r="H33" i="18"/>
  <c r="H34" i="18" s="1"/>
  <c r="I33" i="18"/>
  <c r="I34" i="18" s="1"/>
  <c r="K8" i="28"/>
  <c r="K9" i="28" s="1"/>
  <c r="I23" i="15"/>
  <c r="L25" i="28" s="1"/>
  <c r="B18" i="23"/>
  <c r="C18" i="23"/>
  <c r="D18" i="23"/>
  <c r="K19" i="24" l="1"/>
  <c r="J16" i="14"/>
  <c r="M7" i="28"/>
  <c r="J28" i="14"/>
  <c r="H27" i="15"/>
  <c r="J21" i="15"/>
  <c r="I27" i="15"/>
  <c r="C13" i="24"/>
  <c r="D13" i="24"/>
  <c r="D17" i="24" s="1"/>
  <c r="E13" i="24"/>
  <c r="E17" i="24" s="1"/>
  <c r="B17" i="24"/>
  <c r="C9" i="24"/>
  <c r="D9" i="24"/>
  <c r="C21" i="14" s="1"/>
  <c r="E9" i="24"/>
  <c r="D21" i="14" s="1"/>
  <c r="B9" i="24"/>
  <c r="C14" i="23"/>
  <c r="D14" i="23"/>
  <c r="C9" i="23"/>
  <c r="D9" i="23"/>
  <c r="C8" i="23"/>
  <c r="C3" i="23"/>
  <c r="D3" i="23"/>
  <c r="M8" i="28" l="1"/>
  <c r="M9" i="28" s="1"/>
  <c r="J23" i="15"/>
  <c r="J27" i="15" s="1"/>
  <c r="J33" i="18"/>
  <c r="J34" i="18" s="1"/>
  <c r="C10" i="24"/>
  <c r="B21" i="14"/>
  <c r="F13" i="15"/>
  <c r="G56" i="15"/>
  <c r="F8" i="18"/>
  <c r="G13" i="15"/>
  <c r="B10" i="24"/>
  <c r="B18" i="24"/>
  <c r="D10" i="24"/>
  <c r="D18" i="24"/>
  <c r="E10" i="24"/>
  <c r="E18" i="24"/>
  <c r="C31" i="24" l="1"/>
  <c r="B15" i="14" s="1"/>
  <c r="B16" i="14"/>
  <c r="C23" i="24"/>
  <c r="C25" i="24" s="1"/>
  <c r="C19" i="24"/>
  <c r="E23" i="24"/>
  <c r="E19" i="24"/>
  <c r="D23" i="24"/>
  <c r="D19" i="24"/>
  <c r="M25" i="28"/>
  <c r="B25" i="24"/>
  <c r="B23" i="14"/>
  <c r="B28" i="14"/>
  <c r="C23" i="14"/>
  <c r="E23" i="14"/>
  <c r="E28" i="14"/>
  <c r="D28" i="14"/>
  <c r="C28" i="14"/>
  <c r="D23" i="14"/>
  <c r="G15" i="18"/>
  <c r="G57" i="15"/>
  <c r="H13" i="15"/>
  <c r="G22" i="24"/>
  <c r="C10" i="23" l="1"/>
  <c r="C24" i="14"/>
  <c r="E25" i="24"/>
  <c r="D24" i="14"/>
  <c r="D10" i="23"/>
  <c r="B29" i="14"/>
  <c r="B25" i="14"/>
  <c r="D25" i="24"/>
  <c r="B10" i="23"/>
  <c r="B24" i="14"/>
  <c r="H15" i="18"/>
  <c r="G58" i="15"/>
  <c r="G30" i="15" s="1"/>
  <c r="G8" i="18"/>
  <c r="H56" i="15"/>
  <c r="I13" i="15"/>
  <c r="H22" i="24"/>
  <c r="B5" i="18"/>
  <c r="C25" i="14" l="1"/>
  <c r="C29" i="14"/>
  <c r="C5" i="18"/>
  <c r="C19" i="18" s="1"/>
  <c r="C36" i="18" s="1"/>
  <c r="E29" i="14"/>
  <c r="D25" i="14"/>
  <c r="D29" i="14"/>
  <c r="D19" i="14"/>
  <c r="D5" i="18"/>
  <c r="D19" i="18" s="1"/>
  <c r="D36" i="18" s="1"/>
  <c r="B32" i="15"/>
  <c r="B33" i="15" s="1"/>
  <c r="B34" i="15" s="1"/>
  <c r="I15" i="18"/>
  <c r="B19" i="18"/>
  <c r="J13" i="15"/>
  <c r="H57" i="15"/>
  <c r="I22" i="24"/>
  <c r="J15" i="18" l="1"/>
  <c r="B18" i="14"/>
  <c r="B14" i="14"/>
  <c r="B13" i="14"/>
  <c r="H58" i="15"/>
  <c r="H30" i="15" s="1"/>
  <c r="H8" i="18"/>
  <c r="B36" i="18"/>
  <c r="B38" i="18" s="1"/>
  <c r="K22" i="24"/>
  <c r="J22" i="24"/>
  <c r="I56" i="15" l="1"/>
  <c r="I57" i="15" s="1"/>
  <c r="C32" i="15"/>
  <c r="C33" i="15" s="1"/>
  <c r="C37" i="18" l="1"/>
  <c r="C38" i="18" s="1"/>
  <c r="C18" i="14"/>
  <c r="C14" i="14"/>
  <c r="C13" i="14"/>
  <c r="C34" i="15"/>
  <c r="I58" i="15"/>
  <c r="I8" i="18"/>
  <c r="D32" i="15"/>
  <c r="D33" i="15" s="1"/>
  <c r="J56" i="15" l="1"/>
  <c r="J57" i="15" s="1"/>
  <c r="I30" i="15"/>
  <c r="D18" i="14"/>
  <c r="D14" i="14"/>
  <c r="D13" i="14"/>
  <c r="D34" i="15"/>
  <c r="D35" i="15" l="1"/>
  <c r="J58" i="15"/>
  <c r="J30" i="15" s="1"/>
  <c r="J8" i="18"/>
  <c r="C20" i="23" l="1"/>
  <c r="B21" i="23"/>
  <c r="B16" i="15"/>
  <c r="B19" i="14" l="1"/>
  <c r="B12" i="14"/>
  <c r="B35" i="15"/>
  <c r="B7" i="23"/>
  <c r="B20" i="23" l="1"/>
  <c r="B19" i="23"/>
  <c r="D37" i="18" l="1"/>
  <c r="D38" i="18" s="1"/>
  <c r="E37" i="18" s="1"/>
  <c r="E38" i="18" s="1"/>
  <c r="C14" i="15"/>
  <c r="C19" i="23"/>
  <c r="C16" i="15" l="1"/>
  <c r="C35" i="15" s="1"/>
  <c r="F37" i="18"/>
  <c r="C21" i="23"/>
  <c r="D20" i="23"/>
  <c r="D19" i="23"/>
  <c r="C7" i="23"/>
  <c r="C19" i="14" l="1"/>
  <c r="C12" i="14"/>
  <c r="F41" i="15"/>
  <c r="F42" i="15"/>
  <c r="I10" i="28" s="1"/>
  <c r="F23" i="18" l="1"/>
  <c r="I12" i="28"/>
  <c r="F7" i="18"/>
  <c r="F39" i="15"/>
  <c r="F43" i="15"/>
  <c r="G40" i="15" s="1"/>
  <c r="G42" i="15" s="1"/>
  <c r="G41" i="15"/>
  <c r="J10" i="28" l="1"/>
  <c r="H31" i="24"/>
  <c r="G15" i="14" s="1"/>
  <c r="G23" i="18"/>
  <c r="J12" i="28"/>
  <c r="F14" i="15"/>
  <c r="F16" i="15" s="1"/>
  <c r="G7" i="18"/>
  <c r="G39" i="15"/>
  <c r="G43" i="15"/>
  <c r="H41" i="15"/>
  <c r="H23" i="18" l="1"/>
  <c r="H24" i="18" s="1"/>
  <c r="K12" i="28"/>
  <c r="H40" i="15"/>
  <c r="H42" i="15" s="1"/>
  <c r="I31" i="24" s="1"/>
  <c r="H15" i="14" s="1"/>
  <c r="G14" i="15"/>
  <c r="J41" i="15"/>
  <c r="I41" i="15"/>
  <c r="J23" i="18" l="1"/>
  <c r="J24" i="18" s="1"/>
  <c r="M12" i="28"/>
  <c r="I23" i="18"/>
  <c r="I24" i="18" s="1"/>
  <c r="L12" i="28"/>
  <c r="H39" i="15"/>
  <c r="K10" i="28"/>
  <c r="H7" i="18"/>
  <c r="H43" i="15"/>
  <c r="H14" i="15" l="1"/>
  <c r="I40" i="15"/>
  <c r="I42" i="15" s="1"/>
  <c r="L10" i="28" l="1"/>
  <c r="J31" i="24"/>
  <c r="I15" i="14" s="1"/>
  <c r="I43" i="15"/>
  <c r="I14" i="15" s="1"/>
  <c r="I39" i="15"/>
  <c r="I7" i="18"/>
  <c r="J40" i="15" l="1"/>
  <c r="J42" i="15" s="1"/>
  <c r="M10" i="28" l="1"/>
  <c r="K31" i="24"/>
  <c r="J15" i="14" s="1"/>
  <c r="J7" i="18"/>
  <c r="J39" i="15"/>
  <c r="J43" i="15"/>
  <c r="J14" i="15" s="1"/>
  <c r="H10" i="15" l="1"/>
  <c r="I10" i="15"/>
  <c r="J10" i="15"/>
  <c r="M24" i="28" s="1"/>
  <c r="M26" i="28" s="1"/>
  <c r="G4" i="14"/>
  <c r="H4" i="14"/>
  <c r="I4" i="14"/>
  <c r="J4" i="14"/>
  <c r="G5" i="14"/>
  <c r="H5" i="14"/>
  <c r="I5" i="14"/>
  <c r="J5" i="14"/>
  <c r="H20" i="24"/>
  <c r="H23" i="24" s="1"/>
  <c r="I20" i="24"/>
  <c r="I23" i="24" s="1"/>
  <c r="J20" i="24"/>
  <c r="J23" i="24" s="1"/>
  <c r="K20" i="24"/>
  <c r="K23" i="24" s="1"/>
  <c r="H16" i="15" l="1"/>
  <c r="K24" i="28"/>
  <c r="K26" i="28" s="1"/>
  <c r="G16" i="15"/>
  <c r="J24" i="28"/>
  <c r="J26" i="28" s="1"/>
  <c r="I16" i="15"/>
  <c r="L24" i="28"/>
  <c r="L26" i="28" s="1"/>
  <c r="G24" i="14"/>
  <c r="G6" i="14"/>
  <c r="J24" i="14"/>
  <c r="H6" i="14"/>
  <c r="J6" i="14"/>
  <c r="I6" i="14"/>
  <c r="H24" i="24"/>
  <c r="J16" i="15"/>
  <c r="H12" i="14" l="1"/>
  <c r="G12" i="14"/>
  <c r="K28" i="28"/>
  <c r="K13" i="28" s="1"/>
  <c r="K14" i="28" s="1"/>
  <c r="I12" i="14"/>
  <c r="M28" i="28"/>
  <c r="M13" i="28" s="1"/>
  <c r="M14" i="28" s="1"/>
  <c r="L28" i="28"/>
  <c r="L13" i="28" s="1"/>
  <c r="L14" i="28" s="1"/>
  <c r="K24" i="24"/>
  <c r="H25" i="24"/>
  <c r="I24" i="14"/>
  <c r="J24" i="24"/>
  <c r="H24" i="14"/>
  <c r="I24" i="24"/>
  <c r="J12" i="14"/>
  <c r="G25" i="14" l="1"/>
  <c r="G19" i="14"/>
  <c r="M15" i="28"/>
  <c r="L15" i="28"/>
  <c r="K25" i="24"/>
  <c r="J25" i="14" s="1"/>
  <c r="G5" i="18"/>
  <c r="G19" i="18" s="1"/>
  <c r="J25" i="24"/>
  <c r="I25" i="24"/>
  <c r="J19" i="14" l="1"/>
  <c r="J5" i="18"/>
  <c r="J19" i="18" s="1"/>
  <c r="I29" i="14"/>
  <c r="J29" i="14"/>
  <c r="I19" i="14"/>
  <c r="I25" i="14"/>
  <c r="I5" i="18"/>
  <c r="I19" i="18" s="1"/>
  <c r="H25" i="14"/>
  <c r="H5" i="18"/>
  <c r="H19" i="18" s="1"/>
  <c r="H29" i="14"/>
  <c r="H19" i="14"/>
  <c r="H36" i="18" l="1"/>
  <c r="J36" i="18"/>
  <c r="I36" i="18"/>
  <c r="F8" i="14" l="1"/>
  <c r="F51" i="15" l="1"/>
  <c r="F32" i="15" s="1"/>
  <c r="F33" i="15" s="1"/>
  <c r="C30" i="28" l="1"/>
  <c r="F34" i="15"/>
  <c r="F35" i="15" s="1"/>
  <c r="F14" i="14"/>
  <c r="F13" i="14"/>
  <c r="G48" i="15"/>
  <c r="G51" i="15" s="1"/>
  <c r="G32" i="15" s="1"/>
  <c r="G33" i="15" s="1"/>
  <c r="C31" i="28" l="1"/>
  <c r="C34" i="28" s="1"/>
  <c r="C39" i="28" s="1"/>
  <c r="G13" i="14"/>
  <c r="G14" i="14"/>
  <c r="G18" i="14"/>
  <c r="G34" i="15"/>
  <c r="G35" i="15" s="1"/>
  <c r="H48" i="15"/>
  <c r="H51" i="15" s="1"/>
  <c r="H32" i="15" s="1"/>
  <c r="H33" i="15" s="1"/>
  <c r="C35" i="28" l="1"/>
  <c r="C40" i="28"/>
  <c r="C41" i="28" s="1"/>
  <c r="H34" i="15"/>
  <c r="H35" i="15" s="1"/>
  <c r="H13" i="14"/>
  <c r="H18" i="14"/>
  <c r="H14" i="14"/>
  <c r="I48" i="15"/>
  <c r="I51" i="15" s="1"/>
  <c r="I32" i="15" s="1"/>
  <c r="I33" i="15" s="1"/>
  <c r="C36" i="28" l="1"/>
  <c r="M16" i="28"/>
  <c r="I34" i="15"/>
  <c r="I35" i="15" s="1"/>
  <c r="I13" i="14"/>
  <c r="I18" i="14"/>
  <c r="I14" i="14"/>
  <c r="J48" i="15"/>
  <c r="J51" i="15" s="1"/>
  <c r="J32" i="15" s="1"/>
  <c r="J33" i="15" s="1"/>
  <c r="F24" i="18"/>
  <c r="G24" i="18"/>
  <c r="G36" i="18" s="1"/>
  <c r="L16" i="28" l="1"/>
  <c r="O14" i="28"/>
  <c r="O16" i="28" s="1"/>
  <c r="C45" i="28" s="1"/>
  <c r="K16" i="28"/>
  <c r="I24" i="28"/>
  <c r="I26" i="28" s="1"/>
  <c r="J34" i="15"/>
  <c r="J35" i="15" s="1"/>
  <c r="J13" i="14"/>
  <c r="J14" i="14"/>
  <c r="J18" i="14"/>
  <c r="F6" i="14"/>
  <c r="F12" i="14"/>
  <c r="I28" i="28" l="1"/>
  <c r="I13" i="28" s="1"/>
  <c r="J28" i="28"/>
  <c r="J13" i="28" s="1"/>
  <c r="J14" i="28" s="1"/>
  <c r="K15" i="28" l="1"/>
  <c r="J16" i="28"/>
  <c r="I8" i="28" l="1"/>
  <c r="G23" i="14"/>
  <c r="F28" i="14"/>
  <c r="G28" i="14"/>
  <c r="G23" i="24"/>
  <c r="F24" i="14" s="1"/>
  <c r="G24" i="24" l="1"/>
  <c r="G25" i="24" s="1"/>
  <c r="F5" i="18" s="1"/>
  <c r="F19" i="18" s="1"/>
  <c r="F36" i="18" s="1"/>
  <c r="F38" i="18" s="1"/>
  <c r="I9" i="28"/>
  <c r="I14" i="28" s="1"/>
  <c r="I16" i="28" s="1"/>
  <c r="C44" i="28" s="1"/>
  <c r="C47" i="28" s="1"/>
  <c r="C48" i="28" s="1"/>
  <c r="G37" i="18" l="1"/>
  <c r="G38" i="18" s="1"/>
  <c r="G29" i="14"/>
  <c r="F19" i="14"/>
  <c r="F25" i="14"/>
  <c r="J15" i="28"/>
  <c r="F18" i="14"/>
  <c r="F29" i="14"/>
  <c r="G26" i="24"/>
  <c r="G27" i="24" s="1"/>
  <c r="M17" i="28"/>
  <c r="G28" i="24" l="1"/>
  <c r="C50" i="28"/>
  <c r="C53" i="28" s="1"/>
  <c r="C57" i="28" s="1"/>
  <c r="H37" i="18"/>
  <c r="H38" i="18" s="1"/>
  <c r="K35" i="28" l="1"/>
  <c r="J36" i="28" s="1"/>
  <c r="I37" i="18"/>
  <c r="I38" i="18" s="1"/>
  <c r="K39" i="28" l="1"/>
  <c r="I36" i="28"/>
  <c r="K36" i="28"/>
  <c r="L36" i="28"/>
  <c r="M36" i="28"/>
  <c r="J37" i="18"/>
  <c r="J38" i="18" s="1"/>
  <c r="K40" i="28" l="1"/>
  <c r="J40" i="28"/>
  <c r="K43" i="28"/>
  <c r="I40" i="28"/>
  <c r="L40" i="28"/>
  <c r="M40" i="28"/>
  <c r="J44" i="28" l="1"/>
  <c r="K44" i="28"/>
  <c r="K47" i="28"/>
  <c r="I44" i="28"/>
  <c r="L44" i="28"/>
  <c r="M44" i="28"/>
  <c r="K51" i="28" l="1"/>
  <c r="L48" i="28"/>
  <c r="K48" i="28"/>
  <c r="I48" i="28"/>
  <c r="J48" i="28"/>
  <c r="M48" i="28"/>
  <c r="I52" i="28" l="1"/>
  <c r="J52" i="28"/>
  <c r="K52" i="2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7F9432-9D66-4D02-8759-B4629DE72BC7}" keepAlive="1" name="Query - AirBNB_Clean" description="Connection to the 'AirBNB_Clean' query in the workbook." type="5" refreshedVersion="0" background="1">
    <dbPr connection="Provider=Microsoft.Mashup.OleDb.1;Data Source=$Workbook$;Location=AirBNB_Clean;Extended Properties=&quot;&quot;" command="SELECT * FROM [AirBNB_Clean]"/>
  </connection>
</connections>
</file>

<file path=xl/sharedStrings.xml><?xml version="1.0" encoding="utf-8"?>
<sst xmlns="http://schemas.openxmlformats.org/spreadsheetml/2006/main" count="1696" uniqueCount="378">
  <si>
    <t>Company Overview</t>
  </si>
  <si>
    <r>
      <rPr>
        <b/>
        <sz val="12"/>
        <color rgb="FF000000"/>
        <rFont val="Calibri"/>
        <family val="2"/>
        <scheme val="minor"/>
      </rPr>
      <t>Industry</t>
    </r>
    <r>
      <rPr>
        <sz val="12"/>
        <color rgb="FF000000"/>
        <rFont val="Calibri"/>
        <family val="2"/>
        <scheme val="minor"/>
      </rPr>
      <t xml:space="preserve"> in travel and hospitality, especially focusing on short-term lodging.
</t>
    </r>
  </si>
  <si>
    <r>
      <rPr>
        <b/>
        <sz val="12"/>
        <color rgb="FF000000"/>
        <rFont val="Calibri"/>
        <family val="2"/>
        <scheme val="minor"/>
      </rPr>
      <t>Headquarters</t>
    </r>
    <r>
      <rPr>
        <sz val="12"/>
        <color rgb="FF000000"/>
        <rFont val="Calibri"/>
        <family val="2"/>
        <scheme val="minor"/>
      </rPr>
      <t xml:space="preserve"> in San Francisco and California.
</t>
    </r>
  </si>
  <si>
    <r>
      <rPr>
        <b/>
        <sz val="12"/>
        <color rgb="FF000000"/>
        <rFont val="Calibri"/>
        <family val="2"/>
        <scheme val="minor"/>
      </rPr>
      <t>Founded</t>
    </r>
    <r>
      <rPr>
        <sz val="12"/>
        <color rgb="FF000000"/>
        <rFont val="Calibri"/>
        <family val="2"/>
        <scheme val="minor"/>
      </rPr>
      <t xml:space="preserve"> in 2008 by Brian Chesky, Joe Gebbia, and Nathan Blecharczyk.
</t>
    </r>
  </si>
  <si>
    <t>They started with a really simple idea as a question: what if people could rent out their own homes or spaces to travelers instead of everyone relying on hotels? And it just worked out.</t>
  </si>
  <si>
    <r>
      <rPr>
        <b/>
        <sz val="12"/>
        <color rgb="FF000000"/>
        <rFont val="Calibri"/>
        <family val="2"/>
        <scheme val="minor"/>
      </rPr>
      <t>Airbnb Experiences:</t>
    </r>
    <r>
      <rPr>
        <sz val="12"/>
        <color rgb="FF000000"/>
        <rFont val="Calibri"/>
        <family val="2"/>
        <scheme val="minor"/>
      </rPr>
      <t xml:space="preserve"> book fun activities, like cooking classes or walking tours, hosted by locals giving travelers memorable and personal experiences without them worrying about renting a tour guide that is not legitimate.</t>
    </r>
  </si>
  <si>
    <r>
      <rPr>
        <b/>
        <sz val="12"/>
        <color rgb="FF000000"/>
        <rFont val="Calibri"/>
        <family val="2"/>
        <scheme val="minor"/>
      </rPr>
      <t>"Icons" Experiences:</t>
    </r>
    <r>
      <rPr>
        <sz val="12"/>
        <color rgb="FF000000"/>
        <rFont val="Calibri"/>
        <family val="2"/>
        <scheme val="minor"/>
      </rPr>
      <t xml:space="preserve"> just launched in May 2024, this initiative brings pop culture to life by offering unique and immersive stays inspired by some of the most iconic movies, music, and cultural landmarks. </t>
    </r>
  </si>
  <si>
    <t>Airbnb doesn’t actually own any properties. Instead, it’s a platform that connects hosts with guests and earns commission from each booking.</t>
  </si>
  <si>
    <r>
      <rPr>
        <b/>
        <sz val="12"/>
        <color rgb="FF000000"/>
        <rFont val="Calibri"/>
        <family val="2"/>
        <scheme val="minor"/>
      </rPr>
      <t>Notable achievements:</t>
    </r>
    <r>
      <rPr>
        <sz val="12"/>
        <color rgb="FF000000"/>
        <rFont val="Calibri"/>
        <family val="2"/>
        <scheme val="minor"/>
      </rPr>
      <t xml:space="preserve"> IPO completion in December 2020, Live Anywhere programs.</t>
    </r>
  </si>
  <si>
    <r>
      <rPr>
        <b/>
        <sz val="12"/>
        <color rgb="FF000000"/>
        <rFont val="Calibri"/>
        <family val="2"/>
        <scheme val="minor"/>
      </rPr>
      <t>IPO in December 2020:</t>
    </r>
    <r>
      <rPr>
        <sz val="12"/>
        <color rgb="FF000000"/>
        <rFont val="Calibri"/>
        <family val="2"/>
        <scheme val="minor"/>
      </rPr>
      <t xml:space="preserve"> Went public despite challenges during the COVID-19 pandemic.</t>
    </r>
  </si>
  <si>
    <r>
      <rPr>
        <b/>
        <sz val="12"/>
        <color rgb="FF000000"/>
        <rFont val="Calibri"/>
        <family val="2"/>
        <scheme val="minor"/>
      </rPr>
      <t>Live Anywhere Program:</t>
    </r>
    <r>
      <rPr>
        <sz val="12"/>
        <color rgb="FF000000"/>
        <rFont val="Calibri"/>
        <family val="2"/>
        <scheme val="minor"/>
      </rPr>
      <t xml:space="preserve"> Designed for remote workers needing long-term stays, more flexible booking options, and focused on helping people travel safely.</t>
    </r>
  </si>
  <si>
    <r>
      <rPr>
        <b/>
        <sz val="12"/>
        <color rgb="FF000000"/>
        <rFont val="Calibri"/>
        <family val="2"/>
        <scheme val="minor"/>
      </rPr>
      <t>Mission:</t>
    </r>
    <r>
      <rPr>
        <sz val="12"/>
        <color rgb="FF000000"/>
        <rFont val="Calibri"/>
        <family val="2"/>
        <scheme val="minor"/>
      </rPr>
      <t xml:space="preserve"> To create a world where anyone can stay anywhere</t>
    </r>
  </si>
  <si>
    <t xml:space="preserve">Income Statement </t>
  </si>
  <si>
    <t>2021A</t>
  </si>
  <si>
    <t>2022A</t>
  </si>
  <si>
    <t>2023A</t>
  </si>
  <si>
    <t>2024A</t>
  </si>
  <si>
    <t>2025P</t>
  </si>
  <si>
    <t>2026P</t>
  </si>
  <si>
    <t>2027P</t>
  </si>
  <si>
    <t>2028P</t>
  </si>
  <si>
    <t>2029P</t>
  </si>
  <si>
    <t xml:space="preserve">YoY sales growth </t>
  </si>
  <si>
    <t>*Company is Stabilizing (Based off of log pattern growth for each sector)  (Market Saturation – The business may have reached its customer limit in its current market.)</t>
  </si>
  <si>
    <t xml:space="preserve">COGS (Cost of Goods Sold) % of revenue </t>
  </si>
  <si>
    <t xml:space="preserve">*Softwear company with low COGS, minimnal improvement will be made on the softwear from this point , can understand the pivot into AI services but COGS will increase in cloud servics like AWS and AZURE. </t>
  </si>
  <si>
    <t xml:space="preserve">SG&amp;A (Selling, General and Admin. Exps) % of rev. (Excl depr/amort) </t>
  </si>
  <si>
    <t>*Need to consider legal fees, but expected to decrease overtime as Airbnb complies with local regulations</t>
  </si>
  <si>
    <t xml:space="preserve">Operations and Support % of rev. </t>
  </si>
  <si>
    <t>Product Development % of rev</t>
  </si>
  <si>
    <t xml:space="preserve">Depreciation as % of beginning net PP&amp;E </t>
  </si>
  <si>
    <t xml:space="preserve">Asset impairment and restructuring costs </t>
  </si>
  <si>
    <t>—</t>
  </si>
  <si>
    <t>Other income (expense), net</t>
  </si>
  <si>
    <t xml:space="preserve">*Other income is difficult to project as it is a multi variable section which consists of gains and losses from foreign currency translation, Debt securities, and equity investments. </t>
  </si>
  <si>
    <t xml:space="preserve">Effective tax rate (corporate tax rate) </t>
  </si>
  <si>
    <t>*Deffered taxes for the year 2024</t>
  </si>
  <si>
    <t xml:space="preserve">Interest Income % of Cash &amp; Equivalents </t>
  </si>
  <si>
    <t xml:space="preserve">*Interest income consists primarily of interest earned on our cash, cash equivalents, marketable securities, and amounts held on behalf of customers. </t>
  </si>
  <si>
    <t>Interest Expense</t>
  </si>
  <si>
    <t>*Interest expense consists primarily of interest associated with various indirect tax reserves, amortization of debt issuance and debt discount costs.</t>
  </si>
  <si>
    <t>Foreign currency translation adjustment</t>
  </si>
  <si>
    <t xml:space="preserve">WASO (Weighted Average Shares Outstanding) </t>
  </si>
  <si>
    <t xml:space="preserve">Balance Sheet - Assets </t>
  </si>
  <si>
    <t xml:space="preserve">A/R (Accounts Receivable) Days </t>
  </si>
  <si>
    <t xml:space="preserve">Goodwill and Intangible Assets </t>
  </si>
  <si>
    <t xml:space="preserve">Other noncurrent assets % of revenue </t>
  </si>
  <si>
    <t xml:space="preserve">Capex (Capital Expenditures) as % of revenue </t>
  </si>
  <si>
    <t xml:space="preserve">Capex as a % of PY ending PPE balance </t>
  </si>
  <si>
    <t xml:space="preserve">PPE (Property Plant &amp; Equipment) as % of revenue </t>
  </si>
  <si>
    <t xml:space="preserve">Right of use assets as % of revenue </t>
  </si>
  <si>
    <t xml:space="preserve">Balance Sheet - Liabilities </t>
  </si>
  <si>
    <t xml:space="preserve">A/P (Accounts Payable) Days </t>
  </si>
  <si>
    <t>Accrued compensation and related expenses % of rev.</t>
  </si>
  <si>
    <t>Current lease liabilities % of rev.</t>
  </si>
  <si>
    <t>Current income taxes payable % of CY tax expense</t>
  </si>
  <si>
    <t>Funds payable and other payable amounts to customers % of rev</t>
  </si>
  <si>
    <t>Unearned fees % of revenue (deferred revenue)</t>
  </si>
  <si>
    <t>Accrued expenses &amp; Other current liabilities % of revenue</t>
  </si>
  <si>
    <t xml:space="preserve">Noncurrent lease liabilities % of revenue </t>
  </si>
  <si>
    <t xml:space="preserve">Other noncurrent liabilities % of revenue </t>
  </si>
  <si>
    <t xml:space="preserve">Balance Sheet - Equity </t>
  </si>
  <si>
    <t>Common stock, par value $0.0001, authorized 4736</t>
  </si>
  <si>
    <t>Stock based compensation in APIC</t>
  </si>
  <si>
    <t>Additional paid-in capital</t>
  </si>
  <si>
    <t>Accumulated other comprehensive loss</t>
  </si>
  <si>
    <t>Airbnb, Inc.</t>
  </si>
  <si>
    <t>(in millions, except per share amounts)</t>
  </si>
  <si>
    <t>Year Ended December 31,</t>
  </si>
  <si>
    <t>Category</t>
  </si>
  <si>
    <t>2020A</t>
  </si>
  <si>
    <t xml:space="preserve">2024A </t>
  </si>
  <si>
    <t>Revenue</t>
  </si>
  <si>
    <t>Costs and expenses:</t>
  </si>
  <si>
    <t xml:space="preserve">Cost of revenue </t>
  </si>
  <si>
    <t xml:space="preserve">Gross Profit </t>
  </si>
  <si>
    <t xml:space="preserve">              Gross Margin </t>
  </si>
  <si>
    <t>Operations and support</t>
  </si>
  <si>
    <t>Product development</t>
  </si>
  <si>
    <t>SG &amp; A</t>
  </si>
  <si>
    <t xml:space="preserve">    Sales and marketing</t>
  </si>
  <si>
    <t xml:space="preserve">    General and administrative</t>
  </si>
  <si>
    <t>Restructuring charges</t>
  </si>
  <si>
    <t>Total costs and expenses</t>
  </si>
  <si>
    <t>Income from operations</t>
  </si>
  <si>
    <t xml:space="preserve">Operating margin </t>
  </si>
  <si>
    <t>Interest income</t>
  </si>
  <si>
    <t>Interest expense</t>
  </si>
  <si>
    <t>Income (loss) before income taxes</t>
  </si>
  <si>
    <t>Provision for (benefit from) income taxes</t>
  </si>
  <si>
    <t xml:space="preserve">Net income </t>
  </si>
  <si>
    <t>Net income (loss) per share attributable to Class A and Class B common stockholders:</t>
  </si>
  <si>
    <t>Basic</t>
  </si>
  <si>
    <t>Diluted</t>
  </si>
  <si>
    <t xml:space="preserve">EBITDA </t>
  </si>
  <si>
    <t>Consolidated Balance Sheets</t>
  </si>
  <si>
    <t>(in millions, except par value)</t>
  </si>
  <si>
    <t>*Notes</t>
  </si>
  <si>
    <t>Cash and cash equivalents</t>
  </si>
  <si>
    <t>Cash and cash equivalents consist of checking and interest-bearing accounts and highly-liquid securities with an original maturity of 90 days or less. </t>
  </si>
  <si>
    <t>Short-term investments</t>
  </si>
  <si>
    <t>We had cash and cash equivalents of $6.9 billion and short-term investments of $3.7 billion as of December 31, 2024, which primarily consisted of corporate debt securities, mortgage-backed and asset-backed securities, U.S. government and government agency debt securities (“government bonds”), commercial paper, certificates of deposit and time deposits.</t>
  </si>
  <si>
    <t>Funds receivable and amounts held on behalf of customers</t>
  </si>
  <si>
    <t>Cash and cash equivalents are held in checking and interest-bearing accounts and consist of cash and highly-liquid securities with an original maturity of 90 days or less.</t>
  </si>
  <si>
    <t>Prepaids and other current assets</t>
  </si>
  <si>
    <t xml:space="preserve">Customers Receivable </t>
  </si>
  <si>
    <t>Total current assets</t>
  </si>
  <si>
    <t>Deferred tax assets</t>
  </si>
  <si>
    <t>Goodwill and intangible assets, net</t>
  </si>
  <si>
    <t>Other</t>
  </si>
  <si>
    <t xml:space="preserve">PP&amp;E, net </t>
  </si>
  <si>
    <t>*Airbnb continues investing in infrastructure and IT upgrades</t>
  </si>
  <si>
    <t>Operating lease right-of-use assets</t>
  </si>
  <si>
    <t>*Airbnb reduce its corporate real estate footprint</t>
  </si>
  <si>
    <t>Total assets</t>
  </si>
  <si>
    <t xml:space="preserve">Accounts payable </t>
  </si>
  <si>
    <t xml:space="preserve">*Part of funds payable (Spitted in two dif accounts) </t>
  </si>
  <si>
    <t xml:space="preserve">Operating lease liabilitites, current </t>
  </si>
  <si>
    <t>Accrued compensation and related expenses</t>
  </si>
  <si>
    <t>Accrued expenses &amp; Other current liabilities</t>
  </si>
  <si>
    <t xml:space="preserve">*Reflect higher expense due to higher revenue + legal liabilities </t>
  </si>
  <si>
    <t>Funds payable and other payable amounts to customers</t>
  </si>
  <si>
    <t xml:space="preserve">*The volume of transaction increasing </t>
  </si>
  <si>
    <t>Unearned fees</t>
  </si>
  <si>
    <t>Total current liabilities</t>
  </si>
  <si>
    <t>Long-term debt</t>
  </si>
  <si>
    <t xml:space="preserve">*Constant for years </t>
  </si>
  <si>
    <t>Operating lease liabilities, noncurrent</t>
  </si>
  <si>
    <t xml:space="preserve">Other liabilities, noncurrent </t>
  </si>
  <si>
    <t>Total liabilities</t>
  </si>
  <si>
    <t>Stockholders’ equity</t>
  </si>
  <si>
    <t>Common stock, $0.0001 par value, authorized 4736</t>
  </si>
  <si>
    <t>Accumulated deficit</t>
  </si>
  <si>
    <t>Total stockholders’ equity</t>
  </si>
  <si>
    <t>Total liabilities and stockholders’ equity</t>
  </si>
  <si>
    <t>BS Check (Asset - L&amp;E)</t>
  </si>
  <si>
    <t>Depreciation % based on Begin PP&amp;E</t>
  </si>
  <si>
    <t>Begin PP&amp;E</t>
  </si>
  <si>
    <t>CapEx</t>
  </si>
  <si>
    <t xml:space="preserve">Depreciation &amp; ammortization </t>
  </si>
  <si>
    <t xml:space="preserve">Ending PP&amp;E </t>
  </si>
  <si>
    <t>∆ in Retained Earnings/Accumulated Deficit</t>
  </si>
  <si>
    <t>Beginning Balance</t>
  </si>
  <si>
    <t>Net Income</t>
  </si>
  <si>
    <t>Repurchase of Common Stock</t>
  </si>
  <si>
    <t>Ending Balance</t>
  </si>
  <si>
    <t>APIC</t>
  </si>
  <si>
    <t>+ Stock based changes in APIC</t>
  </si>
  <si>
    <t>= Ending Balance</t>
  </si>
  <si>
    <t>Statement of Cash Flows</t>
  </si>
  <si>
    <t>(in millions)</t>
  </si>
  <si>
    <t>Net income (loss)</t>
  </si>
  <si>
    <t>*Improved profitability</t>
  </si>
  <si>
    <t>Adjustments to reconcile net income (loss):</t>
  </si>
  <si>
    <t>Depreciation and amortization</t>
  </si>
  <si>
    <t>Stock-based compensation expense</t>
  </si>
  <si>
    <t>*Indicates significant employee compensation through equity</t>
  </si>
  <si>
    <t>Deferred income taxes</t>
  </si>
  <si>
    <t>Loss on warrants, net</t>
  </si>
  <si>
    <t>Impairment of long-lived assets</t>
  </si>
  <si>
    <t>Loss from extinguishment of debt</t>
  </si>
  <si>
    <t>Other, net</t>
  </si>
  <si>
    <t>Changes in operating assets and liabilities:</t>
  </si>
  <si>
    <t>Prepaids and other assets</t>
  </si>
  <si>
    <t>Accrued expenses and other liabilities</t>
  </si>
  <si>
    <t>*Strong cash generation from core business operations</t>
  </si>
  <si>
    <t>Unreconciled items</t>
  </si>
  <si>
    <t>Net cash provided by operating activities</t>
  </si>
  <si>
    <t>Cash flows from investing activities:</t>
  </si>
  <si>
    <t>Purchases of short-term investments</t>
  </si>
  <si>
    <t>Sales and maturities of short-term investments</t>
  </si>
  <si>
    <t>Other investing activities, net</t>
  </si>
  <si>
    <t>Net cash used in investing activities</t>
  </si>
  <si>
    <t>Cash flows from financing activities:</t>
  </si>
  <si>
    <t>Taxes paid related to net share settlement of equity awards</t>
  </si>
  <si>
    <t>Principal repayment of long-term debt</t>
  </si>
  <si>
    <t>Prepayment penalty on long-term debt</t>
  </si>
  <si>
    <t>Proceeds from issuance of convertible senior notes</t>
  </si>
  <si>
    <t>Purchases of capped calls related to convertible senior notes</t>
  </si>
  <si>
    <t>Proceeds from exercise of equity awards and employee stock purchase plan</t>
  </si>
  <si>
    <t>*Indicating significant capital returned to shareholders</t>
  </si>
  <si>
    <t>Repurchase of common stock</t>
  </si>
  <si>
    <t>Change in funds payable and amounts payable to customers</t>
  </si>
  <si>
    <t xml:space="preserve">     Net cash provided by (used in) financing activities</t>
  </si>
  <si>
    <t>Effect of exchange rate changes on cash, cash equivalents, and restricted cash</t>
  </si>
  <si>
    <t xml:space="preserve">     Net increase in cash, cash equivalents, and restricted cash</t>
  </si>
  <si>
    <t>Cash, cash equivalents, and restricted cash, beginning of year</t>
  </si>
  <si>
    <t>Cash, cash equivalents, and restricted cash, end of year</t>
  </si>
  <si>
    <t>Cash could be derived from 100% amount of cash and cash equivalents, most of the funds receivable and some in restricted cash included in prepaids and other current assets</t>
  </si>
  <si>
    <t xml:space="preserve"> </t>
  </si>
  <si>
    <t> </t>
  </si>
  <si>
    <t>Airbnb</t>
  </si>
  <si>
    <t>DCF Valuation</t>
  </si>
  <si>
    <t>(Numbers in Millions)</t>
  </si>
  <si>
    <t>Market Research Table (Input Assumptions)</t>
  </si>
  <si>
    <t>Discounted Cash Flow Calculation</t>
  </si>
  <si>
    <t>Terminal Value</t>
  </si>
  <si>
    <t>Long-Term Treasury Rate (10-Year)</t>
  </si>
  <si>
    <t>Assumption</t>
  </si>
  <si>
    <t>Source_RFR</t>
  </si>
  <si>
    <t>Free Cash Flow</t>
  </si>
  <si>
    <t>Pretax Cost of Debt</t>
  </si>
  <si>
    <t>EBIT (or Net Operating Profit Before Taxes)</t>
  </si>
  <si>
    <t>Tax Rate</t>
  </si>
  <si>
    <t>Less:  Income Taxes (use effective tax rate * EBIT)</t>
  </si>
  <si>
    <t>Equals: Net Operating Profit After Taxes (NOPAT)</t>
  </si>
  <si>
    <t>Equity Risk Premium (Market)</t>
  </si>
  <si>
    <t>Add:  Depreciation and Amortization</t>
  </si>
  <si>
    <t>Add:  Non-Cash Impacts on Earnings</t>
  </si>
  <si>
    <t xml:space="preserve">Beta </t>
  </si>
  <si>
    <t xml:space="preserve">5Y monthly </t>
  </si>
  <si>
    <t>Less:  CapEx</t>
  </si>
  <si>
    <t xml:space="preserve">Long Term Growth Rate </t>
  </si>
  <si>
    <t>Plus/(Minus): Changes in Working Capital</t>
  </si>
  <si>
    <t>Unlevered FCF</t>
  </si>
  <si>
    <t>Undiscounted</t>
  </si>
  <si>
    <t>WACC Buildup</t>
  </si>
  <si>
    <t>Growth in unlevered FCF</t>
  </si>
  <si>
    <t>Cost of Debt</t>
  </si>
  <si>
    <t>Present Value FCF</t>
  </si>
  <si>
    <t>Discounted</t>
  </si>
  <si>
    <t>Sum of Discounted Value of FCFs</t>
  </si>
  <si>
    <t xml:space="preserve">Less: Tax Rate </t>
  </si>
  <si>
    <t>=-C8*C17</t>
  </si>
  <si>
    <t>Equals: Aftertax Cost of Debt</t>
  </si>
  <si>
    <t>=C17+C18</t>
  </si>
  <si>
    <t>Cost of Equity</t>
  </si>
  <si>
    <t>Long-Term Treasury Rate</t>
  </si>
  <si>
    <t>Working Capital Calculation</t>
  </si>
  <si>
    <t>Plus: Equity Risk Premium</t>
  </si>
  <si>
    <t>Equals: Market Rate of Equity</t>
  </si>
  <si>
    <t>=C22+C23</t>
  </si>
  <si>
    <t>Current Assets (excluding Cash)</t>
  </si>
  <si>
    <t>Current Liabilities</t>
  </si>
  <si>
    <t>Cost of Equity (CAPM)</t>
  </si>
  <si>
    <t>=C22+C25*(C24-C22)</t>
  </si>
  <si>
    <t xml:space="preserve">Working Capital </t>
  </si>
  <si>
    <t>WACC Buildup (cont)</t>
  </si>
  <si>
    <t>Debt/Equity</t>
  </si>
  <si>
    <t>Change in Working Capital / (Use)</t>
  </si>
  <si>
    <t>Total Debt</t>
  </si>
  <si>
    <t>From BS (2025)</t>
  </si>
  <si>
    <t>Total Equity</t>
  </si>
  <si>
    <t>Total Debt &amp; Equity</t>
  </si>
  <si>
    <t>=C29+C30</t>
  </si>
  <si>
    <t>Debt/Equity Ratio</t>
  </si>
  <si>
    <t>FCC or DCF Valuation Sensitivity</t>
  </si>
  <si>
    <t>Lower</t>
  </si>
  <si>
    <t>Base Case</t>
  </si>
  <si>
    <t>Higher</t>
  </si>
  <si>
    <t>Proportion of Total Debt</t>
  </si>
  <si>
    <t>=C29/C31</t>
  </si>
  <si>
    <t>Change in revenue growth</t>
  </si>
  <si>
    <t>Down 10%</t>
  </si>
  <si>
    <t>Down 5%</t>
  </si>
  <si>
    <t>Up 5%</t>
  </si>
  <si>
    <t>Up 10%</t>
  </si>
  <si>
    <t>Proportion of Total Equity</t>
  </si>
  <si>
    <t>=C30/C31</t>
  </si>
  <si>
    <t>EV</t>
  </si>
  <si>
    <t>EV Impact</t>
  </si>
  <si>
    <t>WACC</t>
  </si>
  <si>
    <t>Change in operating margin</t>
  </si>
  <si>
    <t>Down 2 Pct Pt</t>
  </si>
  <si>
    <t>Down 1 Pct Pt</t>
  </si>
  <si>
    <t>Up 1 Pct Pt</t>
  </si>
  <si>
    <t>Up 2 Pct Pt</t>
  </si>
  <si>
    <t>Weighted Avg Cost of Debt</t>
  </si>
  <si>
    <t>=C19*C34</t>
  </si>
  <si>
    <t>Weighted Avg Cost of Equity</t>
  </si>
  <si>
    <t>=C26*C35</t>
  </si>
  <si>
    <t>Change in WACC</t>
  </si>
  <si>
    <t>FCC or DCF Valuation</t>
  </si>
  <si>
    <t>NPV FCF</t>
  </si>
  <si>
    <t xml:space="preserve"> =M17</t>
  </si>
  <si>
    <t>NPV Terminal Value</t>
  </si>
  <si>
    <t xml:space="preserve"> =O14 </t>
  </si>
  <si>
    <t>Change in growth rate</t>
  </si>
  <si>
    <t>Enterprise Value</t>
  </si>
  <si>
    <t xml:space="preserve"> =C44+C45 </t>
  </si>
  <si>
    <t>Enterprise Value/Share</t>
  </si>
  <si>
    <t xml:space="preserve"> =C47/C55 </t>
  </si>
  <si>
    <t>Change in debt/equity ratio (which changes WACC)</t>
  </si>
  <si>
    <t>75%/25%</t>
  </si>
  <si>
    <t>50%/50%</t>
  </si>
  <si>
    <t>21%/79%</t>
  </si>
  <si>
    <t>Less: Total Debt</t>
  </si>
  <si>
    <t>From BS (2024)</t>
  </si>
  <si>
    <t>Plus: Cash</t>
  </si>
  <si>
    <t>Equals: Implied Equity Value or Market Capitalization</t>
  </si>
  <si>
    <t xml:space="preserve"> =C50-C51+C52 </t>
  </si>
  <si>
    <t>Divided by WASO</t>
  </si>
  <si>
    <t>Equals equity share price</t>
  </si>
  <si>
    <t>=C53/C55</t>
  </si>
  <si>
    <t xml:space="preserve">Airbnb </t>
  </si>
  <si>
    <t>Liquidity ratios</t>
  </si>
  <si>
    <t>Cash ratio</t>
  </si>
  <si>
    <t xml:space="preserve">=(Cash + Cash Equivalents) / Current Liabilities </t>
  </si>
  <si>
    <t>Acid test (Quick) ratio</t>
  </si>
  <si>
    <t xml:space="preserve">=(Cash + Marketable Securities + Accounts Recievable) / Current Liabilities </t>
  </si>
  <si>
    <t>Current ratio</t>
  </si>
  <si>
    <t xml:space="preserve">=Current Assets / Curent Liabilities </t>
  </si>
  <si>
    <t>Efficiency</t>
  </si>
  <si>
    <t>Days receivables</t>
  </si>
  <si>
    <t xml:space="preserve">=(Average Accounts Receivable / Revenue) x 365 </t>
  </si>
  <si>
    <t>Days payables</t>
  </si>
  <si>
    <t>=(Average Accounts Payables / COGS) x 365</t>
  </si>
  <si>
    <t>Days in inventory</t>
  </si>
  <si>
    <t>-</t>
  </si>
  <si>
    <t>=(Average Inventory / COGS) x 365</t>
  </si>
  <si>
    <t>*Airbnb, a softwear company, holds no inventory</t>
  </si>
  <si>
    <t>Financial Leverage</t>
  </si>
  <si>
    <t>Debt to total assets</t>
  </si>
  <si>
    <t>=Total Liabilities / Total Assets</t>
  </si>
  <si>
    <t>Leverage ratio</t>
  </si>
  <si>
    <t>=Total Liabilities / Total Equity</t>
  </si>
  <si>
    <t>Long term leverage ratio</t>
  </si>
  <si>
    <t xml:space="preserve">=Long-Term Debt / Total Equity </t>
  </si>
  <si>
    <t>Total debt to EBITDA</t>
  </si>
  <si>
    <t>=Total Liabilities / EBITDA</t>
  </si>
  <si>
    <t>Interest coverage ratio</t>
  </si>
  <si>
    <t>=EBIT / Interest Expense</t>
  </si>
  <si>
    <t>Profitability</t>
  </si>
  <si>
    <t>Return on common equity</t>
  </si>
  <si>
    <t xml:space="preserve">=Net Income / Total Equity </t>
  </si>
  <si>
    <t>Return on assets</t>
  </si>
  <si>
    <t xml:space="preserve">=Net Income / Total Assets </t>
  </si>
  <si>
    <t>Return on invested capital</t>
  </si>
  <si>
    <t xml:space="preserve">=(Net Income + Dividents Paid) / Total Equity </t>
  </si>
  <si>
    <t>Gross margin</t>
  </si>
  <si>
    <t xml:space="preserve">=Gross Profit / Revenue </t>
  </si>
  <si>
    <t>EBITDA margin</t>
  </si>
  <si>
    <t>=EBITDA / Revenue</t>
  </si>
  <si>
    <t>Operating margin</t>
  </si>
  <si>
    <t xml:space="preserve">=Operating Income / Revenue </t>
  </si>
  <si>
    <t>Pre-tax margin</t>
  </si>
  <si>
    <t>=Pre-tax income / Revenue</t>
  </si>
  <si>
    <t>Net income margin</t>
  </si>
  <si>
    <t xml:space="preserve">=Net Income / Revenue </t>
  </si>
  <si>
    <t>Growth and Valuation</t>
  </si>
  <si>
    <t>YOY sales growth</t>
  </si>
  <si>
    <t>(Current Revenue/ Previous Revenue) - 1</t>
  </si>
  <si>
    <t>YOY operating income growth</t>
  </si>
  <si>
    <t>(Current Operating Income / Previous Operating income) - 1</t>
  </si>
  <si>
    <t>YOY net income growth</t>
  </si>
  <si>
    <t xml:space="preserve">(Current Net income / Previous Net income) - 1 </t>
  </si>
  <si>
    <t xml:space="preserve">Global markets </t>
  </si>
  <si>
    <t>% of Total</t>
  </si>
  <si>
    <t xml:space="preserve">Use Country Economic metrics to project revenue </t>
  </si>
  <si>
    <t>Nights and Experiences Booked</t>
  </si>
  <si>
    <t>North America</t>
  </si>
  <si>
    <t>EMEA</t>
  </si>
  <si>
    <t>Latin America</t>
  </si>
  <si>
    <t>Asia Pacific</t>
  </si>
  <si>
    <t>Total</t>
  </si>
  <si>
    <t>*</t>
  </si>
  <si>
    <t xml:space="preserve">(y=428−60x)*For year 23 and 24 we can see a linear pattern starting to occur which we will use to project Revenue </t>
  </si>
  <si>
    <t>(y ≈ 0.89 * e^(-0.5515x))</t>
  </si>
  <si>
    <t xml:space="preserve">(y=−36x+181)*Using past 3 years which suggests linear growth rate </t>
  </si>
  <si>
    <t xml:space="preserve">^Reused since growth patterns are similar </t>
  </si>
  <si>
    <t>*Odd data, using Latin America as a model of best fit since it is similar in growth YOY</t>
  </si>
  <si>
    <t>Notes:</t>
  </si>
  <si>
    <t>North America generates the majority of gross brooking value followed by EMEA, LA, and AP. We can expect logarithmic increase as we project revenue from 2025-2029</t>
  </si>
  <si>
    <t xml:space="preserve">There is a log pattern in market growth in North America, EMEA, Latin America, and Asia Pacific suggesting a revenue cap for the company leading to the assumption that the company is maturing </t>
  </si>
  <si>
    <t xml:space="preserve">Nights and Experiences Booked Growth </t>
  </si>
  <si>
    <t>2020-2021</t>
  </si>
  <si>
    <t>2021-2022</t>
  </si>
  <si>
    <t>2022-2023</t>
  </si>
  <si>
    <t>2023-2024</t>
  </si>
  <si>
    <t>2024</t>
  </si>
  <si>
    <t>EBIT</t>
  </si>
  <si>
    <t>EV/EBIT</t>
  </si>
  <si>
    <t>EV/Sales</t>
  </si>
  <si>
    <t>Booking.com</t>
  </si>
  <si>
    <t>Expedia</t>
  </si>
  <si>
    <t>Profitability Ratios</t>
  </si>
  <si>
    <t>ROE</t>
  </si>
  <si>
    <t>ROA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</si>
</sst>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_);_(* \(#,##0\);_(&quot;$&quot;* &quot;-&quot;??_);_(@_)"/>
    <numFmt numFmtId="166" formatCode="0.0%"/>
    <numFmt numFmtId="167" formatCode="_(* #,##0.000_);_(* \(#,##0.000\);_(* &quot;-&quot;??_);_(@_)"/>
    <numFmt numFmtId="168" formatCode="0_);\(0\)"/>
    <numFmt numFmtId="169" formatCode="0.00000%"/>
    <numFmt numFmtId="170" formatCode="_(* #,##0.0000000000000000_);_(* \(#,##0.0000000000000000\);_(* &quot;-&quot;??_);_(@_)"/>
    <numFmt numFmtId="171" formatCode="_(* #,##0.00000000000000000000_);_(* \(#,##0.00000000000000000000\);_(* &quot;-&quot;??_);_(@_)"/>
    <numFmt numFmtId="172" formatCode="0.0"/>
  </numFmts>
  <fonts count="3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4"/>
      <color rgb="FF000000"/>
      <name val="Times New Roman"/>
      <family val="1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F8FAFF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Times New Roman"/>
      <family val="1"/>
    </font>
    <font>
      <sz val="10"/>
      <name val="Arial"/>
      <family val="2"/>
    </font>
    <font>
      <b/>
      <sz val="10"/>
      <color rgb="FFFF0000"/>
      <name val="Arial"/>
      <family val="2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12"/>
      <color rgb="FFFFFFFF"/>
      <name val="Calibri"/>
      <family val="2"/>
    </font>
    <font>
      <u/>
      <sz val="12"/>
      <color theme="10"/>
      <name val="Arial"/>
      <family val="2"/>
    </font>
    <font>
      <i/>
      <sz val="12"/>
      <color rgb="FF000000"/>
      <name val="Calibri"/>
      <family val="2"/>
    </font>
    <font>
      <u/>
      <sz val="12"/>
      <color rgb="FF0563C1"/>
      <name val="Calibri"/>
      <family val="2"/>
    </font>
    <font>
      <sz val="12"/>
      <color rgb="FF000000"/>
      <name val="Arial"/>
      <family val="2"/>
    </font>
    <font>
      <b/>
      <sz val="12"/>
      <color rgb="FFFF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33CC33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rgb="FF000000"/>
      </patternFill>
    </fill>
  </fills>
  <borders count="4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E5E5E5"/>
      </left>
      <right/>
      <top/>
      <bottom style="thin">
        <color rgb="FFE5E5E5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theme="1"/>
      </top>
      <bottom/>
      <diagonal/>
    </border>
    <border>
      <left/>
      <right style="thin">
        <color auto="1"/>
      </right>
      <top/>
      <bottom style="medium">
        <color theme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24" fillId="0" borderId="0"/>
  </cellStyleXfs>
  <cellXfs count="369">
    <xf numFmtId="0" fontId="0" fillId="0" borderId="0" xfId="0"/>
    <xf numFmtId="0" fontId="0" fillId="2" borderId="0" xfId="0" applyFill="1"/>
    <xf numFmtId="0" fontId="2" fillId="0" borderId="0" xfId="0" applyFont="1"/>
    <xf numFmtId="0" fontId="8" fillId="2" borderId="0" xfId="0" applyFont="1" applyFill="1" applyAlignment="1">
      <alignment horizontal="left" vertical="center" indent="1"/>
    </xf>
    <xf numFmtId="0" fontId="7" fillId="2" borderId="0" xfId="0" applyFont="1" applyFill="1" applyAlignment="1">
      <alignment vertical="center"/>
    </xf>
    <xf numFmtId="164" fontId="10" fillId="2" borderId="0" xfId="0" applyNumberFormat="1" applyFont="1" applyFill="1" applyAlignment="1">
      <alignment vertical="center" wrapText="1"/>
    </xf>
    <xf numFmtId="164" fontId="10" fillId="2" borderId="0" xfId="0" applyNumberFormat="1" applyFont="1" applyFill="1" applyAlignment="1">
      <alignment horizontal="center" vertical="center" wrapText="1"/>
    </xf>
    <xf numFmtId="164" fontId="10" fillId="2" borderId="0" xfId="0" applyNumberFormat="1" applyFont="1" applyFill="1" applyAlignment="1">
      <alignment horizontal="center" vertical="center"/>
    </xf>
    <xf numFmtId="164" fontId="10" fillId="2" borderId="0" xfId="0" applyNumberFormat="1" applyFont="1" applyFill="1"/>
    <xf numFmtId="164" fontId="11" fillId="2" borderId="0" xfId="0" applyNumberFormat="1" applyFont="1" applyFill="1" applyAlignment="1">
      <alignment vertical="center" wrapText="1"/>
    </xf>
    <xf numFmtId="164" fontId="11" fillId="2" borderId="0" xfId="0" applyNumberFormat="1" applyFont="1" applyFill="1" applyAlignment="1">
      <alignment horizontal="center" vertical="center" wrapText="1"/>
    </xf>
    <xf numFmtId="164" fontId="11" fillId="5" borderId="0" xfId="2" applyNumberFormat="1" applyFont="1" applyFill="1" applyAlignment="1">
      <alignment horizontal="center" vertical="center" wrapText="1"/>
    </xf>
    <xf numFmtId="164" fontId="11" fillId="5" borderId="0" xfId="2" applyNumberFormat="1" applyFont="1" applyFill="1" applyBorder="1" applyAlignment="1">
      <alignment horizontal="center" vertical="center" wrapText="1"/>
    </xf>
    <xf numFmtId="164" fontId="11" fillId="5" borderId="14" xfId="2" applyNumberFormat="1" applyFont="1" applyFill="1" applyBorder="1" applyAlignment="1">
      <alignment horizontal="center" vertical="center" wrapText="1"/>
    </xf>
    <xf numFmtId="164" fontId="12" fillId="5" borderId="0" xfId="0" applyNumberFormat="1" applyFont="1" applyFill="1" applyAlignment="1">
      <alignment horizontal="center"/>
    </xf>
    <xf numFmtId="9" fontId="13" fillId="2" borderId="0" xfId="1" applyFont="1" applyFill="1"/>
    <xf numFmtId="164" fontId="10" fillId="2" borderId="0" xfId="0" applyNumberFormat="1" applyFont="1" applyFill="1" applyAlignment="1">
      <alignment horizontal="right" vertical="center"/>
    </xf>
    <xf numFmtId="164" fontId="11" fillId="2" borderId="13" xfId="0" applyNumberFormat="1" applyFont="1" applyFill="1" applyBorder="1" applyAlignment="1">
      <alignment vertical="center" wrapText="1"/>
    </xf>
    <xf numFmtId="9" fontId="10" fillId="2" borderId="0" xfId="1" applyFont="1" applyFill="1"/>
    <xf numFmtId="164" fontId="10" fillId="8" borderId="0" xfId="0" applyNumberFormat="1" applyFont="1" applyFill="1" applyAlignment="1">
      <alignment vertical="center" wrapText="1"/>
    </xf>
    <xf numFmtId="164" fontId="13" fillId="2" borderId="0" xfId="0" applyNumberFormat="1" applyFont="1" applyFill="1"/>
    <xf numFmtId="164" fontId="10" fillId="0" borderId="0" xfId="0" applyNumberFormat="1" applyFont="1"/>
    <xf numFmtId="9" fontId="11" fillId="2" borderId="0" xfId="1" applyFont="1" applyFill="1"/>
    <xf numFmtId="164" fontId="11" fillId="2" borderId="0" xfId="0" applyNumberFormat="1" applyFont="1" applyFill="1"/>
    <xf numFmtId="164" fontId="10" fillId="0" borderId="0" xfId="0" applyNumberFormat="1" applyFont="1" applyAlignment="1">
      <alignment vertical="center" wrapText="1"/>
    </xf>
    <xf numFmtId="164" fontId="14" fillId="2" borderId="0" xfId="0" applyNumberFormat="1" applyFont="1" applyFill="1"/>
    <xf numFmtId="167" fontId="10" fillId="2" borderId="0" xfId="0" applyNumberFormat="1" applyFont="1" applyFill="1"/>
    <xf numFmtId="43" fontId="10" fillId="2" borderId="0" xfId="0" applyNumberFormat="1" applyFont="1" applyFill="1"/>
    <xf numFmtId="0" fontId="10" fillId="0" borderId="0" xfId="0" applyFont="1" applyAlignment="1">
      <alignment wrapText="1"/>
    </xf>
    <xf numFmtId="164" fontId="11" fillId="0" borderId="0" xfId="0" applyNumberFormat="1" applyFont="1" applyAlignment="1">
      <alignment vertical="center" wrapText="1"/>
    </xf>
    <xf numFmtId="167" fontId="11" fillId="2" borderId="0" xfId="0" applyNumberFormat="1" applyFont="1" applyFill="1"/>
    <xf numFmtId="164" fontId="10" fillId="6" borderId="0" xfId="0" applyNumberFormat="1" applyFont="1" applyFill="1" applyAlignment="1">
      <alignment vertical="center" wrapText="1"/>
    </xf>
    <xf numFmtId="164" fontId="10" fillId="6" borderId="0" xfId="0" applyNumberFormat="1" applyFont="1" applyFill="1" applyAlignment="1">
      <alignment horizontal="center" vertical="center" wrapText="1"/>
    </xf>
    <xf numFmtId="164" fontId="10" fillId="6" borderId="0" xfId="0" applyNumberFormat="1" applyFont="1" applyFill="1" applyAlignment="1">
      <alignment horizontal="center" vertical="center"/>
    </xf>
    <xf numFmtId="164" fontId="10" fillId="6" borderId="14" xfId="0" applyNumberFormat="1" applyFont="1" applyFill="1" applyBorder="1" applyAlignment="1">
      <alignment horizontal="center" vertical="center"/>
    </xf>
    <xf numFmtId="164" fontId="10" fillId="2" borderId="14" xfId="0" applyNumberFormat="1" applyFont="1" applyFill="1" applyBorder="1" applyAlignment="1">
      <alignment horizontal="center" vertical="center"/>
    </xf>
    <xf numFmtId="164" fontId="11" fillId="7" borderId="0" xfId="0" applyNumberFormat="1" applyFont="1" applyFill="1" applyAlignment="1">
      <alignment horizontal="center" vertical="center" wrapText="1"/>
    </xf>
    <xf numFmtId="164" fontId="10" fillId="2" borderId="13" xfId="0" applyNumberFormat="1" applyFont="1" applyFill="1" applyBorder="1"/>
    <xf numFmtId="0" fontId="7" fillId="7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0" fillId="2" borderId="0" xfId="0" applyFont="1" applyFill="1"/>
    <xf numFmtId="0" fontId="11" fillId="2" borderId="0" xfId="0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vertical="center" wrapText="1"/>
    </xf>
    <xf numFmtId="0" fontId="11" fillId="0" borderId="0" xfId="0" applyFont="1"/>
    <xf numFmtId="0" fontId="10" fillId="0" borderId="0" xfId="0" applyFont="1"/>
    <xf numFmtId="10" fontId="10" fillId="0" borderId="0" xfId="1" applyNumberFormat="1" applyFont="1"/>
    <xf numFmtId="0" fontId="16" fillId="0" borderId="0" xfId="0" applyFont="1"/>
    <xf numFmtId="0" fontId="17" fillId="0" borderId="0" xfId="0" applyFont="1" applyAlignment="1">
      <alignment horizontal="left" vertical="center" wrapText="1"/>
    </xf>
    <xf numFmtId="0" fontId="18" fillId="0" borderId="0" xfId="4" applyFont="1"/>
    <xf numFmtId="0" fontId="11" fillId="2" borderId="22" xfId="0" applyFont="1" applyFill="1" applyBorder="1" applyAlignment="1">
      <alignment horizontal="center" vertical="center" wrapText="1"/>
    </xf>
    <xf numFmtId="0" fontId="10" fillId="2" borderId="0" xfId="0" quotePrefix="1" applyFont="1" applyFill="1" applyAlignment="1">
      <alignment vertical="center" wrapText="1"/>
    </xf>
    <xf numFmtId="0" fontId="10" fillId="2" borderId="19" xfId="0" applyFont="1" applyFill="1" applyBorder="1" applyAlignment="1">
      <alignment vertical="center" wrapText="1"/>
    </xf>
    <xf numFmtId="0" fontId="10" fillId="2" borderId="13" xfId="0" applyFont="1" applyFill="1" applyBorder="1" applyAlignment="1">
      <alignment vertical="center" wrapText="1"/>
    </xf>
    <xf numFmtId="0" fontId="11" fillId="2" borderId="21" xfId="0" applyFont="1" applyFill="1" applyBorder="1" applyAlignment="1">
      <alignment vertical="center" wrapText="1"/>
    </xf>
    <xf numFmtId="164" fontId="10" fillId="2" borderId="0" xfId="2" applyNumberFormat="1" applyFont="1" applyFill="1"/>
    <xf numFmtId="0" fontId="13" fillId="2" borderId="0" xfId="0" applyFont="1" applyFill="1" applyAlignment="1">
      <alignment horizontal="right"/>
    </xf>
    <xf numFmtId="0" fontId="19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3" fillId="2" borderId="0" xfId="0" applyFont="1" applyFill="1" applyAlignment="1">
      <alignment horizontal="left"/>
    </xf>
    <xf numFmtId="164" fontId="10" fillId="2" borderId="12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wrapText="1"/>
    </xf>
    <xf numFmtId="3" fontId="10" fillId="2" borderId="12" xfId="0" applyNumberFormat="1" applyFont="1" applyFill="1" applyBorder="1" applyAlignment="1">
      <alignment wrapText="1"/>
    </xf>
    <xf numFmtId="3" fontId="10" fillId="2" borderId="0" xfId="0" applyNumberFormat="1" applyFont="1" applyFill="1" applyAlignment="1">
      <alignment wrapText="1"/>
    </xf>
    <xf numFmtId="0" fontId="11" fillId="2" borderId="0" xfId="2" applyNumberFormat="1" applyFont="1" applyFill="1" applyAlignment="1">
      <alignment horizontal="center" vertical="center" wrapText="1"/>
    </xf>
    <xf numFmtId="0" fontId="12" fillId="2" borderId="0" xfId="0" applyFont="1" applyFill="1"/>
    <xf numFmtId="0" fontId="11" fillId="5" borderId="22" xfId="0" applyFont="1" applyFill="1" applyBorder="1" applyAlignment="1">
      <alignment horizontal="center" vertical="center" wrapText="1"/>
    </xf>
    <xf numFmtId="0" fontId="11" fillId="5" borderId="22" xfId="2" applyNumberFormat="1" applyFont="1" applyFill="1" applyBorder="1" applyAlignment="1">
      <alignment horizontal="center" vertical="center" wrapText="1"/>
    </xf>
    <xf numFmtId="0" fontId="11" fillId="5" borderId="23" xfId="2" applyNumberFormat="1" applyFont="1" applyFill="1" applyBorder="1" applyAlignment="1">
      <alignment horizontal="center" vertical="center" wrapText="1"/>
    </xf>
    <xf numFmtId="0" fontId="20" fillId="0" borderId="0" xfId="0" applyFont="1"/>
    <xf numFmtId="2" fontId="10" fillId="0" borderId="0" xfId="0" applyNumberFormat="1" applyFont="1" applyAlignment="1">
      <alignment horizontal="center" vertical="center"/>
    </xf>
    <xf numFmtId="0" fontId="10" fillId="0" borderId="0" xfId="0" quotePrefix="1" applyFont="1"/>
    <xf numFmtId="0" fontId="10" fillId="3" borderId="0" xfId="0" applyFont="1" applyFill="1"/>
    <xf numFmtId="2" fontId="10" fillId="0" borderId="0" xfId="0" applyNumberFormat="1" applyFont="1" applyAlignment="1">
      <alignment horizontal="left" vertical="center"/>
    </xf>
    <xf numFmtId="0" fontId="10" fillId="4" borderId="0" xfId="0" applyFont="1" applyFill="1"/>
    <xf numFmtId="0" fontId="15" fillId="0" borderId="0" xfId="0" applyFont="1" applyAlignment="1">
      <alignment vertical="top" wrapText="1"/>
    </xf>
    <xf numFmtId="0" fontId="20" fillId="0" borderId="0" xfId="0" applyFont="1" applyAlignment="1">
      <alignment vertical="top" wrapText="1"/>
    </xf>
    <xf numFmtId="0" fontId="11" fillId="10" borderId="16" xfId="0" applyFont="1" applyFill="1" applyBorder="1"/>
    <xf numFmtId="0" fontId="10" fillId="0" borderId="16" xfId="0" applyFont="1" applyBorder="1"/>
    <xf numFmtId="0" fontId="10" fillId="0" borderId="25" xfId="0" applyFont="1" applyBorder="1"/>
    <xf numFmtId="0" fontId="16" fillId="0" borderId="16" xfId="0" applyFont="1" applyBorder="1"/>
    <xf numFmtId="0" fontId="11" fillId="11" borderId="16" xfId="0" applyFont="1" applyFill="1" applyBorder="1"/>
    <xf numFmtId="0" fontId="10" fillId="12" borderId="16" xfId="0" applyFont="1" applyFill="1" applyBorder="1"/>
    <xf numFmtId="0" fontId="10" fillId="12" borderId="25" xfId="0" applyFont="1" applyFill="1" applyBorder="1"/>
    <xf numFmtId="0" fontId="16" fillId="12" borderId="16" xfId="0" applyFont="1" applyFill="1" applyBorder="1"/>
    <xf numFmtId="164" fontId="10" fillId="0" borderId="0" xfId="2" applyNumberFormat="1" applyFont="1" applyFill="1" applyBorder="1" applyAlignment="1">
      <alignment horizontal="center" vertical="center" wrapText="1"/>
    </xf>
    <xf numFmtId="164" fontId="10" fillId="0" borderId="14" xfId="2" applyNumberFormat="1" applyFont="1" applyFill="1" applyBorder="1" applyAlignment="1">
      <alignment horizontal="center" vertical="center" wrapText="1"/>
    </xf>
    <xf numFmtId="0" fontId="11" fillId="9" borderId="16" xfId="0" applyFont="1" applyFill="1" applyBorder="1"/>
    <xf numFmtId="0" fontId="5" fillId="1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2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4" fontId="0" fillId="0" borderId="0" xfId="0" applyNumberFormat="1"/>
    <xf numFmtId="4" fontId="2" fillId="0" borderId="0" xfId="0" applyNumberFormat="1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9" fontId="2" fillId="0" borderId="0" xfId="1" applyFont="1" applyAlignment="1">
      <alignment vertical="center" wrapText="1"/>
    </xf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9" fontId="10" fillId="0" borderId="0" xfId="1" applyFont="1"/>
    <xf numFmtId="9" fontId="10" fillId="0" borderId="14" xfId="1" applyFont="1" applyBorder="1"/>
    <xf numFmtId="164" fontId="10" fillId="2" borderId="0" xfId="0" quotePrefix="1" applyNumberFormat="1" applyFont="1" applyFill="1"/>
    <xf numFmtId="9" fontId="10" fillId="0" borderId="16" xfId="1" applyFont="1" applyFill="1" applyBorder="1"/>
    <xf numFmtId="0" fontId="12" fillId="5" borderId="22" xfId="0" applyFont="1" applyFill="1" applyBorder="1" applyAlignment="1">
      <alignment horizontal="center" vertical="center"/>
    </xf>
    <xf numFmtId="0" fontId="23" fillId="2" borderId="0" xfId="0" applyFont="1" applyFill="1"/>
    <xf numFmtId="0" fontId="10" fillId="0" borderId="0" xfId="0" applyFont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10" fillId="0" borderId="14" xfId="0" applyNumberFormat="1" applyFont="1" applyBorder="1" applyAlignment="1">
      <alignment horizontal="center" vertical="center"/>
    </xf>
    <xf numFmtId="166" fontId="16" fillId="0" borderId="0" xfId="0" applyNumberFormat="1" applyFont="1" applyAlignment="1">
      <alignment horizontal="center" vertical="center"/>
    </xf>
    <xf numFmtId="166" fontId="10" fillId="0" borderId="0" xfId="1" applyNumberFormat="1" applyFont="1" applyFill="1" applyAlignment="1">
      <alignment horizontal="center" vertical="center"/>
    </xf>
    <xf numFmtId="166" fontId="10" fillId="0" borderId="14" xfId="1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2" fontId="10" fillId="0" borderId="14" xfId="0" applyNumberFormat="1" applyFont="1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3" fontId="10" fillId="0" borderId="14" xfId="0" applyNumberFormat="1" applyFont="1" applyBorder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9" fontId="10" fillId="2" borderId="0" xfId="1" applyFont="1" applyFill="1" applyAlignment="1">
      <alignment horizontal="center" vertical="center" wrapText="1"/>
    </xf>
    <xf numFmtId="9" fontId="10" fillId="2" borderId="0" xfId="1" applyFont="1" applyFill="1" applyBorder="1" applyAlignment="1">
      <alignment horizontal="center" vertical="center" wrapText="1"/>
    </xf>
    <xf numFmtId="9" fontId="10" fillId="2" borderId="28" xfId="1" applyFont="1" applyFill="1" applyBorder="1" applyAlignment="1">
      <alignment horizontal="center" vertical="center" wrapText="1"/>
    </xf>
    <xf numFmtId="9" fontId="10" fillId="2" borderId="0" xfId="1" applyFont="1" applyFill="1" applyAlignment="1">
      <alignment horizontal="center" vertical="center"/>
    </xf>
    <xf numFmtId="9" fontId="13" fillId="2" borderId="0" xfId="1" applyFont="1" applyFill="1" applyBorder="1" applyAlignment="1">
      <alignment horizontal="center" vertical="center" wrapText="1"/>
    </xf>
    <xf numFmtId="168" fontId="10" fillId="2" borderId="0" xfId="0" applyNumberFormat="1" applyFont="1" applyFill="1" applyAlignment="1">
      <alignment horizontal="center" vertical="center" wrapText="1"/>
    </xf>
    <xf numFmtId="168" fontId="10" fillId="2" borderId="0" xfId="0" applyNumberFormat="1" applyFont="1" applyFill="1" applyAlignment="1">
      <alignment horizontal="center" vertical="center"/>
    </xf>
    <xf numFmtId="168" fontId="10" fillId="2" borderId="13" xfId="0" applyNumberFormat="1" applyFont="1" applyFill="1" applyBorder="1" applyAlignment="1">
      <alignment horizontal="center" vertical="center" wrapText="1"/>
    </xf>
    <xf numFmtId="168" fontId="10" fillId="2" borderId="15" xfId="0" applyNumberFormat="1" applyFont="1" applyFill="1" applyBorder="1" applyAlignment="1">
      <alignment horizontal="center" vertical="center" wrapText="1"/>
    </xf>
    <xf numFmtId="37" fontId="10" fillId="2" borderId="0" xfId="0" applyNumberFormat="1" applyFont="1" applyFill="1" applyAlignment="1">
      <alignment horizontal="center" vertical="center" wrapText="1"/>
    </xf>
    <xf numFmtId="37" fontId="10" fillId="2" borderId="14" xfId="0" applyNumberFormat="1" applyFont="1" applyFill="1" applyBorder="1" applyAlignment="1">
      <alignment horizontal="center" vertical="center" wrapText="1"/>
    </xf>
    <xf numFmtId="37" fontId="10" fillId="2" borderId="0" xfId="0" applyNumberFormat="1" applyFont="1" applyFill="1" applyAlignment="1">
      <alignment horizontal="center" vertical="center"/>
    </xf>
    <xf numFmtId="37" fontId="10" fillId="0" borderId="0" xfId="0" applyNumberFormat="1" applyFont="1" applyAlignment="1">
      <alignment horizontal="center" vertical="center" wrapText="1"/>
    </xf>
    <xf numFmtId="37" fontId="10" fillId="0" borderId="14" xfId="0" applyNumberFormat="1" applyFont="1" applyBorder="1" applyAlignment="1">
      <alignment horizontal="center" vertical="center" wrapText="1"/>
    </xf>
    <xf numFmtId="37" fontId="10" fillId="2" borderId="13" xfId="0" applyNumberFormat="1" applyFont="1" applyFill="1" applyBorder="1" applyAlignment="1">
      <alignment horizontal="center" vertical="center" wrapText="1"/>
    </xf>
    <xf numFmtId="37" fontId="10" fillId="2" borderId="15" xfId="0" applyNumberFormat="1" applyFont="1" applyFill="1" applyBorder="1" applyAlignment="1">
      <alignment horizontal="center" vertical="center" wrapText="1"/>
    </xf>
    <xf numFmtId="37" fontId="10" fillId="2" borderId="13" xfId="0" applyNumberFormat="1" applyFont="1" applyFill="1" applyBorder="1" applyAlignment="1">
      <alignment horizontal="center" vertical="center"/>
    </xf>
    <xf numFmtId="37" fontId="23" fillId="0" borderId="0" xfId="2" applyNumberFormat="1" applyFont="1" applyBorder="1" applyAlignment="1">
      <alignment horizontal="center" vertical="center" wrapText="1"/>
    </xf>
    <xf numFmtId="37" fontId="10" fillId="0" borderId="0" xfId="2" applyNumberFormat="1" applyFont="1" applyBorder="1" applyAlignment="1">
      <alignment horizontal="center" vertical="center" wrapText="1"/>
    </xf>
    <xf numFmtId="37" fontId="23" fillId="2" borderId="0" xfId="0" applyNumberFormat="1" applyFont="1" applyFill="1" applyAlignment="1">
      <alignment horizontal="center" vertical="center"/>
    </xf>
    <xf numFmtId="37" fontId="11" fillId="2" borderId="13" xfId="0" applyNumberFormat="1" applyFont="1" applyFill="1" applyBorder="1" applyAlignment="1">
      <alignment horizontal="center" vertical="center" wrapText="1"/>
    </xf>
    <xf numFmtId="37" fontId="11" fillId="2" borderId="15" xfId="0" applyNumberFormat="1" applyFont="1" applyFill="1" applyBorder="1" applyAlignment="1">
      <alignment horizontal="center" vertical="center" wrapText="1"/>
    </xf>
    <xf numFmtId="37" fontId="11" fillId="2" borderId="13" xfId="0" applyNumberFormat="1" applyFont="1" applyFill="1" applyBorder="1" applyAlignment="1">
      <alignment horizontal="center" vertical="center"/>
    </xf>
    <xf numFmtId="37" fontId="23" fillId="2" borderId="0" xfId="3" applyNumberFormat="1" applyFont="1" applyFill="1" applyAlignment="1">
      <alignment horizontal="center" vertical="center"/>
    </xf>
    <xf numFmtId="37" fontId="10" fillId="2" borderId="0" xfId="3" applyNumberFormat="1" applyFont="1" applyFill="1" applyBorder="1" applyAlignment="1">
      <alignment horizontal="center" vertical="center"/>
    </xf>
    <xf numFmtId="37" fontId="10" fillId="0" borderId="0" xfId="3" applyNumberFormat="1" applyFont="1" applyFill="1" applyBorder="1" applyAlignment="1">
      <alignment horizontal="center" vertical="center"/>
    </xf>
    <xf numFmtId="37" fontId="10" fillId="2" borderId="13" xfId="3" applyNumberFormat="1" applyFont="1" applyFill="1" applyBorder="1" applyAlignment="1">
      <alignment horizontal="center" vertical="center"/>
    </xf>
    <xf numFmtId="37" fontId="10" fillId="0" borderId="0" xfId="0" applyNumberFormat="1" applyFont="1" applyAlignment="1">
      <alignment horizontal="center" vertical="center"/>
    </xf>
    <xf numFmtId="37" fontId="10" fillId="11" borderId="0" xfId="0" applyNumberFormat="1" applyFont="1" applyFill="1" applyAlignment="1">
      <alignment horizontal="center" vertical="center" wrapText="1"/>
    </xf>
    <xf numFmtId="37" fontId="10" fillId="2" borderId="14" xfId="1" applyNumberFormat="1" applyFont="1" applyFill="1" applyBorder="1" applyAlignment="1">
      <alignment horizontal="center" vertical="center" wrapText="1"/>
    </xf>
    <xf numFmtId="37" fontId="10" fillId="2" borderId="14" xfId="0" applyNumberFormat="1" applyFont="1" applyFill="1" applyBorder="1" applyAlignment="1">
      <alignment horizontal="center" vertical="center"/>
    </xf>
    <xf numFmtId="37" fontId="10" fillId="2" borderId="15" xfId="0" applyNumberFormat="1" applyFont="1" applyFill="1" applyBorder="1" applyAlignment="1">
      <alignment horizontal="center" vertical="center"/>
    </xf>
    <xf numFmtId="37" fontId="10" fillId="0" borderId="14" xfId="0" applyNumberFormat="1" applyFont="1" applyBorder="1" applyAlignment="1">
      <alignment horizontal="center" vertical="center"/>
    </xf>
    <xf numFmtId="168" fontId="10" fillId="2" borderId="0" xfId="3" applyNumberFormat="1" applyFont="1" applyFill="1" applyBorder="1" applyAlignment="1">
      <alignment horizontal="center" vertical="center" wrapText="1"/>
    </xf>
    <xf numFmtId="168" fontId="10" fillId="2" borderId="26" xfId="3" applyNumberFormat="1" applyFont="1" applyFill="1" applyBorder="1" applyAlignment="1">
      <alignment horizontal="center" vertical="center" wrapText="1"/>
    </xf>
    <xf numFmtId="168" fontId="10" fillId="2" borderId="0" xfId="3" applyNumberFormat="1" applyFont="1" applyFill="1" applyAlignment="1">
      <alignment horizontal="center" vertical="center"/>
    </xf>
    <xf numFmtId="168" fontId="10" fillId="2" borderId="0" xfId="2" applyNumberFormat="1" applyFont="1" applyFill="1" applyBorder="1" applyAlignment="1">
      <alignment horizontal="center" vertical="center" wrapText="1"/>
    </xf>
    <xf numFmtId="168" fontId="10" fillId="2" borderId="14" xfId="2" applyNumberFormat="1" applyFont="1" applyFill="1" applyBorder="1" applyAlignment="1">
      <alignment horizontal="center" vertical="center" wrapText="1"/>
    </xf>
    <xf numFmtId="168" fontId="10" fillId="2" borderId="14" xfId="3" applyNumberFormat="1" applyFont="1" applyFill="1" applyBorder="1" applyAlignment="1">
      <alignment horizontal="center" vertical="center" wrapText="1"/>
    </xf>
    <xf numFmtId="168" fontId="10" fillId="2" borderId="0" xfId="3" applyNumberFormat="1" applyFont="1" applyFill="1" applyAlignment="1">
      <alignment horizontal="center" vertical="center" wrapText="1"/>
    </xf>
    <xf numFmtId="168" fontId="10" fillId="2" borderId="17" xfId="0" applyNumberFormat="1" applyFont="1" applyFill="1" applyBorder="1" applyAlignment="1">
      <alignment horizontal="center" vertical="center" wrapText="1"/>
    </xf>
    <xf numFmtId="168" fontId="10" fillId="2" borderId="17" xfId="2" applyNumberFormat="1" applyFont="1" applyFill="1" applyBorder="1" applyAlignment="1">
      <alignment horizontal="center" vertical="center" wrapText="1"/>
    </xf>
    <xf numFmtId="168" fontId="10" fillId="2" borderId="18" xfId="2" applyNumberFormat="1" applyFont="1" applyFill="1" applyBorder="1" applyAlignment="1">
      <alignment horizontal="center" vertical="center" wrapText="1"/>
    </xf>
    <xf numFmtId="168" fontId="10" fillId="2" borderId="19" xfId="0" applyNumberFormat="1" applyFont="1" applyFill="1" applyBorder="1" applyAlignment="1">
      <alignment horizontal="center" vertical="center" wrapText="1"/>
    </xf>
    <xf numFmtId="168" fontId="10" fillId="2" borderId="20" xfId="0" applyNumberFormat="1" applyFont="1" applyFill="1" applyBorder="1" applyAlignment="1">
      <alignment horizontal="center" vertical="center" wrapText="1"/>
    </xf>
    <xf numFmtId="168" fontId="11" fillId="2" borderId="0" xfId="0" applyNumberFormat="1" applyFont="1" applyFill="1" applyAlignment="1">
      <alignment horizontal="center" vertical="center" wrapText="1"/>
    </xf>
    <xf numFmtId="168" fontId="11" fillId="2" borderId="21" xfId="0" applyNumberFormat="1" applyFont="1" applyFill="1" applyBorder="1" applyAlignment="1">
      <alignment horizontal="center" vertical="center" wrapText="1"/>
    </xf>
    <xf numFmtId="168" fontId="11" fillId="2" borderId="26" xfId="0" applyNumberFormat="1" applyFont="1" applyFill="1" applyBorder="1" applyAlignment="1">
      <alignment horizontal="center" vertical="center" wrapText="1"/>
    </xf>
    <xf numFmtId="168" fontId="11" fillId="2" borderId="21" xfId="0" applyNumberFormat="1" applyFont="1" applyFill="1" applyBorder="1" applyAlignment="1">
      <alignment horizontal="center" vertical="center"/>
    </xf>
    <xf numFmtId="0" fontId="11" fillId="13" borderId="16" xfId="0" applyFont="1" applyFill="1" applyBorder="1" applyAlignment="1">
      <alignment horizontal="center" vertical="center"/>
    </xf>
    <xf numFmtId="1" fontId="11" fillId="13" borderId="16" xfId="0" applyNumberFormat="1" applyFont="1" applyFill="1" applyBorder="1" applyAlignment="1">
      <alignment horizontal="center" vertical="center"/>
    </xf>
    <xf numFmtId="1" fontId="11" fillId="13" borderId="25" xfId="0" applyNumberFormat="1" applyFont="1" applyFill="1" applyBorder="1" applyAlignment="1">
      <alignment horizontal="center" vertical="center"/>
    </xf>
    <xf numFmtId="1" fontId="12" fillId="13" borderId="16" xfId="0" applyNumberFormat="1" applyFont="1" applyFill="1" applyBorder="1" applyAlignment="1">
      <alignment horizontal="center" vertical="center"/>
    </xf>
    <xf numFmtId="39" fontId="10" fillId="2" borderId="0" xfId="0" applyNumberFormat="1" applyFont="1" applyFill="1" applyAlignment="1">
      <alignment horizontal="center" vertical="center" wrapText="1"/>
    </xf>
    <xf numFmtId="39" fontId="10" fillId="2" borderId="14" xfId="0" applyNumberFormat="1" applyFont="1" applyFill="1" applyBorder="1" applyAlignment="1">
      <alignment horizontal="center" vertical="center" wrapText="1"/>
    </xf>
    <xf numFmtId="39" fontId="10" fillId="2" borderId="0" xfId="0" applyNumberFormat="1" applyFont="1" applyFill="1" applyAlignment="1">
      <alignment horizontal="center" vertical="center"/>
    </xf>
    <xf numFmtId="37" fontId="10" fillId="11" borderId="29" xfId="0" applyNumberFormat="1" applyFont="1" applyFill="1" applyBorder="1" applyAlignment="1">
      <alignment horizontal="center" vertical="center" wrapText="1"/>
    </xf>
    <xf numFmtId="164" fontId="10" fillId="2" borderId="29" xfId="0" applyNumberFormat="1" applyFont="1" applyFill="1" applyBorder="1" applyAlignment="1">
      <alignment horizontal="center" vertical="center" wrapText="1"/>
    </xf>
    <xf numFmtId="37" fontId="23" fillId="2" borderId="0" xfId="0" applyNumberFormat="1" applyFont="1" applyFill="1"/>
    <xf numFmtId="169" fontId="10" fillId="2" borderId="0" xfId="1" applyNumberFormat="1" applyFont="1" applyFill="1" applyAlignment="1">
      <alignment horizontal="center" vertical="center"/>
    </xf>
    <xf numFmtId="164" fontId="11" fillId="0" borderId="0" xfId="0" applyNumberFormat="1" applyFont="1"/>
    <xf numFmtId="164" fontId="11" fillId="0" borderId="0" xfId="1" applyNumberFormat="1" applyFont="1" applyFill="1"/>
    <xf numFmtId="9" fontId="11" fillId="0" borderId="0" xfId="1" applyFont="1" applyFill="1"/>
    <xf numFmtId="2" fontId="10" fillId="3" borderId="0" xfId="0" applyNumberFormat="1" applyFont="1" applyFill="1" applyAlignment="1">
      <alignment horizontal="center" vertical="center"/>
    </xf>
    <xf numFmtId="2" fontId="10" fillId="3" borderId="14" xfId="0" applyNumberFormat="1" applyFont="1" applyFill="1" applyBorder="1" applyAlignment="1">
      <alignment horizontal="center" vertical="center"/>
    </xf>
    <xf numFmtId="0" fontId="11" fillId="5" borderId="0" xfId="2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168" fontId="10" fillId="2" borderId="14" xfId="0" applyNumberFormat="1" applyFont="1" applyFill="1" applyBorder="1" applyAlignment="1">
      <alignment horizontal="center" vertical="center" wrapText="1"/>
    </xf>
    <xf numFmtId="168" fontId="10" fillId="2" borderId="14" xfId="0" applyNumberFormat="1" applyFont="1" applyFill="1" applyBorder="1" applyAlignment="1">
      <alignment horizontal="center" vertical="center"/>
    </xf>
    <xf numFmtId="168" fontId="10" fillId="2" borderId="29" xfId="0" applyNumberFormat="1" applyFont="1" applyFill="1" applyBorder="1" applyAlignment="1">
      <alignment horizontal="center" vertical="center" wrapText="1"/>
    </xf>
    <xf numFmtId="168" fontId="10" fillId="2" borderId="31" xfId="0" applyNumberFormat="1" applyFont="1" applyFill="1" applyBorder="1" applyAlignment="1">
      <alignment horizontal="center" vertical="center" wrapText="1"/>
    </xf>
    <xf numFmtId="168" fontId="10" fillId="2" borderId="33" xfId="0" applyNumberFormat="1" applyFont="1" applyFill="1" applyBorder="1" applyAlignment="1">
      <alignment horizontal="center" vertical="center" wrapText="1"/>
    </xf>
    <xf numFmtId="168" fontId="10" fillId="2" borderId="21" xfId="0" applyNumberFormat="1" applyFont="1" applyFill="1" applyBorder="1" applyAlignment="1">
      <alignment horizontal="center" vertical="center" wrapText="1"/>
    </xf>
    <xf numFmtId="168" fontId="10" fillId="2" borderId="30" xfId="0" applyNumberFormat="1" applyFont="1" applyFill="1" applyBorder="1" applyAlignment="1">
      <alignment horizontal="center" vertical="center" wrapText="1"/>
    </xf>
    <xf numFmtId="168" fontId="10" fillId="2" borderId="24" xfId="0" applyNumberFormat="1" applyFont="1" applyFill="1" applyBorder="1" applyAlignment="1">
      <alignment horizontal="center" vertical="center" wrapText="1"/>
    </xf>
    <xf numFmtId="168" fontId="10" fillId="2" borderId="27" xfId="0" applyNumberFormat="1" applyFont="1" applyFill="1" applyBorder="1" applyAlignment="1">
      <alignment horizontal="center" vertical="center" wrapText="1"/>
    </xf>
    <xf numFmtId="168" fontId="10" fillId="2" borderId="24" xfId="0" applyNumberFormat="1" applyFont="1" applyFill="1" applyBorder="1" applyAlignment="1">
      <alignment horizontal="center" vertical="center"/>
    </xf>
    <xf numFmtId="168" fontId="10" fillId="2" borderId="34" xfId="0" applyNumberFormat="1" applyFont="1" applyFill="1" applyBorder="1" applyAlignment="1">
      <alignment horizontal="center" vertical="center"/>
    </xf>
    <xf numFmtId="168" fontId="10" fillId="2" borderId="32" xfId="0" applyNumberFormat="1" applyFont="1" applyFill="1" applyBorder="1" applyAlignment="1">
      <alignment horizontal="center" vertical="center" wrapText="1"/>
    </xf>
    <xf numFmtId="165" fontId="10" fillId="2" borderId="0" xfId="0" applyNumberFormat="1" applyFont="1" applyFill="1"/>
    <xf numFmtId="37" fontId="10" fillId="2" borderId="0" xfId="0" applyNumberFormat="1" applyFont="1" applyFill="1"/>
    <xf numFmtId="0" fontId="3" fillId="4" borderId="0" xfId="0" applyFont="1" applyFill="1" applyAlignment="1">
      <alignment horizontal="center" vertical="center" wrapText="1"/>
    </xf>
    <xf numFmtId="0" fontId="25" fillId="4" borderId="0" xfId="0" applyFont="1" applyFill="1"/>
    <xf numFmtId="0" fontId="25" fillId="4" borderId="0" xfId="0" applyFont="1" applyFill="1" applyAlignment="1">
      <alignment horizontal="center" vertical="center" wrapText="1"/>
    </xf>
    <xf numFmtId="9" fontId="26" fillId="2" borderId="0" xfId="1" applyFont="1" applyFill="1" applyBorder="1" applyAlignment="1">
      <alignment horizontal="right" vertical="center" wrapText="1"/>
    </xf>
    <xf numFmtId="9" fontId="26" fillId="2" borderId="14" xfId="1" applyFont="1" applyFill="1" applyBorder="1" applyAlignment="1">
      <alignment horizontal="right" vertical="center" wrapText="1"/>
    </xf>
    <xf numFmtId="9" fontId="26" fillId="2" borderId="0" xfId="1" applyFont="1" applyFill="1" applyAlignment="1">
      <alignment horizontal="right" vertical="center" wrapText="1"/>
    </xf>
    <xf numFmtId="37" fontId="10" fillId="0" borderId="0" xfId="2" applyNumberFormat="1" applyFont="1" applyAlignment="1">
      <alignment horizontal="center" vertical="center" wrapText="1"/>
    </xf>
    <xf numFmtId="170" fontId="10" fillId="0" borderId="0" xfId="0" applyNumberFormat="1" applyFont="1"/>
    <xf numFmtId="171" fontId="10" fillId="0" borderId="0" xfId="0" applyNumberFormat="1" applyFont="1"/>
    <xf numFmtId="168" fontId="10" fillId="2" borderId="0" xfId="0" applyNumberFormat="1" applyFont="1" applyFill="1"/>
    <xf numFmtId="164" fontId="23" fillId="2" borderId="0" xfId="0" applyNumberFormat="1" applyFont="1" applyFill="1" applyAlignment="1">
      <alignment horizontal="center" vertical="center"/>
    </xf>
    <xf numFmtId="37" fontId="10" fillId="12" borderId="0" xfId="3" applyNumberFormat="1" applyFont="1" applyFill="1" applyAlignment="1">
      <alignment horizontal="center" vertical="center" wrapText="1"/>
    </xf>
    <xf numFmtId="2" fontId="10" fillId="0" borderId="0" xfId="1" applyNumberFormat="1" applyFont="1" applyAlignment="1">
      <alignment horizontal="center" vertical="center"/>
    </xf>
    <xf numFmtId="2" fontId="10" fillId="0" borderId="14" xfId="1" applyNumberFormat="1" applyFont="1" applyBorder="1" applyAlignment="1">
      <alignment horizontal="center" vertical="center"/>
    </xf>
    <xf numFmtId="1" fontId="10" fillId="0" borderId="0" xfId="1" applyNumberFormat="1" applyFont="1" applyAlignment="1">
      <alignment horizontal="center" vertical="center"/>
    </xf>
    <xf numFmtId="1" fontId="10" fillId="0" borderId="14" xfId="1" applyNumberFormat="1" applyFon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/>
    </xf>
    <xf numFmtId="0" fontId="1" fillId="0" borderId="0" xfId="0" quotePrefix="1" applyFont="1" applyAlignment="1">
      <alignment horizontal="left" indent="1"/>
    </xf>
    <xf numFmtId="0" fontId="1" fillId="0" borderId="13" xfId="0" quotePrefix="1" applyFont="1" applyBorder="1"/>
    <xf numFmtId="0" fontId="10" fillId="0" borderId="0" xfId="0" applyFont="1" applyAlignment="1">
      <alignment vertical="center" wrapText="1"/>
    </xf>
    <xf numFmtId="168" fontId="10" fillId="0" borderId="0" xfId="0" applyNumberFormat="1" applyFont="1" applyAlignment="1">
      <alignment horizontal="center" vertical="center" wrapText="1"/>
    </xf>
    <xf numFmtId="168" fontId="10" fillId="0" borderId="14" xfId="0" applyNumberFormat="1" applyFont="1" applyBorder="1" applyAlignment="1">
      <alignment horizontal="center" vertical="center"/>
    </xf>
    <xf numFmtId="9" fontId="28" fillId="2" borderId="0" xfId="1" applyFont="1" applyFill="1" applyAlignment="1">
      <alignment horizontal="right" vertical="center" wrapText="1"/>
    </xf>
    <xf numFmtId="168" fontId="11" fillId="2" borderId="43" xfId="0" applyNumberFormat="1" applyFont="1" applyFill="1" applyBorder="1" applyAlignment="1">
      <alignment horizontal="center" vertical="center" wrapText="1"/>
    </xf>
    <xf numFmtId="9" fontId="28" fillId="2" borderId="14" xfId="1" applyFont="1" applyFill="1" applyBorder="1" applyAlignment="1">
      <alignment horizontal="right" vertical="center" wrapText="1"/>
    </xf>
    <xf numFmtId="166" fontId="16" fillId="0" borderId="0" xfId="1" applyNumberFormat="1" applyFont="1" applyAlignment="1">
      <alignment horizontal="center" vertical="center"/>
    </xf>
    <xf numFmtId="166" fontId="10" fillId="15" borderId="0" xfId="1" applyNumberFormat="1" applyFont="1" applyFill="1" applyBorder="1" applyAlignment="1">
      <alignment horizontal="center" vertical="center"/>
    </xf>
    <xf numFmtId="9" fontId="0" fillId="0" borderId="0" xfId="1" applyFont="1"/>
    <xf numFmtId="166" fontId="16" fillId="0" borderId="0" xfId="1" applyNumberFormat="1" applyFont="1" applyFill="1" applyAlignment="1">
      <alignment horizontal="center" vertical="center"/>
    </xf>
    <xf numFmtId="166" fontId="10" fillId="0" borderId="0" xfId="1" applyNumberFormat="1" applyFont="1" applyFill="1" applyBorder="1" applyAlignment="1">
      <alignment horizontal="center" vertical="center"/>
    </xf>
    <xf numFmtId="166" fontId="10" fillId="0" borderId="0" xfId="1" applyNumberFormat="1" applyFont="1" applyAlignment="1">
      <alignment horizontal="center" vertical="center"/>
    </xf>
    <xf numFmtId="166" fontId="10" fillId="15" borderId="0" xfId="1" applyNumberFormat="1" applyFont="1" applyFill="1" applyAlignment="1">
      <alignment horizontal="center" vertical="center"/>
    </xf>
    <xf numFmtId="166" fontId="10" fillId="0" borderId="14" xfId="1" applyNumberFormat="1" applyFont="1" applyBorder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6" fontId="10" fillId="0" borderId="14" xfId="0" applyNumberFormat="1" applyFont="1" applyBorder="1" applyAlignment="1">
      <alignment horizontal="center" vertical="center"/>
    </xf>
    <xf numFmtId="166" fontId="10" fillId="0" borderId="0" xfId="1" applyNumberFormat="1" applyFont="1" applyFill="1" applyBorder="1" applyAlignment="1">
      <alignment horizontal="center" vertical="center" wrapText="1"/>
    </xf>
    <xf numFmtId="166" fontId="10" fillId="0" borderId="14" xfId="1" applyNumberFormat="1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left" vertical="center" wrapText="1"/>
    </xf>
    <xf numFmtId="9" fontId="10" fillId="2" borderId="0" xfId="0" applyNumberFormat="1" applyFont="1" applyFill="1"/>
    <xf numFmtId="9" fontId="27" fillId="17" borderId="0" xfId="0" applyNumberFormat="1" applyFont="1" applyFill="1"/>
    <xf numFmtId="0" fontId="11" fillId="7" borderId="4" xfId="0" applyFont="1" applyFill="1" applyBorder="1"/>
    <xf numFmtId="0" fontId="11" fillId="5" borderId="5" xfId="2" applyNumberFormat="1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1" fillId="5" borderId="44" xfId="2" applyNumberFormat="1" applyFont="1" applyFill="1" applyBorder="1" applyAlignment="1">
      <alignment horizontal="center" vertical="center" wrapText="1"/>
    </xf>
    <xf numFmtId="166" fontId="10" fillId="0" borderId="44" xfId="1" applyNumberFormat="1" applyFont="1" applyFill="1" applyBorder="1" applyAlignment="1">
      <alignment horizontal="center" vertical="center"/>
    </xf>
    <xf numFmtId="166" fontId="10" fillId="0" borderId="0" xfId="0" applyNumberFormat="1" applyFont="1"/>
    <xf numFmtId="2" fontId="0" fillId="0" borderId="0" xfId="0" applyNumberFormat="1"/>
    <xf numFmtId="0" fontId="3" fillId="0" borderId="0" xfId="0" applyFont="1"/>
    <xf numFmtId="0" fontId="0" fillId="0" borderId="0" xfId="1" applyNumberFormat="1" applyFont="1"/>
    <xf numFmtId="9" fontId="10" fillId="0" borderId="0" xfId="1" applyFont="1" applyAlignment="1">
      <alignment horizontal="center" vertical="center"/>
    </xf>
    <xf numFmtId="9" fontId="10" fillId="0" borderId="14" xfId="1" applyFont="1" applyBorder="1" applyAlignment="1">
      <alignment horizontal="center" vertical="center"/>
    </xf>
    <xf numFmtId="2" fontId="10" fillId="4" borderId="0" xfId="1" applyNumberFormat="1" applyFont="1" applyFill="1" applyAlignment="1">
      <alignment horizontal="center" vertical="center"/>
    </xf>
    <xf numFmtId="2" fontId="10" fillId="4" borderId="14" xfId="1" applyNumberFormat="1" applyFont="1" applyFill="1" applyBorder="1" applyAlignment="1">
      <alignment horizontal="center" vertical="center"/>
    </xf>
    <xf numFmtId="9" fontId="10" fillId="4" borderId="0" xfId="1" applyFont="1" applyFill="1" applyAlignment="1">
      <alignment horizontal="center" vertical="center"/>
    </xf>
    <xf numFmtId="9" fontId="10" fillId="4" borderId="14" xfId="1" applyFont="1" applyFill="1" applyBorder="1" applyAlignment="1">
      <alignment horizontal="center" vertical="center"/>
    </xf>
    <xf numFmtId="172" fontId="10" fillId="0" borderId="0" xfId="0" applyNumberFormat="1" applyFont="1" applyAlignment="1">
      <alignment horizontal="center" vertical="center"/>
    </xf>
    <xf numFmtId="9" fontId="11" fillId="0" borderId="0" xfId="1" applyFont="1" applyAlignment="1">
      <alignment horizontal="center" vertical="center"/>
    </xf>
    <xf numFmtId="166" fontId="11" fillId="0" borderId="0" xfId="1" applyNumberFormat="1" applyFont="1" applyAlignment="1">
      <alignment horizontal="center" vertical="center"/>
    </xf>
    <xf numFmtId="172" fontId="11" fillId="0" borderId="0" xfId="0" applyNumberFormat="1" applyFont="1" applyAlignment="1">
      <alignment horizontal="center" vertical="center"/>
    </xf>
    <xf numFmtId="9" fontId="10" fillId="0" borderId="0" xfId="1" applyFont="1" applyAlignment="1">
      <alignment horizontal="center" vertical="center" wrapText="1"/>
    </xf>
    <xf numFmtId="166" fontId="10" fillId="0" borderId="0" xfId="1" applyNumberFormat="1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29" fillId="0" borderId="0" xfId="0" applyFont="1" applyAlignment="1">
      <alignment horizontal="left"/>
    </xf>
    <xf numFmtId="1" fontId="0" fillId="0" borderId="0" xfId="0" applyNumberFormat="1"/>
    <xf numFmtId="0" fontId="21" fillId="16" borderId="4" xfId="0" applyFont="1" applyFill="1" applyBorder="1" applyAlignment="1">
      <alignment horizontal="center"/>
    </xf>
    <xf numFmtId="0" fontId="21" fillId="16" borderId="5" xfId="0" applyFont="1" applyFill="1" applyBorder="1" applyAlignment="1">
      <alignment horizontal="center"/>
    </xf>
    <xf numFmtId="0" fontId="21" fillId="16" borderId="3" xfId="0" applyFont="1" applyFill="1" applyBorder="1" applyAlignment="1">
      <alignment horizontal="center"/>
    </xf>
    <xf numFmtId="0" fontId="10" fillId="0" borderId="7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top" wrapText="1"/>
    </xf>
    <xf numFmtId="0" fontId="7" fillId="0" borderId="0" xfId="0" applyFont="1" applyAlignment="1">
      <alignment horizontal="center" vertical="center" wrapText="1"/>
    </xf>
    <xf numFmtId="0" fontId="10" fillId="2" borderId="0" xfId="0" applyFont="1" applyFill="1" applyAlignment="1">
      <alignment horizontal="center"/>
    </xf>
    <xf numFmtId="164" fontId="10" fillId="2" borderId="0" xfId="0" applyNumberFormat="1" applyFont="1" applyFill="1" applyAlignment="1">
      <alignment horizontal="center"/>
    </xf>
    <xf numFmtId="2" fontId="10" fillId="0" borderId="0" xfId="0" applyNumberFormat="1" applyFont="1" applyAlignment="1">
      <alignment horizontal="center" vertical="center"/>
    </xf>
    <xf numFmtId="0" fontId="30" fillId="17" borderId="0" xfId="0" applyFont="1" applyFill="1"/>
    <xf numFmtId="0" fontId="31" fillId="17" borderId="0" xfId="0" applyFont="1" applyFill="1"/>
    <xf numFmtId="0" fontId="30" fillId="22" borderId="0" xfId="0" applyFont="1" applyFill="1"/>
    <xf numFmtId="0" fontId="30" fillId="17" borderId="0" xfId="0" applyFont="1" applyFill="1" applyAlignment="1">
      <alignment horizontal="left"/>
    </xf>
    <xf numFmtId="0" fontId="32" fillId="18" borderId="36" xfId="0" applyFont="1" applyFill="1" applyBorder="1"/>
    <xf numFmtId="0" fontId="33" fillId="18" borderId="15" xfId="0" applyFont="1" applyFill="1" applyBorder="1"/>
    <xf numFmtId="0" fontId="33" fillId="19" borderId="36" xfId="0" applyFont="1" applyFill="1" applyBorder="1"/>
    <xf numFmtId="0" fontId="33" fillId="19" borderId="13" xfId="0" applyFont="1" applyFill="1" applyBorder="1"/>
    <xf numFmtId="0" fontId="32" fillId="19" borderId="13" xfId="0" applyFont="1" applyFill="1" applyBorder="1"/>
    <xf numFmtId="0" fontId="32" fillId="19" borderId="15" xfId="0" applyFont="1" applyFill="1" applyBorder="1"/>
    <xf numFmtId="0" fontId="30" fillId="17" borderId="36" xfId="0" applyFont="1" applyFill="1" applyBorder="1"/>
    <xf numFmtId="10" fontId="30" fillId="17" borderId="15" xfId="0" applyNumberFormat="1" applyFont="1" applyFill="1" applyBorder="1"/>
    <xf numFmtId="168" fontId="34" fillId="0" borderId="0" xfId="4" applyNumberFormat="1" applyFont="1" applyAlignment="1">
      <alignment horizontal="left" vertical="center"/>
    </xf>
    <xf numFmtId="0" fontId="31" fillId="17" borderId="28" xfId="0" applyFont="1" applyFill="1" applyBorder="1"/>
    <xf numFmtId="0" fontId="30" fillId="17" borderId="14" xfId="0" applyFont="1" applyFill="1" applyBorder="1"/>
    <xf numFmtId="0" fontId="30" fillId="17" borderId="28" xfId="0" applyFont="1" applyFill="1" applyBorder="1"/>
    <xf numFmtId="10" fontId="30" fillId="17" borderId="14" xfId="0" applyNumberFormat="1" applyFont="1" applyFill="1" applyBorder="1"/>
    <xf numFmtId="3" fontId="30" fillId="17" borderId="0" xfId="0" applyNumberFormat="1" applyFont="1" applyFill="1"/>
    <xf numFmtId="37" fontId="30" fillId="17" borderId="16" xfId="0" applyNumberFormat="1" applyFont="1" applyFill="1" applyBorder="1"/>
    <xf numFmtId="3" fontId="31" fillId="17" borderId="0" xfId="0" applyNumberFormat="1" applyFont="1" applyFill="1"/>
    <xf numFmtId="37" fontId="30" fillId="17" borderId="0" xfId="0" applyNumberFormat="1" applyFont="1" applyFill="1"/>
    <xf numFmtId="10" fontId="30" fillId="17" borderId="14" xfId="1" applyNumberFormat="1" applyFont="1" applyFill="1" applyBorder="1"/>
    <xf numFmtId="0" fontId="30" fillId="17" borderId="37" xfId="0" applyFont="1" applyFill="1" applyBorder="1"/>
    <xf numFmtId="10" fontId="30" fillId="17" borderId="25" xfId="0" applyNumberFormat="1" applyFont="1" applyFill="1" applyBorder="1"/>
    <xf numFmtId="3" fontId="30" fillId="17" borderId="16" xfId="0" applyNumberFormat="1" applyFont="1" applyFill="1" applyBorder="1"/>
    <xf numFmtId="3" fontId="31" fillId="17" borderId="14" xfId="0" applyNumberFormat="1" applyFont="1" applyFill="1" applyBorder="1"/>
    <xf numFmtId="0" fontId="32" fillId="18" borderId="38" xfId="0" applyFont="1" applyFill="1" applyBorder="1"/>
    <xf numFmtId="0" fontId="33" fillId="18" borderId="39" xfId="0" applyFont="1" applyFill="1" applyBorder="1"/>
    <xf numFmtId="0" fontId="35" fillId="17" borderId="28" xfId="0" applyFont="1" applyFill="1" applyBorder="1"/>
    <xf numFmtId="10" fontId="35" fillId="17" borderId="0" xfId="0" applyNumberFormat="1" applyFont="1" applyFill="1"/>
    <xf numFmtId="0" fontId="31" fillId="17" borderId="37" xfId="0" applyFont="1" applyFill="1" applyBorder="1"/>
    <xf numFmtId="0" fontId="30" fillId="17" borderId="16" xfId="0" applyFont="1" applyFill="1" applyBorder="1"/>
    <xf numFmtId="3" fontId="31" fillId="17" borderId="16" xfId="0" applyNumberFormat="1" applyFont="1" applyFill="1" applyBorder="1"/>
    <xf numFmtId="0" fontId="31" fillId="17" borderId="16" xfId="0" applyFont="1" applyFill="1" applyBorder="1"/>
    <xf numFmtId="3" fontId="31" fillId="17" borderId="25" xfId="0" applyNumberFormat="1" applyFont="1" applyFill="1" applyBorder="1"/>
    <xf numFmtId="0" fontId="36" fillId="17" borderId="0" xfId="0" applyFont="1" applyFill="1"/>
    <xf numFmtId="0" fontId="30" fillId="17" borderId="0" xfId="0" quotePrefix="1" applyFont="1" applyFill="1"/>
    <xf numFmtId="10" fontId="31" fillId="20" borderId="14" xfId="0" applyNumberFormat="1" applyFont="1" applyFill="1" applyBorder="1"/>
    <xf numFmtId="10" fontId="37" fillId="2" borderId="14" xfId="0" applyNumberFormat="1" applyFont="1" applyFill="1" applyBorder="1"/>
    <xf numFmtId="0" fontId="31" fillId="17" borderId="36" xfId="0" applyFont="1" applyFill="1" applyBorder="1"/>
    <xf numFmtId="0" fontId="31" fillId="17" borderId="13" xfId="0" applyFont="1" applyFill="1" applyBorder="1"/>
    <xf numFmtId="0" fontId="38" fillId="17" borderId="13" xfId="0" applyFont="1" applyFill="1" applyBorder="1"/>
    <xf numFmtId="0" fontId="38" fillId="17" borderId="15" xfId="0" applyFont="1" applyFill="1" applyBorder="1"/>
    <xf numFmtId="3" fontId="30" fillId="17" borderId="14" xfId="0" applyNumberFormat="1" applyFont="1" applyFill="1" applyBorder="1"/>
    <xf numFmtId="43" fontId="37" fillId="2" borderId="14" xfId="3" applyFont="1" applyFill="1" applyBorder="1"/>
    <xf numFmtId="10" fontId="7" fillId="3" borderId="14" xfId="0" applyNumberFormat="1" applyFont="1" applyFill="1" applyBorder="1"/>
    <xf numFmtId="37" fontId="30" fillId="17" borderId="25" xfId="0" applyNumberFormat="1" applyFont="1" applyFill="1" applyBorder="1"/>
    <xf numFmtId="37" fontId="30" fillId="17" borderId="14" xfId="0" applyNumberFormat="1" applyFont="1" applyFill="1" applyBorder="1"/>
    <xf numFmtId="0" fontId="36" fillId="22" borderId="0" xfId="0" applyFont="1" applyFill="1"/>
    <xf numFmtId="3" fontId="30" fillId="17" borderId="25" xfId="0" applyNumberFormat="1" applyFont="1" applyFill="1" applyBorder="1"/>
    <xf numFmtId="3" fontId="31" fillId="20" borderId="14" xfId="0" applyNumberFormat="1" applyFont="1" applyFill="1" applyBorder="1"/>
    <xf numFmtId="0" fontId="32" fillId="18" borderId="40" xfId="0" applyFont="1" applyFill="1" applyBorder="1"/>
    <xf numFmtId="0" fontId="30" fillId="17" borderId="13" xfId="0" applyFont="1" applyFill="1" applyBorder="1"/>
    <xf numFmtId="0" fontId="32" fillId="19" borderId="38" xfId="0" applyFont="1" applyFill="1" applyBorder="1"/>
    <xf numFmtId="0" fontId="32" fillId="19" borderId="35" xfId="0" applyFont="1" applyFill="1" applyBorder="1"/>
    <xf numFmtId="0" fontId="32" fillId="19" borderId="39" xfId="0" applyFont="1" applyFill="1" applyBorder="1"/>
    <xf numFmtId="9" fontId="30" fillId="17" borderId="14" xfId="0" applyNumberFormat="1" applyFont="1" applyFill="1" applyBorder="1"/>
    <xf numFmtId="0" fontId="31" fillId="21" borderId="41" xfId="0" applyFont="1" applyFill="1" applyBorder="1"/>
    <xf numFmtId="0" fontId="31" fillId="21" borderId="25" xfId="0" applyFont="1" applyFill="1" applyBorder="1"/>
    <xf numFmtId="8" fontId="31" fillId="17" borderId="0" xfId="0" applyNumberFormat="1" applyFont="1" applyFill="1"/>
    <xf numFmtId="8" fontId="31" fillId="17" borderId="14" xfId="0" applyNumberFormat="1" applyFont="1" applyFill="1" applyBorder="1"/>
    <xf numFmtId="9" fontId="31" fillId="20" borderId="25" xfId="0" applyNumberFormat="1" applyFont="1" applyFill="1" applyBorder="1"/>
    <xf numFmtId="9" fontId="37" fillId="2" borderId="0" xfId="1" applyFont="1" applyFill="1" applyBorder="1"/>
    <xf numFmtId="9" fontId="37" fillId="2" borderId="14" xfId="1" applyFont="1" applyFill="1" applyBorder="1"/>
    <xf numFmtId="0" fontId="31" fillId="21" borderId="40" xfId="0" applyFont="1" applyFill="1" applyBorder="1"/>
    <xf numFmtId="0" fontId="31" fillId="21" borderId="39" xfId="0" applyFont="1" applyFill="1" applyBorder="1"/>
    <xf numFmtId="9" fontId="30" fillId="17" borderId="0" xfId="1" applyFont="1" applyFill="1"/>
    <xf numFmtId="10" fontId="31" fillId="20" borderId="25" xfId="0" applyNumberFormat="1" applyFont="1" applyFill="1" applyBorder="1"/>
    <xf numFmtId="10" fontId="30" fillId="17" borderId="0" xfId="0" applyNumberFormat="1" applyFont="1" applyFill="1"/>
    <xf numFmtId="3" fontId="30" fillId="17" borderId="15" xfId="0" applyNumberFormat="1" applyFont="1" applyFill="1" applyBorder="1"/>
    <xf numFmtId="9" fontId="30" fillId="17" borderId="0" xfId="1" applyFont="1" applyFill="1" applyBorder="1"/>
    <xf numFmtId="9" fontId="30" fillId="17" borderId="14" xfId="1" applyFont="1" applyFill="1" applyBorder="1"/>
    <xf numFmtId="8" fontId="31" fillId="17" borderId="40" xfId="0" applyNumberFormat="1" applyFont="1" applyFill="1" applyBorder="1"/>
    <xf numFmtId="0" fontId="31" fillId="17" borderId="14" xfId="0" applyFont="1" applyFill="1" applyBorder="1"/>
    <xf numFmtId="0" fontId="35" fillId="17" borderId="37" xfId="0" applyFont="1" applyFill="1" applyBorder="1"/>
    <xf numFmtId="9" fontId="30" fillId="17" borderId="16" xfId="1" applyFont="1" applyFill="1" applyBorder="1"/>
    <xf numFmtId="0" fontId="30" fillId="17" borderId="25" xfId="0" applyFont="1" applyFill="1" applyBorder="1"/>
    <xf numFmtId="0" fontId="37" fillId="2" borderId="0" xfId="0" applyFont="1" applyFill="1"/>
    <xf numFmtId="8" fontId="31" fillId="17" borderId="42" xfId="0" applyNumberFormat="1" applyFont="1" applyFill="1" applyBorder="1"/>
    <xf numFmtId="8" fontId="30" fillId="17" borderId="0" xfId="0" applyNumberFormat="1" applyFont="1" applyFill="1"/>
    <xf numFmtId="9" fontId="30" fillId="17" borderId="0" xfId="0" applyNumberFormat="1" applyFont="1" applyFill="1"/>
  </cellXfs>
  <cellStyles count="6">
    <cellStyle name="Comma" xfId="3" builtinId="3"/>
    <cellStyle name="Currency" xfId="2" builtinId="4"/>
    <cellStyle name="Hyperlink" xfId="4" builtinId="8"/>
    <cellStyle name="Normal" xfId="0" builtinId="0"/>
    <cellStyle name="Normal 2" xfId="5" xr:uid="{D4AFC6DB-EBEE-426D-B53F-226C93DA6BC4}"/>
    <cellStyle name="Percent" xfId="1" builtinId="5"/>
  </cellStyles>
  <dxfs count="18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/>
  <colors>
    <mruColors>
      <color rgb="FF73FB79"/>
      <color rgb="FF00FA00"/>
      <color rgb="FFC8FFDE"/>
      <color rgb="FFC7F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Revenue Growth</a:t>
            </a:r>
          </a:p>
        </c:rich>
      </c:tx>
      <c:layout>
        <c:manualLayout>
          <c:xMode val="edge"/>
          <c:yMode val="edge"/>
          <c:x val="0.3157751781292637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DA!$A$32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DA!$B$30:$K$30</c:f>
              <c:strCach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2025P</c:v>
                </c:pt>
                <c:pt idx="6">
                  <c:v>2026P</c:v>
                </c:pt>
                <c:pt idx="7">
                  <c:v>2027P</c:v>
                </c:pt>
                <c:pt idx="8">
                  <c:v>2028P</c:v>
                </c:pt>
                <c:pt idx="9">
                  <c:v>2029P</c:v>
                </c:pt>
              </c:strCache>
            </c:strRef>
          </c:cat>
          <c:val>
            <c:numRef>
              <c:f>DA!$B$32:$K$32</c:f>
              <c:numCache>
                <c:formatCode>#,##0.00</c:formatCode>
                <c:ptCount val="10"/>
                <c:pt idx="0">
                  <c:v>1772.7</c:v>
                </c:pt>
                <c:pt idx="1">
                  <c:v>3201.1</c:v>
                </c:pt>
                <c:pt idx="2" formatCode="#,##0">
                  <c:v>4210</c:v>
                </c:pt>
                <c:pt idx="3" formatCode="#,##0">
                  <c:v>4638</c:v>
                </c:pt>
                <c:pt idx="4" formatCode="#,##0">
                  <c:v>5006</c:v>
                </c:pt>
                <c:pt idx="5">
                  <c:v>5314</c:v>
                </c:pt>
                <c:pt idx="6">
                  <c:v>5562</c:v>
                </c:pt>
                <c:pt idx="7">
                  <c:v>5750</c:v>
                </c:pt>
                <c:pt idx="8">
                  <c:v>5878</c:v>
                </c:pt>
                <c:pt idx="9">
                  <c:v>5946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B-4FC3-AD4A-57E34DF83C5D}"/>
            </c:ext>
          </c:extLst>
        </c:ser>
        <c:ser>
          <c:idx val="2"/>
          <c:order val="2"/>
          <c:tx>
            <c:strRef>
              <c:f>DA!$A$33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DA!$B$30:$K$30</c:f>
              <c:strCach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2025P</c:v>
                </c:pt>
                <c:pt idx="6">
                  <c:v>2026P</c:v>
                </c:pt>
                <c:pt idx="7">
                  <c:v>2027P</c:v>
                </c:pt>
                <c:pt idx="8">
                  <c:v>2028P</c:v>
                </c:pt>
                <c:pt idx="9">
                  <c:v>2029P</c:v>
                </c:pt>
              </c:strCache>
            </c:strRef>
          </c:cat>
          <c:val>
            <c:numRef>
              <c:f>DA!$B$33:$K$33</c:f>
            </c:numRef>
          </c:val>
          <c:smooth val="0"/>
          <c:extLst>
            <c:ext xmlns:c16="http://schemas.microsoft.com/office/drawing/2014/chart" uri="{C3380CC4-5D6E-409C-BE32-E72D297353CC}">
              <c16:uniqueId val="{00000002-BDDB-4FC3-AD4A-57E34DF83C5D}"/>
            </c:ext>
          </c:extLst>
        </c:ser>
        <c:ser>
          <c:idx val="3"/>
          <c:order val="3"/>
          <c:tx>
            <c:strRef>
              <c:f>DA!$A$34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DA!$B$30:$K$30</c:f>
              <c:strCach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2025P</c:v>
                </c:pt>
                <c:pt idx="6">
                  <c:v>2026P</c:v>
                </c:pt>
                <c:pt idx="7">
                  <c:v>2027P</c:v>
                </c:pt>
                <c:pt idx="8">
                  <c:v>2028P</c:v>
                </c:pt>
                <c:pt idx="9">
                  <c:v>2029P</c:v>
                </c:pt>
              </c:strCache>
            </c:strRef>
          </c:cat>
          <c:val>
            <c:numRef>
              <c:f>DA!$B$34:$K$34</c:f>
              <c:numCache>
                <c:formatCode>#,##0.00</c:formatCode>
                <c:ptCount val="10"/>
                <c:pt idx="0">
                  <c:v>1023.8</c:v>
                </c:pt>
                <c:pt idx="1">
                  <c:v>1930.8</c:v>
                </c:pt>
                <c:pt idx="2" formatCode="#,##0">
                  <c:v>2924</c:v>
                </c:pt>
                <c:pt idx="3" formatCode="#,##0">
                  <c:v>3615</c:v>
                </c:pt>
                <c:pt idx="4" formatCode="#,##0">
                  <c:v>4135</c:v>
                </c:pt>
                <c:pt idx="5">
                  <c:v>4540.3335364928289</c:v>
                </c:pt>
                <c:pt idx="6">
                  <c:v>4796.729707972544</c:v>
                </c:pt>
                <c:pt idx="7">
                  <c:v>4952.7768358510257</c:v>
                </c:pt>
                <c:pt idx="8">
                  <c:v>5045.5977939366239</c:v>
                </c:pt>
                <c:pt idx="9">
                  <c:v>5100.0727225080336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DB-4FC3-AD4A-57E34DF83C5D}"/>
            </c:ext>
          </c:extLst>
        </c:ser>
        <c:ser>
          <c:idx val="4"/>
          <c:order val="4"/>
          <c:tx>
            <c:strRef>
              <c:f>DA!$A$35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DA!$B$30:$K$30</c:f>
              <c:strCach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2025P</c:v>
                </c:pt>
                <c:pt idx="6">
                  <c:v>2026P</c:v>
                </c:pt>
                <c:pt idx="7">
                  <c:v>2027P</c:v>
                </c:pt>
                <c:pt idx="8">
                  <c:v>2028P</c:v>
                </c:pt>
                <c:pt idx="9">
                  <c:v>2029P</c:v>
                </c:pt>
              </c:strCache>
            </c:strRef>
          </c:cat>
          <c:val>
            <c:numRef>
              <c:f>DA!$B$35:$K$35</c:f>
            </c:numRef>
          </c:val>
          <c:smooth val="0"/>
          <c:extLst>
            <c:ext xmlns:c16="http://schemas.microsoft.com/office/drawing/2014/chart" uri="{C3380CC4-5D6E-409C-BE32-E72D297353CC}">
              <c16:uniqueId val="{00000004-BDDB-4FC3-AD4A-57E34DF83C5D}"/>
            </c:ext>
          </c:extLst>
        </c:ser>
        <c:ser>
          <c:idx val="5"/>
          <c:order val="5"/>
          <c:tx>
            <c:strRef>
              <c:f>DA!$A$36</c:f>
              <c:strCache>
                <c:ptCount val="1"/>
                <c:pt idx="0">
                  <c:v>Latin America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DA!$B$30:$K$30</c:f>
              <c:strCach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2025P</c:v>
                </c:pt>
                <c:pt idx="6">
                  <c:v>2026P</c:v>
                </c:pt>
                <c:pt idx="7">
                  <c:v>2027P</c:v>
                </c:pt>
                <c:pt idx="8">
                  <c:v>2028P</c:v>
                </c:pt>
                <c:pt idx="9">
                  <c:v>2029P</c:v>
                </c:pt>
              </c:strCache>
            </c:strRef>
          </c:cat>
          <c:val>
            <c:numRef>
              <c:f>DA!$B$36:$K$36</c:f>
              <c:numCache>
                <c:formatCode>General</c:formatCode>
                <c:ptCount val="10"/>
                <c:pt idx="0">
                  <c:v>242</c:v>
                </c:pt>
                <c:pt idx="1">
                  <c:v>431.2</c:v>
                </c:pt>
                <c:pt idx="2">
                  <c:v>643</c:v>
                </c:pt>
                <c:pt idx="3">
                  <c:v>824</c:v>
                </c:pt>
                <c:pt idx="4">
                  <c:v>969</c:v>
                </c:pt>
                <c:pt idx="5">
                  <c:v>1078</c:v>
                </c:pt>
                <c:pt idx="6">
                  <c:v>1151</c:v>
                </c:pt>
                <c:pt idx="7">
                  <c:v>1188</c:v>
                </c:pt>
                <c:pt idx="8">
                  <c:v>1189</c:v>
                </c:pt>
                <c:pt idx="9">
                  <c:v>1189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DB-4FC3-AD4A-57E34DF83C5D}"/>
            </c:ext>
          </c:extLst>
        </c:ser>
        <c:ser>
          <c:idx val="6"/>
          <c:order val="6"/>
          <c:tx>
            <c:strRef>
              <c:f>DA!$A$37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DA!$B$30:$K$30</c:f>
              <c:strCach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2025P</c:v>
                </c:pt>
                <c:pt idx="6">
                  <c:v>2026P</c:v>
                </c:pt>
                <c:pt idx="7">
                  <c:v>2027P</c:v>
                </c:pt>
                <c:pt idx="8">
                  <c:v>2028P</c:v>
                </c:pt>
                <c:pt idx="9">
                  <c:v>2029P</c:v>
                </c:pt>
              </c:strCache>
            </c:strRef>
          </c:cat>
          <c:val>
            <c:numRef>
              <c:f>DA!$B$37:$K$37</c:f>
            </c:numRef>
          </c:val>
          <c:smooth val="0"/>
          <c:extLst>
            <c:ext xmlns:c16="http://schemas.microsoft.com/office/drawing/2014/chart" uri="{C3380CC4-5D6E-409C-BE32-E72D297353CC}">
              <c16:uniqueId val="{00000006-BDDB-4FC3-AD4A-57E34DF83C5D}"/>
            </c:ext>
          </c:extLst>
        </c:ser>
        <c:ser>
          <c:idx val="7"/>
          <c:order val="7"/>
          <c:tx>
            <c:strRef>
              <c:f>DA!$A$38</c:f>
              <c:strCache>
                <c:ptCount val="1"/>
                <c:pt idx="0">
                  <c:v>Asia Pacific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DA!$B$30:$K$30</c:f>
              <c:strCach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2025P</c:v>
                </c:pt>
                <c:pt idx="6">
                  <c:v>2026P</c:v>
                </c:pt>
                <c:pt idx="7">
                  <c:v>2027P</c:v>
                </c:pt>
                <c:pt idx="8">
                  <c:v>2028P</c:v>
                </c:pt>
                <c:pt idx="9">
                  <c:v>2029P</c:v>
                </c:pt>
              </c:strCache>
            </c:strRef>
          </c:cat>
          <c:val>
            <c:numRef>
              <c:f>DA!$B$38:$K$38</c:f>
              <c:numCache>
                <c:formatCode>General</c:formatCode>
                <c:ptCount val="10"/>
                <c:pt idx="0">
                  <c:v>339.7</c:v>
                </c:pt>
                <c:pt idx="1">
                  <c:v>428.7</c:v>
                </c:pt>
                <c:pt idx="2">
                  <c:v>622</c:v>
                </c:pt>
                <c:pt idx="3">
                  <c:v>840</c:v>
                </c:pt>
                <c:pt idx="4">
                  <c:v>992</c:v>
                </c:pt>
                <c:pt idx="5">
                  <c:v>1137</c:v>
                </c:pt>
                <c:pt idx="6">
                  <c:v>1246</c:v>
                </c:pt>
                <c:pt idx="7">
                  <c:v>1319</c:v>
                </c:pt>
                <c:pt idx="8">
                  <c:v>1356</c:v>
                </c:pt>
                <c:pt idx="9">
                  <c:v>1357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DB-4FC3-AD4A-57E34DF83C5D}"/>
            </c:ext>
          </c:extLst>
        </c:ser>
        <c:ser>
          <c:idx val="8"/>
          <c:order val="8"/>
          <c:tx>
            <c:strRef>
              <c:f>DA!$A$39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DA!$B$30:$K$30</c:f>
              <c:strCach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2025P</c:v>
                </c:pt>
                <c:pt idx="6">
                  <c:v>2026P</c:v>
                </c:pt>
                <c:pt idx="7">
                  <c:v>2027P</c:v>
                </c:pt>
                <c:pt idx="8">
                  <c:v>2028P</c:v>
                </c:pt>
                <c:pt idx="9">
                  <c:v>2029P</c:v>
                </c:pt>
              </c:strCache>
            </c:strRef>
          </c:cat>
          <c:val>
            <c:numRef>
              <c:f>DA!$B$39:$K$39</c:f>
            </c:numRef>
          </c:val>
          <c:smooth val="0"/>
          <c:extLst>
            <c:ext xmlns:c16="http://schemas.microsoft.com/office/drawing/2014/chart" uri="{C3380CC4-5D6E-409C-BE32-E72D297353CC}">
              <c16:uniqueId val="{00000008-BDDB-4FC3-AD4A-57E34DF83C5D}"/>
            </c:ext>
          </c:extLst>
        </c:ser>
        <c:ser>
          <c:idx val="9"/>
          <c:order val="9"/>
          <c:tx>
            <c:strRef>
              <c:f>DA!$A$40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DA!$B$30:$K$30</c:f>
              <c:strCach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2025P</c:v>
                </c:pt>
                <c:pt idx="6">
                  <c:v>2026P</c:v>
                </c:pt>
                <c:pt idx="7">
                  <c:v>2027P</c:v>
                </c:pt>
                <c:pt idx="8">
                  <c:v>2028P</c:v>
                </c:pt>
                <c:pt idx="9">
                  <c:v>2029P</c:v>
                </c:pt>
              </c:strCache>
            </c:strRef>
          </c:cat>
          <c:val>
            <c:numRef>
              <c:f>DA!$B$40:$K$40</c:f>
              <c:numCache>
                <c:formatCode>#,##0.00</c:formatCode>
                <c:ptCount val="10"/>
                <c:pt idx="0">
                  <c:v>3378.2</c:v>
                </c:pt>
                <c:pt idx="1">
                  <c:v>5991.8</c:v>
                </c:pt>
                <c:pt idx="2" formatCode="#,##0">
                  <c:v>8399</c:v>
                </c:pt>
                <c:pt idx="3" formatCode="#,##0">
                  <c:v>9917</c:v>
                </c:pt>
                <c:pt idx="4" formatCode="#,##0">
                  <c:v>11102</c:v>
                </c:pt>
                <c:pt idx="5">
                  <c:v>12486.431561531883</c:v>
                </c:pt>
                <c:pt idx="6">
                  <c:v>13076.786178751488</c:v>
                </c:pt>
                <c:pt idx="7">
                  <c:v>13434.809367833726</c:v>
                </c:pt>
                <c:pt idx="8">
                  <c:v>13597.616535131951</c:v>
                </c:pt>
                <c:pt idx="9">
                  <c:v>13625.083519034193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DB-4FC3-AD4A-57E34DF83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345600"/>
        <c:axId val="7493427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DA!$A$31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DA!$B$30:$K$30</c15:sqref>
                        </c15:formulaRef>
                      </c:ext>
                    </c:extLst>
                    <c:strCache>
                      <c:ptCount val="10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2025P</c:v>
                      </c:pt>
                      <c:pt idx="6">
                        <c:v>2026P</c:v>
                      </c:pt>
                      <c:pt idx="7">
                        <c:v>2027P</c:v>
                      </c:pt>
                      <c:pt idx="8">
                        <c:v>2028P</c:v>
                      </c:pt>
                      <c:pt idx="9">
                        <c:v>2029P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DA!$B$31:$K$31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DDB-4FC3-AD4A-57E34DF83C5D}"/>
                  </c:ext>
                </c:extLst>
              </c15:ser>
            </c15:filteredLineSeries>
          </c:ext>
        </c:extLst>
      </c:lineChart>
      <c:catAx>
        <c:axId val="74934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42720"/>
        <c:crosses val="autoZero"/>
        <c:auto val="1"/>
        <c:lblAlgn val="ctr"/>
        <c:lblOffset val="100"/>
        <c:noMultiLvlLbl val="0"/>
      </c:catAx>
      <c:valAx>
        <c:axId val="7493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  <a:r>
                  <a:rPr lang="en-US" baseline="0"/>
                  <a:t> (millions)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4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Nights and Experiences Booked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DA!$A$4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DA!$B$3:$F$3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DA!$B$4:$F$4</c:f>
              <c:numCache>
                <c:formatCode>General</c:formatCode>
                <c:ptCount val="5"/>
                <c:pt idx="0">
                  <c:v>75.5</c:v>
                </c:pt>
                <c:pt idx="1">
                  <c:v>114</c:v>
                </c:pt>
                <c:pt idx="2">
                  <c:v>133</c:v>
                </c:pt>
                <c:pt idx="3">
                  <c:v>146</c:v>
                </c:pt>
                <c:pt idx="4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8-4240-B04E-D2D556BB2D34}"/>
            </c:ext>
          </c:extLst>
        </c:ser>
        <c:ser>
          <c:idx val="1"/>
          <c:order val="1"/>
          <c:tx>
            <c:strRef>
              <c:f>DA!$A$5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DA!$B$3:$F$3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DA!$B$5:$F$5</c:f>
              <c:numCache>
                <c:formatCode>General</c:formatCode>
                <c:ptCount val="5"/>
                <c:pt idx="0">
                  <c:v>67.7</c:v>
                </c:pt>
                <c:pt idx="1">
                  <c:v>118.1</c:v>
                </c:pt>
                <c:pt idx="2">
                  <c:v>168</c:v>
                </c:pt>
                <c:pt idx="3">
                  <c:v>187</c:v>
                </c:pt>
                <c:pt idx="4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8-4240-B04E-D2D556BB2D34}"/>
            </c:ext>
          </c:extLst>
        </c:ser>
        <c:ser>
          <c:idx val="2"/>
          <c:order val="2"/>
          <c:tx>
            <c:strRef>
              <c:f>DA!$A$6</c:f>
              <c:strCache>
                <c:ptCount val="1"/>
                <c:pt idx="0">
                  <c:v>Latin America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DA!$B$3:$F$3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DA!$B$6:$F$6</c:f>
              <c:numCache>
                <c:formatCode>General</c:formatCode>
                <c:ptCount val="5"/>
                <c:pt idx="0">
                  <c:v>22.4</c:v>
                </c:pt>
                <c:pt idx="1">
                  <c:v>38.799999999999997</c:v>
                </c:pt>
                <c:pt idx="2">
                  <c:v>53</c:v>
                </c:pt>
                <c:pt idx="3">
                  <c:v>64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98-4240-B04E-D2D556BB2D34}"/>
            </c:ext>
          </c:extLst>
        </c:ser>
        <c:ser>
          <c:idx val="3"/>
          <c:order val="3"/>
          <c:tx>
            <c:strRef>
              <c:f>DA!$A$7</c:f>
              <c:strCache>
                <c:ptCount val="1"/>
                <c:pt idx="0">
                  <c:v>Asia Pacific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DA!$B$3:$F$3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DA!$B$7:$F$7</c:f>
              <c:numCache>
                <c:formatCode>General</c:formatCode>
                <c:ptCount val="5"/>
                <c:pt idx="0">
                  <c:v>27.6</c:v>
                </c:pt>
                <c:pt idx="1">
                  <c:v>29.7</c:v>
                </c:pt>
                <c:pt idx="2">
                  <c:v>40</c:v>
                </c:pt>
                <c:pt idx="3">
                  <c:v>51</c:v>
                </c:pt>
                <c:pt idx="4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98-4240-B04E-D2D556BB2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250752"/>
        <c:axId val="1306251712"/>
      </c:lineChart>
      <c:catAx>
        <c:axId val="130625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251712"/>
        <c:crosses val="autoZero"/>
        <c:auto val="1"/>
        <c:lblAlgn val="ctr"/>
        <c:lblOffset val="100"/>
        <c:noMultiLvlLbl val="0"/>
      </c:catAx>
      <c:valAx>
        <c:axId val="1306251712"/>
        <c:scaling>
          <c:orientation val="minMax"/>
          <c:max val="2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Bookings (millions)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25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Booking % Growth</a:t>
            </a:r>
            <a:r>
              <a:rPr lang="en-US" baseline="0"/>
              <a:t> </a:t>
            </a:r>
            <a:r>
              <a:rPr lang="en-US"/>
              <a:t>YOY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DA!$A$73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DA!$B$72:$E$72</c:f>
              <c:strCache>
                <c:ptCount val="4"/>
                <c:pt idx="0">
                  <c:v>2020-2021</c:v>
                </c:pt>
                <c:pt idx="1">
                  <c:v>2021-2022</c:v>
                </c:pt>
                <c:pt idx="2">
                  <c:v>2022-2023</c:v>
                </c:pt>
                <c:pt idx="3">
                  <c:v>2023-2024</c:v>
                </c:pt>
              </c:strCache>
            </c:strRef>
          </c:cat>
          <c:val>
            <c:numRef>
              <c:f>DA!$B$73:$E$73</c:f>
              <c:numCache>
                <c:formatCode>0%</c:formatCode>
                <c:ptCount val="4"/>
                <c:pt idx="0">
                  <c:v>0.50993377483443703</c:v>
                </c:pt>
                <c:pt idx="1">
                  <c:v>0.16666666666666674</c:v>
                </c:pt>
                <c:pt idx="2">
                  <c:v>9.7744360902255689E-2</c:v>
                </c:pt>
                <c:pt idx="3">
                  <c:v>5.4794520547945202E-2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5-414D-91EE-29755283E4EA}"/>
            </c:ext>
          </c:extLst>
        </c:ser>
        <c:ser>
          <c:idx val="1"/>
          <c:order val="1"/>
          <c:tx>
            <c:strRef>
              <c:f>DA!$A$74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DA!$B$72:$E$72</c:f>
              <c:strCache>
                <c:ptCount val="4"/>
                <c:pt idx="0">
                  <c:v>2020-2021</c:v>
                </c:pt>
                <c:pt idx="1">
                  <c:v>2021-2022</c:v>
                </c:pt>
                <c:pt idx="2">
                  <c:v>2022-2023</c:v>
                </c:pt>
                <c:pt idx="3">
                  <c:v>2023-2024</c:v>
                </c:pt>
              </c:strCache>
            </c:strRef>
          </c:cat>
          <c:val>
            <c:numRef>
              <c:f>DA!$B$74:$E$74</c:f>
              <c:numCache>
                <c:formatCode>0%</c:formatCode>
                <c:ptCount val="4"/>
                <c:pt idx="0">
                  <c:v>0.74446085672082707</c:v>
                </c:pt>
                <c:pt idx="1">
                  <c:v>0.42252328535139716</c:v>
                </c:pt>
                <c:pt idx="2">
                  <c:v>0.11309523809523814</c:v>
                </c:pt>
                <c:pt idx="3">
                  <c:v>7.4866310160427885E-2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5-414D-91EE-29755283E4EA}"/>
            </c:ext>
          </c:extLst>
        </c:ser>
        <c:ser>
          <c:idx val="2"/>
          <c:order val="2"/>
          <c:tx>
            <c:strRef>
              <c:f>DA!$A$75</c:f>
              <c:strCache>
                <c:ptCount val="1"/>
                <c:pt idx="0">
                  <c:v>Latin America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DA!$B$72:$E$72</c:f>
              <c:strCache>
                <c:ptCount val="4"/>
                <c:pt idx="0">
                  <c:v>2020-2021</c:v>
                </c:pt>
                <c:pt idx="1">
                  <c:v>2021-2022</c:v>
                </c:pt>
                <c:pt idx="2">
                  <c:v>2022-2023</c:v>
                </c:pt>
                <c:pt idx="3">
                  <c:v>2023-2024</c:v>
                </c:pt>
              </c:strCache>
            </c:strRef>
          </c:cat>
          <c:val>
            <c:numRef>
              <c:f>DA!$B$75:$E$75</c:f>
              <c:numCache>
                <c:formatCode>0%</c:formatCode>
                <c:ptCount val="4"/>
                <c:pt idx="0">
                  <c:v>0.73214285714285721</c:v>
                </c:pt>
                <c:pt idx="1">
                  <c:v>0.365979381443299</c:v>
                </c:pt>
                <c:pt idx="2">
                  <c:v>0.20754716981132071</c:v>
                </c:pt>
                <c:pt idx="3">
                  <c:v>0.1875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35-414D-91EE-29755283E4EA}"/>
            </c:ext>
          </c:extLst>
        </c:ser>
        <c:ser>
          <c:idx val="3"/>
          <c:order val="3"/>
          <c:tx>
            <c:strRef>
              <c:f>DA!$A$76</c:f>
              <c:strCache>
                <c:ptCount val="1"/>
                <c:pt idx="0">
                  <c:v>Asia Pacific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DA!$B$72:$E$72</c:f>
              <c:strCache>
                <c:ptCount val="4"/>
                <c:pt idx="0">
                  <c:v>2020-2021</c:v>
                </c:pt>
                <c:pt idx="1">
                  <c:v>2021-2022</c:v>
                </c:pt>
                <c:pt idx="2">
                  <c:v>2022-2023</c:v>
                </c:pt>
                <c:pt idx="3">
                  <c:v>2023-2024</c:v>
                </c:pt>
              </c:strCache>
            </c:strRef>
          </c:cat>
          <c:val>
            <c:numRef>
              <c:f>DA!$B$76:$E$76</c:f>
              <c:numCache>
                <c:formatCode>0%</c:formatCode>
                <c:ptCount val="4"/>
                <c:pt idx="0">
                  <c:v>7.6086956521739024E-2</c:v>
                </c:pt>
                <c:pt idx="1">
                  <c:v>0.34680134680134689</c:v>
                </c:pt>
                <c:pt idx="2">
                  <c:v>0.27499999999999991</c:v>
                </c:pt>
                <c:pt idx="3">
                  <c:v>0.19607843137254899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35-414D-91EE-29755283E4EA}"/>
            </c:ext>
          </c:extLst>
        </c:ser>
        <c:ser>
          <c:idx val="4"/>
          <c:order val="4"/>
          <c:tx>
            <c:strRef>
              <c:f>DA!$A$77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DA!$B$72:$E$72</c:f>
              <c:strCache>
                <c:ptCount val="4"/>
                <c:pt idx="0">
                  <c:v>2020-2021</c:v>
                </c:pt>
                <c:pt idx="1">
                  <c:v>2021-2022</c:v>
                </c:pt>
                <c:pt idx="2">
                  <c:v>2022-2023</c:v>
                </c:pt>
                <c:pt idx="3">
                  <c:v>2023-2024</c:v>
                </c:pt>
              </c:strCache>
            </c:strRef>
          </c:cat>
          <c:val>
            <c:numRef>
              <c:f>DA!$B$77:$E$77</c:f>
              <c:numCache>
                <c:formatCode>0%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35-414D-91EE-29755283E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762367"/>
        <c:axId val="1462764287"/>
      </c:lineChart>
      <c:catAx>
        <c:axId val="146276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64287"/>
        <c:crosses val="autoZero"/>
        <c:auto val="1"/>
        <c:lblAlgn val="ctr"/>
        <c:lblOffset val="100"/>
        <c:noMultiLvlLbl val="0"/>
      </c:catAx>
      <c:valAx>
        <c:axId val="146276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6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35813</xdr:colOff>
      <xdr:row>41</xdr:row>
      <xdr:rowOff>74657</xdr:rowOff>
    </xdr:from>
    <xdr:to>
      <xdr:col>8</xdr:col>
      <xdr:colOff>344253</xdr:colOff>
      <xdr:row>57</xdr:row>
      <xdr:rowOff>145677</xdr:rowOff>
    </xdr:to>
    <xdr:graphicFrame macro="">
      <xdr:nvGraphicFramePr>
        <xdr:cNvPr id="204" name="Chart 2">
          <a:extLst>
            <a:ext uri="{FF2B5EF4-FFF2-40B4-BE49-F238E27FC236}">
              <a16:creationId xmlns:a16="http://schemas.microsoft.com/office/drawing/2014/main" id="{811DB489-A68F-90F7-7BF0-AEF06635F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11096</xdr:colOff>
      <xdr:row>8</xdr:row>
      <xdr:rowOff>149327</xdr:rowOff>
    </xdr:from>
    <xdr:to>
      <xdr:col>8</xdr:col>
      <xdr:colOff>302559</xdr:colOff>
      <xdr:row>25</xdr:row>
      <xdr:rowOff>76047</xdr:rowOff>
    </xdr:to>
    <xdr:graphicFrame macro="">
      <xdr:nvGraphicFramePr>
        <xdr:cNvPr id="24" name="Chart 5">
          <a:extLst>
            <a:ext uri="{FF2B5EF4-FFF2-40B4-BE49-F238E27FC236}">
              <a16:creationId xmlns:a16="http://schemas.microsoft.com/office/drawing/2014/main" id="{16AD6C3A-9EB6-1E2A-AD37-EB581829EB80}"/>
            </a:ext>
            <a:ext uri="{147F2762-F138-4A5C-976F-8EAC2B608ADB}">
              <a16:predDERef xmlns:a16="http://schemas.microsoft.com/office/drawing/2014/main" pred="{811DB489-A68F-90F7-7BF0-AEF06635F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74389</xdr:colOff>
      <xdr:row>78</xdr:row>
      <xdr:rowOff>120738</xdr:rowOff>
    </xdr:from>
    <xdr:to>
      <xdr:col>8</xdr:col>
      <xdr:colOff>452996</xdr:colOff>
      <xdr:row>95</xdr:row>
      <xdr:rowOff>38379</xdr:rowOff>
    </xdr:to>
    <xdr:graphicFrame macro="">
      <xdr:nvGraphicFramePr>
        <xdr:cNvPr id="23" name="Chart 1">
          <a:extLst>
            <a:ext uri="{FF2B5EF4-FFF2-40B4-BE49-F238E27FC236}">
              <a16:creationId xmlns:a16="http://schemas.microsoft.com/office/drawing/2014/main" id="{3BB5D6EC-F488-D743-53A5-F2C7096C2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ECADEB-B544-48E0-A676-837118C46F04}" name="Table1" displayName="Table1" ref="A10:D16" totalsRowShown="0">
  <autoFilter ref="A10:D16" xr:uid="{6BECADEB-B544-48E0-A676-837118C46F04}"/>
  <tableColumns count="4">
    <tableColumn id="1" xr3:uid="{252ED46E-26FA-470E-B1A8-3CE7ABD875A7}" name="Profitability Ratios"/>
    <tableColumn id="2" xr3:uid="{8DA58765-EB9C-4F2D-8013-2783F3B69170}" name="Airbnb" dataDxfId="17"/>
    <tableColumn id="3" xr3:uid="{284A67D0-F300-46FC-92F1-BCE9B933308F}" name="Booking.com" dataDxfId="16"/>
    <tableColumn id="4" xr3:uid="{25AFE575-6F68-4769-8268-564AA59979D1}" name="Expedia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CEFE50-9D62-4795-BDAA-65B256E6A22D}" name="Table2" displayName="Table2" ref="A1:E4" totalsRowShown="0" headerRowDxfId="14" dataDxfId="13">
  <autoFilter ref="A1:E4" xr:uid="{E8CEFE50-9D62-4795-BDAA-65B256E6A22D}"/>
  <tableColumns count="5">
    <tableColumn id="1" xr3:uid="{FFBE557F-9090-4C01-B9C8-4206F544E8D5}" name="2024" dataDxfId="12"/>
    <tableColumn id="2" xr3:uid="{9437E1FA-B3F5-48AD-86F6-4E3C4BC2BAA1}" name="Net Income" dataDxfId="11"/>
    <tableColumn id="3" xr3:uid="{22FF08FB-0689-4651-8981-5BF07A0E0D99}" name="EBIT" dataDxfId="10"/>
    <tableColumn id="4" xr3:uid="{C3D64707-989A-4628-B5BC-B145E47CEE69}" name="EV/EBIT" dataDxfId="9"/>
    <tableColumn id="5" xr3:uid="{2CD76E70-DB76-4445-BC67-DF3635366F64}" name="EV/Sales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public.com/bonds/corporate/airbnb-inc/abnb-0.0-03-15-2026-009066ab7?wpsrc=Organic+Search&amp;wpsn=www.google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0E9D2-D624-EA47-AF9D-7D273152B71E}">
  <dimension ref="A1:R18"/>
  <sheetViews>
    <sheetView showGridLines="0" tabSelected="1" zoomScaleNormal="100" workbookViewId="0">
      <selection activeCell="C28" sqref="C28"/>
    </sheetView>
  </sheetViews>
  <sheetFormatPr defaultColWidth="11.33203125" defaultRowHeight="13.15" x14ac:dyDescent="0.4"/>
  <cols>
    <col min="1" max="1" width="76.1328125" style="69" customWidth="1"/>
    <col min="2" max="16384" width="11.33203125" style="69"/>
  </cols>
  <sheetData>
    <row r="1" spans="1:18" ht="23.65" thickBot="1" x14ac:dyDescent="0.75">
      <c r="A1" s="272" t="s">
        <v>0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4"/>
    </row>
    <row r="2" spans="1:18" ht="15.5" customHeight="1" x14ac:dyDescent="0.4">
      <c r="A2" s="281" t="s">
        <v>1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3"/>
    </row>
    <row r="3" spans="1:18" ht="15.5" customHeight="1" x14ac:dyDescent="0.4">
      <c r="A3" s="275" t="s">
        <v>2</v>
      </c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6"/>
      <c r="R3" s="277"/>
    </row>
    <row r="4" spans="1:18" ht="15.5" customHeight="1" x14ac:dyDescent="0.4">
      <c r="A4" s="275" t="s">
        <v>3</v>
      </c>
      <c r="B4" s="276"/>
      <c r="C4" s="276"/>
      <c r="D4" s="276"/>
      <c r="E4" s="276"/>
      <c r="F4" s="276"/>
      <c r="G4" s="276"/>
      <c r="H4" s="276"/>
      <c r="I4" s="276"/>
      <c r="J4" s="276"/>
      <c r="K4" s="276"/>
      <c r="L4" s="276"/>
      <c r="M4" s="276"/>
      <c r="N4" s="276"/>
      <c r="O4" s="276"/>
      <c r="P4" s="276"/>
      <c r="Q4" s="276"/>
      <c r="R4" s="277"/>
    </row>
    <row r="5" spans="1:18" ht="15.5" customHeight="1" x14ac:dyDescent="0.4">
      <c r="A5" s="275" t="s">
        <v>4</v>
      </c>
      <c r="B5" s="276"/>
      <c r="C5" s="276"/>
      <c r="D5" s="276"/>
      <c r="E5" s="276"/>
      <c r="F5" s="276"/>
      <c r="G5" s="276"/>
      <c r="H5" s="276"/>
      <c r="I5" s="276"/>
      <c r="J5" s="276"/>
      <c r="K5" s="276"/>
      <c r="L5" s="276"/>
      <c r="M5" s="276"/>
      <c r="N5" s="276"/>
      <c r="O5" s="276"/>
      <c r="P5" s="276"/>
      <c r="Q5" s="276"/>
      <c r="R5" s="277"/>
    </row>
    <row r="6" spans="1:18" ht="15.5" customHeight="1" x14ac:dyDescent="0.4">
      <c r="A6" s="275" t="s">
        <v>5</v>
      </c>
      <c r="B6" s="276"/>
      <c r="C6" s="276"/>
      <c r="D6" s="276"/>
      <c r="E6" s="276"/>
      <c r="F6" s="276"/>
      <c r="G6" s="276"/>
      <c r="H6" s="276"/>
      <c r="I6" s="276"/>
      <c r="J6" s="276"/>
      <c r="K6" s="276"/>
      <c r="L6" s="276"/>
      <c r="M6" s="276"/>
      <c r="N6" s="276"/>
      <c r="O6" s="276"/>
      <c r="P6" s="276"/>
      <c r="Q6" s="276"/>
      <c r="R6" s="277"/>
    </row>
    <row r="7" spans="1:18" ht="15.75" x14ac:dyDescent="0.4">
      <c r="A7" s="275" t="s">
        <v>6</v>
      </c>
      <c r="B7" s="276"/>
      <c r="C7" s="276"/>
      <c r="D7" s="276"/>
      <c r="E7" s="276"/>
      <c r="F7" s="276"/>
      <c r="G7" s="276"/>
      <c r="H7" s="276"/>
      <c r="I7" s="276"/>
      <c r="J7" s="276"/>
      <c r="K7" s="276"/>
      <c r="L7" s="276"/>
      <c r="M7" s="276"/>
      <c r="N7" s="276"/>
      <c r="O7" s="276"/>
      <c r="P7" s="276"/>
      <c r="Q7" s="276"/>
      <c r="R7" s="277"/>
    </row>
    <row r="8" spans="1:18" s="75" customFormat="1" ht="18" customHeight="1" x14ac:dyDescent="0.35">
      <c r="A8" s="275" t="s">
        <v>7</v>
      </c>
      <c r="B8" s="276"/>
      <c r="C8" s="276"/>
      <c r="D8" s="276"/>
      <c r="E8" s="276"/>
      <c r="F8" s="276"/>
      <c r="G8" s="276"/>
      <c r="H8" s="276"/>
      <c r="I8" s="276"/>
      <c r="J8" s="276"/>
      <c r="K8" s="276"/>
      <c r="L8" s="276"/>
      <c r="M8" s="276"/>
      <c r="N8" s="276"/>
      <c r="O8" s="276"/>
      <c r="P8" s="276"/>
      <c r="Q8" s="276"/>
      <c r="R8" s="277"/>
    </row>
    <row r="9" spans="1:18" ht="15.5" customHeight="1" x14ac:dyDescent="0.4">
      <c r="A9" s="275" t="s">
        <v>8</v>
      </c>
      <c r="B9" s="276"/>
      <c r="C9" s="276"/>
      <c r="D9" s="276"/>
      <c r="E9" s="276"/>
      <c r="F9" s="276"/>
      <c r="G9" s="276"/>
      <c r="H9" s="276"/>
      <c r="I9" s="276"/>
      <c r="J9" s="276"/>
      <c r="K9" s="276"/>
      <c r="L9" s="276"/>
      <c r="M9" s="276"/>
      <c r="N9" s="276"/>
      <c r="O9" s="276"/>
      <c r="P9" s="276"/>
      <c r="Q9" s="276"/>
      <c r="R9" s="277"/>
    </row>
    <row r="10" spans="1:18" ht="15.5" customHeight="1" x14ac:dyDescent="0.4">
      <c r="A10" s="275" t="s">
        <v>9</v>
      </c>
      <c r="B10" s="276"/>
      <c r="C10" s="276"/>
      <c r="D10" s="276"/>
      <c r="E10" s="276"/>
      <c r="F10" s="276"/>
      <c r="G10" s="276"/>
      <c r="H10" s="276"/>
      <c r="I10" s="276"/>
      <c r="J10" s="276"/>
      <c r="K10" s="276"/>
      <c r="L10" s="276"/>
      <c r="M10" s="276"/>
      <c r="N10" s="276"/>
      <c r="O10" s="276"/>
      <c r="P10" s="276"/>
      <c r="Q10" s="276"/>
      <c r="R10" s="277"/>
    </row>
    <row r="11" spans="1:18" ht="15.5" customHeight="1" x14ac:dyDescent="0.4">
      <c r="A11" s="275" t="s">
        <v>10</v>
      </c>
      <c r="B11" s="276"/>
      <c r="C11" s="276"/>
      <c r="D11" s="276"/>
      <c r="E11" s="276"/>
      <c r="F11" s="276"/>
      <c r="G11" s="276"/>
      <c r="H11" s="276"/>
      <c r="I11" s="276"/>
      <c r="J11" s="276"/>
      <c r="K11" s="276"/>
      <c r="L11" s="276"/>
      <c r="M11" s="276"/>
      <c r="N11" s="276"/>
      <c r="O11" s="276"/>
      <c r="P11" s="276"/>
      <c r="Q11" s="276"/>
      <c r="R11" s="277"/>
    </row>
    <row r="12" spans="1:18" ht="16.149999999999999" thickBot="1" x14ac:dyDescent="0.45">
      <c r="A12" s="278" t="s">
        <v>11</v>
      </c>
      <c r="B12" s="279"/>
      <c r="C12" s="279"/>
      <c r="D12" s="279"/>
      <c r="E12" s="279"/>
      <c r="F12" s="279"/>
      <c r="G12" s="279"/>
      <c r="H12" s="279"/>
      <c r="I12" s="279"/>
      <c r="J12" s="279"/>
      <c r="K12" s="279"/>
      <c r="L12" s="279"/>
      <c r="M12" s="279"/>
      <c r="N12" s="279"/>
      <c r="O12" s="279"/>
      <c r="P12" s="279"/>
      <c r="Q12" s="279"/>
      <c r="R12" s="280"/>
    </row>
    <row r="13" spans="1:18" x14ac:dyDescent="0.4">
      <c r="A13" s="76"/>
      <c r="B13" s="76"/>
      <c r="C13" s="76"/>
      <c r="D13" s="76"/>
      <c r="E13" s="76"/>
      <c r="F13" s="76"/>
      <c r="G13" s="76"/>
      <c r="H13" s="76"/>
    </row>
    <row r="14" spans="1:18" x14ac:dyDescent="0.4">
      <c r="A14" s="76"/>
      <c r="B14" s="76"/>
      <c r="C14" s="76"/>
      <c r="D14" s="76"/>
      <c r="E14" s="76"/>
      <c r="F14" s="76"/>
      <c r="G14" s="76"/>
      <c r="H14" s="76"/>
    </row>
    <row r="15" spans="1:18" x14ac:dyDescent="0.4">
      <c r="A15" s="76"/>
      <c r="B15" s="76"/>
      <c r="C15" s="76"/>
      <c r="D15" s="76"/>
      <c r="E15" s="76"/>
      <c r="F15" s="76"/>
      <c r="G15" s="76"/>
      <c r="H15" s="76"/>
    </row>
    <row r="16" spans="1:18" x14ac:dyDescent="0.4">
      <c r="A16" s="76"/>
      <c r="B16" s="76"/>
      <c r="C16" s="76"/>
      <c r="D16" s="76"/>
      <c r="E16" s="76"/>
      <c r="F16" s="76"/>
      <c r="G16" s="76"/>
      <c r="H16" s="76"/>
    </row>
    <row r="17" spans="1:8" x14ac:dyDescent="0.4">
      <c r="A17" s="76"/>
      <c r="B17" s="76"/>
      <c r="C17" s="76"/>
      <c r="D17" s="76"/>
      <c r="E17" s="76"/>
      <c r="F17" s="76"/>
      <c r="G17" s="76"/>
      <c r="H17" s="76"/>
    </row>
    <row r="18" spans="1:8" x14ac:dyDescent="0.4">
      <c r="A18" s="76"/>
      <c r="B18" s="76"/>
      <c r="C18" s="76"/>
      <c r="D18" s="76"/>
      <c r="E18" s="76"/>
      <c r="F18" s="76"/>
      <c r="G18" s="76"/>
      <c r="H18" s="76"/>
    </row>
  </sheetData>
  <mergeCells count="12">
    <mergeCell ref="A12:R12"/>
    <mergeCell ref="A2:R2"/>
    <mergeCell ref="A3:R3"/>
    <mergeCell ref="A4:R4"/>
    <mergeCell ref="A5:R5"/>
    <mergeCell ref="A8:R8"/>
    <mergeCell ref="A9:R9"/>
    <mergeCell ref="A1:R1"/>
    <mergeCell ref="A6:R6"/>
    <mergeCell ref="A7:R7"/>
    <mergeCell ref="A10:R10"/>
    <mergeCell ref="A11:R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7DB00-5AF1-45E3-A96B-F91E5507229E}">
  <dimension ref="A1:R53"/>
  <sheetViews>
    <sheetView showGridLines="0" zoomScale="90" zoomScaleNormal="90" workbookViewId="0">
      <selection activeCell="M21" sqref="M21"/>
    </sheetView>
  </sheetViews>
  <sheetFormatPr defaultColWidth="8.796875" defaultRowHeight="15.75" x14ac:dyDescent="0.5"/>
  <cols>
    <col min="1" max="1" width="62" style="45" bestFit="1" customWidth="1"/>
    <col min="2" max="5" width="11.796875" style="45" customWidth="1"/>
    <col min="6" max="10" width="11.796875" style="47" customWidth="1"/>
    <col min="11" max="11" width="8.796875" style="40" bestFit="1" customWidth="1"/>
    <col min="12" max="12" width="19.1328125" style="45" bestFit="1" customWidth="1"/>
    <col min="13" max="16384" width="8.796875" style="45"/>
  </cols>
  <sheetData>
    <row r="1" spans="1:18" ht="18" customHeight="1" thickBot="1" x14ac:dyDescent="0.55000000000000004">
      <c r="A1" s="247" t="s">
        <v>12</v>
      </c>
      <c r="B1" s="248" t="s">
        <v>13</v>
      </c>
      <c r="C1" s="248" t="s">
        <v>14</v>
      </c>
      <c r="D1" s="248" t="s">
        <v>15</v>
      </c>
      <c r="E1" s="251" t="s">
        <v>16</v>
      </c>
      <c r="F1" s="249" t="s">
        <v>17</v>
      </c>
      <c r="G1" s="249" t="s">
        <v>18</v>
      </c>
      <c r="H1" s="249" t="s">
        <v>19</v>
      </c>
      <c r="I1" s="249" t="s">
        <v>20</v>
      </c>
      <c r="J1" s="250" t="s">
        <v>21</v>
      </c>
      <c r="N1" s="253"/>
      <c r="O1" s="253"/>
      <c r="P1" s="253"/>
      <c r="Q1" s="253"/>
      <c r="R1" s="253"/>
    </row>
    <row r="2" spans="1:18" ht="18" customHeight="1" x14ac:dyDescent="0.5">
      <c r="A2" s="45" t="s">
        <v>22</v>
      </c>
      <c r="B2" s="113">
        <f>('IS '!C6/'IS '!B6)-1</f>
        <v>0.77383066903493192</v>
      </c>
      <c r="C2" s="113">
        <f>('IS '!D6/'IS '!C6)-1</f>
        <v>0.401702269692924</v>
      </c>
      <c r="D2" s="113">
        <f>('IS '!E6/'IS '!D6)-1</f>
        <v>0.18073580188117644</v>
      </c>
      <c r="E2" s="252">
        <f>('IS '!F6/'IS '!E6)-1</f>
        <v>0.11949178178884745</v>
      </c>
      <c r="F2" s="233">
        <f>(DA!G40-DA!F40)/DA!F40</f>
        <v>0.12470109543612708</v>
      </c>
      <c r="G2" s="233">
        <f>(DA!H40-DA!G40)/DA!G40</f>
        <v>4.727969030306195E-2</v>
      </c>
      <c r="H2" s="233">
        <f>(DA!I40-DA!H40)/DA!H40</f>
        <v>2.737853048817078E-2</v>
      </c>
      <c r="I2" s="233">
        <f>(DA!J40-DA!I40)/DA!I40</f>
        <v>1.2118308703957125E-2</v>
      </c>
      <c r="J2" s="233">
        <f>(DA!K40-DA!J40)/DA!J40</f>
        <v>2.0199851813203166E-3</v>
      </c>
      <c r="L2" s="45" t="s">
        <v>23</v>
      </c>
    </row>
    <row r="3" spans="1:18" ht="18" customHeight="1" x14ac:dyDescent="0.5">
      <c r="A3" s="45" t="s">
        <v>24</v>
      </c>
      <c r="B3" s="113">
        <f>'IS '!C8/'IS '!C6</f>
        <v>0.19292389853137518</v>
      </c>
      <c r="C3" s="113">
        <f>'IS '!D8/'IS '!D6</f>
        <v>0.17847362781283485</v>
      </c>
      <c r="D3" s="113">
        <f>'IS '!E8/'IS '!E6</f>
        <v>0.17172532015730563</v>
      </c>
      <c r="E3" s="114">
        <f>'IS '!F8/'IS '!F6</f>
        <v>0.1691587101423167</v>
      </c>
      <c r="F3" s="112">
        <v>0.16070077463520085</v>
      </c>
      <c r="G3" s="112">
        <v>0.15266573590344079</v>
      </c>
      <c r="H3" s="112">
        <v>0.14503244910826874</v>
      </c>
      <c r="I3" s="112">
        <v>0.13778082665285529</v>
      </c>
      <c r="J3" s="112">
        <v>0.14000000000000001</v>
      </c>
      <c r="K3" s="39"/>
      <c r="L3" s="45" t="s">
        <v>25</v>
      </c>
    </row>
    <row r="4" spans="1:18" ht="18" customHeight="1" x14ac:dyDescent="0.5">
      <c r="A4" s="45" t="s">
        <v>26</v>
      </c>
      <c r="B4" s="113">
        <f>SUM('IS '!C14,'IS '!C15)/'IS '!C6</f>
        <v>0.33744993324432576</v>
      </c>
      <c r="C4" s="113">
        <f>SUM('IS '!D14,'IS '!D15)/'IS '!D6</f>
        <v>0.29360638171210857</v>
      </c>
      <c r="D4" s="113">
        <f>SUM('IS '!E14,'IS '!E15)/'IS '!E6</f>
        <v>0.38197035393768275</v>
      </c>
      <c r="E4" s="114">
        <f>SUM('IS '!F14,'IS '!F15)/'IS '!F6</f>
        <v>0.3002161772653576</v>
      </c>
      <c r="F4" s="112">
        <v>0.29421185372005043</v>
      </c>
      <c r="G4" s="112">
        <v>0.28832761664564943</v>
      </c>
      <c r="H4" s="112">
        <v>0.28256106431273642</v>
      </c>
      <c r="I4" s="112">
        <v>0.27690984302648169</v>
      </c>
      <c r="J4" s="112">
        <v>0.27137164616595205</v>
      </c>
      <c r="L4" s="45" t="s">
        <v>27</v>
      </c>
    </row>
    <row r="5" spans="1:18" ht="18" customHeight="1" x14ac:dyDescent="0.5">
      <c r="A5" s="45" t="s">
        <v>28</v>
      </c>
      <c r="B5" s="113">
        <f>'IS '!C11/'IS '!C6</f>
        <v>0.14135514018691589</v>
      </c>
      <c r="C5" s="113">
        <f>'IS '!D11/'IS '!D6</f>
        <v>0.1239433265864984</v>
      </c>
      <c r="D5" s="113">
        <f>'IS '!E11/'IS '!E6</f>
        <v>0.11959261873550468</v>
      </c>
      <c r="E5" s="114">
        <f>'IS '!F11/'IS '!F6</f>
        <v>0.11547468924518105</v>
      </c>
      <c r="F5" s="112">
        <v>0.11547468924518105</v>
      </c>
      <c r="G5" s="112">
        <v>0.11547468924518105</v>
      </c>
      <c r="H5" s="112">
        <v>0.11547468924518105</v>
      </c>
      <c r="I5" s="112">
        <v>0.11547468924518105</v>
      </c>
      <c r="J5" s="112">
        <v>0.11547468924518105</v>
      </c>
      <c r="L5" s="46"/>
    </row>
    <row r="6" spans="1:18" ht="18" customHeight="1" x14ac:dyDescent="0.5">
      <c r="A6" s="45" t="s">
        <v>29</v>
      </c>
      <c r="B6" s="113">
        <f>'IS '!C12/'IS '!C6</f>
        <v>0.23781708945260346</v>
      </c>
      <c r="C6" s="113">
        <f>'IS '!D12/'IS '!D6</f>
        <v>0.17883081319204666</v>
      </c>
      <c r="D6" s="113">
        <f>'IS '!E12/'IS '!E6</f>
        <v>0.17364122214379349</v>
      </c>
      <c r="E6" s="114">
        <f>'IS '!F12/'IS '!F6</f>
        <v>0.18519185732300486</v>
      </c>
      <c r="F6" s="112">
        <v>0.17593226445685461</v>
      </c>
      <c r="G6" s="112">
        <v>0.16713565123401189</v>
      </c>
      <c r="H6" s="112">
        <v>0.15877886867231128</v>
      </c>
      <c r="I6" s="112">
        <v>0.15083992523869572</v>
      </c>
      <c r="J6" s="112">
        <v>0.14329792897676091</v>
      </c>
      <c r="L6" s="253"/>
    </row>
    <row r="7" spans="1:18" ht="18" customHeight="1" x14ac:dyDescent="0.5">
      <c r="A7" s="45" t="s">
        <v>30</v>
      </c>
      <c r="B7" s="113">
        <f>CF!B7/BS!B14</f>
        <v>0.87898089171974525</v>
      </c>
      <c r="C7" s="113">
        <f>CF!C7/BS!C14</f>
        <v>0.66942148760330578</v>
      </c>
      <c r="D7" s="113">
        <f>CF!D7/BS!D14</f>
        <v>0.27500000000000002</v>
      </c>
      <c r="E7" s="114">
        <f>CF!E7/BS!E14</f>
        <v>0.44217687074829931</v>
      </c>
      <c r="F7" s="112">
        <v>0.46219945278386837</v>
      </c>
      <c r="G7" s="112">
        <v>0.41597950750548152</v>
      </c>
      <c r="H7" s="112">
        <v>0.3743815567549334</v>
      </c>
      <c r="I7" s="112">
        <v>0.33694340107944004</v>
      </c>
      <c r="J7" s="112">
        <v>0.30324906097149606</v>
      </c>
    </row>
    <row r="8" spans="1:18" ht="18" customHeight="1" x14ac:dyDescent="0.5">
      <c r="A8" s="45" t="s">
        <v>31</v>
      </c>
      <c r="B8" s="107">
        <f>'IS '!C16</f>
        <v>113</v>
      </c>
      <c r="C8" s="107">
        <f>'IS '!D16</f>
        <v>89</v>
      </c>
      <c r="D8" s="107" t="str">
        <f>'IS '!E16</f>
        <v>—</v>
      </c>
      <c r="E8" s="108" t="str">
        <f>'IS '!F16</f>
        <v>—</v>
      </c>
      <c r="F8" s="107" t="s">
        <v>32</v>
      </c>
      <c r="G8" s="107" t="s">
        <v>32</v>
      </c>
      <c r="H8" s="107" t="s">
        <v>32</v>
      </c>
      <c r="I8" s="107" t="s">
        <v>32</v>
      </c>
      <c r="J8" s="107" t="s">
        <v>32</v>
      </c>
    </row>
    <row r="9" spans="1:18" ht="18" customHeight="1" x14ac:dyDescent="0.5">
      <c r="A9" s="45" t="s">
        <v>33</v>
      </c>
      <c r="B9" s="107">
        <f>'IS '!C22</f>
        <v>-304</v>
      </c>
      <c r="C9" s="107">
        <f>'IS '!D22</f>
        <v>25</v>
      </c>
      <c r="D9" s="107">
        <f>'IS '!E22</f>
        <v>-54</v>
      </c>
      <c r="E9" s="108">
        <f>'IS '!F22</f>
        <v>-40</v>
      </c>
      <c r="F9" s="109">
        <v>-23</v>
      </c>
      <c r="G9" s="109">
        <v>-23</v>
      </c>
      <c r="H9" s="109">
        <v>-23</v>
      </c>
      <c r="I9" s="109">
        <v>-23</v>
      </c>
      <c r="J9" s="109">
        <v>-23</v>
      </c>
      <c r="L9" s="45" t="s">
        <v>34</v>
      </c>
    </row>
    <row r="10" spans="1:18" ht="18" customHeight="1" x14ac:dyDescent="0.5">
      <c r="A10" s="45" t="s">
        <v>35</v>
      </c>
      <c r="B10" s="113">
        <f>'IS '!C24/'IS '!C23</f>
        <v>-0.17333333333333334</v>
      </c>
      <c r="C10" s="113">
        <f>'IS '!D24/'IS '!D23</f>
        <v>4.8265460030165915E-2</v>
      </c>
      <c r="D10" s="238">
        <f>'IS '!E24/'IS '!E23</f>
        <v>-1.2797335870599429</v>
      </c>
      <c r="E10" s="114">
        <f>'IS '!F24/'IS '!F23</f>
        <v>0.21410658307210031</v>
      </c>
      <c r="F10" s="235">
        <v>0.21</v>
      </c>
      <c r="G10" s="235">
        <v>0.21</v>
      </c>
      <c r="H10" s="235">
        <v>0.21</v>
      </c>
      <c r="I10" s="235">
        <v>0.21</v>
      </c>
      <c r="J10" s="235">
        <v>0.21</v>
      </c>
      <c r="L10" s="45" t="s">
        <v>36</v>
      </c>
    </row>
    <row r="11" spans="1:18" ht="18" customHeight="1" x14ac:dyDescent="0.5">
      <c r="A11" s="45" t="s">
        <v>37</v>
      </c>
      <c r="B11" s="113">
        <f>'IS '!C20/BS!B5</f>
        <v>2.1427394099225315E-3</v>
      </c>
      <c r="C11" s="237">
        <f>'IS '!D20/BS!C5</f>
        <v>2.5210084033613446E-2</v>
      </c>
      <c r="D11" s="237">
        <f>'IS '!E20/BS!D5</f>
        <v>0.10488798370672098</v>
      </c>
      <c r="E11" s="239">
        <f>'IS '!F20/BS!E5</f>
        <v>0.11917249417249418</v>
      </c>
      <c r="F11" s="232">
        <v>0.11917249417249418</v>
      </c>
      <c r="G11" s="232">
        <v>0.11917249417249418</v>
      </c>
      <c r="H11" s="232">
        <v>0.11917249417249418</v>
      </c>
      <c r="I11" s="232">
        <v>0.11917249417249418</v>
      </c>
      <c r="J11" s="232">
        <v>0.11917249417249418</v>
      </c>
      <c r="L11" s="40" t="s">
        <v>38</v>
      </c>
    </row>
    <row r="12" spans="1:18" ht="18" customHeight="1" x14ac:dyDescent="0.5">
      <c r="A12" s="45" t="s">
        <v>39</v>
      </c>
      <c r="B12" s="113">
        <f>'IS '!C21/'IS '!C6</f>
        <v>-7.3097463284379174E-2</v>
      </c>
      <c r="C12" s="113">
        <f>'IS '!D21/'IS '!D6</f>
        <v>-2.8574830336944874E-3</v>
      </c>
      <c r="D12" s="113">
        <f>'IS '!E21/'IS '!E6</f>
        <v>-8.3694665725521835E-3</v>
      </c>
      <c r="E12" s="239">
        <f>'IS '!F21/'IS '!F6</f>
        <v>-1.2700414339758602E-2</v>
      </c>
      <c r="F12" s="236">
        <f>E12</f>
        <v>-1.2700414339758602E-2</v>
      </c>
      <c r="G12" s="237">
        <f>F12</f>
        <v>-1.2700414339758602E-2</v>
      </c>
      <c r="H12" s="237">
        <f>G12</f>
        <v>-1.2700414339758602E-2</v>
      </c>
      <c r="I12" s="237">
        <f>H12</f>
        <v>-1.2700414339758602E-2</v>
      </c>
      <c r="J12" s="237">
        <f>I12</f>
        <v>-1.2700414339758602E-2</v>
      </c>
      <c r="L12" s="40" t="s">
        <v>40</v>
      </c>
    </row>
    <row r="13" spans="1:18" ht="18" customHeight="1" x14ac:dyDescent="0.5">
      <c r="A13" s="45" t="s">
        <v>41</v>
      </c>
      <c r="B13" s="107">
        <v>-3</v>
      </c>
      <c r="C13" s="107">
        <v>-1</v>
      </c>
      <c r="D13" s="107">
        <v>-10</v>
      </c>
      <c r="E13" s="108">
        <v>8</v>
      </c>
      <c r="F13" s="109">
        <v>-1</v>
      </c>
      <c r="G13" s="109">
        <v>3.5</v>
      </c>
      <c r="H13" s="109">
        <v>1.25</v>
      </c>
      <c r="I13" s="109">
        <v>2.375</v>
      </c>
      <c r="J13" s="109">
        <v>1.8125</v>
      </c>
    </row>
    <row r="14" spans="1:18" ht="18" customHeight="1" x14ac:dyDescent="0.5">
      <c r="A14" s="45" t="s">
        <v>42</v>
      </c>
      <c r="B14" s="110">
        <f>'IS '!C29</f>
        <v>616</v>
      </c>
      <c r="C14" s="110">
        <f>'IS '!D29</f>
        <v>680</v>
      </c>
      <c r="D14" s="110">
        <f>'IS '!E29</f>
        <v>662</v>
      </c>
      <c r="E14" s="111">
        <f>'IS '!F29</f>
        <v>645</v>
      </c>
      <c r="F14" s="109">
        <v>632.1</v>
      </c>
      <c r="G14" s="109">
        <v>619.45799999999997</v>
      </c>
      <c r="H14" s="109">
        <v>607.06883999999991</v>
      </c>
      <c r="I14" s="109">
        <v>594.92746319999992</v>
      </c>
      <c r="J14" s="109">
        <v>583.02891393599987</v>
      </c>
      <c r="K14" s="8"/>
      <c r="P14" s="46"/>
    </row>
    <row r="15" spans="1:18" ht="18" customHeight="1" x14ac:dyDescent="0.5">
      <c r="A15" s="77" t="s">
        <v>43</v>
      </c>
      <c r="B15" s="78"/>
      <c r="C15" s="78"/>
      <c r="D15" s="78"/>
      <c r="E15" s="79"/>
      <c r="F15" s="80"/>
      <c r="G15" s="80"/>
      <c r="H15" s="80"/>
      <c r="I15" s="80"/>
      <c r="J15" s="80"/>
      <c r="K15" s="27"/>
    </row>
    <row r="16" spans="1:18" ht="18" customHeight="1" x14ac:dyDescent="0.5">
      <c r="A16" s="45" t="s">
        <v>44</v>
      </c>
      <c r="B16" s="110">
        <f>(BS!B9/'IS '!C6)*364</f>
        <v>8.6869158878504678</v>
      </c>
      <c r="C16" s="110">
        <f>(BS!C9/'IS '!D6)*364</f>
        <v>8.6676985355399445</v>
      </c>
      <c r="D16" s="110">
        <f>(BS!D9/'IS '!E6)*364</f>
        <v>9.1394574972269833</v>
      </c>
      <c r="E16" s="111">
        <f>(BS!E9/'IS '!F6)*364</f>
        <v>5.7377049180327866</v>
      </c>
      <c r="F16" s="109">
        <v>7.8482869835999045</v>
      </c>
      <c r="G16" s="109">
        <v>8.0579442096625442</v>
      </c>
      <c r="H16" s="109">
        <v>8.0579442096625442</v>
      </c>
      <c r="I16" s="109">
        <v>8.0579442096625442</v>
      </c>
      <c r="J16" s="109">
        <v>8.0579442096625442</v>
      </c>
    </row>
    <row r="17" spans="1:14" ht="18" customHeight="1" x14ac:dyDescent="0.5">
      <c r="A17" s="45" t="s">
        <v>45</v>
      </c>
      <c r="B17" s="110">
        <f>BS!B12</f>
        <v>705</v>
      </c>
      <c r="C17" s="110">
        <f>BS!C12</f>
        <v>684</v>
      </c>
      <c r="D17" s="110">
        <f>BS!D12</f>
        <v>792</v>
      </c>
      <c r="E17" s="111">
        <f>BS!E12</f>
        <v>777</v>
      </c>
      <c r="F17" s="109"/>
      <c r="G17" s="109"/>
      <c r="H17" s="109"/>
      <c r="I17" s="109"/>
      <c r="J17" s="109"/>
    </row>
    <row r="18" spans="1:14" ht="18" customHeight="1" x14ac:dyDescent="0.5">
      <c r="A18" s="45" t="s">
        <v>46</v>
      </c>
      <c r="B18" s="240">
        <f>BS!B13/'IS '!C6</f>
        <v>2.8871829105473965E-2</v>
      </c>
      <c r="C18" s="240">
        <f>BS!C13/'IS '!D6</f>
        <v>2.5955470889391593E-2</v>
      </c>
      <c r="D18" s="240">
        <f>BS!D13/'IS '!E6</f>
        <v>1.8553998184934962E-2</v>
      </c>
      <c r="E18" s="241">
        <f>BS!E13/'IS '!F6</f>
        <v>2.4500090073860566E-2</v>
      </c>
      <c r="F18" s="112">
        <v>2.4470347063415269E-2</v>
      </c>
      <c r="G18" s="112">
        <v>2.3369976552900601E-2</v>
      </c>
      <c r="H18" s="112">
        <v>2.2723602968777852E-2</v>
      </c>
      <c r="I18" s="112">
        <v>2.376600416473857E-2</v>
      </c>
      <c r="J18" s="112">
        <v>2.3582482687458071E-2</v>
      </c>
    </row>
    <row r="19" spans="1:14" ht="18" customHeight="1" x14ac:dyDescent="0.5">
      <c r="A19" s="45" t="s">
        <v>47</v>
      </c>
      <c r="B19" s="113">
        <f>BS!B41/'IS '!C6</f>
        <v>4.0053404539385851E-3</v>
      </c>
      <c r="C19" s="113">
        <f>BS!C41/'IS '!D6</f>
        <v>5.4768424812477673E-3</v>
      </c>
      <c r="D19" s="113">
        <f>BS!D41/'IS '!E6</f>
        <v>8.3694665725521835E-3</v>
      </c>
      <c r="E19" s="114">
        <f>BS!E41/'IS '!F6</f>
        <v>4.6838407494145199E-3</v>
      </c>
      <c r="F19" s="112">
        <v>6.17671660107149E-3</v>
      </c>
      <c r="G19" s="112">
        <v>6.17671660107149E-3</v>
      </c>
      <c r="H19" s="112">
        <v>6.17671660107149E-3</v>
      </c>
      <c r="I19" s="112">
        <v>6.17671660107149E-3</v>
      </c>
      <c r="J19" s="112">
        <v>6.17671660107149E-3</v>
      </c>
      <c r="N19" s="48"/>
    </row>
    <row r="20" spans="1:14" ht="18" customHeight="1" x14ac:dyDescent="0.5">
      <c r="A20" s="45" t="s">
        <v>48</v>
      </c>
      <c r="B20" s="113">
        <f>BS!B39</f>
        <v>0.51111111111111107</v>
      </c>
      <c r="C20" s="113">
        <f>BS!C39</f>
        <v>0.51923076923076927</v>
      </c>
      <c r="D20" s="113">
        <f>BS!D39</f>
        <v>0.36363636363636365</v>
      </c>
      <c r="E20" s="114">
        <f>BS!E39</f>
        <v>0.40625</v>
      </c>
      <c r="F20" s="113">
        <v>0.46219945278386843</v>
      </c>
      <c r="G20" s="113">
        <v>0.41597950750548152</v>
      </c>
      <c r="H20" s="113">
        <v>0.3743815567549334</v>
      </c>
      <c r="I20" s="113">
        <v>0.33694340107943999</v>
      </c>
      <c r="J20" s="113">
        <v>0.30324906097149606</v>
      </c>
    </row>
    <row r="21" spans="1:14" ht="18" customHeight="1" x14ac:dyDescent="0.5">
      <c r="A21" s="45" t="s">
        <v>49</v>
      </c>
      <c r="B21" s="113">
        <f>BS!B14/'IS '!C6</f>
        <v>2.6201602136181574E-2</v>
      </c>
      <c r="C21" s="113">
        <f>BS!C14/'IS '!D6</f>
        <v>1.4406476961543041E-2</v>
      </c>
      <c r="D21" s="113">
        <f>BS!D14/'IS '!E6</f>
        <v>1.6133911465160834E-2</v>
      </c>
      <c r="E21" s="114">
        <f>BS!E14/'IS '!F6</f>
        <v>1.3240857503152586E-2</v>
      </c>
      <c r="F21" s="112">
        <v>1.2508123620858366E-2</v>
      </c>
      <c r="G21" s="112">
        <v>1.3151931135330339E-2</v>
      </c>
      <c r="H21" s="112">
        <v>1.4185537535495745E-2</v>
      </c>
      <c r="I21" s="112">
        <v>1.5469913049804969E-2</v>
      </c>
      <c r="J21" s="112">
        <v>1.6933664170525869E-2</v>
      </c>
    </row>
    <row r="22" spans="1:14" ht="18" customHeight="1" x14ac:dyDescent="0.5">
      <c r="A22" s="45" t="s">
        <v>50</v>
      </c>
      <c r="B22" s="113">
        <f>BS!B15/'IS '!C6</f>
        <v>4.5393858477970631E-2</v>
      </c>
      <c r="C22" s="113">
        <f>BS!C15/'IS '!D6</f>
        <v>1.6430527443743303E-2</v>
      </c>
      <c r="D22" s="113">
        <f>BS!D15/'IS '!E6</f>
        <v>1.1999596652213371E-2</v>
      </c>
      <c r="E22" s="114">
        <f>BS!E15/'IS '!F6</f>
        <v>1.2970635921455594E-2</v>
      </c>
      <c r="F22" s="112">
        <v>6.6199858296311321E-3</v>
      </c>
      <c r="G22" s="112">
        <v>4.2709270639257561E-3</v>
      </c>
      <c r="H22" s="112">
        <v>2.8448487026178563E-3</v>
      </c>
      <c r="I22" s="112">
        <v>1.9260728475709919E-3</v>
      </c>
      <c r="J22" s="112">
        <v>1.315955236160707E-3</v>
      </c>
    </row>
    <row r="23" spans="1:14" ht="18" customHeight="1" x14ac:dyDescent="0.5">
      <c r="A23" s="81" t="s">
        <v>51</v>
      </c>
      <c r="B23" s="82"/>
      <c r="C23" s="82"/>
      <c r="D23" s="82"/>
      <c r="E23" s="83"/>
      <c r="F23" s="84"/>
      <c r="G23" s="84"/>
      <c r="H23" s="84"/>
      <c r="I23" s="84"/>
      <c r="J23" s="84"/>
    </row>
    <row r="24" spans="1:14" ht="18" customHeight="1" x14ac:dyDescent="0.5">
      <c r="A24" s="45" t="s">
        <v>52</v>
      </c>
      <c r="B24" s="107">
        <v>48</v>
      </c>
      <c r="C24" s="107">
        <v>31</v>
      </c>
      <c r="D24" s="107">
        <v>31</v>
      </c>
      <c r="E24" s="108">
        <v>32</v>
      </c>
      <c r="F24" s="115"/>
      <c r="G24" s="115"/>
      <c r="H24" s="115"/>
      <c r="I24" s="115"/>
      <c r="J24" s="115"/>
    </row>
    <row r="25" spans="1:14" ht="18" customHeight="1" x14ac:dyDescent="0.5">
      <c r="A25" s="45" t="s">
        <v>53</v>
      </c>
      <c r="B25" s="113">
        <f>BS!B19/'IS '!C6</f>
        <v>6.9425901201602136E-2</v>
      </c>
      <c r="C25" s="113">
        <f>BS!C19/'IS '!D6</f>
        <v>4.5243481366829381E-2</v>
      </c>
      <c r="D25" s="113">
        <f>BS!D19/'IS '!E6</f>
        <v>4.3964908742563272E-2</v>
      </c>
      <c r="E25" s="114">
        <f>BS!E19/'IS '!F6</f>
        <v>4.4856782561700594E-2</v>
      </c>
      <c r="F25" s="112">
        <v>4.4688390890364416E-2</v>
      </c>
      <c r="G25" s="112">
        <v>4.4503360731542763E-2</v>
      </c>
      <c r="H25" s="112">
        <v>4.4682844727869257E-2</v>
      </c>
      <c r="I25" s="112">
        <v>4.4624865449925478E-2</v>
      </c>
      <c r="J25" s="112">
        <v>4.4603690303112502E-2</v>
      </c>
    </row>
    <row r="26" spans="1:14" ht="18" customHeight="1" x14ac:dyDescent="0.5">
      <c r="A26" s="45" t="s">
        <v>54</v>
      </c>
      <c r="B26" s="107">
        <v>63</v>
      </c>
      <c r="C26" s="107">
        <v>59</v>
      </c>
      <c r="D26" s="107">
        <v>61</v>
      </c>
      <c r="E26" s="108">
        <v>62</v>
      </c>
      <c r="F26" s="109">
        <v>61.25</v>
      </c>
      <c r="G26" s="109">
        <v>60.8125</v>
      </c>
      <c r="H26" s="109">
        <v>61.265625</v>
      </c>
      <c r="I26" s="109">
        <v>61.33203125</v>
      </c>
      <c r="J26" s="109">
        <v>61.1650390625</v>
      </c>
    </row>
    <row r="27" spans="1:14" ht="18" customHeight="1" x14ac:dyDescent="0.5">
      <c r="A27" s="45" t="s">
        <v>55</v>
      </c>
      <c r="B27" s="85" t="s">
        <v>32</v>
      </c>
      <c r="C27" s="85" t="s">
        <v>32</v>
      </c>
      <c r="D27" s="85" t="s">
        <v>32</v>
      </c>
      <c r="E27" s="86" t="s">
        <v>32</v>
      </c>
      <c r="F27" s="85" t="s">
        <v>32</v>
      </c>
      <c r="G27" s="85" t="s">
        <v>32</v>
      </c>
      <c r="H27" s="85" t="s">
        <v>32</v>
      </c>
      <c r="I27" s="85" t="s">
        <v>32</v>
      </c>
      <c r="J27" s="85" t="s">
        <v>32</v>
      </c>
    </row>
    <row r="28" spans="1:14" ht="18" customHeight="1" x14ac:dyDescent="0.5">
      <c r="A28" s="45" t="s">
        <v>56</v>
      </c>
      <c r="B28" s="242">
        <f>BS!B21/'IS '!C6</f>
        <v>0.61999332443257682</v>
      </c>
      <c r="C28" s="242">
        <f>BS!C21/'IS '!D6</f>
        <v>0.56947255625669724</v>
      </c>
      <c r="D28" s="242">
        <f>BS!D21/'IS '!E6</f>
        <v>0.59181203993143083</v>
      </c>
      <c r="E28" s="243">
        <f>BS!E21/'IS '!F6</f>
        <v>0.53422806701495229</v>
      </c>
      <c r="F28" s="242">
        <v>0.5788764969089143</v>
      </c>
      <c r="G28" s="242">
        <v>0.5788764969089143</v>
      </c>
      <c r="H28" s="242">
        <v>0.5788764969089143</v>
      </c>
      <c r="I28" s="242">
        <v>0.5788764969089143</v>
      </c>
      <c r="J28" s="242">
        <v>0.5788764969089143</v>
      </c>
    </row>
    <row r="29" spans="1:14" ht="18" customHeight="1" x14ac:dyDescent="0.5">
      <c r="A29" s="45" t="s">
        <v>57</v>
      </c>
      <c r="B29" s="113">
        <f>BS!B22/'IS '!C6</f>
        <v>0.15086782376502003</v>
      </c>
      <c r="C29" s="113">
        <f>BS!C22/'IS '!D6</f>
        <v>0.1407310394094535</v>
      </c>
      <c r="D29" s="113">
        <f>BS!D22/'IS '!E6</f>
        <v>0.1438943228799032</v>
      </c>
      <c r="E29" s="114">
        <f>BS!E22/'IS '!F6</f>
        <v>0.14555935867411277</v>
      </c>
      <c r="F29" s="112">
        <v>0.14499999999999999</v>
      </c>
      <c r="G29" s="112">
        <v>0.14499999999999999</v>
      </c>
      <c r="H29" s="112">
        <v>0.14499999999999999</v>
      </c>
      <c r="I29" s="112">
        <v>0.14499999999999999</v>
      </c>
      <c r="J29" s="112">
        <v>0.14499999999999999</v>
      </c>
    </row>
    <row r="30" spans="1:14" ht="18" customHeight="1" x14ac:dyDescent="0.5">
      <c r="A30" s="45" t="s">
        <v>58</v>
      </c>
      <c r="B30" s="113">
        <f>BS!B20/'IS '!C6</f>
        <v>0.19075433911882511</v>
      </c>
      <c r="C30" s="113">
        <f>BS!C20/'IS '!D6</f>
        <v>0.17109179664245744</v>
      </c>
      <c r="D30" s="113">
        <f>BS!D20/'IS '!E6</f>
        <v>0.20328728446102651</v>
      </c>
      <c r="E30" s="239">
        <f>BS!E20/'IS '!F6</f>
        <v>0.1721311475409836</v>
      </c>
      <c r="F30" s="112">
        <v>0.18</v>
      </c>
      <c r="G30" s="112">
        <v>0.18</v>
      </c>
      <c r="H30" s="112">
        <v>0.18</v>
      </c>
      <c r="I30" s="112">
        <v>0.18</v>
      </c>
      <c r="J30" s="112">
        <v>0.18</v>
      </c>
    </row>
    <row r="31" spans="1:14" ht="18" customHeight="1" x14ac:dyDescent="0.5">
      <c r="A31" s="45" t="s">
        <v>59</v>
      </c>
      <c r="B31" s="113">
        <f>BS!B25/'IS '!C6</f>
        <v>6.2082777036048066E-2</v>
      </c>
      <c r="C31" s="113">
        <f>BS!C25/'IS '!D6</f>
        <v>3.5123228955828076E-2</v>
      </c>
      <c r="D31" s="113">
        <f>BS!D25/'IS '!E6</f>
        <v>2.5410910557628313E-2</v>
      </c>
      <c r="E31" s="239">
        <f>BS!E25/'IS '!F6</f>
        <v>2.1257431093496669E-2</v>
      </c>
      <c r="F31" s="112">
        <v>2.0194559538821835E-2</v>
      </c>
      <c r="G31" s="112">
        <v>1.9184831561880743E-2</v>
      </c>
      <c r="H31" s="112">
        <v>1.8225589983786705E-2</v>
      </c>
      <c r="I31" s="112">
        <v>1.7314310484597369E-2</v>
      </c>
      <c r="J31" s="112">
        <v>1.6448594960367498E-2</v>
      </c>
    </row>
    <row r="32" spans="1:14" ht="18" customHeight="1" x14ac:dyDescent="0.5">
      <c r="A32" s="45" t="s">
        <v>60</v>
      </c>
      <c r="B32" s="113">
        <f>BS!B26/'IS '!C6</f>
        <v>3.6548731642189587E-2</v>
      </c>
      <c r="C32" s="113">
        <f>BS!C26/'IS '!D6</f>
        <v>2.5955470889391593E-2</v>
      </c>
      <c r="D32" s="113">
        <f>BS!D26/'IS '!E6</f>
        <v>2.8940203690632247E-2</v>
      </c>
      <c r="E32" s="114">
        <f>BS!E26/'IS '!F6</f>
        <v>1.3961448387677896E-2</v>
      </c>
      <c r="F32" s="112">
        <v>1.3263375968294001E-2</v>
      </c>
      <c r="G32" s="112">
        <v>1.26002071698793E-2</v>
      </c>
      <c r="H32" s="112">
        <v>1.1970196811385335E-2</v>
      </c>
      <c r="I32" s="112">
        <v>1.1371686970816067E-2</v>
      </c>
      <c r="J32" s="112">
        <v>1.0803102622275263E-2</v>
      </c>
    </row>
    <row r="33" spans="1:12" ht="18" customHeight="1" x14ac:dyDescent="0.5">
      <c r="A33" s="87" t="s">
        <v>61</v>
      </c>
      <c r="B33" s="78"/>
      <c r="C33" s="104"/>
      <c r="D33" s="78"/>
      <c r="E33" s="79"/>
      <c r="F33" s="80"/>
      <c r="G33" s="80"/>
      <c r="H33" s="80"/>
      <c r="I33" s="80"/>
      <c r="J33" s="80"/>
    </row>
    <row r="34" spans="1:12" ht="18" customHeight="1" x14ac:dyDescent="0.5">
      <c r="A34" s="45" t="s">
        <v>62</v>
      </c>
      <c r="B34" s="116">
        <v>63</v>
      </c>
      <c r="C34" s="70">
        <v>4.7359999999999999E-2</v>
      </c>
      <c r="D34" s="70">
        <f>4736*0.0001</f>
        <v>0.47360000000000002</v>
      </c>
      <c r="E34" s="117">
        <f>4736*0.0001</f>
        <v>0.47360000000000002</v>
      </c>
      <c r="F34" s="118">
        <v>0.47360000000000002</v>
      </c>
      <c r="G34" s="118">
        <v>0.47360000000000002</v>
      </c>
      <c r="H34" s="118">
        <v>0.47360000000000002</v>
      </c>
      <c r="I34" s="118">
        <v>0.47360000000000002</v>
      </c>
      <c r="J34" s="118">
        <v>0.47360000000000002</v>
      </c>
    </row>
    <row r="35" spans="1:12" ht="18" customHeight="1" x14ac:dyDescent="0.5">
      <c r="A35" s="45" t="s">
        <v>63</v>
      </c>
      <c r="B35" s="113">
        <f>BS!B57/BS!B58</f>
        <v>0.2007181328545781</v>
      </c>
      <c r="C35" s="113">
        <f>BS!C57/BS!C58</f>
        <v>3.6082028208012457E-2</v>
      </c>
      <c r="D35" s="113">
        <f>BS!D57/BS!D58</f>
        <v>7.0452788040209638E-3</v>
      </c>
      <c r="E35" s="114">
        <f>BS!E57/BS!E58</f>
        <v>7.6416441834629423E-2</v>
      </c>
      <c r="F35" s="112">
        <v>3.9847916282220945E-2</v>
      </c>
      <c r="G35" s="112">
        <v>3.9847916282220945E-2</v>
      </c>
      <c r="H35" s="112">
        <v>3.9847916282220945E-2</v>
      </c>
      <c r="I35" s="112">
        <v>3.9847916282220945E-2</v>
      </c>
      <c r="J35" s="112">
        <v>3.9847916282220945E-2</v>
      </c>
    </row>
    <row r="36" spans="1:12" ht="18" customHeight="1" x14ac:dyDescent="0.5">
      <c r="A36" s="45" t="s">
        <v>64</v>
      </c>
      <c r="B36" s="116">
        <f>BS!B30</f>
        <v>11140</v>
      </c>
      <c r="C36" s="116">
        <f>BS!C30</f>
        <v>11557</v>
      </c>
      <c r="D36" s="116">
        <f>BS!D30</f>
        <v>11639</v>
      </c>
      <c r="E36" s="119">
        <f>BS!E30</f>
        <v>12602</v>
      </c>
      <c r="F36" s="120">
        <v>13104.163440988548</v>
      </c>
      <c r="G36" s="120">
        <v>13626.3370487336</v>
      </c>
      <c r="H36" s="120">
        <v>14169.318186684861</v>
      </c>
      <c r="I36" s="120">
        <v>14733.935991564031</v>
      </c>
      <c r="J36" s="120">
        <v>15321.052639463476</v>
      </c>
    </row>
    <row r="37" spans="1:12" ht="18" customHeight="1" x14ac:dyDescent="0.5">
      <c r="A37" s="45" t="s">
        <v>65</v>
      </c>
      <c r="B37" s="107">
        <f>BS!B31</f>
        <v>-7</v>
      </c>
      <c r="C37" s="107">
        <f>BS!C31</f>
        <v>-32</v>
      </c>
      <c r="D37" s="107">
        <f>BS!D31</f>
        <v>-49</v>
      </c>
      <c r="E37" s="108">
        <f>BS!E31</f>
        <v>35</v>
      </c>
      <c r="F37" s="109">
        <v>-15.333333333333334</v>
      </c>
      <c r="G37" s="109">
        <v>-15.333333333333334</v>
      </c>
      <c r="H37" s="109">
        <v>-15.333333333333334</v>
      </c>
      <c r="I37" s="109">
        <v>-15.333333333333334</v>
      </c>
      <c r="J37" s="109">
        <v>-15.333333333333334</v>
      </c>
    </row>
    <row r="45" spans="1:12" x14ac:dyDescent="0.5">
      <c r="C45" s="49"/>
    </row>
    <row r="47" spans="1:12" ht="23.25" customHeight="1" x14ac:dyDescent="0.5">
      <c r="C47" s="284"/>
      <c r="D47" s="284"/>
      <c r="E47" s="284"/>
      <c r="F47" s="284"/>
      <c r="G47" s="284"/>
      <c r="H47" s="284"/>
      <c r="I47" s="284"/>
      <c r="J47" s="284"/>
      <c r="K47" s="284"/>
      <c r="L47" s="284"/>
    </row>
    <row r="48" spans="1:12" x14ac:dyDescent="0.5">
      <c r="C48" s="284"/>
      <c r="D48" s="284"/>
      <c r="E48" s="284"/>
      <c r="F48" s="284"/>
      <c r="G48" s="284"/>
      <c r="H48" s="284"/>
      <c r="I48" s="284"/>
      <c r="J48" s="284"/>
      <c r="K48" s="284"/>
      <c r="L48" s="284"/>
    </row>
    <row r="49" spans="3:12" x14ac:dyDescent="0.5">
      <c r="C49" s="284"/>
      <c r="D49" s="284"/>
      <c r="E49" s="284"/>
      <c r="F49" s="284"/>
      <c r="G49" s="284"/>
      <c r="H49" s="284"/>
      <c r="I49" s="284"/>
      <c r="J49" s="284"/>
      <c r="K49" s="284"/>
      <c r="L49" s="284"/>
    </row>
    <row r="50" spans="3:12" x14ac:dyDescent="0.5">
      <c r="C50" s="284"/>
      <c r="D50" s="284"/>
      <c r="E50" s="284"/>
      <c r="F50" s="284"/>
      <c r="G50" s="284"/>
      <c r="H50" s="284"/>
      <c r="I50" s="284"/>
      <c r="J50" s="284"/>
      <c r="K50" s="284"/>
      <c r="L50" s="284"/>
    </row>
    <row r="51" spans="3:12" x14ac:dyDescent="0.5">
      <c r="C51" s="284"/>
      <c r="D51" s="284"/>
      <c r="E51" s="284"/>
      <c r="F51" s="284"/>
      <c r="G51" s="284"/>
      <c r="H51" s="284"/>
      <c r="I51" s="284"/>
      <c r="J51" s="284"/>
      <c r="K51" s="284"/>
      <c r="L51" s="284"/>
    </row>
    <row r="52" spans="3:12" x14ac:dyDescent="0.5">
      <c r="C52" s="284"/>
      <c r="D52" s="284"/>
      <c r="E52" s="284"/>
      <c r="F52" s="284"/>
      <c r="G52" s="284"/>
      <c r="H52" s="284"/>
      <c r="I52" s="284"/>
      <c r="J52" s="284"/>
      <c r="K52" s="284"/>
      <c r="L52" s="284"/>
    </row>
    <row r="53" spans="3:12" x14ac:dyDescent="0.5">
      <c r="C53" s="284"/>
      <c r="D53" s="284"/>
      <c r="E53" s="284"/>
      <c r="F53" s="284"/>
      <c r="G53" s="284"/>
      <c r="H53" s="284"/>
      <c r="I53" s="284"/>
      <c r="J53" s="284"/>
      <c r="K53" s="284"/>
      <c r="L53" s="284"/>
    </row>
  </sheetData>
  <mergeCells count="1">
    <mergeCell ref="C47:L53"/>
  </mergeCells>
  <conditionalFormatting sqref="A2:J14 A16:J22 A24:J32 C33">
    <cfRule type="expression" dxfId="7" priority="5">
      <formula>MOD(ROW(),2)=0</formula>
    </cfRule>
  </conditionalFormatting>
  <conditionalFormatting sqref="A34:J37">
    <cfRule type="expression" dxfId="6" priority="1">
      <formula>MOD(ROW(),2)=0</formula>
    </cfRule>
    <cfRule type="expression" priority="2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8CE52-2C99-4821-8DF7-0DFA8A69CD1A}">
  <dimension ref="A1:Q88"/>
  <sheetViews>
    <sheetView zoomScaleNormal="100" workbookViewId="0">
      <selection activeCell="D18" sqref="D18"/>
    </sheetView>
  </sheetViews>
  <sheetFormatPr defaultColWidth="8.796875" defaultRowHeight="15.75" x14ac:dyDescent="0.5"/>
  <cols>
    <col min="1" max="1" width="47.1328125" style="40" customWidth="1"/>
    <col min="2" max="2" width="6.6640625" style="40" customWidth="1"/>
    <col min="3" max="11" width="7.796875" style="40" customWidth="1"/>
    <col min="12" max="12" width="10.796875" style="40" customWidth="1"/>
    <col min="13" max="16384" width="8.796875" style="40"/>
  </cols>
  <sheetData>
    <row r="1" spans="1:15" s="39" customFormat="1" x14ac:dyDescent="0.35">
      <c r="A1" s="39" t="s">
        <v>66</v>
      </c>
    </row>
    <row r="2" spans="1:15" x14ac:dyDescent="0.5">
      <c r="A2" s="41" t="s">
        <v>12</v>
      </c>
      <c r="B2" s="41"/>
    </row>
    <row r="3" spans="1:15" x14ac:dyDescent="0.5">
      <c r="A3" s="40" t="s">
        <v>67</v>
      </c>
    </row>
    <row r="4" spans="1:15" x14ac:dyDescent="0.5">
      <c r="B4" s="285" t="s">
        <v>68</v>
      </c>
      <c r="C4" s="285"/>
      <c r="D4" s="285"/>
      <c r="E4" s="285"/>
      <c r="F4" s="285"/>
      <c r="G4" s="285"/>
      <c r="H4" s="285"/>
      <c r="I4" s="285"/>
      <c r="J4" s="285"/>
    </row>
    <row r="5" spans="1:15" x14ac:dyDescent="0.5">
      <c r="A5" s="50" t="s">
        <v>69</v>
      </c>
      <c r="B5" s="66" t="s">
        <v>70</v>
      </c>
      <c r="C5" s="67" t="s">
        <v>13</v>
      </c>
      <c r="D5" s="67" t="s">
        <v>14</v>
      </c>
      <c r="E5" s="67" t="s">
        <v>15</v>
      </c>
      <c r="F5" s="68" t="s">
        <v>71</v>
      </c>
      <c r="G5" s="105" t="s">
        <v>17</v>
      </c>
      <c r="H5" s="105" t="s">
        <v>18</v>
      </c>
      <c r="I5" s="105" t="s">
        <v>19</v>
      </c>
      <c r="J5" s="105" t="s">
        <v>20</v>
      </c>
      <c r="K5" s="105" t="s">
        <v>21</v>
      </c>
    </row>
    <row r="6" spans="1:15" x14ac:dyDescent="0.5">
      <c r="A6" s="43" t="s">
        <v>72</v>
      </c>
      <c r="B6" s="154">
        <v>3378</v>
      </c>
      <c r="C6" s="154">
        <v>5992</v>
      </c>
      <c r="D6" s="154">
        <v>8399</v>
      </c>
      <c r="E6" s="154">
        <v>9917</v>
      </c>
      <c r="F6" s="155">
        <v>11102</v>
      </c>
      <c r="G6" s="156">
        <f>F6*(1+Assumptions!F2)</f>
        <v>12486.431561531885</v>
      </c>
      <c r="H6" s="156">
        <f>G6*(1+Assumptions!G2)</f>
        <v>13076.78617875149</v>
      </c>
      <c r="I6" s="156">
        <f>H6*(1+Assumptions!H2)</f>
        <v>13434.80936783373</v>
      </c>
      <c r="J6" s="156">
        <f>I6*(1+Assumptions!I2)</f>
        <v>13597.616535131954</v>
      </c>
      <c r="K6" s="156">
        <f>J6*(1+Assumptions!J2)</f>
        <v>13625.083519034197</v>
      </c>
    </row>
    <row r="7" spans="1:15" x14ac:dyDescent="0.5">
      <c r="A7" s="43" t="s">
        <v>73</v>
      </c>
      <c r="B7" s="126"/>
      <c r="C7" s="157"/>
      <c r="D7" s="157"/>
      <c r="E7" s="157"/>
      <c r="F7" s="158"/>
      <c r="G7" s="127"/>
      <c r="H7" s="127"/>
      <c r="I7" s="127"/>
      <c r="J7" s="127"/>
      <c r="K7" s="127"/>
    </row>
    <row r="8" spans="1:15" x14ac:dyDescent="0.5">
      <c r="A8" s="39" t="s">
        <v>74</v>
      </c>
      <c r="B8" s="154">
        <v>876</v>
      </c>
      <c r="C8" s="154">
        <v>1156</v>
      </c>
      <c r="D8" s="154">
        <v>1499</v>
      </c>
      <c r="E8" s="154">
        <v>1703</v>
      </c>
      <c r="F8" s="159">
        <v>1878</v>
      </c>
      <c r="G8" s="156">
        <f>G6*Assumptions!F3</f>
        <v>2006.5792243675944</v>
      </c>
      <c r="H8" s="156">
        <f>H6*Assumptions!G3</f>
        <v>1996.3771852310397</v>
      </c>
      <c r="I8" s="156">
        <f>I6*Assumptions!H3</f>
        <v>1948.4833059196376</v>
      </c>
      <c r="J8" s="156">
        <f>J6*Assumptions!I3</f>
        <v>1873.4908467190146</v>
      </c>
      <c r="K8" s="156">
        <f>K6*Assumptions!J3</f>
        <v>1907.5116926647877</v>
      </c>
    </row>
    <row r="9" spans="1:15" x14ac:dyDescent="0.5">
      <c r="A9" s="39" t="s">
        <v>75</v>
      </c>
      <c r="B9" s="154">
        <f t="shared" ref="B9:K9" si="0">B6-B8</f>
        <v>2502</v>
      </c>
      <c r="C9" s="154">
        <f t="shared" si="0"/>
        <v>4836</v>
      </c>
      <c r="D9" s="154">
        <f t="shared" si="0"/>
        <v>6900</v>
      </c>
      <c r="E9" s="154">
        <f t="shared" si="0"/>
        <v>8214</v>
      </c>
      <c r="F9" s="159">
        <f t="shared" si="0"/>
        <v>9224</v>
      </c>
      <c r="G9" s="160">
        <f>G6-G8</f>
        <v>10479.85233716429</v>
      </c>
      <c r="H9" s="160">
        <f t="shared" si="0"/>
        <v>11080.40899352045</v>
      </c>
      <c r="I9" s="160">
        <f t="shared" si="0"/>
        <v>11486.326061914093</v>
      </c>
      <c r="J9" s="160">
        <f t="shared" si="0"/>
        <v>11724.12568841294</v>
      </c>
      <c r="K9" s="160">
        <f t="shared" si="0"/>
        <v>11717.571826369409</v>
      </c>
    </row>
    <row r="10" spans="1:15" x14ac:dyDescent="0.5">
      <c r="A10" s="39" t="s">
        <v>76</v>
      </c>
      <c r="B10" s="125">
        <f t="shared" ref="B10:K10" si="1">B9/B6</f>
        <v>0.74067495559502661</v>
      </c>
      <c r="C10" s="206">
        <f>C9/C6</f>
        <v>0.80707610146862485</v>
      </c>
      <c r="D10" s="206">
        <f t="shared" si="1"/>
        <v>0.82152637218716518</v>
      </c>
      <c r="E10" s="206">
        <f t="shared" si="1"/>
        <v>0.82827467984269432</v>
      </c>
      <c r="F10" s="207">
        <f t="shared" si="1"/>
        <v>0.83084128985768335</v>
      </c>
      <c r="G10" s="208">
        <f>G9/G6</f>
        <v>0.83929922536479906</v>
      </c>
      <c r="H10" s="208">
        <f t="shared" si="1"/>
        <v>0.84733426409655921</v>
      </c>
      <c r="I10" s="208">
        <f t="shared" si="1"/>
        <v>0.85496755089173126</v>
      </c>
      <c r="J10" s="208">
        <f t="shared" si="1"/>
        <v>0.86221917334714471</v>
      </c>
      <c r="K10" s="208">
        <f t="shared" si="1"/>
        <v>0.86</v>
      </c>
    </row>
    <row r="11" spans="1:15" x14ac:dyDescent="0.5">
      <c r="A11" s="39" t="s">
        <v>77</v>
      </c>
      <c r="B11" s="126">
        <v>878</v>
      </c>
      <c r="C11" s="157">
        <v>847</v>
      </c>
      <c r="D11" s="157">
        <v>1041</v>
      </c>
      <c r="E11" s="157">
        <v>1186</v>
      </c>
      <c r="F11" s="158">
        <v>1282</v>
      </c>
      <c r="G11" s="127">
        <f>G6*Assumptions!F5</f>
        <v>1441.866804349115</v>
      </c>
      <c r="H11" s="127">
        <f>H6*Assumptions!G5</f>
        <v>1510.0378203170069</v>
      </c>
      <c r="I11" s="127">
        <f>I6*Assumptions!H5</f>
        <v>1551.3804368188471</v>
      </c>
      <c r="J11" s="127">
        <f>J6*Assumptions!I5</f>
        <v>1570.1805438694978</v>
      </c>
      <c r="K11" s="127">
        <f>K6*Assumptions!J5</f>
        <v>1573.3522853001118</v>
      </c>
    </row>
    <row r="12" spans="1:15" x14ac:dyDescent="0.5">
      <c r="A12" s="39" t="s">
        <v>78</v>
      </c>
      <c r="B12" s="126">
        <v>2753</v>
      </c>
      <c r="C12" s="157">
        <v>1425</v>
      </c>
      <c r="D12" s="157">
        <v>1502</v>
      </c>
      <c r="E12" s="157">
        <v>1722</v>
      </c>
      <c r="F12" s="158">
        <v>2056</v>
      </c>
      <c r="G12" s="127">
        <f>G6*Assumptions!F6</f>
        <v>2196.7661796058437</v>
      </c>
      <c r="H12" s="127">
        <f>H6*Assumptions!G6</f>
        <v>2185.5971740335563</v>
      </c>
      <c r="I12" s="127">
        <f>I6*Assumptions!H6</f>
        <v>2133.1638322528092</v>
      </c>
      <c r="J12" s="127">
        <f>J6*Assumptions!I6</f>
        <v>2051.0634615837566</v>
      </c>
      <c r="K12" s="127">
        <f>K6*Assumptions!J6</f>
        <v>1952.4462504129979</v>
      </c>
    </row>
    <row r="13" spans="1:15" x14ac:dyDescent="0.5">
      <c r="A13" s="39" t="s">
        <v>79</v>
      </c>
      <c r="B13" s="154">
        <f>B14+B15</f>
        <v>2310</v>
      </c>
      <c r="C13" s="154">
        <f>C14+C15</f>
        <v>2022</v>
      </c>
      <c r="D13" s="154">
        <f>D14+D15</f>
        <v>2466</v>
      </c>
      <c r="E13" s="154">
        <f>E14+E15</f>
        <v>3788</v>
      </c>
      <c r="F13" s="159">
        <f>SUM(F14:F15)</f>
        <v>3333</v>
      </c>
      <c r="G13" s="160">
        <f>Assumptions!F4*'IS '!G6</f>
        <v>3673.6561760668396</v>
      </c>
      <c r="H13" s="160">
        <f>Assumptions!G4*'IS '!H6</f>
        <v>3770.3985923041864</v>
      </c>
      <c r="I13" s="160">
        <f>Assumptions!H4*'IS '!I6</f>
        <v>3796.1540338138202</v>
      </c>
      <c r="J13" s="160">
        <f>Assumptions!I4*'IS '!J6</f>
        <v>3765.3138602776812</v>
      </c>
      <c r="K13" s="160">
        <f>Assumptions!J4*'IS '!K6</f>
        <v>3697.4613437088929</v>
      </c>
    </row>
    <row r="14" spans="1:15" x14ac:dyDescent="0.5">
      <c r="A14" s="51" t="s">
        <v>80</v>
      </c>
      <c r="B14" s="154">
        <v>1175</v>
      </c>
      <c r="C14" s="154">
        <v>1186</v>
      </c>
      <c r="D14" s="154">
        <v>1516</v>
      </c>
      <c r="E14" s="154">
        <v>1763</v>
      </c>
      <c r="F14" s="159">
        <v>2148</v>
      </c>
      <c r="G14" s="156">
        <f>G13*0.64</f>
        <v>2351.1399526827772</v>
      </c>
      <c r="H14" s="156">
        <f>H13*0.64</f>
        <v>2413.0550990746792</v>
      </c>
      <c r="I14" s="156">
        <f>I13*0.64</f>
        <v>2429.5385816408448</v>
      </c>
      <c r="J14" s="156">
        <f>J13*0.64</f>
        <v>2409.8008705777161</v>
      </c>
      <c r="K14" s="156">
        <f>K13*0.64</f>
        <v>2366.3752599736913</v>
      </c>
      <c r="L14" s="8"/>
    </row>
    <row r="15" spans="1:15" x14ac:dyDescent="0.5">
      <c r="A15" s="51" t="s">
        <v>81</v>
      </c>
      <c r="B15" s="154">
        <v>1135</v>
      </c>
      <c r="C15" s="154">
        <v>836</v>
      </c>
      <c r="D15" s="154">
        <v>950</v>
      </c>
      <c r="E15" s="154">
        <v>2025</v>
      </c>
      <c r="F15" s="159">
        <v>1185</v>
      </c>
      <c r="G15" s="156">
        <f>G13*0.36</f>
        <v>1322.5162233840622</v>
      </c>
      <c r="H15" s="156">
        <f>H13*0.36</f>
        <v>1357.343493229507</v>
      </c>
      <c r="I15" s="156">
        <f>I13*0.36</f>
        <v>1366.6154521729752</v>
      </c>
      <c r="J15" s="156">
        <f>J13*0.36</f>
        <v>1355.5129896999651</v>
      </c>
      <c r="K15" s="156">
        <f>K13*0.36</f>
        <v>1331.0860837352013</v>
      </c>
      <c r="L15" s="27"/>
      <c r="M15" s="27"/>
      <c r="N15" s="27"/>
      <c r="O15" s="27"/>
    </row>
    <row r="16" spans="1:15" ht="16.149999999999999" thickBot="1" x14ac:dyDescent="0.55000000000000004">
      <c r="A16" s="39" t="s">
        <v>82</v>
      </c>
      <c r="B16" s="161">
        <v>151</v>
      </c>
      <c r="C16" s="162">
        <v>113</v>
      </c>
      <c r="D16" s="162">
        <v>89</v>
      </c>
      <c r="E16" s="162" t="s">
        <v>32</v>
      </c>
      <c r="F16" s="163" t="s">
        <v>32</v>
      </c>
      <c r="G16" s="162" t="str">
        <f>F16</f>
        <v>—</v>
      </c>
      <c r="H16" s="162" t="str">
        <f>G16</f>
        <v>—</v>
      </c>
      <c r="I16" s="162" t="str">
        <f>H16</f>
        <v>—</v>
      </c>
      <c r="J16" s="162" t="str">
        <f>I16</f>
        <v>—</v>
      </c>
      <c r="K16" s="162" t="str">
        <f>J16</f>
        <v>—</v>
      </c>
      <c r="N16" s="8"/>
    </row>
    <row r="17" spans="1:17" ht="16.5" thickTop="1" thickBot="1" x14ac:dyDescent="0.55000000000000004">
      <c r="A17" s="52" t="s">
        <v>83</v>
      </c>
      <c r="B17" s="164">
        <f>SUM(B11:B13,B16)</f>
        <v>6092</v>
      </c>
      <c r="C17" s="164">
        <f>SUM(C11:C13,C16)</f>
        <v>4407</v>
      </c>
      <c r="D17" s="164">
        <f t="shared" ref="D17:E17" si="2">SUM(D11:D13,D16)</f>
        <v>5098</v>
      </c>
      <c r="E17" s="164">
        <f t="shared" si="2"/>
        <v>6696</v>
      </c>
      <c r="F17" s="165">
        <f>F8+F11+F12+F13</f>
        <v>8549</v>
      </c>
      <c r="G17" s="164">
        <f t="shared" ref="G17:K17" si="3">G8+G11+G12+G13</f>
        <v>9318.8683843893923</v>
      </c>
      <c r="H17" s="164">
        <f t="shared" si="3"/>
        <v>9462.4107718857886</v>
      </c>
      <c r="I17" s="164">
        <f t="shared" si="3"/>
        <v>9429.1816088051146</v>
      </c>
      <c r="J17" s="164">
        <f t="shared" si="3"/>
        <v>9260.0487124499505</v>
      </c>
      <c r="K17" s="164">
        <f t="shared" si="3"/>
        <v>9130.7715720867891</v>
      </c>
    </row>
    <row r="18" spans="1:17" ht="16.149999999999999" thickTop="1" x14ac:dyDescent="0.5">
      <c r="A18" s="43" t="s">
        <v>84</v>
      </c>
      <c r="B18" s="166">
        <f>B9-B17</f>
        <v>-3590</v>
      </c>
      <c r="C18" s="166">
        <f>C9-C17</f>
        <v>429</v>
      </c>
      <c r="D18" s="166">
        <f>D9-D17</f>
        <v>1802</v>
      </c>
      <c r="E18" s="166">
        <f>E9-E17</f>
        <v>1518</v>
      </c>
      <c r="F18" s="230">
        <v>2553</v>
      </c>
      <c r="G18" s="166">
        <f>G9-(G11+G12+G13)</f>
        <v>3167.5631771424905</v>
      </c>
      <c r="H18" s="166">
        <f>H9-(H11+H12+H13)</f>
        <v>3614.3754068657008</v>
      </c>
      <c r="I18" s="166">
        <f>I9-(I11+I12+I13)</f>
        <v>4005.6277590286163</v>
      </c>
      <c r="J18" s="166">
        <f>J9-(J11+J12+J13)</f>
        <v>4337.5678226820037</v>
      </c>
      <c r="K18" s="166">
        <f>K9-(K11+K12+K13)</f>
        <v>4494.3119469474059</v>
      </c>
      <c r="L18" s="245"/>
      <c r="M18" s="245"/>
      <c r="N18" s="245"/>
      <c r="O18" s="245"/>
      <c r="P18" s="245"/>
      <c r="Q18" s="245"/>
    </row>
    <row r="19" spans="1:17" x14ac:dyDescent="0.5">
      <c r="A19" s="244" t="s">
        <v>85</v>
      </c>
      <c r="B19" s="126"/>
      <c r="C19" s="229">
        <f t="shared" ref="C19:K19" si="4">C18/C6</f>
        <v>7.1595460614152201E-2</v>
      </c>
      <c r="D19" s="229">
        <f t="shared" si="4"/>
        <v>0.21454935111322776</v>
      </c>
      <c r="E19" s="229">
        <f t="shared" si="4"/>
        <v>0.15307048502571341</v>
      </c>
      <c r="F19" s="231">
        <f t="shared" si="4"/>
        <v>0.2299585660241398</v>
      </c>
      <c r="G19" s="229">
        <f>G18/G6</f>
        <v>0.25368041794271295</v>
      </c>
      <c r="H19" s="229">
        <f t="shared" si="4"/>
        <v>0.27639630697171685</v>
      </c>
      <c r="I19" s="229">
        <f t="shared" si="4"/>
        <v>0.29815292866150256</v>
      </c>
      <c r="J19" s="229">
        <f t="shared" si="4"/>
        <v>0.31899471583678624</v>
      </c>
      <c r="K19" s="229">
        <f t="shared" si="4"/>
        <v>0.3298557356121059</v>
      </c>
      <c r="L19" s="245"/>
    </row>
    <row r="20" spans="1:17" x14ac:dyDescent="0.5">
      <c r="A20" s="39" t="s">
        <v>86</v>
      </c>
      <c r="B20" s="126">
        <v>27</v>
      </c>
      <c r="C20" s="157">
        <v>13</v>
      </c>
      <c r="D20" s="157">
        <v>186</v>
      </c>
      <c r="E20" s="157">
        <v>721</v>
      </c>
      <c r="F20" s="158">
        <v>818</v>
      </c>
      <c r="G20" s="127">
        <f>BS!F5*Assumptions!F11</f>
        <v>812.0553116883234</v>
      </c>
      <c r="H20" s="127">
        <f>BS!G5*Assumptions!G11</f>
        <v>825.70048660073098</v>
      </c>
      <c r="I20" s="127">
        <f>BS!H5*Assumptions!H11</f>
        <v>856.24417231115319</v>
      </c>
      <c r="J20" s="127">
        <f>BS!I5*Assumptions!I11</f>
        <v>914.75740730404357</v>
      </c>
      <c r="K20" s="127">
        <f>BS!J5*Assumptions!J11</f>
        <v>1114.7848400756247</v>
      </c>
      <c r="M20" s="212"/>
    </row>
    <row r="21" spans="1:17" x14ac:dyDescent="0.5">
      <c r="A21" s="39" t="s">
        <v>87</v>
      </c>
      <c r="B21" s="126">
        <v>-172</v>
      </c>
      <c r="C21" s="157">
        <v>-438</v>
      </c>
      <c r="D21" s="157">
        <v>-24</v>
      </c>
      <c r="E21" s="157">
        <v>-83</v>
      </c>
      <c r="F21" s="158">
        <v>-141</v>
      </c>
      <c r="G21" s="127">
        <f>G6*Assumptions!F12</f>
        <v>-158.58285445649395</v>
      </c>
      <c r="H21" s="127">
        <f>H6*Assumptions!G12</f>
        <v>-166.08060270257252</v>
      </c>
      <c r="I21" s="127">
        <f>I6*Assumptions!H12</f>
        <v>-170.62764554715869</v>
      </c>
      <c r="J21" s="127">
        <f>J6*Assumptions!I12</f>
        <v>-172.69536402932854</v>
      </c>
      <c r="K21" s="127">
        <f>K6*Assumptions!J12</f>
        <v>-173.0442061055505</v>
      </c>
    </row>
    <row r="22" spans="1:17" x14ac:dyDescent="0.5">
      <c r="A22" s="39" t="s">
        <v>33</v>
      </c>
      <c r="B22" s="126">
        <v>-947</v>
      </c>
      <c r="C22" s="157">
        <v>-304</v>
      </c>
      <c r="D22" s="157">
        <v>25</v>
      </c>
      <c r="E22" s="157">
        <v>-54</v>
      </c>
      <c r="F22" s="158">
        <v>-40</v>
      </c>
      <c r="G22" s="127">
        <f>Assumptions!F9</f>
        <v>-23</v>
      </c>
      <c r="H22" s="127">
        <f>Assumptions!G9</f>
        <v>-23</v>
      </c>
      <c r="I22" s="127">
        <f>Assumptions!H9</f>
        <v>-23</v>
      </c>
      <c r="J22" s="127">
        <f>Assumptions!I9</f>
        <v>-23</v>
      </c>
      <c r="K22" s="127">
        <f>Assumptions!J9</f>
        <v>-23</v>
      </c>
    </row>
    <row r="23" spans="1:17" x14ac:dyDescent="0.5">
      <c r="A23" s="53" t="s">
        <v>88</v>
      </c>
      <c r="B23" s="128">
        <f>SUM(B18:B22)</f>
        <v>-4682</v>
      </c>
      <c r="C23" s="128">
        <f t="shared" ref="C23:K23" si="5">SUM(C18,C20:C22)</f>
        <v>-300</v>
      </c>
      <c r="D23" s="128">
        <f t="shared" si="5"/>
        <v>1989</v>
      </c>
      <c r="E23" s="128">
        <f t="shared" si="5"/>
        <v>2102</v>
      </c>
      <c r="F23" s="129">
        <f t="shared" si="5"/>
        <v>3190</v>
      </c>
      <c r="G23" s="128">
        <f t="shared" si="5"/>
        <v>3798.0356343743201</v>
      </c>
      <c r="H23" s="128">
        <f t="shared" si="5"/>
        <v>4250.995290763859</v>
      </c>
      <c r="I23" s="128">
        <f t="shared" si="5"/>
        <v>4668.2442857926108</v>
      </c>
      <c r="J23" s="128">
        <f t="shared" si="5"/>
        <v>5056.6298659567183</v>
      </c>
      <c r="K23" s="128">
        <f t="shared" si="5"/>
        <v>5413.0525809174806</v>
      </c>
    </row>
    <row r="24" spans="1:17" x14ac:dyDescent="0.5">
      <c r="A24" s="43" t="s">
        <v>89</v>
      </c>
      <c r="B24" s="126">
        <v>-97</v>
      </c>
      <c r="C24" s="157">
        <v>52</v>
      </c>
      <c r="D24" s="157">
        <v>96</v>
      </c>
      <c r="E24" s="157">
        <v>-2690</v>
      </c>
      <c r="F24" s="158">
        <v>683</v>
      </c>
      <c r="G24" s="127">
        <f>G23*Assumptions!F10</f>
        <v>797.58748321860719</v>
      </c>
      <c r="H24" s="127">
        <f>H23*Assumptions!G10</f>
        <v>892.70901106041038</v>
      </c>
      <c r="I24" s="127">
        <f>I23*Assumptions!H10</f>
        <v>980.33130001644827</v>
      </c>
      <c r="J24" s="127">
        <f>J23*Assumptions!I10</f>
        <v>1061.8922718509109</v>
      </c>
      <c r="K24" s="127">
        <f>K23*Assumptions!J10</f>
        <v>1136.7410419926709</v>
      </c>
    </row>
    <row r="25" spans="1:17" x14ac:dyDescent="0.5">
      <c r="A25" s="54" t="s">
        <v>90</v>
      </c>
      <c r="B25" s="167">
        <f>SUM(B23,B24)</f>
        <v>-4779</v>
      </c>
      <c r="C25" s="167">
        <f>C23-C24</f>
        <v>-352</v>
      </c>
      <c r="D25" s="167">
        <f t="shared" ref="D25" si="6">D23-D24</f>
        <v>1893</v>
      </c>
      <c r="E25" s="167">
        <f>E23-E24</f>
        <v>4792</v>
      </c>
      <c r="F25" s="168">
        <v>2648</v>
      </c>
      <c r="G25" s="169">
        <f>G23-G24</f>
        <v>3000.4481511557128</v>
      </c>
      <c r="H25" s="169">
        <f t="shared" ref="H25:K25" si="7">H23-H24</f>
        <v>3358.2862797034486</v>
      </c>
      <c r="I25" s="169">
        <f>I23-I24</f>
        <v>3687.9129857761627</v>
      </c>
      <c r="J25" s="169">
        <f t="shared" si="7"/>
        <v>3994.7375941058071</v>
      </c>
      <c r="K25" s="169">
        <f t="shared" si="7"/>
        <v>4276.3115389248096</v>
      </c>
    </row>
    <row r="26" spans="1:17" ht="31.5" hidden="1" x14ac:dyDescent="0.5">
      <c r="A26" s="43" t="s">
        <v>91</v>
      </c>
      <c r="B26" s="126"/>
      <c r="C26" s="157"/>
      <c r="D26" s="157"/>
      <c r="E26" s="157"/>
      <c r="F26" s="158"/>
      <c r="G26" s="169">
        <f t="shared" ref="G26:G28" si="8">G24-G25</f>
        <v>-2202.8606679371055</v>
      </c>
      <c r="H26" s="127"/>
      <c r="I26" s="127"/>
      <c r="J26" s="127"/>
      <c r="K26" s="127"/>
    </row>
    <row r="27" spans="1:17" hidden="1" x14ac:dyDescent="0.5">
      <c r="A27" s="39" t="s">
        <v>92</v>
      </c>
      <c r="B27" s="126">
        <v>-16.12</v>
      </c>
      <c r="C27" s="157">
        <v>-0.56999999999999995</v>
      </c>
      <c r="D27" s="157">
        <v>2.97</v>
      </c>
      <c r="E27" s="157">
        <v>7.52</v>
      </c>
      <c r="F27" s="158">
        <v>4.1900000000000004</v>
      </c>
      <c r="G27" s="169">
        <f t="shared" si="8"/>
        <v>5203.3088190928183</v>
      </c>
      <c r="H27" s="127"/>
      <c r="I27" s="127"/>
      <c r="J27" s="127"/>
      <c r="K27" s="127"/>
    </row>
    <row r="28" spans="1:17" hidden="1" x14ac:dyDescent="0.5">
      <c r="A28" s="39" t="s">
        <v>93</v>
      </c>
      <c r="B28" s="126">
        <v>-16.12</v>
      </c>
      <c r="C28" s="157">
        <v>-0.56999999999999995</v>
      </c>
      <c r="D28" s="157">
        <v>2.79</v>
      </c>
      <c r="E28" s="157">
        <v>7.24</v>
      </c>
      <c r="F28" s="158">
        <v>4.1100000000000003</v>
      </c>
      <c r="G28" s="169">
        <f t="shared" si="8"/>
        <v>-7406.1694870299234</v>
      </c>
      <c r="H28" s="127"/>
      <c r="I28" s="127"/>
      <c r="J28" s="127"/>
      <c r="K28" s="127"/>
    </row>
    <row r="29" spans="1:17" x14ac:dyDescent="0.5">
      <c r="A29" s="39" t="s">
        <v>42</v>
      </c>
      <c r="B29" s="126">
        <v>284</v>
      </c>
      <c r="C29" s="157">
        <v>616</v>
      </c>
      <c r="D29" s="157">
        <v>680</v>
      </c>
      <c r="E29" s="157">
        <v>662</v>
      </c>
      <c r="F29" s="158">
        <v>645</v>
      </c>
      <c r="G29" s="127">
        <f>Assumptions!F14</f>
        <v>632.1</v>
      </c>
      <c r="H29" s="127">
        <f>Assumptions!G14</f>
        <v>619.45799999999997</v>
      </c>
      <c r="I29" s="127">
        <f>Assumptions!H14</f>
        <v>607.06883999999991</v>
      </c>
      <c r="J29" s="127">
        <f>Assumptions!I14</f>
        <v>594.92746319999992</v>
      </c>
      <c r="K29" s="127">
        <f>Assumptions!J14</f>
        <v>583.02891393599987</v>
      </c>
    </row>
    <row r="30" spans="1:17" x14ac:dyDescent="0.5">
      <c r="C30" s="55"/>
      <c r="D30" s="55"/>
      <c r="E30" s="55"/>
      <c r="F30" s="55"/>
    </row>
    <row r="31" spans="1:17" x14ac:dyDescent="0.5">
      <c r="A31" s="40" t="s">
        <v>94</v>
      </c>
      <c r="C31" s="212">
        <f>C18+BS!B42</f>
        <v>291</v>
      </c>
      <c r="D31" s="212">
        <f>D18+BS!C42</f>
        <v>1721</v>
      </c>
      <c r="E31" s="212">
        <f>E18+BS!D42</f>
        <v>1474</v>
      </c>
      <c r="F31" s="212">
        <f>F18+BS!E42</f>
        <v>2488</v>
      </c>
      <c r="G31" s="212">
        <f>G18+BS!F42</f>
        <v>3099.6198575832618</v>
      </c>
      <c r="H31" s="212">
        <f>H18+BS!G42</f>
        <v>3549.4069663260952</v>
      </c>
      <c r="I31" s="212">
        <f>I18+BS!H42</f>
        <v>3941.2397502493432</v>
      </c>
      <c r="J31" s="212">
        <f>J18+BS!I42</f>
        <v>4273.3531518078962</v>
      </c>
      <c r="K31" s="212">
        <f>K18+BS!J42</f>
        <v>4430.5223105080122</v>
      </c>
    </row>
    <row r="32" spans="1:17" x14ac:dyDescent="0.5">
      <c r="C32" s="55"/>
      <c r="D32" s="55"/>
      <c r="E32" s="55"/>
      <c r="F32" s="55"/>
    </row>
    <row r="33" spans="1:6" x14ac:dyDescent="0.5">
      <c r="C33" s="55"/>
      <c r="D33" s="55"/>
      <c r="E33" s="55"/>
      <c r="F33" s="55"/>
    </row>
    <row r="34" spans="1:6" x14ac:dyDescent="0.5">
      <c r="C34" s="55"/>
      <c r="D34" s="55"/>
      <c r="E34" s="55"/>
      <c r="F34" s="55"/>
    </row>
    <row r="35" spans="1:6" x14ac:dyDescent="0.5">
      <c r="A35" s="41"/>
      <c r="B35" s="55"/>
      <c r="C35" s="55"/>
      <c r="D35" s="55"/>
      <c r="E35" s="55"/>
      <c r="F35" s="55"/>
    </row>
    <row r="36" spans="1:6" x14ac:dyDescent="0.5">
      <c r="A36" s="56"/>
      <c r="B36" s="18"/>
      <c r="C36" s="18"/>
      <c r="D36" s="18"/>
      <c r="E36" s="18"/>
      <c r="F36" s="18"/>
    </row>
    <row r="37" spans="1:6" x14ac:dyDescent="0.5">
      <c r="A37" s="57"/>
      <c r="B37" s="55"/>
      <c r="C37" s="55"/>
      <c r="D37" s="55"/>
      <c r="E37" s="55"/>
      <c r="F37" s="55"/>
    </row>
    <row r="38" spans="1:6" x14ac:dyDescent="0.5">
      <c r="A38" s="56"/>
      <c r="B38" s="18"/>
      <c r="C38" s="18"/>
      <c r="D38" s="18"/>
      <c r="E38" s="18"/>
      <c r="F38" s="18"/>
    </row>
    <row r="39" spans="1:6" x14ac:dyDescent="0.5">
      <c r="A39" s="41"/>
      <c r="B39" s="55"/>
      <c r="C39" s="55"/>
      <c r="D39" s="55"/>
      <c r="E39" s="55"/>
      <c r="F39" s="55"/>
    </row>
    <row r="40" spans="1:6" x14ac:dyDescent="0.5">
      <c r="A40" s="56"/>
      <c r="B40" s="18"/>
      <c r="C40" s="18"/>
      <c r="D40" s="18"/>
      <c r="E40" s="18"/>
      <c r="F40" s="18"/>
    </row>
    <row r="41" spans="1:6" x14ac:dyDescent="0.5">
      <c r="A41" s="58"/>
      <c r="B41" s="55"/>
      <c r="C41" s="55"/>
      <c r="D41" s="55"/>
      <c r="E41" s="55"/>
      <c r="F41" s="55"/>
    </row>
    <row r="42" spans="1:6" x14ac:dyDescent="0.5">
      <c r="A42" s="59"/>
      <c r="B42" s="55"/>
      <c r="C42" s="55"/>
      <c r="D42" s="55"/>
      <c r="E42" s="55"/>
      <c r="F42" s="55"/>
    </row>
    <row r="43" spans="1:6" x14ac:dyDescent="0.5">
      <c r="A43" s="59"/>
      <c r="B43" s="55"/>
      <c r="C43" s="55"/>
      <c r="D43" s="55"/>
      <c r="E43" s="55"/>
      <c r="F43" s="55"/>
    </row>
    <row r="44" spans="1:6" x14ac:dyDescent="0.5">
      <c r="A44" s="41"/>
      <c r="B44" s="55"/>
      <c r="C44" s="55"/>
      <c r="D44" s="55"/>
      <c r="E44" s="55"/>
      <c r="F44" s="55"/>
    </row>
    <row r="45" spans="1:6" x14ac:dyDescent="0.5">
      <c r="B45" s="55"/>
      <c r="C45" s="55"/>
      <c r="D45" s="55"/>
      <c r="E45" s="55"/>
      <c r="F45" s="55"/>
    </row>
    <row r="46" spans="1:6" x14ac:dyDescent="0.5">
      <c r="B46" s="18"/>
      <c r="C46" s="60"/>
      <c r="D46" s="60"/>
      <c r="E46" s="60"/>
      <c r="F46" s="61"/>
    </row>
    <row r="47" spans="1:6" x14ac:dyDescent="0.5">
      <c r="C47" s="8"/>
      <c r="D47" s="8"/>
      <c r="E47" s="8"/>
      <c r="F47" s="8"/>
    </row>
    <row r="48" spans="1:6" x14ac:dyDescent="0.5">
      <c r="C48" s="62"/>
      <c r="D48" s="62"/>
      <c r="E48" s="62"/>
      <c r="F48" s="63"/>
    </row>
    <row r="52" spans="1:10" x14ac:dyDescent="0.5">
      <c r="A52" s="220"/>
    </row>
    <row r="53" spans="1:10" x14ac:dyDescent="0.5">
      <c r="A53" s="221"/>
    </row>
    <row r="54" spans="1:10" x14ac:dyDescent="0.5">
      <c r="A54" s="221"/>
    </row>
    <row r="55" spans="1:10" x14ac:dyDescent="0.5">
      <c r="A55" s="221"/>
    </row>
    <row r="56" spans="1:10" x14ac:dyDescent="0.5">
      <c r="A56" s="3"/>
      <c r="B56" s="42"/>
      <c r="C56" s="64"/>
      <c r="D56" s="64"/>
      <c r="E56" s="64"/>
      <c r="F56" s="64"/>
      <c r="G56" s="65"/>
      <c r="H56" s="65"/>
      <c r="I56" s="65"/>
      <c r="J56" s="65"/>
    </row>
    <row r="57" spans="1:10" x14ac:dyDescent="0.5">
      <c r="A57" s="221"/>
    </row>
    <row r="58" spans="1:10" x14ac:dyDescent="0.5">
      <c r="A58" s="221"/>
    </row>
    <row r="59" spans="1:10" x14ac:dyDescent="0.5">
      <c r="A59" s="221"/>
    </row>
    <row r="60" spans="1:10" x14ac:dyDescent="0.5">
      <c r="A60" s="221"/>
      <c r="B60" s="18"/>
      <c r="C60" s="18"/>
      <c r="D60" s="18"/>
      <c r="E60" s="18"/>
      <c r="F60" s="18"/>
    </row>
    <row r="61" spans="1:10" x14ac:dyDescent="0.5">
      <c r="A61" s="221"/>
    </row>
    <row r="62" spans="1:10" x14ac:dyDescent="0.5">
      <c r="A62" s="221"/>
    </row>
    <row r="63" spans="1:10" x14ac:dyDescent="0.5">
      <c r="A63" s="221"/>
    </row>
    <row r="64" spans="1:10" x14ac:dyDescent="0.5">
      <c r="A64" s="221"/>
    </row>
    <row r="65" spans="1:1" x14ac:dyDescent="0.5">
      <c r="A65" s="3"/>
    </row>
    <row r="66" spans="1:1" x14ac:dyDescent="0.5">
      <c r="A66" s="221"/>
    </row>
    <row r="67" spans="1:1" x14ac:dyDescent="0.5">
      <c r="A67" s="221"/>
    </row>
    <row r="68" spans="1:1" x14ac:dyDescent="0.5">
      <c r="A68" s="222"/>
    </row>
    <row r="69" spans="1:1" x14ac:dyDescent="0.5">
      <c r="A69" s="221"/>
    </row>
    <row r="70" spans="1:1" x14ac:dyDescent="0.5">
      <c r="A70" s="221"/>
    </row>
    <row r="71" spans="1:1" x14ac:dyDescent="0.5">
      <c r="A71" s="221"/>
    </row>
    <row r="72" spans="1:1" x14ac:dyDescent="0.5">
      <c r="A72" s="3"/>
    </row>
    <row r="73" spans="1:1" x14ac:dyDescent="0.5">
      <c r="A73" s="221"/>
    </row>
    <row r="74" spans="1:1" x14ac:dyDescent="0.5">
      <c r="A74" s="223"/>
    </row>
    <row r="75" spans="1:1" x14ac:dyDescent="0.5">
      <c r="A75" s="221"/>
    </row>
    <row r="76" spans="1:1" x14ac:dyDescent="0.5">
      <c r="A76" s="221"/>
    </row>
    <row r="77" spans="1:1" x14ac:dyDescent="0.5">
      <c r="A77" s="221"/>
    </row>
    <row r="78" spans="1:1" x14ac:dyDescent="0.5">
      <c r="A78" s="221"/>
    </row>
    <row r="79" spans="1:1" x14ac:dyDescent="0.5">
      <c r="A79" s="221"/>
    </row>
    <row r="80" spans="1:1" x14ac:dyDescent="0.5">
      <c r="A80" s="4"/>
    </row>
    <row r="81" spans="1:1" x14ac:dyDescent="0.5">
      <c r="A81" s="221"/>
    </row>
    <row r="82" spans="1:1" x14ac:dyDescent="0.5">
      <c r="A82" s="221"/>
    </row>
    <row r="83" spans="1:1" x14ac:dyDescent="0.5">
      <c r="A83" s="220"/>
    </row>
    <row r="84" spans="1:1" x14ac:dyDescent="0.5">
      <c r="A84" s="220"/>
    </row>
    <row r="85" spans="1:1" x14ac:dyDescent="0.5">
      <c r="A85" s="221"/>
    </row>
    <row r="86" spans="1:1" x14ac:dyDescent="0.5">
      <c r="A86" s="221"/>
    </row>
    <row r="87" spans="1:1" x14ac:dyDescent="0.5">
      <c r="A87" s="220"/>
    </row>
    <row r="88" spans="1:1" x14ac:dyDescent="0.5">
      <c r="A88" s="220"/>
    </row>
  </sheetData>
  <mergeCells count="1">
    <mergeCell ref="B4:J4"/>
  </mergeCells>
  <conditionalFormatting sqref="A6:K29">
    <cfRule type="expression" dxfId="5" priority="1">
      <formula>MOD(ROW(),2)=0</formula>
    </cfRule>
    <cfRule type="expression" priority="2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4B13-4671-4639-B1EC-F0F0AE755E5A}">
  <dimension ref="A1:V69"/>
  <sheetViews>
    <sheetView showGridLines="0" zoomScale="90" zoomScaleNormal="90" workbookViewId="0">
      <selection activeCell="H21" sqref="H21"/>
    </sheetView>
  </sheetViews>
  <sheetFormatPr defaultColWidth="8.796875" defaultRowHeight="15.75" x14ac:dyDescent="0.5"/>
  <cols>
    <col min="1" max="1" width="65.33203125" style="8" bestFit="1" customWidth="1"/>
    <col min="2" max="2" width="10.46484375" style="7" bestFit="1" customWidth="1"/>
    <col min="3" max="3" width="10.6640625" style="7" bestFit="1" customWidth="1"/>
    <col min="4" max="5" width="10.796875" style="7" bestFit="1" customWidth="1"/>
    <col min="6" max="10" width="12" style="8" bestFit="1" customWidth="1"/>
    <col min="11" max="11" width="12.796875" style="106" customWidth="1"/>
    <col min="12" max="12" width="58.6640625" style="8" customWidth="1"/>
    <col min="13" max="13" width="35.33203125" style="8" hidden="1" customWidth="1"/>
    <col min="14" max="17" width="11.796875" style="8" customWidth="1"/>
    <col min="18" max="21" width="8.796875" style="8"/>
    <col min="22" max="22" width="9.6640625" style="8" customWidth="1"/>
    <col min="23" max="16384" width="8.796875" style="8"/>
  </cols>
  <sheetData>
    <row r="1" spans="1:19" x14ac:dyDescent="0.5">
      <c r="A1" s="5" t="s">
        <v>66</v>
      </c>
      <c r="B1" s="6"/>
      <c r="F1" s="7"/>
    </row>
    <row r="2" spans="1:19" x14ac:dyDescent="0.5">
      <c r="A2" s="9" t="s">
        <v>95</v>
      </c>
      <c r="B2" s="6"/>
    </row>
    <row r="3" spans="1:19" x14ac:dyDescent="0.5">
      <c r="A3" s="5" t="s">
        <v>96</v>
      </c>
      <c r="B3" s="8"/>
      <c r="C3" s="286" t="s">
        <v>68</v>
      </c>
      <c r="D3" s="286"/>
      <c r="E3" s="286"/>
    </row>
    <row r="4" spans="1:19" x14ac:dyDescent="0.5">
      <c r="A4" s="10"/>
      <c r="B4" s="11" t="s">
        <v>13</v>
      </c>
      <c r="C4" s="11" t="s">
        <v>14</v>
      </c>
      <c r="D4" s="12" t="s">
        <v>15</v>
      </c>
      <c r="E4" s="13" t="s">
        <v>16</v>
      </c>
      <c r="F4" s="14" t="s">
        <v>17</v>
      </c>
      <c r="G4" s="14" t="s">
        <v>18</v>
      </c>
      <c r="H4" s="14" t="s">
        <v>19</v>
      </c>
      <c r="I4" s="14" t="s">
        <v>20</v>
      </c>
      <c r="J4" s="14" t="s">
        <v>21</v>
      </c>
      <c r="K4" s="179"/>
      <c r="M4" s="8" t="s">
        <v>97</v>
      </c>
    </row>
    <row r="5" spans="1:19" x14ac:dyDescent="0.5">
      <c r="A5" s="5" t="s">
        <v>98</v>
      </c>
      <c r="B5" s="130">
        <v>6067</v>
      </c>
      <c r="C5" s="130">
        <v>7378</v>
      </c>
      <c r="D5" s="130">
        <v>6874</v>
      </c>
      <c r="E5" s="131">
        <v>6864</v>
      </c>
      <c r="F5" s="132">
        <v>6814.1169430668115</v>
      </c>
      <c r="G5" s="132">
        <v>6928.6163081019768</v>
      </c>
      <c r="H5" s="132">
        <v>7184.9144238921217</v>
      </c>
      <c r="I5" s="132">
        <v>7675.9105669131477</v>
      </c>
      <c r="J5" s="213">
        <v>9354.3803695343377</v>
      </c>
      <c r="L5" s="15"/>
      <c r="M5" s="15" t="s">
        <v>99</v>
      </c>
      <c r="N5" s="15"/>
      <c r="O5" s="15"/>
      <c r="P5" s="15"/>
      <c r="Q5" s="15"/>
      <c r="R5" s="15"/>
      <c r="S5" s="15"/>
    </row>
    <row r="6" spans="1:19" x14ac:dyDescent="0.5">
      <c r="A6" s="5" t="s">
        <v>100</v>
      </c>
      <c r="B6" s="130">
        <v>2255</v>
      </c>
      <c r="C6" s="130">
        <v>2244</v>
      </c>
      <c r="D6" s="130">
        <v>3197</v>
      </c>
      <c r="E6" s="131">
        <v>3747</v>
      </c>
      <c r="F6" s="214">
        <v>4831.0890399999998</v>
      </c>
      <c r="G6" s="214">
        <v>5239.7578631999995</v>
      </c>
      <c r="H6" s="214">
        <v>5412.0978113600004</v>
      </c>
      <c r="I6" s="214">
        <v>4903.5804427008015</v>
      </c>
      <c r="J6" s="214">
        <v>5586.6162471278094</v>
      </c>
      <c r="L6" s="15"/>
      <c r="M6" s="15" t="s">
        <v>101</v>
      </c>
      <c r="N6" s="15"/>
      <c r="O6" s="15"/>
      <c r="P6" s="15"/>
      <c r="Q6" s="15"/>
      <c r="R6" s="15"/>
      <c r="S6" s="15"/>
    </row>
    <row r="7" spans="1:19" x14ac:dyDescent="0.5">
      <c r="A7" s="5" t="s">
        <v>102</v>
      </c>
      <c r="B7" s="130">
        <v>3715</v>
      </c>
      <c r="C7" s="130">
        <v>4783</v>
      </c>
      <c r="D7" s="130">
        <v>5869</v>
      </c>
      <c r="E7" s="131">
        <v>5931</v>
      </c>
      <c r="F7" s="132">
        <v>6642.72</v>
      </c>
      <c r="G7" s="132">
        <v>7174.1376000000009</v>
      </c>
      <c r="H7" s="132">
        <v>7532.8444799999997</v>
      </c>
      <c r="I7" s="132">
        <v>7758.8298144000019</v>
      </c>
      <c r="J7" s="132">
        <v>7836.4181125440018</v>
      </c>
      <c r="K7" s="179"/>
      <c r="L7" s="15"/>
      <c r="M7" s="15" t="s">
        <v>103</v>
      </c>
      <c r="N7" s="15"/>
      <c r="O7" s="15"/>
      <c r="P7" s="15"/>
      <c r="Q7" s="15"/>
      <c r="R7" s="15"/>
      <c r="S7" s="15"/>
    </row>
    <row r="8" spans="1:19" x14ac:dyDescent="0.5">
      <c r="A8" s="5" t="s">
        <v>104</v>
      </c>
      <c r="B8" s="130">
        <v>206</v>
      </c>
      <c r="C8" s="130">
        <v>256</v>
      </c>
      <c r="D8" s="133">
        <v>320</v>
      </c>
      <c r="E8" s="134">
        <f>638-E9</f>
        <v>463</v>
      </c>
      <c r="F8" s="132">
        <v>474.32977069036127</v>
      </c>
      <c r="G8" s="132">
        <v>485.4148463097377</v>
      </c>
      <c r="H8" s="132">
        <v>496.4452205524305</v>
      </c>
      <c r="I8" s="132">
        <v>508.2437397316441</v>
      </c>
      <c r="J8" s="132">
        <v>520.22938892487446</v>
      </c>
      <c r="L8" s="15"/>
      <c r="M8" s="15"/>
      <c r="N8" s="15"/>
      <c r="O8" s="15"/>
      <c r="P8" s="15"/>
      <c r="Q8" s="15"/>
      <c r="R8" s="15"/>
      <c r="S8" s="15"/>
    </row>
    <row r="9" spans="1:19" x14ac:dyDescent="0.5">
      <c r="A9" s="5" t="s">
        <v>105</v>
      </c>
      <c r="B9" s="130">
        <v>143</v>
      </c>
      <c r="C9" s="130">
        <v>200</v>
      </c>
      <c r="D9" s="130">
        <v>249</v>
      </c>
      <c r="E9" s="131">
        <v>175</v>
      </c>
      <c r="F9" s="132">
        <v>269.22279751643327</v>
      </c>
      <c r="G9" s="132">
        <v>289.48355348919165</v>
      </c>
      <c r="H9" s="132">
        <v>297.40918778421945</v>
      </c>
      <c r="I9" s="132">
        <v>301.0132841331818</v>
      </c>
      <c r="J9" s="132">
        <v>301.62132650651137</v>
      </c>
      <c r="L9" s="15"/>
      <c r="M9" s="15"/>
      <c r="N9" s="15"/>
      <c r="O9" s="16"/>
      <c r="P9" s="15"/>
      <c r="Q9" s="15"/>
      <c r="R9" s="15"/>
      <c r="S9" s="15"/>
    </row>
    <row r="10" spans="1:19" x14ac:dyDescent="0.5">
      <c r="A10" s="17" t="s">
        <v>106</v>
      </c>
      <c r="B10" s="135">
        <f>SUM(B5:B9)</f>
        <v>12386</v>
      </c>
      <c r="C10" s="135">
        <f>SUM(C5:C9)</f>
        <v>14861</v>
      </c>
      <c r="D10" s="135">
        <f>SUM(D5:D9)</f>
        <v>16509</v>
      </c>
      <c r="E10" s="136">
        <v>17180</v>
      </c>
      <c r="F10" s="137">
        <f>SUM(F5:F9)</f>
        <v>19031.478551273605</v>
      </c>
      <c r="G10" s="137">
        <f>SUM(G5:G9)</f>
        <v>20117.410171100906</v>
      </c>
      <c r="H10" s="137">
        <f t="shared" ref="H10:J10" si="0">SUM(H5:H9)</f>
        <v>20923.711123588771</v>
      </c>
      <c r="I10" s="137">
        <f t="shared" si="0"/>
        <v>21147.577847878776</v>
      </c>
      <c r="J10" s="137">
        <f t="shared" si="0"/>
        <v>23599.265444637538</v>
      </c>
      <c r="L10" s="18"/>
      <c r="M10" s="18"/>
      <c r="N10" s="18"/>
      <c r="O10" s="18"/>
      <c r="P10" s="18"/>
      <c r="Q10" s="18"/>
      <c r="R10" s="18"/>
      <c r="S10" s="18"/>
    </row>
    <row r="11" spans="1:19" x14ac:dyDescent="0.5">
      <c r="A11" s="5" t="s">
        <v>107</v>
      </c>
      <c r="B11" s="130">
        <v>15</v>
      </c>
      <c r="C11" s="130">
        <v>16</v>
      </c>
      <c r="D11" s="130">
        <v>2881</v>
      </c>
      <c r="E11" s="131">
        <v>2439</v>
      </c>
      <c r="F11" s="138">
        <v>2125</v>
      </c>
      <c r="G11" s="138">
        <v>1843</v>
      </c>
      <c r="H11" s="138">
        <f>1560*1.128+(19)</f>
        <v>1778.6799999999998</v>
      </c>
      <c r="I11" s="138">
        <v>2421</v>
      </c>
      <c r="J11" s="138">
        <v>1029</v>
      </c>
      <c r="L11" s="106"/>
      <c r="M11" s="106"/>
      <c r="N11" s="106"/>
      <c r="O11" s="106"/>
    </row>
    <row r="12" spans="1:19" x14ac:dyDescent="0.5">
      <c r="A12" s="5" t="s">
        <v>108</v>
      </c>
      <c r="B12" s="130">
        <v>705</v>
      </c>
      <c r="C12" s="130">
        <v>684</v>
      </c>
      <c r="D12" s="130">
        <v>792</v>
      </c>
      <c r="E12" s="131">
        <v>777</v>
      </c>
      <c r="F12" s="139">
        <v>800</v>
      </c>
      <c r="G12" s="139">
        <f>F12</f>
        <v>800</v>
      </c>
      <c r="H12" s="139">
        <f>G12</f>
        <v>800</v>
      </c>
      <c r="I12" s="209">
        <f>H12</f>
        <v>800</v>
      </c>
      <c r="J12" s="139">
        <f>I12</f>
        <v>800</v>
      </c>
      <c r="L12" s="20"/>
      <c r="M12" s="103"/>
    </row>
    <row r="13" spans="1:19" x14ac:dyDescent="0.5">
      <c r="A13" s="5" t="s">
        <v>109</v>
      </c>
      <c r="B13" s="130">
        <v>173</v>
      </c>
      <c r="C13" s="130">
        <v>218</v>
      </c>
      <c r="D13" s="130">
        <v>184</v>
      </c>
      <c r="E13" s="131">
        <v>272</v>
      </c>
      <c r="F13" s="132">
        <f>'IS '!G6*Assumptions!F18</f>
        <v>305.54731389426752</v>
      </c>
      <c r="G13" s="132">
        <f>'IS '!H6*Assumptions!G18</f>
        <v>305.60418638471697</v>
      </c>
      <c r="H13" s="132">
        <f>'IS '!I6*Assumptions!H18</f>
        <v>305.28727403587106</v>
      </c>
      <c r="I13" s="132">
        <f>'IS '!J6*Assumptions!I18</f>
        <v>323.16101120446405</v>
      </c>
      <c r="J13" s="132">
        <f>'IS '!K6*Assumptions!J18</f>
        <v>321.31329620279422</v>
      </c>
      <c r="L13" s="20"/>
    </row>
    <row r="14" spans="1:19" x14ac:dyDescent="0.5">
      <c r="A14" s="5" t="s">
        <v>110</v>
      </c>
      <c r="B14" s="130">
        <v>157</v>
      </c>
      <c r="C14" s="130">
        <f t="shared" ref="C14:D14" si="1">C43</f>
        <v>121</v>
      </c>
      <c r="D14" s="130">
        <f t="shared" si="1"/>
        <v>160</v>
      </c>
      <c r="E14" s="131">
        <v>147</v>
      </c>
      <c r="F14" s="132">
        <f>F43</f>
        <v>156.18182955502834</v>
      </c>
      <c r="G14" s="132">
        <f t="shared" ref="G14:J14" si="2">G43</f>
        <v>171.98499129437914</v>
      </c>
      <c r="H14" s="132">
        <f>H43</f>
        <v>190.57999256963518</v>
      </c>
      <c r="I14" s="132">
        <f t="shared" si="2"/>
        <v>210.35394548308165</v>
      </c>
      <c r="J14" s="132">
        <f t="shared" si="2"/>
        <v>230.72258860669197</v>
      </c>
      <c r="L14" s="20" t="s">
        <v>111</v>
      </c>
    </row>
    <row r="15" spans="1:19" x14ac:dyDescent="0.5">
      <c r="A15" s="21" t="s">
        <v>112</v>
      </c>
      <c r="B15" s="130">
        <v>272</v>
      </c>
      <c r="C15" s="130">
        <v>138</v>
      </c>
      <c r="D15" s="130">
        <v>119</v>
      </c>
      <c r="E15" s="131">
        <v>144</v>
      </c>
      <c r="F15" s="140">
        <f>81.5+1+0.16-F36</f>
        <v>125.08876220539256</v>
      </c>
      <c r="G15" s="140">
        <f>55.81+0.04-G36</f>
        <v>119.1925014874956</v>
      </c>
      <c r="H15" s="140">
        <f>38.22-H36</f>
        <v>116.39444012096894</v>
      </c>
      <c r="I15" s="140">
        <f>26.18+0.01-I36</f>
        <v>117.60110727963314</v>
      </c>
      <c r="J15" s="140">
        <f>17.93-J36</f>
        <v>115.38084153456992</v>
      </c>
      <c r="L15" s="20" t="s">
        <v>113</v>
      </c>
      <c r="M15" s="103"/>
    </row>
    <row r="16" spans="1:19" s="23" customFormat="1" x14ac:dyDescent="0.5">
      <c r="A16" s="17" t="s">
        <v>114</v>
      </c>
      <c r="B16" s="141">
        <f>SUM(B10:B15)</f>
        <v>13708</v>
      </c>
      <c r="C16" s="141">
        <f>SUM(C10:C15)</f>
        <v>16038</v>
      </c>
      <c r="D16" s="141">
        <f>SUM(D10:D15)</f>
        <v>20645</v>
      </c>
      <c r="E16" s="142">
        <v>20959</v>
      </c>
      <c r="F16" s="143">
        <f>SUM(F10:F15)</f>
        <v>22543.296456928296</v>
      </c>
      <c r="G16" s="143">
        <f>SUM(G10:G15)</f>
        <v>23357.191850267496</v>
      </c>
      <c r="H16" s="143">
        <f t="shared" ref="H16:J16" si="3">SUM(H10:H15)</f>
        <v>24114.652830315248</v>
      </c>
      <c r="I16" s="143">
        <f t="shared" si="3"/>
        <v>25019.693911845956</v>
      </c>
      <c r="J16" s="143">
        <f t="shared" si="3"/>
        <v>26095.682170981596</v>
      </c>
      <c r="K16" s="106"/>
      <c r="L16" s="22"/>
      <c r="M16" s="22"/>
      <c r="N16" s="22"/>
      <c r="O16" s="22"/>
      <c r="P16" s="22"/>
    </row>
    <row r="17" spans="1:22" x14ac:dyDescent="0.5">
      <c r="A17" s="5" t="s">
        <v>115</v>
      </c>
      <c r="B17" s="130">
        <v>118</v>
      </c>
      <c r="C17" s="130">
        <v>137</v>
      </c>
      <c r="D17" s="130">
        <v>141</v>
      </c>
      <c r="E17" s="131">
        <v>142</v>
      </c>
      <c r="F17" s="144">
        <v>154.41</v>
      </c>
      <c r="G17" s="144">
        <v>169.1</v>
      </c>
      <c r="H17" s="144">
        <v>185.18</v>
      </c>
      <c r="I17" s="144">
        <v>202.79</v>
      </c>
      <c r="J17" s="144">
        <v>220</v>
      </c>
      <c r="L17" s="20" t="s">
        <v>116</v>
      </c>
    </row>
    <row r="18" spans="1:22" x14ac:dyDescent="0.5">
      <c r="A18" s="24" t="s">
        <v>117</v>
      </c>
      <c r="B18" s="133">
        <v>63</v>
      </c>
      <c r="C18" s="133">
        <v>59</v>
      </c>
      <c r="D18" s="133">
        <v>61</v>
      </c>
      <c r="E18" s="134">
        <v>63</v>
      </c>
      <c r="F18" s="145">
        <f>Assumptions!F26</f>
        <v>61.25</v>
      </c>
      <c r="G18" s="145">
        <f>Assumptions!G26</f>
        <v>60.8125</v>
      </c>
      <c r="H18" s="145">
        <f>Assumptions!H26</f>
        <v>61.265625</v>
      </c>
      <c r="I18" s="145">
        <f>Assumptions!I26</f>
        <v>61.33203125</v>
      </c>
      <c r="J18" s="145">
        <f>Assumptions!J26</f>
        <v>61.1650390625</v>
      </c>
      <c r="L18" s="20"/>
      <c r="Q18" s="25"/>
    </row>
    <row r="19" spans="1:22" x14ac:dyDescent="0.5">
      <c r="A19" s="5" t="s">
        <v>118</v>
      </c>
      <c r="B19" s="130">
        <v>416</v>
      </c>
      <c r="C19" s="130">
        <v>380</v>
      </c>
      <c r="D19" s="130">
        <v>436</v>
      </c>
      <c r="E19" s="131">
        <v>498</v>
      </c>
      <c r="F19" s="146">
        <f>Assumptions!F25*'IS '!G6</f>
        <v>557.99853444752023</v>
      </c>
      <c r="G19" s="146">
        <f>Assumptions!G25*'IS '!H6</f>
        <v>581.96093252223022</v>
      </c>
      <c r="H19" s="146">
        <f>Assumptions!H25*'IS '!I6</f>
        <v>600.3055009314379</v>
      </c>
      <c r="I19" s="146">
        <f>Assumptions!I25*'IS '!J6</f>
        <v>606.79180831994529</v>
      </c>
      <c r="J19" s="146">
        <f>Assumptions!J25*'IS '!K6</f>
        <v>607.72900563704354</v>
      </c>
      <c r="L19" s="20" t="s">
        <v>120</v>
      </c>
    </row>
    <row r="20" spans="1:22" x14ac:dyDescent="0.5">
      <c r="A20" s="24" t="s">
        <v>119</v>
      </c>
      <c r="B20" s="133">
        <v>1143</v>
      </c>
      <c r="C20" s="133">
        <v>1437</v>
      </c>
      <c r="D20" s="133">
        <v>2016</v>
      </c>
      <c r="E20" s="134">
        <v>1911</v>
      </c>
      <c r="F20" s="145">
        <f>'IS '!G6*Assumptions!F30</f>
        <v>2247.5576810757393</v>
      </c>
      <c r="G20" s="145">
        <f>'IS '!H6*Assumptions!G30</f>
        <v>2353.8215121752683</v>
      </c>
      <c r="H20" s="145">
        <f>'IS '!I6*Assumptions!H30</f>
        <v>2418.2656862100712</v>
      </c>
      <c r="I20" s="145">
        <f>'IS '!J6*Assumptions!I30</f>
        <v>2447.5709763237514</v>
      </c>
      <c r="J20" s="145">
        <f>'IS '!K6*Assumptions!J30</f>
        <v>2452.5150334261552</v>
      </c>
      <c r="Q20" s="25"/>
    </row>
    <row r="21" spans="1:22" x14ac:dyDescent="0.5">
      <c r="A21" s="8" t="s">
        <v>121</v>
      </c>
      <c r="B21" s="130">
        <v>3715</v>
      </c>
      <c r="C21" s="130">
        <v>4783</v>
      </c>
      <c r="D21" s="130">
        <v>5869</v>
      </c>
      <c r="E21" s="131">
        <v>5931</v>
      </c>
      <c r="F21" s="146">
        <f>'IS '!G6*Assumptions!F28</f>
        <v>7228.1017612324822</v>
      </c>
      <c r="G21" s="146">
        <f>'IS '!H6*Assumptions!G28</f>
        <v>7569.8441739825703</v>
      </c>
      <c r="H21" s="146">
        <f>'IS '!I6*Assumptions!H28</f>
        <v>7777.095383490655</v>
      </c>
      <c r="I21" s="146">
        <f>'IS '!J6*Assumptions!I28</f>
        <v>7871.3406261679147</v>
      </c>
      <c r="J21" s="146">
        <f>'IS '!K6*Assumptions!J28</f>
        <v>7887.2406175898986</v>
      </c>
      <c r="Q21" s="26"/>
      <c r="R21" s="26"/>
      <c r="S21" s="26"/>
      <c r="T21" s="26"/>
      <c r="U21" s="26"/>
      <c r="V21" s="26"/>
    </row>
    <row r="22" spans="1:22" x14ac:dyDescent="0.5">
      <c r="A22" s="19" t="s">
        <v>123</v>
      </c>
      <c r="B22" s="130">
        <v>904</v>
      </c>
      <c r="C22" s="130">
        <v>1182</v>
      </c>
      <c r="D22" s="130">
        <v>1427</v>
      </c>
      <c r="E22" s="131">
        <v>1616</v>
      </c>
      <c r="F22" s="145">
        <f>'IS '!G6*Assumptions!F29</f>
        <v>1810.5325764221232</v>
      </c>
      <c r="G22" s="145">
        <f>'IS '!H6*Assumptions!G29</f>
        <v>1896.1339959189659</v>
      </c>
      <c r="H22" s="145">
        <f>'IS '!I6*Assumptions!H29</f>
        <v>1948.0473583358907</v>
      </c>
      <c r="I22" s="145">
        <f>'IS '!J6*Assumptions!I29</f>
        <v>1971.6543975941331</v>
      </c>
      <c r="J22" s="145">
        <f>'IS '!K6*Assumptions!J29</f>
        <v>1975.6371102599585</v>
      </c>
      <c r="K22" s="179"/>
      <c r="L22" s="20" t="s">
        <v>122</v>
      </c>
      <c r="Q22" s="26"/>
      <c r="R22" s="26"/>
      <c r="S22" s="26"/>
      <c r="T22" s="26"/>
      <c r="U22" s="26"/>
      <c r="V22" s="26"/>
    </row>
    <row r="23" spans="1:22" x14ac:dyDescent="0.5">
      <c r="A23" s="17" t="s">
        <v>124</v>
      </c>
      <c r="B23" s="135">
        <f t="shared" ref="B23:C23" si="4">SUM(B17:B22)</f>
        <v>6359</v>
      </c>
      <c r="C23" s="135">
        <f t="shared" si="4"/>
        <v>7978</v>
      </c>
      <c r="D23" s="135">
        <f>SUM(D17:D22)</f>
        <v>9950</v>
      </c>
      <c r="E23" s="136">
        <v>10161</v>
      </c>
      <c r="F23" s="147">
        <f>SUM(F17:F22)</f>
        <v>12059.850553177865</v>
      </c>
      <c r="G23" s="147">
        <f t="shared" ref="G23:J23" si="5">SUM(G17:G22)</f>
        <v>12631.673114599036</v>
      </c>
      <c r="H23" s="147">
        <f t="shared" si="5"/>
        <v>12990.159553968055</v>
      </c>
      <c r="I23" s="147">
        <f t="shared" si="5"/>
        <v>13161.479839655743</v>
      </c>
      <c r="J23" s="147">
        <f t="shared" si="5"/>
        <v>13204.286805975556</v>
      </c>
      <c r="K23" s="179"/>
      <c r="Q23" s="27"/>
      <c r="R23" s="27"/>
      <c r="S23" s="27"/>
      <c r="T23" s="27"/>
      <c r="U23" s="27"/>
      <c r="V23" s="27"/>
    </row>
    <row r="24" spans="1:22" x14ac:dyDescent="0.5">
      <c r="A24" s="24" t="s">
        <v>125</v>
      </c>
      <c r="B24" s="130">
        <v>1983</v>
      </c>
      <c r="C24" s="130">
        <v>1987</v>
      </c>
      <c r="D24" s="130">
        <v>1991</v>
      </c>
      <c r="E24" s="131">
        <v>1995</v>
      </c>
      <c r="F24" s="132">
        <f>E24</f>
        <v>1995</v>
      </c>
      <c r="G24" s="132">
        <f>F24*1.1</f>
        <v>2194.5</v>
      </c>
      <c r="H24" s="132">
        <f t="shared" ref="H24:J24" si="6">G24</f>
        <v>2194.5</v>
      </c>
      <c r="I24" s="132">
        <f t="shared" si="6"/>
        <v>2194.5</v>
      </c>
      <c r="J24" s="132">
        <f t="shared" si="6"/>
        <v>2194.5</v>
      </c>
      <c r="L24" s="8" t="s">
        <v>126</v>
      </c>
    </row>
    <row r="25" spans="1:22" x14ac:dyDescent="0.5">
      <c r="A25" s="24" t="s">
        <v>127</v>
      </c>
      <c r="B25" s="130">
        <v>372</v>
      </c>
      <c r="C25" s="130">
        <v>295</v>
      </c>
      <c r="D25" s="130">
        <v>252</v>
      </c>
      <c r="E25" s="131">
        <v>236</v>
      </c>
      <c r="F25" s="132">
        <f>E25</f>
        <v>236</v>
      </c>
      <c r="G25" s="132">
        <f t="shared" ref="G25:J26" si="7">F25</f>
        <v>236</v>
      </c>
      <c r="H25" s="132">
        <f t="shared" si="7"/>
        <v>236</v>
      </c>
      <c r="I25" s="132">
        <f t="shared" si="7"/>
        <v>236</v>
      </c>
      <c r="J25" s="132">
        <f t="shared" si="7"/>
        <v>236</v>
      </c>
      <c r="L25" s="20"/>
    </row>
    <row r="26" spans="1:22" x14ac:dyDescent="0.5">
      <c r="A26" s="24" t="s">
        <v>128</v>
      </c>
      <c r="B26" s="130">
        <v>219</v>
      </c>
      <c r="C26" s="130">
        <v>218</v>
      </c>
      <c r="D26" s="130">
        <v>287</v>
      </c>
      <c r="E26" s="131">
        <v>155</v>
      </c>
      <c r="F26" s="132">
        <f>AVERAGE(B26:E26)</f>
        <v>219.75</v>
      </c>
      <c r="G26" s="132">
        <f t="shared" si="7"/>
        <v>219.75</v>
      </c>
      <c r="H26" s="132">
        <f t="shared" si="7"/>
        <v>219.75</v>
      </c>
      <c r="I26" s="132">
        <f t="shared" si="7"/>
        <v>219.75</v>
      </c>
      <c r="J26" s="132">
        <f t="shared" si="7"/>
        <v>219.75</v>
      </c>
    </row>
    <row r="27" spans="1:22" x14ac:dyDescent="0.5">
      <c r="A27" s="17" t="s">
        <v>129</v>
      </c>
      <c r="B27" s="135">
        <f>SUM(B23:B26)</f>
        <v>8933</v>
      </c>
      <c r="C27" s="135">
        <f>SUM(C23:C26)</f>
        <v>10478</v>
      </c>
      <c r="D27" s="135">
        <f>SUM(D23:D26)</f>
        <v>12480</v>
      </c>
      <c r="E27" s="136">
        <v>12547</v>
      </c>
      <c r="F27" s="137">
        <f>SUM(F23:F26)</f>
        <v>14510.600553177865</v>
      </c>
      <c r="G27" s="137">
        <f>SUM(G23:G26)</f>
        <v>15281.923114599036</v>
      </c>
      <c r="H27" s="137">
        <f>SUM(H23:H26)</f>
        <v>15640.409553968055</v>
      </c>
      <c r="I27" s="137">
        <f>SUM(I23:I26)</f>
        <v>15811.729839655743</v>
      </c>
      <c r="J27" s="137">
        <f>SUM(J23:J26)</f>
        <v>15854.536805975556</v>
      </c>
    </row>
    <row r="28" spans="1:22" x14ac:dyDescent="0.5">
      <c r="A28" s="28" t="s">
        <v>130</v>
      </c>
      <c r="B28" s="130"/>
      <c r="C28" s="130"/>
      <c r="D28" s="130"/>
      <c r="E28" s="131"/>
      <c r="F28" s="132"/>
      <c r="G28" s="132"/>
      <c r="H28" s="132"/>
      <c r="I28" s="132"/>
      <c r="J28" s="132"/>
    </row>
    <row r="29" spans="1:22" x14ac:dyDescent="0.5">
      <c r="A29" s="28" t="s">
        <v>131</v>
      </c>
      <c r="B29" s="130">
        <f>60</f>
        <v>60</v>
      </c>
      <c r="C29" s="174">
        <v>0.47360000000000002</v>
      </c>
      <c r="D29" s="174">
        <v>0.47360000000000002</v>
      </c>
      <c r="E29" s="175">
        <f t="shared" ref="E29:J29" si="8">D29</f>
        <v>0.47360000000000002</v>
      </c>
      <c r="F29" s="176">
        <f t="shared" si="8"/>
        <v>0.47360000000000002</v>
      </c>
      <c r="G29" s="176">
        <f t="shared" si="8"/>
        <v>0.47360000000000002</v>
      </c>
      <c r="H29" s="176">
        <f t="shared" si="8"/>
        <v>0.47360000000000002</v>
      </c>
      <c r="I29" s="176">
        <f t="shared" si="8"/>
        <v>0.47360000000000002</v>
      </c>
      <c r="J29" s="176">
        <f t="shared" si="8"/>
        <v>0.47360000000000002</v>
      </c>
    </row>
    <row r="30" spans="1:22" x14ac:dyDescent="0.5">
      <c r="A30" s="24" t="s">
        <v>64</v>
      </c>
      <c r="B30" s="133">
        <f>B58</f>
        <v>11140</v>
      </c>
      <c r="C30" s="133">
        <f t="shared" ref="C30" si="9">C58</f>
        <v>11557</v>
      </c>
      <c r="D30" s="133">
        <f>D58</f>
        <v>11639</v>
      </c>
      <c r="E30" s="134">
        <v>12602</v>
      </c>
      <c r="F30" s="148">
        <f>F58</f>
        <v>13104.163440988548</v>
      </c>
      <c r="G30" s="148">
        <f>G58</f>
        <v>13626.3370487336</v>
      </c>
      <c r="H30" s="148">
        <f>H58</f>
        <v>14169.318186684861</v>
      </c>
      <c r="I30" s="148">
        <f>I58</f>
        <v>14733.935991564031</v>
      </c>
      <c r="J30" s="148">
        <f>J58</f>
        <v>15321.052639463476</v>
      </c>
      <c r="L30" s="21"/>
      <c r="M30" s="21"/>
      <c r="N30" s="21"/>
      <c r="O30" s="21"/>
      <c r="P30" s="21"/>
    </row>
    <row r="31" spans="1:22" x14ac:dyDescent="0.5">
      <c r="A31" s="24" t="s">
        <v>65</v>
      </c>
      <c r="B31" s="133">
        <v>-7</v>
      </c>
      <c r="C31" s="133">
        <v>-32</v>
      </c>
      <c r="D31" s="133">
        <v>-49</v>
      </c>
      <c r="E31" s="134">
        <v>35</v>
      </c>
      <c r="F31" s="148">
        <f>AVERAGE(C31:E31)</f>
        <v>-15.333333333333334</v>
      </c>
      <c r="G31" s="148">
        <f t="shared" ref="G31:J31" si="10">F31</f>
        <v>-15.333333333333334</v>
      </c>
      <c r="H31" s="148">
        <f t="shared" si="10"/>
        <v>-15.333333333333334</v>
      </c>
      <c r="I31" s="148">
        <f t="shared" si="10"/>
        <v>-15.333333333333334</v>
      </c>
      <c r="J31" s="148">
        <f t="shared" si="10"/>
        <v>-15.333333333333334</v>
      </c>
      <c r="L31" s="148"/>
      <c r="M31" s="148"/>
      <c r="N31" s="148"/>
      <c r="O31" s="148"/>
      <c r="P31" s="148"/>
    </row>
    <row r="32" spans="1:22" x14ac:dyDescent="0.5">
      <c r="A32" s="24" t="s">
        <v>132</v>
      </c>
      <c r="B32" s="133">
        <f t="shared" ref="B32:D32" si="11">B51</f>
        <v>-6358</v>
      </c>
      <c r="C32" s="133">
        <f t="shared" si="11"/>
        <v>-5965</v>
      </c>
      <c r="D32" s="133">
        <f t="shared" si="11"/>
        <v>-3425</v>
      </c>
      <c r="E32" s="134">
        <v>-4225</v>
      </c>
      <c r="F32" s="148">
        <f>F51</f>
        <v>-5098.5629661101757</v>
      </c>
      <c r="G32" s="148">
        <f>G51</f>
        <v>-5599.0774812192976</v>
      </c>
      <c r="H32" s="148">
        <f>H51</f>
        <v>-5757.9160171253006</v>
      </c>
      <c r="I32" s="148">
        <f>I51</f>
        <v>-5602.0496933201148</v>
      </c>
      <c r="J32" s="148">
        <f>J51</f>
        <v>-5162.0247826586683</v>
      </c>
      <c r="L32" s="210"/>
      <c r="M32" s="21"/>
      <c r="N32" s="21"/>
      <c r="O32" s="21"/>
      <c r="P32" s="21"/>
    </row>
    <row r="33" spans="1:20" x14ac:dyDescent="0.5">
      <c r="A33" s="29" t="s">
        <v>133</v>
      </c>
      <c r="B33" s="133">
        <f>SUM(B30:B32)</f>
        <v>4775</v>
      </c>
      <c r="C33" s="133">
        <f>SUM(C30:C32)</f>
        <v>5560</v>
      </c>
      <c r="D33" s="133">
        <f>SUM(D30:D32)</f>
        <v>8165</v>
      </c>
      <c r="E33" s="134">
        <v>8412</v>
      </c>
      <c r="F33" s="148">
        <f>SUM(F30:F32)</f>
        <v>7990.2671415450386</v>
      </c>
      <c r="G33" s="148">
        <f>SUM(G30:G32)</f>
        <v>8011.9262341809681</v>
      </c>
      <c r="H33" s="148">
        <f>SUM(H30:H32)</f>
        <v>8396.0688362262263</v>
      </c>
      <c r="I33" s="148">
        <f>SUM(I30:I32)</f>
        <v>9116.5529649105811</v>
      </c>
      <c r="J33" s="148">
        <f>SUM(J30:J32)</f>
        <v>10143.694523471473</v>
      </c>
      <c r="L33" s="210"/>
      <c r="M33" s="21"/>
      <c r="N33" s="21"/>
      <c r="O33" s="21"/>
      <c r="P33" s="21"/>
    </row>
    <row r="34" spans="1:20" s="23" customFormat="1" x14ac:dyDescent="0.5">
      <c r="A34" s="17" t="s">
        <v>134</v>
      </c>
      <c r="B34" s="141">
        <f>B27+B33</f>
        <v>13708</v>
      </c>
      <c r="C34" s="141">
        <f>C27+C33</f>
        <v>16038</v>
      </c>
      <c r="D34" s="141">
        <f>D27+D33</f>
        <v>20645</v>
      </c>
      <c r="E34" s="142">
        <v>20959</v>
      </c>
      <c r="F34" s="141">
        <f>SUM(F33,F27)</f>
        <v>22500.867694722903</v>
      </c>
      <c r="G34" s="141">
        <f>SUM(G33,G27)</f>
        <v>23293.849348780004</v>
      </c>
      <c r="H34" s="141">
        <f>SUM(H33,H27)</f>
        <v>24036.478390194279</v>
      </c>
      <c r="I34" s="141">
        <f>SUM(I33,I27)</f>
        <v>24928.282804566326</v>
      </c>
      <c r="J34" s="141">
        <f>SUM(J33,J27)</f>
        <v>25998.23132944703</v>
      </c>
      <c r="K34" s="106"/>
      <c r="L34" s="181"/>
      <c r="M34" s="182"/>
      <c r="N34" s="183"/>
      <c r="O34" s="183"/>
      <c r="P34" s="183"/>
      <c r="Q34" s="30"/>
      <c r="R34" s="30"/>
      <c r="S34" s="30"/>
      <c r="T34" s="30"/>
    </row>
    <row r="35" spans="1:20" x14ac:dyDescent="0.5">
      <c r="A35" s="9" t="s">
        <v>135</v>
      </c>
      <c r="B35" s="149">
        <f t="shared" ref="B35:E35" si="12">B16-B34</f>
        <v>0</v>
      </c>
      <c r="C35" s="149">
        <f t="shared" si="12"/>
        <v>0</v>
      </c>
      <c r="D35" s="149">
        <f t="shared" si="12"/>
        <v>0</v>
      </c>
      <c r="E35" s="177">
        <f t="shared" si="12"/>
        <v>0</v>
      </c>
      <c r="F35" s="149">
        <f>F16-F34</f>
        <v>42.428762205392559</v>
      </c>
      <c r="G35" s="149">
        <f>G16-G34</f>
        <v>63.342501487491973</v>
      </c>
      <c r="H35" s="149">
        <f>H16-H34</f>
        <v>78.174440120968939</v>
      </c>
      <c r="I35" s="149">
        <f>I16-I34</f>
        <v>91.411107279629505</v>
      </c>
      <c r="J35" s="149">
        <f>J16-J34</f>
        <v>97.45084153456628</v>
      </c>
      <c r="L35" s="211"/>
      <c r="M35" s="21"/>
      <c r="N35" s="21"/>
      <c r="O35" s="21"/>
      <c r="P35" s="21"/>
    </row>
    <row r="36" spans="1:20" x14ac:dyDescent="0.5">
      <c r="A36" s="9"/>
      <c r="B36" s="6"/>
      <c r="C36" s="6"/>
      <c r="D36" s="6"/>
      <c r="E36" s="178"/>
      <c r="F36" s="149">
        <v>-42.428762205392559</v>
      </c>
      <c r="G36" s="149">
        <v>-63.34250148749561</v>
      </c>
      <c r="H36" s="149">
        <v>-78.174440120968939</v>
      </c>
      <c r="I36" s="149">
        <v>-91.411107279633143</v>
      </c>
      <c r="J36" s="149">
        <v>-97.450841534569918</v>
      </c>
      <c r="K36" s="211"/>
    </row>
    <row r="37" spans="1:20" x14ac:dyDescent="0.5">
      <c r="A37" s="31"/>
      <c r="B37" s="32"/>
      <c r="C37" s="33"/>
      <c r="D37" s="33"/>
      <c r="E37" s="34"/>
      <c r="F37" s="33"/>
      <c r="G37" s="33"/>
      <c r="H37" s="33"/>
      <c r="I37" s="33"/>
      <c r="J37" s="33"/>
    </row>
    <row r="38" spans="1:20" x14ac:dyDescent="0.5">
      <c r="A38" s="5"/>
      <c r="B38" s="6"/>
      <c r="E38" s="35"/>
      <c r="F38" s="7"/>
      <c r="G38" s="7"/>
      <c r="H38" s="7"/>
      <c r="I38" s="7"/>
      <c r="J38" s="7"/>
    </row>
    <row r="39" spans="1:20" x14ac:dyDescent="0.5">
      <c r="A39" s="36" t="s">
        <v>136</v>
      </c>
      <c r="B39" s="121">
        <v>0.51111111111111107</v>
      </c>
      <c r="C39" s="121">
        <v>0.51923076923076927</v>
      </c>
      <c r="D39" s="122">
        <v>0.36363636363636365</v>
      </c>
      <c r="E39" s="122">
        <v>0.40625</v>
      </c>
      <c r="F39" s="123">
        <f t="shared" ref="F39:J39" si="13">-F42/F40</f>
        <v>0.46219945278386843</v>
      </c>
      <c r="G39" s="122">
        <f t="shared" si="13"/>
        <v>0.41597950750548152</v>
      </c>
      <c r="H39" s="122">
        <f t="shared" si="13"/>
        <v>0.3743815567549334</v>
      </c>
      <c r="I39" s="122">
        <f t="shared" si="13"/>
        <v>0.33694340107943999</v>
      </c>
      <c r="J39" s="122">
        <f t="shared" si="13"/>
        <v>0.30324906097149606</v>
      </c>
    </row>
    <row r="40" spans="1:20" x14ac:dyDescent="0.5">
      <c r="A40" s="8" t="s">
        <v>137</v>
      </c>
      <c r="B40" s="132">
        <v>270</v>
      </c>
      <c r="C40" s="132">
        <v>156</v>
      </c>
      <c r="D40" s="132">
        <v>121</v>
      </c>
      <c r="E40" s="150">
        <v>160</v>
      </c>
      <c r="F40" s="132">
        <f>E43</f>
        <v>147</v>
      </c>
      <c r="G40" s="132">
        <f>F43</f>
        <v>156.18182955502834</v>
      </c>
      <c r="H40" s="132">
        <f t="shared" ref="H40:J40" si="14">G43</f>
        <v>171.98499129437914</v>
      </c>
      <c r="I40" s="132">
        <f t="shared" si="14"/>
        <v>190.57999256963518</v>
      </c>
      <c r="J40" s="132">
        <f t="shared" si="14"/>
        <v>210.35394548308165</v>
      </c>
    </row>
    <row r="41" spans="1:20" x14ac:dyDescent="0.5">
      <c r="A41" s="8" t="s">
        <v>138</v>
      </c>
      <c r="B41" s="132">
        <v>24</v>
      </c>
      <c r="C41" s="132">
        <v>46</v>
      </c>
      <c r="D41" s="132">
        <v>83</v>
      </c>
      <c r="E41" s="151">
        <v>52</v>
      </c>
      <c r="F41" s="132">
        <f>'IS '!G6*Assumptions!F19</f>
        <v>77.125149114256999</v>
      </c>
      <c r="G41" s="132">
        <f>'IS '!H6*Assumptions!G19</f>
        <v>80.771602278956536</v>
      </c>
      <c r="H41" s="132">
        <f>'IS '!I6*Assumptions!H19</f>
        <v>82.983010054529373</v>
      </c>
      <c r="I41" s="132">
        <f>'IS '!J6*Assumptions!I19</f>
        <v>83.988623787553735</v>
      </c>
      <c r="J41" s="132">
        <f>'IS '!K6*Assumptions!J19</f>
        <v>84.158279563004086</v>
      </c>
    </row>
    <row r="42" spans="1:20" x14ac:dyDescent="0.5">
      <c r="A42" s="8" t="s">
        <v>139</v>
      </c>
      <c r="B42" s="132">
        <v>-138</v>
      </c>
      <c r="C42" s="132">
        <v>-81</v>
      </c>
      <c r="D42" s="132">
        <v>-44</v>
      </c>
      <c r="E42" s="151">
        <v>-65</v>
      </c>
      <c r="F42" s="132">
        <f>Assumptions!F7*-BS!F40</f>
        <v>-67.943319559228655</v>
      </c>
      <c r="G42" s="132">
        <f>Assumptions!G7*-BS!G40</f>
        <v>-64.968440539605751</v>
      </c>
      <c r="H42" s="132">
        <f>Assumptions!H7*-BS!H40</f>
        <v>-64.388008779273335</v>
      </c>
      <c r="I42" s="132">
        <f>Assumptions!I7*-BS!I40</f>
        <v>-64.214670874107284</v>
      </c>
      <c r="J42" s="132">
        <f>Assumptions!J7*-BS!J40</f>
        <v>-63.789636439393782</v>
      </c>
    </row>
    <row r="43" spans="1:20" x14ac:dyDescent="0.5">
      <c r="A43" s="37" t="s">
        <v>140</v>
      </c>
      <c r="B43" s="137">
        <v>156</v>
      </c>
      <c r="C43" s="137">
        <v>121</v>
      </c>
      <c r="D43" s="137">
        <v>160</v>
      </c>
      <c r="E43" s="152">
        <v>147</v>
      </c>
      <c r="F43" s="137">
        <f>SUM(F40:F42)</f>
        <v>156.18182955502834</v>
      </c>
      <c r="G43" s="137">
        <f t="shared" ref="G43:J43" si="15">SUM(G40:G42)</f>
        <v>171.98499129437914</v>
      </c>
      <c r="H43" s="137">
        <f t="shared" si="15"/>
        <v>190.57999256963518</v>
      </c>
      <c r="I43" s="137">
        <f t="shared" si="15"/>
        <v>210.35394548308165</v>
      </c>
      <c r="J43" s="137">
        <f t="shared" si="15"/>
        <v>230.72258860669197</v>
      </c>
    </row>
    <row r="44" spans="1:20" x14ac:dyDescent="0.5">
      <c r="B44" s="132"/>
      <c r="C44" s="132"/>
      <c r="D44" s="132"/>
      <c r="E44" s="151"/>
      <c r="F44" s="132"/>
      <c r="G44" s="132"/>
      <c r="H44" s="132"/>
      <c r="I44" s="132"/>
      <c r="J44" s="132"/>
    </row>
    <row r="45" spans="1:20" x14ac:dyDescent="0.5">
      <c r="B45" s="132"/>
      <c r="C45" s="132"/>
      <c r="D45" s="132"/>
      <c r="E45" s="151"/>
      <c r="F45" s="132"/>
      <c r="G45" s="132"/>
      <c r="H45" s="132"/>
      <c r="I45" s="132"/>
      <c r="J45" s="132"/>
    </row>
    <row r="46" spans="1:20" x14ac:dyDescent="0.5">
      <c r="B46" s="132"/>
      <c r="C46" s="132"/>
      <c r="D46" s="132"/>
      <c r="E46" s="151"/>
      <c r="F46" s="132"/>
      <c r="G46" s="132"/>
      <c r="H46" s="132"/>
      <c r="I46" s="132"/>
      <c r="J46" s="132"/>
    </row>
    <row r="47" spans="1:20" x14ac:dyDescent="0.5">
      <c r="A47" s="36" t="s">
        <v>141</v>
      </c>
      <c r="B47" s="132"/>
      <c r="C47" s="132"/>
      <c r="D47" s="132"/>
      <c r="E47" s="151"/>
      <c r="F47" s="132"/>
      <c r="G47" s="132"/>
      <c r="H47" s="132"/>
      <c r="I47" s="132"/>
      <c r="J47" s="132"/>
    </row>
    <row r="48" spans="1:20" x14ac:dyDescent="0.5">
      <c r="A48" s="8" t="s">
        <v>142</v>
      </c>
      <c r="B48" s="132">
        <v>-6006</v>
      </c>
      <c r="C48" s="132">
        <v>-6358</v>
      </c>
      <c r="D48" s="132">
        <v>-5965</v>
      </c>
      <c r="E48" s="151">
        <v>-3425</v>
      </c>
      <c r="F48" s="132">
        <f>E51</f>
        <v>-4225</v>
      </c>
      <c r="G48" s="132">
        <f t="shared" ref="G48:J48" si="16">F51</f>
        <v>-5098.5629661101757</v>
      </c>
      <c r="H48" s="132">
        <f t="shared" si="16"/>
        <v>-5599.0774812192976</v>
      </c>
      <c r="I48" s="132">
        <f t="shared" si="16"/>
        <v>-5757.9160171253006</v>
      </c>
      <c r="J48" s="132">
        <f t="shared" si="16"/>
        <v>-5602.0496933201148</v>
      </c>
    </row>
    <row r="49" spans="1:12" x14ac:dyDescent="0.5">
      <c r="A49" s="8" t="s">
        <v>143</v>
      </c>
      <c r="B49" s="132">
        <v>-352</v>
      </c>
      <c r="C49" s="132">
        <v>1893</v>
      </c>
      <c r="D49" s="132">
        <v>4792</v>
      </c>
      <c r="E49" s="153">
        <v>2648</v>
      </c>
      <c r="F49" s="132">
        <v>3126.4370338898248</v>
      </c>
      <c r="G49" s="132">
        <v>3499.4854848908785</v>
      </c>
      <c r="H49" s="132">
        <v>3841.161464093997</v>
      </c>
      <c r="I49" s="132">
        <v>4155.8663238051859</v>
      </c>
      <c r="J49" s="132">
        <v>4440.0249106614465</v>
      </c>
    </row>
    <row r="50" spans="1:12" x14ac:dyDescent="0.5">
      <c r="A50" s="8" t="s">
        <v>144</v>
      </c>
      <c r="B50" s="139" t="s">
        <v>32</v>
      </c>
      <c r="C50" s="132">
        <v>-1500</v>
      </c>
      <c r="D50" s="132">
        <v>-2252</v>
      </c>
      <c r="E50" s="151">
        <v>-3448</v>
      </c>
      <c r="F50" s="132">
        <v>-4000</v>
      </c>
      <c r="G50" s="132">
        <f>F50</f>
        <v>-4000</v>
      </c>
      <c r="H50" s="132">
        <f t="shared" ref="H50:J50" si="17">G50</f>
        <v>-4000</v>
      </c>
      <c r="I50" s="132">
        <f t="shared" si="17"/>
        <v>-4000</v>
      </c>
      <c r="J50" s="132">
        <f t="shared" si="17"/>
        <v>-4000</v>
      </c>
      <c r="K50" s="132"/>
      <c r="L50" s="106"/>
    </row>
    <row r="51" spans="1:12" x14ac:dyDescent="0.5">
      <c r="A51" s="37" t="s">
        <v>145</v>
      </c>
      <c r="B51" s="137">
        <v>-6358</v>
      </c>
      <c r="C51" s="137">
        <v>-5965</v>
      </c>
      <c r="D51" s="137">
        <v>-3425</v>
      </c>
      <c r="E51" s="152">
        <v>-4225</v>
      </c>
      <c r="F51" s="137">
        <f>SUM(F48:F50)</f>
        <v>-5098.5629661101757</v>
      </c>
      <c r="G51" s="137">
        <f>SUM(G48:G50)</f>
        <v>-5599.0774812192976</v>
      </c>
      <c r="H51" s="137">
        <f>SUM(H48:H50)</f>
        <v>-5757.9160171253006</v>
      </c>
      <c r="I51" s="137">
        <f>SUM(I48:I50)</f>
        <v>-5602.0496933201148</v>
      </c>
      <c r="J51" s="137">
        <f>SUM(J48:J50)</f>
        <v>-5162.0247826586683</v>
      </c>
    </row>
    <row r="52" spans="1:12" x14ac:dyDescent="0.5">
      <c r="B52" s="132"/>
      <c r="C52" s="132"/>
      <c r="D52" s="132"/>
      <c r="E52" s="151"/>
      <c r="F52" s="132"/>
      <c r="G52" s="132"/>
      <c r="H52" s="132"/>
      <c r="I52" s="132"/>
      <c r="J52" s="132"/>
    </row>
    <row r="53" spans="1:12" x14ac:dyDescent="0.5">
      <c r="B53" s="132"/>
      <c r="C53" s="132"/>
      <c r="D53" s="132"/>
      <c r="E53" s="151"/>
      <c r="F53" s="132"/>
      <c r="G53" s="132"/>
      <c r="H53" s="132"/>
      <c r="I53" s="132"/>
      <c r="J53" s="132"/>
    </row>
    <row r="54" spans="1:12" x14ac:dyDescent="0.5">
      <c r="B54" s="132"/>
      <c r="C54" s="132"/>
      <c r="D54" s="132"/>
      <c r="E54" s="151"/>
      <c r="F54" s="132"/>
      <c r="G54" s="132"/>
      <c r="H54" s="132"/>
      <c r="I54" s="132"/>
      <c r="J54" s="132"/>
    </row>
    <row r="55" spans="1:12" x14ac:dyDescent="0.5">
      <c r="A55" s="38" t="s">
        <v>146</v>
      </c>
      <c r="B55" s="132"/>
      <c r="C55" s="132"/>
      <c r="D55" s="132"/>
      <c r="E55" s="151"/>
      <c r="F55" s="132"/>
      <c r="G55" s="132"/>
      <c r="H55" s="132"/>
      <c r="I55" s="132"/>
      <c r="J55" s="132"/>
    </row>
    <row r="56" spans="1:12" x14ac:dyDescent="0.5">
      <c r="A56" s="219" t="s">
        <v>142</v>
      </c>
      <c r="B56" s="132">
        <v>8904</v>
      </c>
      <c r="C56" s="132">
        <v>11140</v>
      </c>
      <c r="D56" s="132">
        <v>11557</v>
      </c>
      <c r="E56" s="151">
        <v>11639</v>
      </c>
      <c r="F56" s="132">
        <f t="shared" ref="F56:J56" si="18">E58</f>
        <v>12602</v>
      </c>
      <c r="G56" s="132">
        <f t="shared" si="18"/>
        <v>13104.163440988548</v>
      </c>
      <c r="H56" s="132">
        <f t="shared" si="18"/>
        <v>13626.3370487336</v>
      </c>
      <c r="I56" s="132">
        <f t="shared" si="18"/>
        <v>14169.318186684861</v>
      </c>
      <c r="J56" s="132">
        <f t="shared" si="18"/>
        <v>14733.935991564031</v>
      </c>
    </row>
    <row r="57" spans="1:12" x14ac:dyDescent="0.5">
      <c r="A57" s="224" t="s">
        <v>147</v>
      </c>
      <c r="B57" s="132">
        <v>2236</v>
      </c>
      <c r="C57" s="132">
        <v>417</v>
      </c>
      <c r="D57" s="132">
        <v>82</v>
      </c>
      <c r="E57" s="151">
        <v>963</v>
      </c>
      <c r="F57" s="132">
        <f>F56*Assumptions!F35</f>
        <v>502.16344098854836</v>
      </c>
      <c r="G57" s="132">
        <f>G56*Assumptions!G35</f>
        <v>522.17360774505198</v>
      </c>
      <c r="H57" s="132">
        <f>H56*Assumptions!H35</f>
        <v>542.9811379512621</v>
      </c>
      <c r="I57" s="132">
        <f>I56*Assumptions!I35</f>
        <v>564.61780487916906</v>
      </c>
      <c r="J57" s="132">
        <f>J56*Assumptions!J35</f>
        <v>587.11664789944552</v>
      </c>
    </row>
    <row r="58" spans="1:12" x14ac:dyDescent="0.5">
      <c r="A58" s="225" t="s">
        <v>148</v>
      </c>
      <c r="B58" s="137">
        <v>11140</v>
      </c>
      <c r="C58" s="137">
        <v>11557</v>
      </c>
      <c r="D58" s="137">
        <v>11639</v>
      </c>
      <c r="E58" s="152">
        <v>12602</v>
      </c>
      <c r="F58" s="137">
        <f>SUM(F56:F57)</f>
        <v>13104.163440988548</v>
      </c>
      <c r="G58" s="137">
        <f>SUM(G56:G57)</f>
        <v>13626.3370487336</v>
      </c>
      <c r="H58" s="137">
        <f>SUM(H56:H57)</f>
        <v>14169.318186684861</v>
      </c>
      <c r="I58" s="137">
        <f>SUM(I56:I57)</f>
        <v>14733.935991564031</v>
      </c>
      <c r="J58" s="137">
        <f>SUM(J56:J57)</f>
        <v>15321.052639463476</v>
      </c>
    </row>
    <row r="59" spans="1:12" x14ac:dyDescent="0.5">
      <c r="A59" s="219"/>
      <c r="F59" s="7"/>
      <c r="G59" s="7"/>
      <c r="H59" s="7"/>
      <c r="I59" s="7"/>
      <c r="J59" s="7"/>
    </row>
    <row r="60" spans="1:12" x14ac:dyDescent="0.5">
      <c r="F60" s="7"/>
      <c r="G60" s="7"/>
      <c r="H60" s="7"/>
      <c r="I60" s="7"/>
      <c r="J60" s="7"/>
    </row>
    <row r="61" spans="1:12" x14ac:dyDescent="0.5">
      <c r="B61" s="124"/>
      <c r="C61" s="124"/>
      <c r="D61" s="124"/>
      <c r="E61" s="124"/>
      <c r="F61" s="124"/>
      <c r="G61" s="124"/>
      <c r="H61" s="124"/>
      <c r="I61" s="124"/>
      <c r="J61" s="124"/>
    </row>
    <row r="62" spans="1:12" x14ac:dyDescent="0.5">
      <c r="F62" s="7"/>
      <c r="G62" s="7"/>
      <c r="H62" s="7"/>
      <c r="I62" s="7"/>
      <c r="J62" s="7"/>
    </row>
    <row r="63" spans="1:12" x14ac:dyDescent="0.5">
      <c r="B63" s="124"/>
      <c r="C63" s="124"/>
      <c r="D63" s="180"/>
      <c r="E63" s="180"/>
      <c r="F63" s="124"/>
      <c r="G63" s="124"/>
      <c r="H63" s="124"/>
      <c r="I63" s="124"/>
      <c r="J63" s="124"/>
    </row>
    <row r="64" spans="1:12" x14ac:dyDescent="0.5">
      <c r="F64" s="7"/>
      <c r="G64" s="7"/>
      <c r="H64" s="7"/>
      <c r="I64" s="7"/>
      <c r="J64" s="7"/>
    </row>
    <row r="65" spans="2:10" x14ac:dyDescent="0.5">
      <c r="B65" s="124"/>
      <c r="C65" s="124"/>
      <c r="D65" s="124"/>
      <c r="E65" s="124"/>
      <c r="F65" s="124"/>
      <c r="G65" s="124"/>
      <c r="H65" s="124"/>
      <c r="I65" s="124"/>
      <c r="J65" s="124"/>
    </row>
    <row r="69" spans="2:10" x14ac:dyDescent="0.5">
      <c r="C69" s="8"/>
      <c r="D69" s="8"/>
      <c r="E69" s="8"/>
    </row>
  </sheetData>
  <mergeCells count="1">
    <mergeCell ref="C3:E3"/>
  </mergeCells>
  <conditionalFormatting sqref="A5:I5 A6:E6 A7:J35">
    <cfRule type="expression" dxfId="4" priority="5">
      <formula>MOD(ROW(),2)=0</formula>
    </cfRule>
  </conditionalFormatting>
  <conditionalFormatting sqref="F36:J36">
    <cfRule type="expression" dxfId="3" priority="1">
      <formula>MOD(ROW(),2)=0</formula>
    </cfRule>
  </conditionalFormatting>
  <conditionalFormatting sqref="L31:P31">
    <cfRule type="expression" dxfId="2" priority="4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33D4C-FECA-4F71-BB59-3F922B224CB6}">
  <dimension ref="A1:M42"/>
  <sheetViews>
    <sheetView zoomScale="90" zoomScaleNormal="90" workbookViewId="0">
      <selection activeCell="F33" sqref="F33"/>
    </sheetView>
  </sheetViews>
  <sheetFormatPr defaultColWidth="74.33203125" defaultRowHeight="15.75" x14ac:dyDescent="0.5"/>
  <cols>
    <col min="1" max="1" width="76.6640625" style="40" customWidth="1"/>
    <col min="2" max="2" width="8.6640625" style="40" bestFit="1" customWidth="1"/>
    <col min="3" max="9" width="9.1328125" style="40" bestFit="1" customWidth="1"/>
    <col min="10" max="11" width="10.796875" style="40" customWidth="1"/>
    <col min="12" max="12" width="107" style="40" bestFit="1" customWidth="1"/>
    <col min="13" max="16381" width="74.33203125" style="40"/>
    <col min="16382" max="16382" width="74.33203125" style="40" customWidth="1"/>
    <col min="16383" max="16384" width="74.33203125" style="40"/>
  </cols>
  <sheetData>
    <row r="1" spans="1:12" x14ac:dyDescent="0.5">
      <c r="A1" s="39" t="s">
        <v>66</v>
      </c>
    </row>
    <row r="2" spans="1:12" x14ac:dyDescent="0.5">
      <c r="A2" s="41" t="s">
        <v>149</v>
      </c>
    </row>
    <row r="3" spans="1:12" x14ac:dyDescent="0.5">
      <c r="A3" s="40" t="s">
        <v>150</v>
      </c>
      <c r="C3" s="285" t="s">
        <v>68</v>
      </c>
      <c r="D3" s="285"/>
      <c r="E3" s="285"/>
      <c r="F3" s="285"/>
      <c r="G3" s="285"/>
      <c r="H3" s="285"/>
      <c r="I3" s="285"/>
      <c r="J3" s="285"/>
    </row>
    <row r="4" spans="1:12" x14ac:dyDescent="0.5">
      <c r="A4" s="42"/>
      <c r="B4" s="186" t="s">
        <v>13</v>
      </c>
      <c r="C4" s="186" t="s">
        <v>14</v>
      </c>
      <c r="D4" s="186" t="s">
        <v>15</v>
      </c>
      <c r="E4" s="187" t="s">
        <v>16</v>
      </c>
      <c r="F4" s="188" t="s">
        <v>17</v>
      </c>
      <c r="G4" s="188" t="s">
        <v>18</v>
      </c>
      <c r="H4" s="188" t="s">
        <v>19</v>
      </c>
      <c r="I4" s="188" t="s">
        <v>20</v>
      </c>
      <c r="J4" s="14" t="s">
        <v>21</v>
      </c>
    </row>
    <row r="5" spans="1:12" x14ac:dyDescent="0.5">
      <c r="A5" s="43" t="s">
        <v>151</v>
      </c>
      <c r="B5" s="126">
        <f>'IS '!C25</f>
        <v>-352</v>
      </c>
      <c r="C5" s="126">
        <f>'IS '!D25</f>
        <v>1893</v>
      </c>
      <c r="D5" s="126">
        <f>'IS '!E25</f>
        <v>4792</v>
      </c>
      <c r="E5" s="189">
        <v>2648</v>
      </c>
      <c r="F5" s="126">
        <f>'IS '!G25</f>
        <v>3000.4481511557128</v>
      </c>
      <c r="G5" s="126">
        <f>'IS '!H25</f>
        <v>3358.2862797034486</v>
      </c>
      <c r="H5" s="126">
        <f>'IS '!I25</f>
        <v>3687.9129857761627</v>
      </c>
      <c r="I5" s="126">
        <f>'IS '!J25</f>
        <v>3994.7375941058071</v>
      </c>
      <c r="J5" s="126">
        <f>'IS '!K25</f>
        <v>4276.3115389248096</v>
      </c>
      <c r="L5" s="40" t="s">
        <v>152</v>
      </c>
    </row>
    <row r="6" spans="1:12" x14ac:dyDescent="0.5">
      <c r="A6" s="43" t="s">
        <v>153</v>
      </c>
      <c r="B6" s="126"/>
      <c r="C6" s="126"/>
      <c r="D6" s="126"/>
      <c r="E6" s="190"/>
      <c r="F6" s="127"/>
      <c r="G6" s="127"/>
      <c r="H6" s="127"/>
      <c r="I6" s="127"/>
      <c r="J6" s="127"/>
    </row>
    <row r="7" spans="1:12" x14ac:dyDescent="0.5">
      <c r="A7" s="39" t="s">
        <v>154</v>
      </c>
      <c r="B7" s="126">
        <v>138</v>
      </c>
      <c r="C7" s="126">
        <v>81</v>
      </c>
      <c r="D7" s="126">
        <v>44</v>
      </c>
      <c r="E7" s="190">
        <v>65</v>
      </c>
      <c r="F7" s="127">
        <f>BS!F42*-1</f>
        <v>67.943319559228655</v>
      </c>
      <c r="G7" s="127">
        <f>BS!G42*-1</f>
        <v>64.968440539605751</v>
      </c>
      <c r="H7" s="127">
        <f>BS!H42*-1</f>
        <v>64.388008779273335</v>
      </c>
      <c r="I7" s="127">
        <f>BS!I42*-1</f>
        <v>64.214670874107284</v>
      </c>
      <c r="J7" s="127">
        <f>BS!J42*-1</f>
        <v>63.789636439393782</v>
      </c>
    </row>
    <row r="8" spans="1:12" x14ac:dyDescent="0.5">
      <c r="A8" s="39" t="s">
        <v>155</v>
      </c>
      <c r="B8" s="126">
        <v>899</v>
      </c>
      <c r="C8" s="126">
        <v>930</v>
      </c>
      <c r="D8" s="126">
        <v>1120</v>
      </c>
      <c r="E8" s="190">
        <v>1407</v>
      </c>
      <c r="F8" s="127">
        <f>BS!F57</f>
        <v>502.16344098854836</v>
      </c>
      <c r="G8" s="127">
        <f>BS!G57</f>
        <v>522.17360774505198</v>
      </c>
      <c r="H8" s="127">
        <f>BS!H57</f>
        <v>542.9811379512621</v>
      </c>
      <c r="I8" s="127">
        <f>BS!I57</f>
        <v>564.61780487916906</v>
      </c>
      <c r="J8" s="127">
        <f>BS!J57</f>
        <v>587.11664789944552</v>
      </c>
      <c r="L8" s="40" t="s">
        <v>156</v>
      </c>
    </row>
    <row r="9" spans="1:12" x14ac:dyDescent="0.5">
      <c r="A9" s="39" t="s">
        <v>157</v>
      </c>
      <c r="B9" s="126">
        <v>11</v>
      </c>
      <c r="C9" s="126">
        <v>-1</v>
      </c>
      <c r="D9" s="126">
        <v>-2875</v>
      </c>
      <c r="E9" s="190">
        <v>433</v>
      </c>
      <c r="F9" s="127">
        <f>BS!E11-BS!F11</f>
        <v>314</v>
      </c>
      <c r="G9" s="127">
        <f>BS!F11-BS!G11</f>
        <v>282</v>
      </c>
      <c r="H9" s="127">
        <f>BS!G11-BS!H11</f>
        <v>64.320000000000164</v>
      </c>
      <c r="I9" s="127">
        <f>BS!H11-BS!I11</f>
        <v>-642.32000000000016</v>
      </c>
      <c r="J9" s="127">
        <f>BS!I11-BS!J11</f>
        <v>1392</v>
      </c>
    </row>
    <row r="10" spans="1:12" x14ac:dyDescent="0.5">
      <c r="A10" s="39" t="s">
        <v>158</v>
      </c>
      <c r="B10" s="126">
        <v>292</v>
      </c>
      <c r="C10" s="126" t="s">
        <v>32</v>
      </c>
      <c r="D10" s="126" t="s">
        <v>32</v>
      </c>
      <c r="E10" s="191" t="s">
        <v>32</v>
      </c>
      <c r="F10" s="126" t="s">
        <v>32</v>
      </c>
      <c r="G10" s="126" t="s">
        <v>32</v>
      </c>
      <c r="H10" s="126" t="s">
        <v>32</v>
      </c>
      <c r="I10" s="126" t="s">
        <v>32</v>
      </c>
      <c r="J10" s="126" t="s">
        <v>32</v>
      </c>
    </row>
    <row r="11" spans="1:12" x14ac:dyDescent="0.5">
      <c r="A11" s="39" t="s">
        <v>159</v>
      </c>
      <c r="B11" s="126">
        <v>113</v>
      </c>
      <c r="C11" s="126">
        <v>91</v>
      </c>
      <c r="D11" s="126" t="s">
        <v>32</v>
      </c>
      <c r="E11" s="191" t="s">
        <v>32</v>
      </c>
      <c r="F11" s="126" t="s">
        <v>32</v>
      </c>
      <c r="G11" s="126" t="s">
        <v>32</v>
      </c>
      <c r="H11" s="126" t="s">
        <v>32</v>
      </c>
      <c r="I11" s="126" t="s">
        <v>32</v>
      </c>
      <c r="J11" s="126" t="s">
        <v>32</v>
      </c>
    </row>
    <row r="12" spans="1:12" x14ac:dyDescent="0.5">
      <c r="A12" s="39" t="s">
        <v>160</v>
      </c>
      <c r="B12" s="126">
        <v>377</v>
      </c>
      <c r="C12" s="126" t="s">
        <v>32</v>
      </c>
      <c r="D12" s="126" t="s">
        <v>32</v>
      </c>
      <c r="E12" s="191" t="s">
        <v>32</v>
      </c>
      <c r="F12" s="126" t="s">
        <v>32</v>
      </c>
      <c r="G12" s="126" t="s">
        <v>32</v>
      </c>
      <c r="H12" s="126" t="s">
        <v>32</v>
      </c>
      <c r="I12" s="126" t="s">
        <v>32</v>
      </c>
      <c r="J12" s="126" t="s">
        <v>32</v>
      </c>
    </row>
    <row r="13" spans="1:12" x14ac:dyDescent="0.5">
      <c r="A13" s="39" t="s">
        <v>161</v>
      </c>
      <c r="B13" s="126">
        <v>74</v>
      </c>
      <c r="C13" s="126">
        <v>117</v>
      </c>
      <c r="D13" s="126">
        <v>83</v>
      </c>
      <c r="E13" s="189">
        <v>83</v>
      </c>
      <c r="F13" s="126">
        <v>85</v>
      </c>
      <c r="G13" s="126">
        <v>85</v>
      </c>
      <c r="H13" s="126">
        <v>85</v>
      </c>
      <c r="I13" s="126">
        <v>85</v>
      </c>
      <c r="J13" s="126">
        <v>85</v>
      </c>
    </row>
    <row r="14" spans="1:12" x14ac:dyDescent="0.5">
      <c r="A14" s="43" t="s">
        <v>162</v>
      </c>
      <c r="B14" s="126"/>
      <c r="C14" s="126"/>
      <c r="D14" s="126"/>
      <c r="E14" s="189"/>
      <c r="F14" s="126"/>
      <c r="G14" s="126"/>
      <c r="H14" s="126"/>
      <c r="I14" s="126"/>
      <c r="J14" s="126"/>
    </row>
    <row r="15" spans="1:12" x14ac:dyDescent="0.5">
      <c r="A15" s="39" t="s">
        <v>163</v>
      </c>
      <c r="B15" s="126">
        <v>-29</v>
      </c>
      <c r="C15" s="126">
        <v>-185</v>
      </c>
      <c r="D15" s="126">
        <v>-102</v>
      </c>
      <c r="E15" s="190">
        <f>-163</f>
        <v>-163</v>
      </c>
      <c r="F15" s="127">
        <f>(BS!E8+BS!E9)-(BS!F8+BS!F9)</f>
        <v>-105.5525682067946</v>
      </c>
      <c r="G15" s="127">
        <f>(BS!F8+BS!F9)-(BS!G8+BS!G9)</f>
        <v>-31.3458315921348</v>
      </c>
      <c r="H15" s="127">
        <f>(BS!G8+BS!G9)-(BS!H8+BS!H9)</f>
        <v>-18.95600853772055</v>
      </c>
      <c r="I15" s="127">
        <f>(BS!H8+BS!H9)-(BS!I8+BS!I9)</f>
        <v>-15.402615528175943</v>
      </c>
      <c r="J15" s="127">
        <f>(BS!I8+BS!I9)-(BS!J8+BS!J9)</f>
        <v>-12.593691566559983</v>
      </c>
    </row>
    <row r="16" spans="1:12" x14ac:dyDescent="0.5">
      <c r="A16" s="39" t="s">
        <v>164</v>
      </c>
      <c r="B16" s="126">
        <v>294</v>
      </c>
      <c r="C16" s="126">
        <v>224</v>
      </c>
      <c r="D16" s="126">
        <v>580</v>
      </c>
      <c r="E16" s="190">
        <f>-104</f>
        <v>-104</v>
      </c>
      <c r="F16" s="127">
        <f>BS!F20-BS!E20-1</f>
        <v>335.55768107573931</v>
      </c>
      <c r="G16" s="127">
        <f>BS!G20-BS!F20-1</f>
        <v>105.26383109952894</v>
      </c>
      <c r="H16" s="127">
        <f>BS!H20-BS!G20-1</f>
        <v>63.444174034802927</v>
      </c>
      <c r="I16" s="127">
        <f>BS!I20-BS!H20-1</f>
        <v>28.305290113680257</v>
      </c>
      <c r="J16" s="127">
        <f>BS!J20-BS!I20-1</f>
        <v>3.9440571024038036</v>
      </c>
    </row>
    <row r="17" spans="1:12" x14ac:dyDescent="0.5">
      <c r="A17" s="39" t="s">
        <v>123</v>
      </c>
      <c r="B17" s="126">
        <v>496</v>
      </c>
      <c r="C17" s="126">
        <v>280</v>
      </c>
      <c r="D17" s="126">
        <f>SUM(BS!E17:E18,BS!E21:E22)-SUM(BS!D17:D18,BS!D21:D22)</f>
        <v>254</v>
      </c>
      <c r="E17" s="190">
        <v>200</v>
      </c>
      <c r="F17" s="127">
        <f>BS!F22-BS!E22</f>
        <v>194.53257642212316</v>
      </c>
      <c r="G17" s="127">
        <f>BS!G22-BS!F22</f>
        <v>85.601419496842709</v>
      </c>
      <c r="H17" s="127">
        <f>BS!H22-BS!G22</f>
        <v>51.913362416924883</v>
      </c>
      <c r="I17" s="127">
        <f>BS!I22-BS!H22</f>
        <v>23.607039258242366</v>
      </c>
      <c r="J17" s="127">
        <f>BS!J22-BS!I22</f>
        <v>3.9827126658253746</v>
      </c>
      <c r="L17" s="40" t="s">
        <v>165</v>
      </c>
    </row>
    <row r="18" spans="1:12" x14ac:dyDescent="0.5">
      <c r="A18" s="39" t="s">
        <v>166</v>
      </c>
      <c r="B18" s="126"/>
      <c r="C18" s="126"/>
      <c r="D18" s="126"/>
      <c r="E18" s="127"/>
      <c r="F18" s="127">
        <v>-6946.2770115541998</v>
      </c>
      <c r="G18" s="127">
        <v>-731.42049230283646</v>
      </c>
      <c r="H18" s="127">
        <v>-565.75374489657861</v>
      </c>
      <c r="I18" s="127">
        <v>-461.39788562125341</v>
      </c>
      <c r="J18" s="127">
        <v>-310.18475512552868</v>
      </c>
      <c r="K18" s="212"/>
    </row>
    <row r="19" spans="1:12" ht="16.149999999999999" thickBot="1" x14ac:dyDescent="0.55000000000000004">
      <c r="A19" s="43" t="s">
        <v>167</v>
      </c>
      <c r="B19" s="192">
        <f>SUM(B5:B17)</f>
        <v>2313</v>
      </c>
      <c r="C19" s="192">
        <f t="shared" ref="C19:E19" si="0">SUM(C5:C17)</f>
        <v>3430</v>
      </c>
      <c r="D19" s="192">
        <f>SUM(D5:D17)</f>
        <v>3896</v>
      </c>
      <c r="E19" s="192">
        <f t="shared" si="0"/>
        <v>4569</v>
      </c>
      <c r="F19" s="192">
        <f>SUM(F5:F18)</f>
        <v>-2552.1844105596419</v>
      </c>
      <c r="G19" s="192">
        <f t="shared" ref="G19:J19" si="1">SUM(G5:G18)</f>
        <v>3740.5272546895067</v>
      </c>
      <c r="H19" s="192">
        <f t="shared" si="1"/>
        <v>3975.2499155241267</v>
      </c>
      <c r="I19" s="192">
        <f t="shared" si="1"/>
        <v>3641.3618980815763</v>
      </c>
      <c r="J19" s="192">
        <f t="shared" si="1"/>
        <v>6089.3661463397893</v>
      </c>
    </row>
    <row r="20" spans="1:12" x14ac:dyDescent="0.5">
      <c r="A20" s="43" t="s">
        <v>168</v>
      </c>
      <c r="B20" s="126"/>
      <c r="C20" s="126"/>
      <c r="D20" s="126"/>
      <c r="E20" s="189"/>
      <c r="F20" s="126"/>
      <c r="G20" s="126"/>
      <c r="H20" s="126"/>
      <c r="I20" s="126"/>
      <c r="J20" s="127"/>
    </row>
    <row r="21" spans="1:12" x14ac:dyDescent="0.5">
      <c r="A21" s="39" t="s">
        <v>169</v>
      </c>
      <c r="B21" s="126">
        <v>-4938</v>
      </c>
      <c r="C21" s="126">
        <v>-4072</v>
      </c>
      <c r="D21" s="126">
        <v>-3308</v>
      </c>
      <c r="E21" s="190">
        <f>-3146</f>
        <v>-3146</v>
      </c>
      <c r="F21" s="212">
        <f>BS!E6-BS!F6</f>
        <v>-1084.0890399999998</v>
      </c>
      <c r="G21" s="212">
        <f>BS!F6-BS!G6</f>
        <v>-408.66882319999968</v>
      </c>
      <c r="H21" s="212">
        <f>BS!G6-BS!H6</f>
        <v>-172.33994816000086</v>
      </c>
      <c r="I21" s="212">
        <f>BS!H6-BS!I6</f>
        <v>508.51736865919884</v>
      </c>
      <c r="J21" s="212">
        <f>BS!I6-BS!J6</f>
        <v>-683.03580442700786</v>
      </c>
    </row>
    <row r="22" spans="1:12" x14ac:dyDescent="0.5">
      <c r="A22" s="39" t="s">
        <v>170</v>
      </c>
      <c r="B22" s="126">
        <v>3611</v>
      </c>
      <c r="C22" s="126">
        <v>4071</v>
      </c>
      <c r="D22" s="126">
        <v>2380</v>
      </c>
      <c r="E22" s="190">
        <v>2605</v>
      </c>
      <c r="F22" s="126" t="s">
        <v>32</v>
      </c>
      <c r="G22" s="126" t="s">
        <v>32</v>
      </c>
      <c r="H22" s="126" t="s">
        <v>32</v>
      </c>
      <c r="I22" s="126" t="s">
        <v>32</v>
      </c>
      <c r="J22" s="126" t="s">
        <v>32</v>
      </c>
    </row>
    <row r="23" spans="1:12" x14ac:dyDescent="0.5">
      <c r="A23" s="39" t="s">
        <v>171</v>
      </c>
      <c r="B23" s="126">
        <v>-25</v>
      </c>
      <c r="C23" s="126">
        <v>-27</v>
      </c>
      <c r="D23" s="126">
        <v>-114</v>
      </c>
      <c r="E23" s="190">
        <f>-75</f>
        <v>-75</v>
      </c>
      <c r="F23" s="127">
        <f>-BS!F41</f>
        <v>-77.125149114256999</v>
      </c>
      <c r="G23" s="127">
        <f>-BS!G41</f>
        <v>-80.771602278956536</v>
      </c>
      <c r="H23" s="127">
        <f>-BS!H41</f>
        <v>-82.983010054529373</v>
      </c>
      <c r="I23" s="127">
        <f>-BS!I41</f>
        <v>-83.988623787553735</v>
      </c>
      <c r="J23" s="127">
        <f>-BS!J41</f>
        <v>-84.158279563004086</v>
      </c>
    </row>
    <row r="24" spans="1:12" ht="16.149999999999999" thickBot="1" x14ac:dyDescent="0.55000000000000004">
      <c r="A24" s="43" t="s">
        <v>172</v>
      </c>
      <c r="B24" s="192">
        <f>SUM(B21:B23)</f>
        <v>-1352</v>
      </c>
      <c r="C24" s="192">
        <f t="shared" ref="C24:J24" si="2">SUM(C21:C23)</f>
        <v>-28</v>
      </c>
      <c r="D24" s="192">
        <f t="shared" si="2"/>
        <v>-1042</v>
      </c>
      <c r="E24" s="193">
        <f t="shared" si="2"/>
        <v>-616</v>
      </c>
      <c r="F24" s="192">
        <f>SUM(F21:F23)</f>
        <v>-1161.2141891142569</v>
      </c>
      <c r="G24" s="192">
        <f t="shared" si="2"/>
        <v>-489.44042547895623</v>
      </c>
      <c r="H24" s="192">
        <f t="shared" si="2"/>
        <v>-255.32295821453022</v>
      </c>
      <c r="I24" s="192">
        <f t="shared" si="2"/>
        <v>424.52874487164513</v>
      </c>
      <c r="J24" s="192">
        <f t="shared" si="2"/>
        <v>-767.1940839900119</v>
      </c>
    </row>
    <row r="25" spans="1:12" x14ac:dyDescent="0.5">
      <c r="A25" s="43" t="s">
        <v>173</v>
      </c>
      <c r="B25" s="126"/>
      <c r="C25" s="126"/>
      <c r="D25" s="126"/>
      <c r="E25" s="189"/>
      <c r="F25" s="126"/>
      <c r="G25" s="126"/>
      <c r="H25" s="126"/>
      <c r="I25" s="126"/>
      <c r="J25" s="127"/>
    </row>
    <row r="26" spans="1:12" x14ac:dyDescent="0.5">
      <c r="A26" s="39" t="s">
        <v>174</v>
      </c>
      <c r="B26" s="126">
        <v>-177</v>
      </c>
      <c r="C26" s="126">
        <v>-607</v>
      </c>
      <c r="D26" s="126">
        <v>-1224</v>
      </c>
      <c r="E26" s="190">
        <f>-630</f>
        <v>-630</v>
      </c>
      <c r="F26" s="126" t="s">
        <v>32</v>
      </c>
      <c r="G26" s="126" t="s">
        <v>32</v>
      </c>
      <c r="H26" s="126" t="s">
        <v>32</v>
      </c>
      <c r="I26" s="126" t="s">
        <v>32</v>
      </c>
      <c r="J26" s="126" t="s">
        <v>32</v>
      </c>
    </row>
    <row r="27" spans="1:12" x14ac:dyDescent="0.5">
      <c r="A27" s="39" t="s">
        <v>175</v>
      </c>
      <c r="B27" s="126">
        <v>-1995</v>
      </c>
      <c r="C27" s="126" t="s">
        <v>32</v>
      </c>
      <c r="D27" s="126" t="s">
        <v>32</v>
      </c>
      <c r="E27" s="191" t="s">
        <v>32</v>
      </c>
      <c r="F27" s="126" t="s">
        <v>32</v>
      </c>
      <c r="G27" s="126">
        <f>BS!G24-BS!F24</f>
        <v>199.5</v>
      </c>
      <c r="H27" s="126" t="s">
        <v>32</v>
      </c>
      <c r="I27" s="126" t="s">
        <v>32</v>
      </c>
      <c r="J27" s="126" t="s">
        <v>32</v>
      </c>
    </row>
    <row r="28" spans="1:12" x14ac:dyDescent="0.5">
      <c r="A28" s="39" t="s">
        <v>176</v>
      </c>
      <c r="B28" s="126">
        <v>-213</v>
      </c>
      <c r="C28" s="126" t="s">
        <v>32</v>
      </c>
      <c r="D28" s="126" t="s">
        <v>32</v>
      </c>
      <c r="E28" s="191" t="s">
        <v>32</v>
      </c>
      <c r="F28" s="126" t="s">
        <v>32</v>
      </c>
      <c r="G28" s="126" t="s">
        <v>32</v>
      </c>
      <c r="H28" s="126" t="s">
        <v>32</v>
      </c>
      <c r="I28" s="126" t="s">
        <v>32</v>
      </c>
      <c r="J28" s="126" t="s">
        <v>32</v>
      </c>
    </row>
    <row r="29" spans="1:12" x14ac:dyDescent="0.5">
      <c r="A29" s="39" t="s">
        <v>177</v>
      </c>
      <c r="B29" s="126">
        <v>1979</v>
      </c>
      <c r="C29" s="126" t="s">
        <v>32</v>
      </c>
      <c r="D29" s="126" t="s">
        <v>32</v>
      </c>
      <c r="E29" s="191" t="s">
        <v>32</v>
      </c>
      <c r="F29" s="126" t="s">
        <v>32</v>
      </c>
      <c r="G29" s="126" t="s">
        <v>32</v>
      </c>
      <c r="H29" s="126" t="s">
        <v>32</v>
      </c>
      <c r="I29" s="126" t="s">
        <v>32</v>
      </c>
      <c r="J29" s="126" t="s">
        <v>32</v>
      </c>
    </row>
    <row r="30" spans="1:12" x14ac:dyDescent="0.5">
      <c r="A30" s="39" t="s">
        <v>178</v>
      </c>
      <c r="B30" s="126">
        <v>-100</v>
      </c>
      <c r="C30" s="126" t="s">
        <v>32</v>
      </c>
      <c r="D30" s="126" t="s">
        <v>32</v>
      </c>
      <c r="E30" s="191" t="s">
        <v>32</v>
      </c>
      <c r="F30" s="126" t="s">
        <v>32</v>
      </c>
      <c r="G30" s="126" t="s">
        <v>32</v>
      </c>
      <c r="H30" s="126" t="s">
        <v>32</v>
      </c>
      <c r="I30" s="126" t="s">
        <v>32</v>
      </c>
      <c r="J30" s="126" t="s">
        <v>32</v>
      </c>
    </row>
    <row r="31" spans="1:12" s="45" customFormat="1" x14ac:dyDescent="0.5">
      <c r="A31" s="226" t="s">
        <v>179</v>
      </c>
      <c r="B31" s="227">
        <v>189</v>
      </c>
      <c r="C31" s="227">
        <v>88</v>
      </c>
      <c r="D31" s="227">
        <v>110</v>
      </c>
      <c r="E31" s="228">
        <v>168</v>
      </c>
      <c r="F31" s="126" t="s">
        <v>32</v>
      </c>
      <c r="G31" s="126" t="s">
        <v>32</v>
      </c>
      <c r="H31" s="126" t="s">
        <v>32</v>
      </c>
      <c r="I31" s="126" t="s">
        <v>32</v>
      </c>
      <c r="J31" s="126" t="s">
        <v>32</v>
      </c>
      <c r="K31" s="40"/>
      <c r="L31" s="45" t="s">
        <v>180</v>
      </c>
    </row>
    <row r="32" spans="1:12" x14ac:dyDescent="0.5">
      <c r="A32" s="39" t="s">
        <v>181</v>
      </c>
      <c r="B32" s="126" t="s">
        <v>32</v>
      </c>
      <c r="C32" s="126">
        <v>-1500</v>
      </c>
      <c r="D32" s="126">
        <v>-2252</v>
      </c>
      <c r="E32" s="190">
        <v>-3430</v>
      </c>
      <c r="F32" s="127">
        <f>BS!F50</f>
        <v>-4000</v>
      </c>
      <c r="G32" s="127">
        <f>BS!G50</f>
        <v>-4000</v>
      </c>
      <c r="H32" s="127">
        <f>BS!H50</f>
        <v>-4000</v>
      </c>
      <c r="I32" s="127">
        <f>BS!I50</f>
        <v>-4000</v>
      </c>
      <c r="J32" s="127">
        <f>BS!J50</f>
        <v>-4000</v>
      </c>
    </row>
    <row r="33" spans="1:13" x14ac:dyDescent="0.5">
      <c r="A33" s="39" t="s">
        <v>182</v>
      </c>
      <c r="B33" s="126">
        <v>1625</v>
      </c>
      <c r="C33" s="126">
        <v>1330</v>
      </c>
      <c r="D33" s="126">
        <v>936</v>
      </c>
      <c r="E33" s="190">
        <v>320</v>
      </c>
      <c r="F33" s="127">
        <f>BS!F21-BS!E21</f>
        <v>1297.1017612324822</v>
      </c>
      <c r="G33" s="127">
        <f>BS!G21-BS!F21</f>
        <v>341.74241275008808</v>
      </c>
      <c r="H33" s="127">
        <f>BS!H21-BS!G21</f>
        <v>207.25120950808468</v>
      </c>
      <c r="I33" s="127">
        <f>BS!I21-BS!H21</f>
        <v>94.245242677259739</v>
      </c>
      <c r="J33" s="127">
        <f>BS!J21-BS!I21</f>
        <v>15.899991421983941</v>
      </c>
    </row>
    <row r="34" spans="1:13" x14ac:dyDescent="0.5">
      <c r="A34" s="43" t="s">
        <v>183</v>
      </c>
      <c r="B34" s="194">
        <f>SUM(B26:B33)</f>
        <v>1308</v>
      </c>
      <c r="C34" s="194">
        <f>SUM(C26:C33)</f>
        <v>-689</v>
      </c>
      <c r="D34" s="194">
        <f t="shared" ref="D34:J34" si="3">SUM(D26:D33)</f>
        <v>-2430</v>
      </c>
      <c r="E34" s="195">
        <f>SUM(E26:E33)</f>
        <v>-3572</v>
      </c>
      <c r="F34" s="194">
        <f>SUM(F26:F33)</f>
        <v>-2702.8982387675178</v>
      </c>
      <c r="G34" s="194">
        <f>SUM(G26:G33)</f>
        <v>-3458.7575872499119</v>
      </c>
      <c r="H34" s="194">
        <f t="shared" si="3"/>
        <v>-3792.7487904919153</v>
      </c>
      <c r="I34" s="194">
        <f t="shared" si="3"/>
        <v>-3905.7547573227403</v>
      </c>
      <c r="J34" s="194">
        <f t="shared" si="3"/>
        <v>-3984.1000085780161</v>
      </c>
      <c r="L34" s="8"/>
      <c r="M34" s="8"/>
    </row>
    <row r="35" spans="1:13" ht="16.149999999999999" thickBot="1" x14ac:dyDescent="0.55000000000000004">
      <c r="A35" s="39" t="s">
        <v>184</v>
      </c>
      <c r="B35" s="196">
        <v>-210</v>
      </c>
      <c r="C35" s="196">
        <v>-337</v>
      </c>
      <c r="D35" s="196">
        <v>152</v>
      </c>
      <c r="E35" s="197">
        <v>-237</v>
      </c>
      <c r="F35" s="198">
        <v>324</v>
      </c>
      <c r="G35" s="198">
        <v>231</v>
      </c>
      <c r="H35" s="198">
        <v>234</v>
      </c>
      <c r="I35" s="198">
        <v>234</v>
      </c>
      <c r="J35" s="198">
        <v>243</v>
      </c>
      <c r="M35" s="8"/>
    </row>
    <row r="36" spans="1:13" x14ac:dyDescent="0.5">
      <c r="A36" s="43" t="s">
        <v>185</v>
      </c>
      <c r="B36" s="127">
        <f>B19+B24+B34+B35</f>
        <v>2059</v>
      </c>
      <c r="C36" s="127">
        <f>C19+C24+C34+C35</f>
        <v>2376</v>
      </c>
      <c r="D36" s="127">
        <f>D19+D24+D34+D35</f>
        <v>576</v>
      </c>
      <c r="E36" s="199">
        <f t="shared" ref="E36" si="4">E19+E24+E34+E35</f>
        <v>144</v>
      </c>
      <c r="F36" s="127">
        <f>F19+F24+F34+F35</f>
        <v>-6092.2968384414162</v>
      </c>
      <c r="G36" s="127">
        <f>G19+G24+G34+G35</f>
        <v>23.329241960638683</v>
      </c>
      <c r="H36" s="127">
        <f>H19+H24+H34+H35</f>
        <v>161.1781668176809</v>
      </c>
      <c r="I36" s="127">
        <f>I19+I24+I34+I35</f>
        <v>394.13588563048143</v>
      </c>
      <c r="J36" s="127">
        <f>J19+J24+J34+J35</f>
        <v>1581.0720537717616</v>
      </c>
    </row>
    <row r="37" spans="1:13" x14ac:dyDescent="0.5">
      <c r="A37" s="39" t="s">
        <v>186</v>
      </c>
      <c r="B37" s="126">
        <v>7668</v>
      </c>
      <c r="C37" s="126">
        <f>B38</f>
        <v>9727</v>
      </c>
      <c r="D37" s="126">
        <f>C38</f>
        <v>12103</v>
      </c>
      <c r="E37" s="200">
        <f>D38</f>
        <v>12679</v>
      </c>
      <c r="F37" s="126">
        <f>E38</f>
        <v>12823</v>
      </c>
      <c r="G37" s="126">
        <f>F38</f>
        <v>6730.7031615585838</v>
      </c>
      <c r="H37" s="126">
        <f t="shared" ref="H37:J37" si="5">G38</f>
        <v>6754.0324035192225</v>
      </c>
      <c r="I37" s="126">
        <f t="shared" si="5"/>
        <v>6915.2105703369034</v>
      </c>
      <c r="J37" s="126">
        <f t="shared" si="5"/>
        <v>7309.3464559673848</v>
      </c>
    </row>
    <row r="38" spans="1:13" x14ac:dyDescent="0.5">
      <c r="A38" s="43" t="s">
        <v>187</v>
      </c>
      <c r="B38" s="128">
        <f>SUM(B36:B37)</f>
        <v>9727</v>
      </c>
      <c r="C38" s="128">
        <f t="shared" ref="C38" si="6">SUM(C36:C37)</f>
        <v>12103</v>
      </c>
      <c r="D38" s="128">
        <f>SUM(D36:D37)</f>
        <v>12679</v>
      </c>
      <c r="E38" s="128">
        <f>SUM(E36:E37)</f>
        <v>12823</v>
      </c>
      <c r="F38" s="128">
        <f>SUM(F36:F37)</f>
        <v>6730.7031615585838</v>
      </c>
      <c r="G38" s="128">
        <f t="shared" ref="G38:I38" si="7">SUM(G36:G37)</f>
        <v>6754.0324035192225</v>
      </c>
      <c r="H38" s="128">
        <f t="shared" si="7"/>
        <v>6915.2105703369034</v>
      </c>
      <c r="I38" s="128">
        <f t="shared" si="7"/>
        <v>7309.3464559673848</v>
      </c>
      <c r="J38" s="128">
        <f>SUM(J36:J37)</f>
        <v>8890.4185097391455</v>
      </c>
    </row>
    <row r="39" spans="1:13" x14ac:dyDescent="0.5">
      <c r="B39" s="201"/>
      <c r="C39" s="201"/>
      <c r="D39" s="201"/>
      <c r="E39" s="201"/>
      <c r="F39" s="201"/>
      <c r="G39" s="201"/>
      <c r="H39" s="201"/>
      <c r="I39" s="201"/>
      <c r="J39" s="201"/>
    </row>
    <row r="40" spans="1:13" x14ac:dyDescent="0.5">
      <c r="B40" s="202"/>
      <c r="C40" s="202"/>
      <c r="D40" s="202"/>
      <c r="E40" s="202"/>
      <c r="F40" s="202"/>
      <c r="G40" s="202"/>
      <c r="H40" s="202"/>
      <c r="I40" s="202"/>
      <c r="J40" s="202"/>
      <c r="K40" s="202"/>
    </row>
    <row r="41" spans="1:13" x14ac:dyDescent="0.5">
      <c r="A41" s="40" t="s">
        <v>188</v>
      </c>
    </row>
    <row r="42" spans="1:13" x14ac:dyDescent="0.5">
      <c r="A42" s="40" t="s">
        <v>189</v>
      </c>
    </row>
  </sheetData>
  <mergeCells count="1">
    <mergeCell ref="C3:J3"/>
  </mergeCells>
  <conditionalFormatting sqref="A5:J20 A21:E21 A22:J38">
    <cfRule type="expression" dxfId="1" priority="1">
      <formula>MOD(ROW(),2)=0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7E456-013B-4C7E-896D-CBCD45B2462C}">
  <dimension ref="A1:W85"/>
  <sheetViews>
    <sheetView zoomScale="90" zoomScaleNormal="90" workbookViewId="0">
      <selection activeCell="I12" sqref="I12"/>
    </sheetView>
  </sheetViews>
  <sheetFormatPr defaultColWidth="9" defaultRowHeight="12.75" x14ac:dyDescent="0.35"/>
  <cols>
    <col min="1" max="1" width="9" style="1"/>
    <col min="2" max="2" width="49.796875" style="1" bestFit="1" customWidth="1"/>
    <col min="3" max="3" width="15.33203125" style="1" customWidth="1"/>
    <col min="4" max="4" width="23.796875" style="1" customWidth="1"/>
    <col min="5" max="5" width="12.796875" style="1" customWidth="1"/>
    <col min="6" max="6" width="9" style="1"/>
    <col min="7" max="7" width="47.1328125" style="1" customWidth="1"/>
    <col min="8" max="8" width="9" style="1"/>
    <col min="9" max="10" width="13.6640625" style="1" bestFit="1" customWidth="1"/>
    <col min="11" max="11" width="12.6640625" style="1" bestFit="1" customWidth="1"/>
    <col min="12" max="12" width="15.1328125" style="1" bestFit="1" customWidth="1"/>
    <col min="13" max="13" width="15.6640625" style="1" bestFit="1" customWidth="1"/>
    <col min="14" max="14" width="9" style="1"/>
    <col min="15" max="15" width="12.796875" style="1" bestFit="1" customWidth="1"/>
    <col min="16" max="16" width="22.33203125" style="1" customWidth="1"/>
    <col min="17" max="16384" width="9" style="1"/>
  </cols>
  <sheetData>
    <row r="1" spans="1:23" ht="15.75" x14ac:dyDescent="0.5">
      <c r="A1" s="288" t="s">
        <v>190</v>
      </c>
      <c r="B1" s="289" t="s">
        <v>191</v>
      </c>
      <c r="C1" s="288" t="s">
        <v>190</v>
      </c>
      <c r="D1" s="288" t="s">
        <v>190</v>
      </c>
      <c r="E1" s="288" t="s">
        <v>190</v>
      </c>
      <c r="F1" s="288" t="s">
        <v>190</v>
      </c>
      <c r="G1" s="288" t="s">
        <v>190</v>
      </c>
      <c r="H1" s="288" t="s">
        <v>190</v>
      </c>
      <c r="I1" s="288" t="s">
        <v>190</v>
      </c>
      <c r="J1" s="288" t="s">
        <v>190</v>
      </c>
      <c r="K1" s="288" t="s">
        <v>190</v>
      </c>
      <c r="L1" s="288" t="s">
        <v>190</v>
      </c>
      <c r="M1" s="288" t="s">
        <v>190</v>
      </c>
      <c r="N1" s="288" t="s">
        <v>190</v>
      </c>
      <c r="O1" s="288" t="s">
        <v>190</v>
      </c>
      <c r="P1" s="288" t="s">
        <v>190</v>
      </c>
      <c r="Q1" s="288" t="s">
        <v>190</v>
      </c>
      <c r="R1" s="288" t="s">
        <v>190</v>
      </c>
      <c r="S1" s="288" t="s">
        <v>190</v>
      </c>
      <c r="T1" s="288" t="s">
        <v>190</v>
      </c>
      <c r="U1" s="288" t="s">
        <v>190</v>
      </c>
      <c r="V1" s="290" t="s">
        <v>190</v>
      </c>
      <c r="W1" s="290" t="s">
        <v>190</v>
      </c>
    </row>
    <row r="2" spans="1:23" ht="15.75" x14ac:dyDescent="0.5">
      <c r="A2" s="288" t="s">
        <v>190</v>
      </c>
      <c r="B2" s="289" t="s">
        <v>192</v>
      </c>
      <c r="C2" s="288" t="s">
        <v>190</v>
      </c>
      <c r="D2" s="288" t="s">
        <v>190</v>
      </c>
      <c r="E2" s="288" t="s">
        <v>190</v>
      </c>
      <c r="F2" s="288" t="s">
        <v>190</v>
      </c>
      <c r="G2" s="288" t="s">
        <v>190</v>
      </c>
      <c r="H2" s="288" t="s">
        <v>190</v>
      </c>
      <c r="I2" s="288" t="s">
        <v>190</v>
      </c>
      <c r="J2" s="288" t="s">
        <v>190</v>
      </c>
      <c r="K2" s="288" t="s">
        <v>190</v>
      </c>
      <c r="L2" s="288" t="s">
        <v>190</v>
      </c>
      <c r="M2" s="288" t="s">
        <v>190</v>
      </c>
      <c r="N2" s="288" t="s">
        <v>190</v>
      </c>
      <c r="O2" s="288" t="s">
        <v>190</v>
      </c>
      <c r="P2" s="288" t="s">
        <v>190</v>
      </c>
      <c r="Q2" s="288" t="s">
        <v>190</v>
      </c>
      <c r="R2" s="288" t="s">
        <v>190</v>
      </c>
      <c r="S2" s="288" t="s">
        <v>190</v>
      </c>
      <c r="T2" s="288" t="s">
        <v>190</v>
      </c>
      <c r="U2" s="288" t="s">
        <v>190</v>
      </c>
      <c r="V2" s="290" t="s">
        <v>190</v>
      </c>
      <c r="W2" s="290" t="s">
        <v>190</v>
      </c>
    </row>
    <row r="3" spans="1:23" ht="15.75" x14ac:dyDescent="0.5">
      <c r="A3" s="288" t="s">
        <v>190</v>
      </c>
      <c r="B3" s="288" t="s">
        <v>190</v>
      </c>
      <c r="C3" s="288" t="s">
        <v>190</v>
      </c>
      <c r="D3" s="288" t="s">
        <v>190</v>
      </c>
      <c r="E3" s="288" t="s">
        <v>190</v>
      </c>
      <c r="F3" s="288" t="s">
        <v>190</v>
      </c>
      <c r="G3" s="288" t="s">
        <v>193</v>
      </c>
      <c r="H3" s="288" t="s">
        <v>190</v>
      </c>
      <c r="I3" s="288" t="s">
        <v>190</v>
      </c>
      <c r="J3" s="288" t="s">
        <v>190</v>
      </c>
      <c r="K3" s="288" t="s">
        <v>190</v>
      </c>
      <c r="L3" s="288" t="s">
        <v>190</v>
      </c>
      <c r="M3" s="288" t="s">
        <v>190</v>
      </c>
      <c r="N3" s="288" t="s">
        <v>190</v>
      </c>
      <c r="O3" s="288" t="s">
        <v>190</v>
      </c>
      <c r="P3" s="288" t="s">
        <v>190</v>
      </c>
      <c r="Q3" s="288" t="s">
        <v>190</v>
      </c>
      <c r="R3" s="288" t="s">
        <v>190</v>
      </c>
      <c r="S3" s="288" t="s">
        <v>190</v>
      </c>
      <c r="T3" s="288" t="s">
        <v>190</v>
      </c>
      <c r="U3" s="288" t="s">
        <v>190</v>
      </c>
      <c r="V3" s="290" t="s">
        <v>190</v>
      </c>
      <c r="W3" s="290" t="s">
        <v>190</v>
      </c>
    </row>
    <row r="4" spans="1:23" ht="15.75" x14ac:dyDescent="0.5">
      <c r="A4" s="288" t="s">
        <v>190</v>
      </c>
      <c r="B4" s="288" t="s">
        <v>190</v>
      </c>
      <c r="C4" s="288" t="s">
        <v>190</v>
      </c>
      <c r="D4" s="288" t="s">
        <v>190</v>
      </c>
      <c r="E4" s="288" t="s">
        <v>190</v>
      </c>
      <c r="F4" s="288" t="s">
        <v>190</v>
      </c>
      <c r="G4" s="290"/>
      <c r="H4" s="288" t="s">
        <v>190</v>
      </c>
      <c r="I4" s="291">
        <v>1</v>
      </c>
      <c r="J4" s="291">
        <v>2</v>
      </c>
      <c r="K4" s="291">
        <v>3</v>
      </c>
      <c r="L4" s="291">
        <v>4</v>
      </c>
      <c r="M4" s="291">
        <v>5</v>
      </c>
      <c r="N4" s="288" t="s">
        <v>190</v>
      </c>
      <c r="O4" s="288" t="s">
        <v>190</v>
      </c>
      <c r="P4" s="288" t="s">
        <v>190</v>
      </c>
      <c r="Q4" s="288" t="s">
        <v>190</v>
      </c>
      <c r="R4" s="288" t="s">
        <v>190</v>
      </c>
      <c r="S4" s="288" t="s">
        <v>190</v>
      </c>
      <c r="T4" s="288" t="s">
        <v>190</v>
      </c>
      <c r="U4" s="288" t="s">
        <v>190</v>
      </c>
      <c r="V4" s="290" t="s">
        <v>190</v>
      </c>
      <c r="W4" s="290" t="s">
        <v>190</v>
      </c>
    </row>
    <row r="5" spans="1:23" ht="15.75" x14ac:dyDescent="0.5">
      <c r="A5" s="288" t="s">
        <v>190</v>
      </c>
      <c r="B5" s="292" t="s">
        <v>194</v>
      </c>
      <c r="C5" s="293" t="s">
        <v>190</v>
      </c>
      <c r="D5" s="288" t="s">
        <v>190</v>
      </c>
      <c r="E5" s="288" t="s">
        <v>190</v>
      </c>
      <c r="F5" s="288" t="s">
        <v>190</v>
      </c>
      <c r="G5" s="294" t="s">
        <v>195</v>
      </c>
      <c r="H5" s="295" t="s">
        <v>190</v>
      </c>
      <c r="I5" s="296" t="s">
        <v>17</v>
      </c>
      <c r="J5" s="296" t="s">
        <v>18</v>
      </c>
      <c r="K5" s="296" t="s">
        <v>19</v>
      </c>
      <c r="L5" s="296" t="s">
        <v>20</v>
      </c>
      <c r="M5" s="296" t="s">
        <v>21</v>
      </c>
      <c r="N5" s="295" t="s">
        <v>190</v>
      </c>
      <c r="O5" s="297" t="s">
        <v>196</v>
      </c>
      <c r="P5" s="288" t="s">
        <v>190</v>
      </c>
      <c r="Q5" s="288" t="s">
        <v>190</v>
      </c>
      <c r="R5" s="288" t="s">
        <v>190</v>
      </c>
      <c r="S5" s="288" t="s">
        <v>190</v>
      </c>
      <c r="T5" s="288" t="s">
        <v>190</v>
      </c>
      <c r="U5" s="288" t="s">
        <v>190</v>
      </c>
      <c r="V5" s="290" t="s">
        <v>190</v>
      </c>
      <c r="W5" s="290" t="s">
        <v>190</v>
      </c>
    </row>
    <row r="6" spans="1:23" ht="15.75" x14ac:dyDescent="0.5">
      <c r="A6" s="288" t="s">
        <v>190</v>
      </c>
      <c r="B6" s="298" t="s">
        <v>197</v>
      </c>
      <c r="C6" s="299">
        <v>4.2900000000000001E-2</v>
      </c>
      <c r="D6" s="288" t="s">
        <v>198</v>
      </c>
      <c r="E6" s="300" t="s">
        <v>199</v>
      </c>
      <c r="F6" s="288" t="s">
        <v>190</v>
      </c>
      <c r="G6" s="301" t="s">
        <v>200</v>
      </c>
      <c r="H6" s="288" t="s">
        <v>190</v>
      </c>
      <c r="I6" s="289" t="s">
        <v>190</v>
      </c>
      <c r="J6" s="289" t="s">
        <v>190</v>
      </c>
      <c r="K6" s="289" t="s">
        <v>190</v>
      </c>
      <c r="L6" s="289" t="s">
        <v>190</v>
      </c>
      <c r="M6" s="288" t="s">
        <v>190</v>
      </c>
      <c r="N6" s="288" t="s">
        <v>190</v>
      </c>
      <c r="O6" s="302" t="s">
        <v>190</v>
      </c>
      <c r="P6" s="288" t="s">
        <v>190</v>
      </c>
      <c r="Q6" s="288" t="s">
        <v>190</v>
      </c>
      <c r="R6" s="288" t="s">
        <v>190</v>
      </c>
      <c r="S6" s="288" t="s">
        <v>190</v>
      </c>
      <c r="T6" s="288" t="s">
        <v>190</v>
      </c>
      <c r="U6" s="288" t="s">
        <v>190</v>
      </c>
      <c r="V6" s="290" t="s">
        <v>190</v>
      </c>
      <c r="W6" s="290" t="s">
        <v>190</v>
      </c>
    </row>
    <row r="7" spans="1:23" ht="15.75" x14ac:dyDescent="0.5">
      <c r="A7" s="288" t="s">
        <v>190</v>
      </c>
      <c r="B7" s="303" t="s">
        <v>201</v>
      </c>
      <c r="C7" s="304">
        <v>4.5999999999999999E-2</v>
      </c>
      <c r="D7" s="288" t="s">
        <v>198</v>
      </c>
      <c r="E7" s="288" t="s">
        <v>190</v>
      </c>
      <c r="F7" s="288" t="s">
        <v>190</v>
      </c>
      <c r="G7" s="303" t="s">
        <v>202</v>
      </c>
      <c r="H7" s="288" t="s">
        <v>190</v>
      </c>
      <c r="I7" s="305">
        <f>'IS '!G18</f>
        <v>3167.5631771424905</v>
      </c>
      <c r="J7" s="305">
        <f>'IS '!H18</f>
        <v>3614.3754068657008</v>
      </c>
      <c r="K7" s="305">
        <f>'IS '!I18</f>
        <v>4005.6277590286163</v>
      </c>
      <c r="L7" s="305">
        <f>'IS '!J18</f>
        <v>4337.5678226820037</v>
      </c>
      <c r="M7" s="305">
        <f>'IS '!K18</f>
        <v>4494.3119469474059</v>
      </c>
      <c r="N7" s="288" t="s">
        <v>190</v>
      </c>
      <c r="O7" s="302" t="s">
        <v>190</v>
      </c>
      <c r="P7" s="288" t="s">
        <v>190</v>
      </c>
      <c r="Q7" s="288" t="s">
        <v>190</v>
      </c>
      <c r="R7" s="288" t="s">
        <v>190</v>
      </c>
      <c r="S7" s="288" t="s">
        <v>190</v>
      </c>
      <c r="T7" s="288" t="s">
        <v>190</v>
      </c>
      <c r="U7" s="288" t="s">
        <v>190</v>
      </c>
      <c r="V7" s="290" t="s">
        <v>190</v>
      </c>
      <c r="W7" s="290" t="s">
        <v>190</v>
      </c>
    </row>
    <row r="8" spans="1:23" ht="15.75" x14ac:dyDescent="0.5">
      <c r="A8" s="288" t="s">
        <v>190</v>
      </c>
      <c r="B8" s="303" t="s">
        <v>203</v>
      </c>
      <c r="C8" s="304">
        <f>Assumptions!F10</f>
        <v>0.21</v>
      </c>
      <c r="D8" s="288" t="s">
        <v>198</v>
      </c>
      <c r="E8" s="288"/>
      <c r="F8" s="288" t="s">
        <v>190</v>
      </c>
      <c r="G8" s="303" t="s">
        <v>204</v>
      </c>
      <c r="H8" s="288" t="s">
        <v>190</v>
      </c>
      <c r="I8" s="306">
        <f>-I7*Assumptions!F10</f>
        <v>-665.18826719992296</v>
      </c>
      <c r="J8" s="306">
        <f>-J7*Assumptions!G10</f>
        <v>-759.01883544179714</v>
      </c>
      <c r="K8" s="306">
        <f>-K7*Assumptions!H10</f>
        <v>-841.18182939600945</v>
      </c>
      <c r="L8" s="306">
        <f>-L7*Assumptions!I10</f>
        <v>-910.88924276322075</v>
      </c>
      <c r="M8" s="306">
        <f>-M7*Assumptions!J10</f>
        <v>-943.80550885895525</v>
      </c>
      <c r="N8" s="288" t="s">
        <v>190</v>
      </c>
      <c r="O8" s="302" t="s">
        <v>190</v>
      </c>
      <c r="P8" s="288" t="s">
        <v>190</v>
      </c>
      <c r="Q8" s="288" t="s">
        <v>190</v>
      </c>
      <c r="R8" s="288" t="s">
        <v>190</v>
      </c>
      <c r="S8" s="288" t="s">
        <v>190</v>
      </c>
      <c r="T8" s="288" t="s">
        <v>190</v>
      </c>
      <c r="U8" s="288" t="s">
        <v>190</v>
      </c>
      <c r="V8" s="290" t="s">
        <v>190</v>
      </c>
      <c r="W8" s="290" t="s">
        <v>190</v>
      </c>
    </row>
    <row r="9" spans="1:23" ht="15.75" x14ac:dyDescent="0.5">
      <c r="A9" s="288" t="s">
        <v>190</v>
      </c>
      <c r="B9" s="303" t="s">
        <v>190</v>
      </c>
      <c r="C9" s="302" t="s">
        <v>190</v>
      </c>
      <c r="D9" s="288" t="s">
        <v>190</v>
      </c>
      <c r="E9" s="288" t="s">
        <v>190</v>
      </c>
      <c r="F9" s="288" t="s">
        <v>190</v>
      </c>
      <c r="G9" s="301" t="s">
        <v>205</v>
      </c>
      <c r="H9" s="288" t="s">
        <v>190</v>
      </c>
      <c r="I9" s="307">
        <f>SUM(I7:I8)</f>
        <v>2502.3749099425677</v>
      </c>
      <c r="J9" s="307">
        <f t="shared" ref="J9:M9" si="0">SUM(J7:J8)</f>
        <v>2855.3565714239039</v>
      </c>
      <c r="K9" s="307">
        <f t="shared" si="0"/>
        <v>3164.4459296326067</v>
      </c>
      <c r="L9" s="307">
        <f t="shared" si="0"/>
        <v>3426.6785799187828</v>
      </c>
      <c r="M9" s="307">
        <f t="shared" si="0"/>
        <v>3550.5064380884505</v>
      </c>
      <c r="N9" s="288" t="s">
        <v>190</v>
      </c>
      <c r="O9" s="302" t="s">
        <v>190</v>
      </c>
      <c r="P9" s="288" t="s">
        <v>190</v>
      </c>
      <c r="Q9" s="288" t="s">
        <v>190</v>
      </c>
      <c r="R9" s="288" t="s">
        <v>190</v>
      </c>
      <c r="S9" s="288" t="s">
        <v>190</v>
      </c>
      <c r="T9" s="288" t="s">
        <v>190</v>
      </c>
      <c r="U9" s="288" t="s">
        <v>190</v>
      </c>
      <c r="V9" s="290" t="s">
        <v>190</v>
      </c>
      <c r="W9" s="290" t="s">
        <v>190</v>
      </c>
    </row>
    <row r="10" spans="1:23" ht="15.75" x14ac:dyDescent="0.5">
      <c r="A10" s="288" t="s">
        <v>190</v>
      </c>
      <c r="B10" s="303" t="s">
        <v>206</v>
      </c>
      <c r="C10" s="304">
        <f>11%-C6</f>
        <v>6.7099999999999993E-2</v>
      </c>
      <c r="D10" s="288" t="s">
        <v>198</v>
      </c>
      <c r="E10" s="288" t="s">
        <v>190</v>
      </c>
      <c r="F10" s="288" t="s">
        <v>190</v>
      </c>
      <c r="G10" s="303" t="s">
        <v>207</v>
      </c>
      <c r="H10" s="288" t="s">
        <v>190</v>
      </c>
      <c r="I10" s="308">
        <f>BS!F42</f>
        <v>-67.943319559228655</v>
      </c>
      <c r="J10" s="308">
        <f>BS!G42</f>
        <v>-64.968440539605751</v>
      </c>
      <c r="K10" s="308">
        <f>BS!H42</f>
        <v>-64.388008779273335</v>
      </c>
      <c r="L10" s="308">
        <f>BS!I42</f>
        <v>-64.214670874107284</v>
      </c>
      <c r="M10" s="308">
        <f>BS!J42</f>
        <v>-63.789636439393782</v>
      </c>
      <c r="N10" s="288" t="s">
        <v>190</v>
      </c>
      <c r="O10" s="302" t="s">
        <v>190</v>
      </c>
      <c r="P10" s="288" t="s">
        <v>190</v>
      </c>
      <c r="Q10" s="288" t="s">
        <v>190</v>
      </c>
      <c r="R10" s="288" t="s">
        <v>190</v>
      </c>
      <c r="S10" s="288" t="s">
        <v>190</v>
      </c>
      <c r="T10" s="288" t="s">
        <v>190</v>
      </c>
      <c r="U10" s="288" t="s">
        <v>190</v>
      </c>
      <c r="V10" s="290" t="s">
        <v>190</v>
      </c>
      <c r="W10" s="290" t="s">
        <v>190</v>
      </c>
    </row>
    <row r="11" spans="1:23" ht="15.75" x14ac:dyDescent="0.5">
      <c r="A11" s="288" t="s">
        <v>190</v>
      </c>
      <c r="B11" s="303" t="s">
        <v>190</v>
      </c>
      <c r="C11" s="309"/>
      <c r="D11" s="288" t="s">
        <v>190</v>
      </c>
      <c r="E11" s="288" t="s">
        <v>190</v>
      </c>
      <c r="F11" s="288" t="s">
        <v>190</v>
      </c>
      <c r="G11" s="303" t="s">
        <v>208</v>
      </c>
      <c r="H11" s="288" t="s">
        <v>190</v>
      </c>
      <c r="I11" s="305">
        <v>0</v>
      </c>
      <c r="J11" s="305">
        <f>I11</f>
        <v>0</v>
      </c>
      <c r="K11" s="305">
        <f t="shared" ref="K11:M11" si="1">J11</f>
        <v>0</v>
      </c>
      <c r="L11" s="305">
        <f t="shared" si="1"/>
        <v>0</v>
      </c>
      <c r="M11" s="305">
        <f t="shared" si="1"/>
        <v>0</v>
      </c>
      <c r="N11" s="288" t="s">
        <v>190</v>
      </c>
      <c r="O11" s="302" t="s">
        <v>190</v>
      </c>
      <c r="P11" s="288" t="s">
        <v>190</v>
      </c>
      <c r="Q11" s="288" t="s">
        <v>190</v>
      </c>
      <c r="R11" s="288" t="s">
        <v>190</v>
      </c>
      <c r="S11" s="288" t="s">
        <v>190</v>
      </c>
      <c r="T11" s="288" t="s">
        <v>190</v>
      </c>
      <c r="U11" s="288" t="s">
        <v>190</v>
      </c>
      <c r="V11" s="290" t="s">
        <v>190</v>
      </c>
      <c r="W11" s="290" t="s">
        <v>190</v>
      </c>
    </row>
    <row r="12" spans="1:23" ht="15.75" x14ac:dyDescent="0.5">
      <c r="A12" s="288" t="s">
        <v>190</v>
      </c>
      <c r="B12" s="303" t="s">
        <v>209</v>
      </c>
      <c r="C12" s="302">
        <v>1.1000000000000001</v>
      </c>
      <c r="D12" s="288" t="s">
        <v>210</v>
      </c>
      <c r="E12" s="288" t="s">
        <v>190</v>
      </c>
      <c r="F12" s="288" t="s">
        <v>190</v>
      </c>
      <c r="G12" s="303" t="s">
        <v>211</v>
      </c>
      <c r="H12" s="288" t="s">
        <v>190</v>
      </c>
      <c r="I12" s="308">
        <f>BS!F41</f>
        <v>77.125149114256999</v>
      </c>
      <c r="J12" s="308">
        <f>BS!G41</f>
        <v>80.771602278956536</v>
      </c>
      <c r="K12" s="308">
        <f>BS!H41</f>
        <v>82.983010054529373</v>
      </c>
      <c r="L12" s="308">
        <f>BS!I41</f>
        <v>83.988623787553735</v>
      </c>
      <c r="M12" s="308">
        <f>BS!J41</f>
        <v>84.158279563004086</v>
      </c>
      <c r="N12" s="288" t="s">
        <v>190</v>
      </c>
      <c r="O12" s="302" t="s">
        <v>190</v>
      </c>
      <c r="P12" s="288" t="s">
        <v>190</v>
      </c>
      <c r="Q12" s="288" t="s">
        <v>190</v>
      </c>
      <c r="R12" s="288" t="s">
        <v>190</v>
      </c>
      <c r="S12" s="288" t="s">
        <v>190</v>
      </c>
      <c r="T12" s="288" t="s">
        <v>190</v>
      </c>
      <c r="U12" s="288" t="s">
        <v>190</v>
      </c>
      <c r="V12" s="290" t="s">
        <v>190</v>
      </c>
      <c r="W12" s="290" t="s">
        <v>190</v>
      </c>
    </row>
    <row r="13" spans="1:23" ht="15.75" x14ac:dyDescent="0.5">
      <c r="A13" s="288" t="s">
        <v>190</v>
      </c>
      <c r="B13" s="310" t="s">
        <v>212</v>
      </c>
      <c r="C13" s="311">
        <v>0.03</v>
      </c>
      <c r="D13" s="288" t="s">
        <v>198</v>
      </c>
      <c r="E13" s="288" t="s">
        <v>190</v>
      </c>
      <c r="F13" s="288" t="s">
        <v>190</v>
      </c>
      <c r="G13" s="303" t="s">
        <v>213</v>
      </c>
      <c r="H13" s="288" t="s">
        <v>190</v>
      </c>
      <c r="I13" s="312">
        <f>I28</f>
        <v>-2.5110550289282401</v>
      </c>
      <c r="J13" s="312">
        <f t="shared" ref="J13:M13" si="2">J28</f>
        <v>-399.60969337096503</v>
      </c>
      <c r="K13" s="312">
        <f t="shared" si="2"/>
        <v>-191.51639732870171</v>
      </c>
      <c r="L13" s="312">
        <f t="shared" si="2"/>
        <v>438.4497044187101</v>
      </c>
      <c r="M13" s="312">
        <f t="shared" si="2"/>
        <v>-730.41082781775913</v>
      </c>
      <c r="N13" s="288" t="s">
        <v>190</v>
      </c>
      <c r="O13" s="302" t="s">
        <v>190</v>
      </c>
      <c r="P13" s="288" t="s">
        <v>190</v>
      </c>
      <c r="Q13" s="288" t="s">
        <v>190</v>
      </c>
      <c r="R13" s="288" t="s">
        <v>190</v>
      </c>
      <c r="S13" s="288" t="s">
        <v>190</v>
      </c>
      <c r="T13" s="288" t="s">
        <v>190</v>
      </c>
      <c r="U13" s="288" t="s">
        <v>190</v>
      </c>
      <c r="V13" s="290" t="s">
        <v>190</v>
      </c>
      <c r="W13" s="290" t="s">
        <v>190</v>
      </c>
    </row>
    <row r="14" spans="1:23" ht="15.75" x14ac:dyDescent="0.5">
      <c r="A14" s="288" t="s">
        <v>190</v>
      </c>
      <c r="B14" s="288" t="s">
        <v>190</v>
      </c>
      <c r="C14" s="288" t="s">
        <v>190</v>
      </c>
      <c r="D14" s="288" t="s">
        <v>190</v>
      </c>
      <c r="E14" s="288" t="s">
        <v>190</v>
      </c>
      <c r="F14" s="288" t="s">
        <v>190</v>
      </c>
      <c r="G14" s="303" t="s">
        <v>214</v>
      </c>
      <c r="H14" s="288" t="s">
        <v>190</v>
      </c>
      <c r="I14" s="307">
        <f>SUM(I9:I13)</f>
        <v>2509.0456844686678</v>
      </c>
      <c r="J14" s="307">
        <f>SUM(J9:J13)</f>
        <v>2471.5500397922897</v>
      </c>
      <c r="K14" s="307">
        <f t="shared" ref="K14:M14" si="3">SUM(K9:K13)</f>
        <v>2991.5245335791615</v>
      </c>
      <c r="L14" s="307">
        <f t="shared" si="3"/>
        <v>3884.9022372509394</v>
      </c>
      <c r="M14" s="307">
        <f t="shared" si="3"/>
        <v>2840.464253394302</v>
      </c>
      <c r="N14" s="288" t="s">
        <v>190</v>
      </c>
      <c r="O14" s="313">
        <f>M14*((1+C13)/(C41-C13))</f>
        <v>42528.495131849719</v>
      </c>
      <c r="P14" s="288" t="s">
        <v>215</v>
      </c>
      <c r="Q14" s="288" t="s">
        <v>190</v>
      </c>
      <c r="R14" s="288" t="s">
        <v>190</v>
      </c>
      <c r="S14" s="288" t="s">
        <v>190</v>
      </c>
      <c r="T14" s="288" t="s">
        <v>190</v>
      </c>
      <c r="U14" s="288" t="s">
        <v>190</v>
      </c>
      <c r="V14" s="290" t="s">
        <v>190</v>
      </c>
      <c r="W14" s="290" t="s">
        <v>190</v>
      </c>
    </row>
    <row r="15" spans="1:23" ht="15.75" x14ac:dyDescent="0.5">
      <c r="A15" s="288" t="s">
        <v>190</v>
      </c>
      <c r="B15" s="314" t="s">
        <v>216</v>
      </c>
      <c r="C15" s="315" t="s">
        <v>190</v>
      </c>
      <c r="D15" s="288" t="s">
        <v>190</v>
      </c>
      <c r="E15" s="288" t="s">
        <v>190</v>
      </c>
      <c r="F15" s="288" t="s">
        <v>190</v>
      </c>
      <c r="G15" s="316" t="s">
        <v>217</v>
      </c>
      <c r="H15" s="288" t="s">
        <v>190</v>
      </c>
      <c r="I15" s="288" t="s">
        <v>190</v>
      </c>
      <c r="J15" s="317">
        <f>(J14/I14)-1</f>
        <v>-1.4944185715103253E-2</v>
      </c>
      <c r="K15" s="317">
        <f t="shared" ref="K15:M15" si="4">(K14/J14)-1</f>
        <v>0.21038396367267986</v>
      </c>
      <c r="L15" s="317">
        <f t="shared" si="4"/>
        <v>0.29863626176012348</v>
      </c>
      <c r="M15" s="317">
        <f t="shared" si="4"/>
        <v>-0.26884537115037155</v>
      </c>
      <c r="N15" s="288" t="s">
        <v>190</v>
      </c>
      <c r="O15" s="302" t="s">
        <v>190</v>
      </c>
      <c r="P15" s="288" t="s">
        <v>190</v>
      </c>
      <c r="Q15" s="288" t="s">
        <v>190</v>
      </c>
      <c r="R15" s="288" t="s">
        <v>190</v>
      </c>
      <c r="S15" s="288" t="s">
        <v>190</v>
      </c>
      <c r="T15" s="288" t="s">
        <v>190</v>
      </c>
      <c r="U15" s="288" t="s">
        <v>190</v>
      </c>
      <c r="V15" s="290" t="s">
        <v>190</v>
      </c>
      <c r="W15" s="290" t="s">
        <v>190</v>
      </c>
    </row>
    <row r="16" spans="1:23" ht="15.75" x14ac:dyDescent="0.5">
      <c r="A16" s="288" t="s">
        <v>190</v>
      </c>
      <c r="B16" s="301" t="s">
        <v>218</v>
      </c>
      <c r="C16" s="302" t="s">
        <v>190</v>
      </c>
      <c r="D16" s="288" t="s">
        <v>190</v>
      </c>
      <c r="E16" s="288" t="s">
        <v>190</v>
      </c>
      <c r="F16" s="288" t="s">
        <v>190</v>
      </c>
      <c r="G16" s="318" t="s">
        <v>219</v>
      </c>
      <c r="H16" s="319" t="s">
        <v>190</v>
      </c>
      <c r="I16" s="320">
        <f>I14/(1+$C$41)^I4</f>
        <v>2283.4554431816487</v>
      </c>
      <c r="J16" s="320">
        <f t="shared" ref="J16:M16" si="5">J14/(1+$C$41)^J4</f>
        <v>2047.0919626835619</v>
      </c>
      <c r="K16" s="320">
        <f t="shared" si="5"/>
        <v>2254.9893077447882</v>
      </c>
      <c r="L16" s="320">
        <f t="shared" si="5"/>
        <v>2665.1151935705579</v>
      </c>
      <c r="M16" s="320">
        <f t="shared" si="5"/>
        <v>1773.4101576775356</v>
      </c>
      <c r="N16" s="321" t="s">
        <v>190</v>
      </c>
      <c r="O16" s="322">
        <f>O14/(1+$C$41)^M4</f>
        <v>26552.161382575356</v>
      </c>
      <c r="P16" s="288" t="s">
        <v>220</v>
      </c>
      <c r="Q16" s="288" t="s">
        <v>190</v>
      </c>
      <c r="R16" s="288" t="s">
        <v>190</v>
      </c>
      <c r="S16" s="288" t="s">
        <v>190</v>
      </c>
      <c r="T16" s="288" t="s">
        <v>190</v>
      </c>
      <c r="U16" s="288" t="s">
        <v>190</v>
      </c>
      <c r="V16" s="290" t="s">
        <v>190</v>
      </c>
      <c r="W16" s="290" t="s">
        <v>190</v>
      </c>
    </row>
    <row r="17" spans="1:23" ht="15.75" x14ac:dyDescent="0.5">
      <c r="A17" s="288" t="s">
        <v>190</v>
      </c>
      <c r="B17" s="303" t="s">
        <v>201</v>
      </c>
      <c r="C17" s="304">
        <f>C7</f>
        <v>4.5999999999999999E-2</v>
      </c>
      <c r="D17" s="288" t="s">
        <v>198</v>
      </c>
      <c r="E17" s="323"/>
      <c r="F17" s="288" t="s">
        <v>190</v>
      </c>
      <c r="G17" s="318" t="s">
        <v>221</v>
      </c>
      <c r="H17" s="319" t="s">
        <v>190</v>
      </c>
      <c r="I17" s="319" t="s">
        <v>190</v>
      </c>
      <c r="J17" s="319" t="s">
        <v>190</v>
      </c>
      <c r="K17" s="319" t="s">
        <v>190</v>
      </c>
      <c r="L17" s="319" t="s">
        <v>190</v>
      </c>
      <c r="M17" s="322">
        <f>SUM(I16:M16)</f>
        <v>11024.062064858093</v>
      </c>
      <c r="N17" s="288" t="s">
        <v>190</v>
      </c>
      <c r="O17" s="288" t="s">
        <v>190</v>
      </c>
      <c r="P17" s="288" t="s">
        <v>190</v>
      </c>
      <c r="Q17" s="288" t="s">
        <v>190</v>
      </c>
      <c r="R17" s="288" t="s">
        <v>190</v>
      </c>
      <c r="S17" s="288" t="s">
        <v>190</v>
      </c>
      <c r="T17" s="288" t="s">
        <v>190</v>
      </c>
      <c r="U17" s="288" t="s">
        <v>190</v>
      </c>
      <c r="V17" s="290" t="s">
        <v>190</v>
      </c>
      <c r="W17" s="290" t="s">
        <v>190</v>
      </c>
    </row>
    <row r="18" spans="1:23" ht="15.75" x14ac:dyDescent="0.5">
      <c r="A18" s="288" t="s">
        <v>190</v>
      </c>
      <c r="B18" s="303" t="s">
        <v>222</v>
      </c>
      <c r="C18" s="304">
        <f>-C8*C17</f>
        <v>-9.6600000000000002E-3</v>
      </c>
      <c r="D18" s="324" t="s">
        <v>223</v>
      </c>
      <c r="E18" s="323"/>
      <c r="F18" s="288" t="s">
        <v>190</v>
      </c>
      <c r="G18" s="288" t="s">
        <v>190</v>
      </c>
      <c r="H18" s="288" t="s">
        <v>190</v>
      </c>
      <c r="I18" s="288" t="s">
        <v>190</v>
      </c>
      <c r="J18" s="288" t="s">
        <v>190</v>
      </c>
      <c r="K18" s="288" t="s">
        <v>190</v>
      </c>
      <c r="L18" s="288" t="s">
        <v>190</v>
      </c>
      <c r="M18" s="288" t="s">
        <v>190</v>
      </c>
      <c r="N18" s="288" t="s">
        <v>190</v>
      </c>
      <c r="O18" s="288" t="s">
        <v>190</v>
      </c>
      <c r="P18" s="288" t="s">
        <v>190</v>
      </c>
      <c r="Q18" s="288" t="s">
        <v>190</v>
      </c>
      <c r="R18" s="288" t="s">
        <v>190</v>
      </c>
      <c r="S18" s="288" t="s">
        <v>190</v>
      </c>
      <c r="T18" s="288" t="s">
        <v>190</v>
      </c>
      <c r="U18" s="288" t="s">
        <v>190</v>
      </c>
      <c r="V18" s="290" t="s">
        <v>190</v>
      </c>
      <c r="W18" s="290" t="s">
        <v>190</v>
      </c>
    </row>
    <row r="19" spans="1:23" ht="15.75" x14ac:dyDescent="0.5">
      <c r="A19" s="288" t="s">
        <v>190</v>
      </c>
      <c r="B19" s="303" t="s">
        <v>224</v>
      </c>
      <c r="C19" s="325">
        <f>C17+C18</f>
        <v>3.6339999999999997E-2</v>
      </c>
      <c r="D19" s="324" t="s">
        <v>225</v>
      </c>
      <c r="E19" s="288" t="s">
        <v>190</v>
      </c>
      <c r="F19" s="288" t="s">
        <v>190</v>
      </c>
      <c r="G19" s="288" t="s">
        <v>190</v>
      </c>
      <c r="H19" s="288" t="s">
        <v>190</v>
      </c>
      <c r="I19" s="288" t="s">
        <v>190</v>
      </c>
      <c r="J19" s="288" t="s">
        <v>190</v>
      </c>
      <c r="K19" s="288" t="s">
        <v>190</v>
      </c>
      <c r="L19" s="288" t="s">
        <v>190</v>
      </c>
      <c r="M19" s="288" t="s">
        <v>190</v>
      </c>
      <c r="N19" s="288" t="s">
        <v>190</v>
      </c>
      <c r="O19" s="288" t="s">
        <v>190</v>
      </c>
      <c r="P19" s="288" t="s">
        <v>190</v>
      </c>
      <c r="Q19" s="288" t="s">
        <v>190</v>
      </c>
      <c r="R19" s="288" t="s">
        <v>190</v>
      </c>
      <c r="S19" s="288" t="s">
        <v>190</v>
      </c>
      <c r="T19" s="288" t="s">
        <v>190</v>
      </c>
      <c r="U19" s="288" t="s">
        <v>190</v>
      </c>
      <c r="V19" s="290" t="s">
        <v>190</v>
      </c>
      <c r="W19" s="290" t="s">
        <v>190</v>
      </c>
    </row>
    <row r="20" spans="1:23" ht="15.75" x14ac:dyDescent="0.5">
      <c r="A20" s="288" t="s">
        <v>190</v>
      </c>
      <c r="B20" s="303" t="s">
        <v>190</v>
      </c>
      <c r="C20" s="302" t="s">
        <v>190</v>
      </c>
      <c r="D20" s="288" t="s">
        <v>190</v>
      </c>
      <c r="E20" s="288" t="s">
        <v>190</v>
      </c>
      <c r="F20" s="288" t="s">
        <v>190</v>
      </c>
      <c r="G20" s="288" t="s">
        <v>190</v>
      </c>
      <c r="H20" s="288" t="s">
        <v>190</v>
      </c>
      <c r="I20" s="288" t="s">
        <v>190</v>
      </c>
      <c r="J20" s="288" t="s">
        <v>190</v>
      </c>
      <c r="K20" s="288" t="s">
        <v>190</v>
      </c>
      <c r="L20" s="288" t="s">
        <v>190</v>
      </c>
      <c r="M20" s="288" t="s">
        <v>190</v>
      </c>
      <c r="N20" s="288" t="s">
        <v>190</v>
      </c>
      <c r="O20" s="288" t="s">
        <v>190</v>
      </c>
      <c r="P20" s="288" t="s">
        <v>190</v>
      </c>
      <c r="Q20" s="288" t="s">
        <v>190</v>
      </c>
      <c r="R20" s="288" t="s">
        <v>190</v>
      </c>
      <c r="S20" s="288" t="s">
        <v>190</v>
      </c>
      <c r="T20" s="288" t="s">
        <v>190</v>
      </c>
      <c r="U20" s="288" t="s">
        <v>190</v>
      </c>
      <c r="V20" s="290" t="s">
        <v>190</v>
      </c>
      <c r="W20" s="290" t="s">
        <v>190</v>
      </c>
    </row>
    <row r="21" spans="1:23" ht="15.75" x14ac:dyDescent="0.5">
      <c r="A21" s="288" t="s">
        <v>190</v>
      </c>
      <c r="B21" s="301" t="s">
        <v>226</v>
      </c>
      <c r="C21" s="302" t="s">
        <v>190</v>
      </c>
      <c r="D21" s="288" t="s">
        <v>190</v>
      </c>
      <c r="E21" s="288" t="s">
        <v>190</v>
      </c>
      <c r="F21" s="288" t="s">
        <v>190</v>
      </c>
      <c r="G21" s="290"/>
      <c r="H21" s="288" t="s">
        <v>190</v>
      </c>
      <c r="I21" s="288" t="s">
        <v>190</v>
      </c>
      <c r="J21" s="288" t="s">
        <v>190</v>
      </c>
      <c r="K21" s="288" t="s">
        <v>190</v>
      </c>
      <c r="L21" s="288" t="s">
        <v>190</v>
      </c>
      <c r="M21" s="288" t="s">
        <v>190</v>
      </c>
      <c r="N21" s="288" t="s">
        <v>190</v>
      </c>
      <c r="O21" s="288" t="s">
        <v>190</v>
      </c>
      <c r="P21" s="288" t="s">
        <v>190</v>
      </c>
      <c r="Q21" s="288" t="s">
        <v>190</v>
      </c>
      <c r="R21" s="288" t="s">
        <v>190</v>
      </c>
      <c r="S21" s="288" t="s">
        <v>190</v>
      </c>
      <c r="T21" s="288" t="s">
        <v>190</v>
      </c>
      <c r="U21" s="288" t="s">
        <v>190</v>
      </c>
      <c r="V21" s="290" t="s">
        <v>190</v>
      </c>
      <c r="W21" s="290" t="s">
        <v>190</v>
      </c>
    </row>
    <row r="22" spans="1:23" ht="15.75" x14ac:dyDescent="0.5">
      <c r="A22" s="288" t="s">
        <v>190</v>
      </c>
      <c r="B22" s="303" t="s">
        <v>227</v>
      </c>
      <c r="C22" s="326">
        <f>C6</f>
        <v>4.2900000000000001E-2</v>
      </c>
      <c r="D22" s="288" t="s">
        <v>198</v>
      </c>
      <c r="E22" s="288" t="s">
        <v>190</v>
      </c>
      <c r="F22" s="288" t="s">
        <v>190</v>
      </c>
      <c r="G22" s="327" t="s">
        <v>228</v>
      </c>
      <c r="H22" s="328" t="s">
        <v>16</v>
      </c>
      <c r="I22" s="329" t="s">
        <v>17</v>
      </c>
      <c r="J22" s="329" t="s">
        <v>18</v>
      </c>
      <c r="K22" s="329" t="s">
        <v>19</v>
      </c>
      <c r="L22" s="329" t="s">
        <v>20</v>
      </c>
      <c r="M22" s="330" t="s">
        <v>21</v>
      </c>
      <c r="N22" s="288" t="s">
        <v>190</v>
      </c>
      <c r="O22" s="288" t="s">
        <v>190</v>
      </c>
      <c r="P22" s="288" t="s">
        <v>190</v>
      </c>
      <c r="Q22" s="288" t="s">
        <v>190</v>
      </c>
      <c r="R22" s="288" t="s">
        <v>190</v>
      </c>
      <c r="S22" s="288" t="s">
        <v>190</v>
      </c>
      <c r="T22" s="288" t="s">
        <v>190</v>
      </c>
      <c r="U22" s="288" t="s">
        <v>190</v>
      </c>
      <c r="V22" s="290" t="s">
        <v>190</v>
      </c>
      <c r="W22" s="290" t="s">
        <v>190</v>
      </c>
    </row>
    <row r="23" spans="1:23" ht="15.75" x14ac:dyDescent="0.5">
      <c r="A23" s="288" t="s">
        <v>190</v>
      </c>
      <c r="B23" s="303" t="s">
        <v>229</v>
      </c>
      <c r="C23" s="326">
        <f>C10</f>
        <v>6.7099999999999993E-2</v>
      </c>
      <c r="D23" s="288" t="s">
        <v>198</v>
      </c>
      <c r="E23" s="288" t="s">
        <v>190</v>
      </c>
      <c r="F23" s="288" t="s">
        <v>190</v>
      </c>
      <c r="G23" s="303" t="s">
        <v>190</v>
      </c>
      <c r="H23" s="288" t="s">
        <v>190</v>
      </c>
      <c r="I23" s="288" t="s">
        <v>190</v>
      </c>
      <c r="J23" s="288" t="s">
        <v>190</v>
      </c>
      <c r="K23" s="288" t="s">
        <v>190</v>
      </c>
      <c r="L23" s="288" t="s">
        <v>190</v>
      </c>
      <c r="M23" s="302" t="s">
        <v>190</v>
      </c>
      <c r="N23" s="288" t="s">
        <v>190</v>
      </c>
      <c r="O23" s="288" t="s">
        <v>190</v>
      </c>
      <c r="P23" s="288" t="s">
        <v>190</v>
      </c>
      <c r="Q23" s="288" t="s">
        <v>190</v>
      </c>
      <c r="R23" s="288" t="s">
        <v>190</v>
      </c>
      <c r="S23" s="288" t="s">
        <v>190</v>
      </c>
      <c r="T23" s="288" t="s">
        <v>190</v>
      </c>
      <c r="U23" s="288" t="s">
        <v>190</v>
      </c>
      <c r="V23" s="290" t="s">
        <v>190</v>
      </c>
      <c r="W23" s="290" t="s">
        <v>190</v>
      </c>
    </row>
    <row r="24" spans="1:23" ht="15.75" x14ac:dyDescent="0.5">
      <c r="A24" s="288" t="s">
        <v>190</v>
      </c>
      <c r="B24" s="303" t="s">
        <v>230</v>
      </c>
      <c r="C24" s="326">
        <f>C22+C23</f>
        <v>0.10999999999999999</v>
      </c>
      <c r="D24" s="324" t="s">
        <v>231</v>
      </c>
      <c r="E24" s="288" t="s">
        <v>190</v>
      </c>
      <c r="F24" s="288" t="s">
        <v>190</v>
      </c>
      <c r="G24" s="303" t="s">
        <v>232</v>
      </c>
      <c r="H24" s="305">
        <f>BS!E10-BS!E5</f>
        <v>10316</v>
      </c>
      <c r="I24" s="305">
        <f>BS!F10-BS!F5</f>
        <v>12217.361608206793</v>
      </c>
      <c r="J24" s="305">
        <f>BS!G10-BS!G5</f>
        <v>13188.793862998929</v>
      </c>
      <c r="K24" s="305">
        <f>BS!H10-BS!H5</f>
        <v>13738.79669969665</v>
      </c>
      <c r="L24" s="305">
        <f>BS!I10-BS!I5</f>
        <v>13471.667280965628</v>
      </c>
      <c r="M24" s="331">
        <f>BS!J10-BS!J5</f>
        <v>14244.885075103201</v>
      </c>
      <c r="N24" s="288" t="s">
        <v>190</v>
      </c>
      <c r="O24" s="288" t="s">
        <v>190</v>
      </c>
      <c r="P24" s="288" t="s">
        <v>190</v>
      </c>
      <c r="Q24" s="288" t="s">
        <v>190</v>
      </c>
      <c r="R24" s="288" t="s">
        <v>190</v>
      </c>
      <c r="S24" s="288" t="s">
        <v>190</v>
      </c>
      <c r="T24" s="288" t="s">
        <v>190</v>
      </c>
      <c r="U24" s="288" t="s">
        <v>190</v>
      </c>
      <c r="V24" s="290" t="s">
        <v>190</v>
      </c>
      <c r="W24" s="290" t="s">
        <v>190</v>
      </c>
    </row>
    <row r="25" spans="1:23" ht="15.75" x14ac:dyDescent="0.5">
      <c r="A25" s="288" t="s">
        <v>190</v>
      </c>
      <c r="B25" s="303" t="s">
        <v>209</v>
      </c>
      <c r="C25" s="332">
        <v>1.1000000000000001</v>
      </c>
      <c r="D25" s="288" t="s">
        <v>210</v>
      </c>
      <c r="E25" s="288" t="s">
        <v>190</v>
      </c>
      <c r="F25" s="288" t="s">
        <v>190</v>
      </c>
      <c r="G25" s="303" t="s">
        <v>233</v>
      </c>
      <c r="H25" s="312">
        <f>BS!E23</f>
        <v>10161</v>
      </c>
      <c r="I25" s="312">
        <f>BS!F23</f>
        <v>12059.850553177865</v>
      </c>
      <c r="J25" s="312">
        <f>BS!G23</f>
        <v>12631.673114599036</v>
      </c>
      <c r="K25" s="312">
        <f>BS!H23</f>
        <v>12990.159553968055</v>
      </c>
      <c r="L25" s="312">
        <f>BS!I23</f>
        <v>13161.479839655743</v>
      </c>
      <c r="M25" s="312">
        <f>BS!J23</f>
        <v>13204.286805975556</v>
      </c>
      <c r="N25" s="288" t="s">
        <v>190</v>
      </c>
      <c r="O25" s="288" t="s">
        <v>190</v>
      </c>
      <c r="P25" s="288" t="s">
        <v>190</v>
      </c>
      <c r="Q25" s="288" t="s">
        <v>190</v>
      </c>
      <c r="R25" s="288" t="s">
        <v>190</v>
      </c>
      <c r="S25" s="288" t="s">
        <v>190</v>
      </c>
      <c r="T25" s="288" t="s">
        <v>190</v>
      </c>
      <c r="U25" s="288" t="s">
        <v>190</v>
      </c>
      <c r="V25" s="290" t="s">
        <v>190</v>
      </c>
      <c r="W25" s="290" t="s">
        <v>190</v>
      </c>
    </row>
    <row r="26" spans="1:23" ht="15.75" x14ac:dyDescent="0.5">
      <c r="A26" s="288" t="s">
        <v>190</v>
      </c>
      <c r="B26" s="303" t="s">
        <v>234</v>
      </c>
      <c r="C26" s="333">
        <f>C22+C25*(C24-C22)</f>
        <v>0.11671000000000001</v>
      </c>
      <c r="D26" s="324" t="s">
        <v>235</v>
      </c>
      <c r="E26" s="288" t="s">
        <v>190</v>
      </c>
      <c r="F26" s="288" t="s">
        <v>190</v>
      </c>
      <c r="G26" s="298" t="s">
        <v>236</v>
      </c>
      <c r="H26" s="305">
        <f>H24-H25</f>
        <v>155</v>
      </c>
      <c r="I26" s="305">
        <f>I24-I25</f>
        <v>157.51105502892824</v>
      </c>
      <c r="J26" s="305">
        <f t="shared" ref="J26:M26" si="6">J24-J25</f>
        <v>557.12074839989327</v>
      </c>
      <c r="K26" s="305">
        <f t="shared" si="6"/>
        <v>748.63714572859499</v>
      </c>
      <c r="L26" s="305">
        <f t="shared" si="6"/>
        <v>310.18744130988489</v>
      </c>
      <c r="M26" s="331">
        <f t="shared" si="6"/>
        <v>1040.598269127644</v>
      </c>
      <c r="N26" s="288" t="s">
        <v>190</v>
      </c>
      <c r="O26" s="288" t="s">
        <v>190</v>
      </c>
      <c r="P26" s="288" t="s">
        <v>190</v>
      </c>
      <c r="Q26" s="288" t="s">
        <v>190</v>
      </c>
      <c r="R26" s="288" t="s">
        <v>190</v>
      </c>
      <c r="S26" s="288" t="s">
        <v>190</v>
      </c>
      <c r="T26" s="288" t="s">
        <v>190</v>
      </c>
      <c r="U26" s="288" t="s">
        <v>190</v>
      </c>
      <c r="V26" s="290" t="s">
        <v>190</v>
      </c>
      <c r="W26" s="290" t="s">
        <v>190</v>
      </c>
    </row>
    <row r="27" spans="1:23" ht="15.75" x14ac:dyDescent="0.5">
      <c r="A27" s="288" t="s">
        <v>190</v>
      </c>
      <c r="B27" s="314" t="s">
        <v>237</v>
      </c>
      <c r="C27" s="315" t="s">
        <v>190</v>
      </c>
      <c r="D27" s="288" t="s">
        <v>190</v>
      </c>
      <c r="E27" s="288" t="s">
        <v>190</v>
      </c>
      <c r="F27" s="288" t="s">
        <v>190</v>
      </c>
      <c r="G27" s="303" t="s">
        <v>190</v>
      </c>
      <c r="H27" s="288" t="s">
        <v>190</v>
      </c>
      <c r="I27" s="288" t="s">
        <v>190</v>
      </c>
      <c r="J27" s="288" t="s">
        <v>190</v>
      </c>
      <c r="K27" s="288" t="s">
        <v>190</v>
      </c>
      <c r="L27" s="288" t="s">
        <v>190</v>
      </c>
      <c r="M27" s="302" t="s">
        <v>190</v>
      </c>
      <c r="N27" s="288" t="s">
        <v>190</v>
      </c>
      <c r="O27" s="288" t="s">
        <v>190</v>
      </c>
      <c r="P27" s="288" t="s">
        <v>190</v>
      </c>
      <c r="Q27" s="288" t="s">
        <v>190</v>
      </c>
      <c r="R27" s="288" t="s">
        <v>190</v>
      </c>
      <c r="S27" s="288" t="s">
        <v>190</v>
      </c>
      <c r="T27" s="288" t="s">
        <v>190</v>
      </c>
      <c r="U27" s="288" t="s">
        <v>190</v>
      </c>
      <c r="V27" s="290" t="s">
        <v>190</v>
      </c>
      <c r="W27" s="290" t="s">
        <v>190</v>
      </c>
    </row>
    <row r="28" spans="1:23" ht="15.75" x14ac:dyDescent="0.5">
      <c r="A28" s="288" t="s">
        <v>190</v>
      </c>
      <c r="B28" s="301" t="s">
        <v>238</v>
      </c>
      <c r="C28" s="302" t="s">
        <v>190</v>
      </c>
      <c r="D28" s="288" t="s">
        <v>190</v>
      </c>
      <c r="E28" s="288" t="s">
        <v>190</v>
      </c>
      <c r="F28" s="288" t="s">
        <v>190</v>
      </c>
      <c r="G28" s="310" t="s">
        <v>239</v>
      </c>
      <c r="H28" s="319" t="s">
        <v>190</v>
      </c>
      <c r="I28" s="306">
        <f>H26-I26</f>
        <v>-2.5110550289282401</v>
      </c>
      <c r="J28" s="306">
        <f t="shared" ref="J28:M28" si="7">I26-J26</f>
        <v>-399.60969337096503</v>
      </c>
      <c r="K28" s="306">
        <f t="shared" si="7"/>
        <v>-191.51639732870171</v>
      </c>
      <c r="L28" s="306">
        <f t="shared" si="7"/>
        <v>438.4497044187101</v>
      </c>
      <c r="M28" s="334">
        <f t="shared" si="7"/>
        <v>-730.41082781775913</v>
      </c>
      <c r="N28" s="288" t="s">
        <v>190</v>
      </c>
      <c r="O28" s="288" t="s">
        <v>190</v>
      </c>
      <c r="P28" s="288" t="s">
        <v>190</v>
      </c>
      <c r="Q28" s="288" t="s">
        <v>190</v>
      </c>
      <c r="R28" s="288" t="s">
        <v>190</v>
      </c>
      <c r="S28" s="288" t="s">
        <v>190</v>
      </c>
      <c r="T28" s="288" t="s">
        <v>190</v>
      </c>
      <c r="U28" s="288" t="s">
        <v>190</v>
      </c>
      <c r="V28" s="290" t="s">
        <v>190</v>
      </c>
      <c r="W28" s="290" t="s">
        <v>190</v>
      </c>
    </row>
    <row r="29" spans="1:23" ht="15.75" x14ac:dyDescent="0.5">
      <c r="A29" s="288" t="s">
        <v>190</v>
      </c>
      <c r="B29" s="303" t="s">
        <v>240</v>
      </c>
      <c r="C29" s="335">
        <f>BS!F24+BS!F18+BS!F25</f>
        <v>2292.25</v>
      </c>
      <c r="D29" s="288" t="s">
        <v>241</v>
      </c>
      <c r="E29" s="288"/>
      <c r="F29" s="288" t="s">
        <v>190</v>
      </c>
      <c r="G29" s="288" t="s">
        <v>190</v>
      </c>
      <c r="H29" s="288" t="s">
        <v>190</v>
      </c>
      <c r="I29" s="288" t="s">
        <v>190</v>
      </c>
      <c r="J29" s="288" t="s">
        <v>190</v>
      </c>
      <c r="K29" s="288" t="s">
        <v>190</v>
      </c>
      <c r="L29" s="288" t="s">
        <v>190</v>
      </c>
      <c r="M29" s="288" t="s">
        <v>190</v>
      </c>
      <c r="N29" s="288" t="s">
        <v>190</v>
      </c>
      <c r="O29" s="288" t="s">
        <v>190</v>
      </c>
      <c r="P29" s="288" t="s">
        <v>190</v>
      </c>
      <c r="Q29" s="288" t="s">
        <v>190</v>
      </c>
      <c r="R29" s="288" t="s">
        <v>190</v>
      </c>
      <c r="S29" s="288" t="s">
        <v>190</v>
      </c>
      <c r="T29" s="288" t="s">
        <v>190</v>
      </c>
      <c r="U29" s="288" t="s">
        <v>190</v>
      </c>
      <c r="V29" s="290" t="s">
        <v>190</v>
      </c>
      <c r="W29" s="336" t="s">
        <v>190</v>
      </c>
    </row>
    <row r="30" spans="1:23" ht="15.75" x14ac:dyDescent="0.5">
      <c r="A30" s="288" t="s">
        <v>190</v>
      </c>
      <c r="B30" s="303" t="s">
        <v>242</v>
      </c>
      <c r="C30" s="337">
        <f>BS!F33</f>
        <v>7990.2671415450386</v>
      </c>
      <c r="D30" s="288" t="s">
        <v>241</v>
      </c>
      <c r="E30" s="288"/>
      <c r="F30" s="288" t="s">
        <v>190</v>
      </c>
      <c r="G30" s="288" t="s">
        <v>190</v>
      </c>
      <c r="H30" s="288" t="s">
        <v>190</v>
      </c>
      <c r="I30" s="288" t="s">
        <v>190</v>
      </c>
      <c r="J30" s="288" t="s">
        <v>190</v>
      </c>
      <c r="K30" s="288" t="s">
        <v>190</v>
      </c>
      <c r="L30" s="288" t="s">
        <v>190</v>
      </c>
      <c r="M30" s="288" t="s">
        <v>190</v>
      </c>
      <c r="N30" s="288" t="s">
        <v>190</v>
      </c>
      <c r="O30" s="288" t="s">
        <v>190</v>
      </c>
      <c r="P30" s="288" t="s">
        <v>190</v>
      </c>
      <c r="Q30" s="288" t="s">
        <v>190</v>
      </c>
      <c r="R30" s="288" t="s">
        <v>190</v>
      </c>
      <c r="S30" s="288" t="s">
        <v>190</v>
      </c>
      <c r="T30" s="288" t="s">
        <v>190</v>
      </c>
      <c r="U30" s="288" t="s">
        <v>190</v>
      </c>
      <c r="V30" s="290" t="s">
        <v>190</v>
      </c>
      <c r="W30" s="290" t="s">
        <v>190</v>
      </c>
    </row>
    <row r="31" spans="1:23" ht="15.75" x14ac:dyDescent="0.5">
      <c r="A31" s="288" t="s">
        <v>190</v>
      </c>
      <c r="B31" s="303" t="s">
        <v>243</v>
      </c>
      <c r="C31" s="338">
        <f>SUM(C29:C30)</f>
        <v>10282.517141545039</v>
      </c>
      <c r="D31" s="324" t="s">
        <v>244</v>
      </c>
      <c r="E31" s="288" t="s">
        <v>190</v>
      </c>
      <c r="F31" s="288" t="s">
        <v>190</v>
      </c>
      <c r="G31" s="288" t="s">
        <v>190</v>
      </c>
      <c r="H31" s="288" t="s">
        <v>190</v>
      </c>
      <c r="I31" s="288" t="s">
        <v>190</v>
      </c>
      <c r="J31" s="288" t="s">
        <v>190</v>
      </c>
      <c r="K31" s="288" t="s">
        <v>190</v>
      </c>
      <c r="L31" s="288" t="s">
        <v>190</v>
      </c>
      <c r="M31" s="288" t="s">
        <v>190</v>
      </c>
      <c r="N31" s="288" t="s">
        <v>190</v>
      </c>
      <c r="O31" s="288" t="s">
        <v>190</v>
      </c>
      <c r="P31" s="288" t="s">
        <v>190</v>
      </c>
      <c r="Q31" s="288" t="s">
        <v>190</v>
      </c>
      <c r="R31" s="288" t="s">
        <v>190</v>
      </c>
      <c r="S31" s="288" t="s">
        <v>190</v>
      </c>
      <c r="T31" s="288" t="s">
        <v>190</v>
      </c>
      <c r="U31" s="288" t="s">
        <v>190</v>
      </c>
      <c r="V31" s="290" t="s">
        <v>190</v>
      </c>
      <c r="W31" s="290" t="s">
        <v>190</v>
      </c>
    </row>
    <row r="32" spans="1:23" ht="15.75" x14ac:dyDescent="0.5">
      <c r="A32" s="288" t="s">
        <v>190</v>
      </c>
      <c r="B32" s="303" t="s">
        <v>190</v>
      </c>
      <c r="C32" s="302" t="s">
        <v>190</v>
      </c>
      <c r="D32" s="288" t="s">
        <v>190</v>
      </c>
      <c r="E32" s="288" t="s">
        <v>190</v>
      </c>
      <c r="F32" s="288" t="s">
        <v>190</v>
      </c>
      <c r="G32" s="288" t="s">
        <v>190</v>
      </c>
      <c r="H32" s="288" t="s">
        <v>190</v>
      </c>
      <c r="I32" s="288" t="s">
        <v>190</v>
      </c>
      <c r="J32" s="288" t="s">
        <v>190</v>
      </c>
      <c r="K32" s="288" t="s">
        <v>190</v>
      </c>
      <c r="L32" s="288" t="s">
        <v>190</v>
      </c>
      <c r="M32" s="288" t="s">
        <v>190</v>
      </c>
      <c r="N32" s="288" t="s">
        <v>190</v>
      </c>
      <c r="O32" s="288" t="s">
        <v>190</v>
      </c>
      <c r="P32" s="288" t="s">
        <v>190</v>
      </c>
      <c r="Q32" s="288" t="s">
        <v>190</v>
      </c>
      <c r="R32" s="288" t="s">
        <v>190</v>
      </c>
      <c r="S32" s="288" t="s">
        <v>190</v>
      </c>
      <c r="T32" s="288" t="s">
        <v>190</v>
      </c>
      <c r="U32" s="288" t="s">
        <v>190</v>
      </c>
      <c r="V32" s="290" t="s">
        <v>190</v>
      </c>
      <c r="W32" s="290" t="s">
        <v>190</v>
      </c>
    </row>
    <row r="33" spans="1:23" ht="15.75" x14ac:dyDescent="0.5">
      <c r="A33" s="288" t="s">
        <v>190</v>
      </c>
      <c r="B33" s="301" t="s">
        <v>245</v>
      </c>
      <c r="C33" s="302" t="s">
        <v>190</v>
      </c>
      <c r="D33" s="288" t="s">
        <v>190</v>
      </c>
      <c r="E33" s="288" t="s">
        <v>190</v>
      </c>
      <c r="F33" s="288" t="s">
        <v>190</v>
      </c>
      <c r="G33" s="339" t="s">
        <v>246</v>
      </c>
      <c r="H33" s="340" t="s">
        <v>190</v>
      </c>
      <c r="I33" s="341" t="s">
        <v>247</v>
      </c>
      <c r="J33" s="342" t="s">
        <v>247</v>
      </c>
      <c r="K33" s="342" t="s">
        <v>248</v>
      </c>
      <c r="L33" s="342" t="s">
        <v>249</v>
      </c>
      <c r="M33" s="343" t="s">
        <v>249</v>
      </c>
      <c r="N33" s="288" t="s">
        <v>190</v>
      </c>
      <c r="O33" s="288"/>
      <c r="P33" s="288"/>
      <c r="Q33" s="288" t="s">
        <v>190</v>
      </c>
      <c r="R33" s="288" t="s">
        <v>190</v>
      </c>
      <c r="S33" s="288" t="s">
        <v>190</v>
      </c>
      <c r="T33" s="288" t="s">
        <v>190</v>
      </c>
      <c r="U33" s="288" t="s">
        <v>190</v>
      </c>
      <c r="V33" s="290" t="s">
        <v>190</v>
      </c>
      <c r="W33" s="290" t="s">
        <v>190</v>
      </c>
    </row>
    <row r="34" spans="1:23" ht="15.75" x14ac:dyDescent="0.5">
      <c r="A34" s="288" t="s">
        <v>190</v>
      </c>
      <c r="B34" s="303" t="s">
        <v>250</v>
      </c>
      <c r="C34" s="344">
        <f>C29/C31</f>
        <v>0.22292693203870209</v>
      </c>
      <c r="D34" s="324" t="s">
        <v>251</v>
      </c>
      <c r="E34" s="288" t="s">
        <v>190</v>
      </c>
      <c r="F34" s="288" t="s">
        <v>190</v>
      </c>
      <c r="G34" s="301" t="s">
        <v>252</v>
      </c>
      <c r="H34" s="288" t="s">
        <v>190</v>
      </c>
      <c r="I34" s="345" t="s">
        <v>253</v>
      </c>
      <c r="J34" s="346" t="s">
        <v>254</v>
      </c>
      <c r="K34" s="346" t="s">
        <v>190</v>
      </c>
      <c r="L34" s="346" t="s">
        <v>255</v>
      </c>
      <c r="M34" s="346" t="s">
        <v>256</v>
      </c>
      <c r="N34" s="288" t="s">
        <v>190</v>
      </c>
      <c r="O34" s="288"/>
      <c r="P34" s="288"/>
      <c r="Q34" s="288" t="s">
        <v>190</v>
      </c>
      <c r="R34" s="288" t="s">
        <v>190</v>
      </c>
      <c r="S34" s="288" t="s">
        <v>190</v>
      </c>
      <c r="T34" s="288" t="s">
        <v>190</v>
      </c>
      <c r="U34" s="288" t="s">
        <v>190</v>
      </c>
      <c r="V34" s="290" t="s">
        <v>190</v>
      </c>
      <c r="W34" s="290" t="s">
        <v>190</v>
      </c>
    </row>
    <row r="35" spans="1:23" ht="15.75" x14ac:dyDescent="0.5">
      <c r="A35" s="288" t="s">
        <v>190</v>
      </c>
      <c r="B35" s="303" t="s">
        <v>257</v>
      </c>
      <c r="C35" s="344">
        <f>C30/C31</f>
        <v>0.77707306796129794</v>
      </c>
      <c r="D35" s="324" t="s">
        <v>258</v>
      </c>
      <c r="E35" s="288" t="s">
        <v>190</v>
      </c>
      <c r="F35" s="288" t="s">
        <v>190</v>
      </c>
      <c r="G35" s="316" t="s">
        <v>259</v>
      </c>
      <c r="H35" s="288" t="s">
        <v>190</v>
      </c>
      <c r="I35" s="347">
        <v>14.58</v>
      </c>
      <c r="J35" s="347">
        <v>34.06</v>
      </c>
      <c r="K35" s="347">
        <f>C48</f>
        <v>59.446643644096575</v>
      </c>
      <c r="L35" s="347">
        <v>91.93</v>
      </c>
      <c r="M35" s="348">
        <v>132.58000000000001</v>
      </c>
      <c r="N35" s="288" t="s">
        <v>190</v>
      </c>
      <c r="O35" s="288" t="s">
        <v>190</v>
      </c>
      <c r="P35" s="288" t="s">
        <v>190</v>
      </c>
      <c r="Q35" s="288" t="s">
        <v>190</v>
      </c>
      <c r="R35" s="288" t="s">
        <v>190</v>
      </c>
      <c r="S35" s="288" t="s">
        <v>190</v>
      </c>
      <c r="T35" s="288" t="s">
        <v>190</v>
      </c>
      <c r="U35" s="288" t="s">
        <v>190</v>
      </c>
      <c r="V35" s="290" t="s">
        <v>190</v>
      </c>
      <c r="W35" s="290" t="s">
        <v>190</v>
      </c>
    </row>
    <row r="36" spans="1:23" ht="15.75" x14ac:dyDescent="0.5">
      <c r="A36" s="288" t="s">
        <v>190</v>
      </c>
      <c r="B36" s="303" t="s">
        <v>243</v>
      </c>
      <c r="C36" s="349">
        <f>SUM(C34:C35)</f>
        <v>1</v>
      </c>
      <c r="D36" s="288" t="s">
        <v>190</v>
      </c>
      <c r="E36" s="288"/>
      <c r="F36" s="288" t="s">
        <v>190</v>
      </c>
      <c r="G36" s="316" t="s">
        <v>260</v>
      </c>
      <c r="H36" s="288" t="s">
        <v>190</v>
      </c>
      <c r="I36" s="350">
        <f>(I35-$K$35)/$K$35</f>
        <v>-0.75473804564493885</v>
      </c>
      <c r="J36" s="350">
        <f>(J35-$K$35)/$K$35</f>
        <v>-0.42704923420209989</v>
      </c>
      <c r="K36" s="350">
        <f t="shared" ref="K36:M36" si="8">(K35-$K$35)/$K$35</f>
        <v>0</v>
      </c>
      <c r="L36" s="350">
        <f t="shared" si="8"/>
        <v>0.54642876981212429</v>
      </c>
      <c r="M36" s="351">
        <f t="shared" si="8"/>
        <v>1.230235247489301</v>
      </c>
      <c r="N36" s="288" t="s">
        <v>190</v>
      </c>
      <c r="O36" s="288" t="s">
        <v>190</v>
      </c>
      <c r="P36" s="288" t="s">
        <v>190</v>
      </c>
      <c r="Q36" s="288" t="s">
        <v>190</v>
      </c>
      <c r="R36" s="288" t="s">
        <v>190</v>
      </c>
      <c r="S36" s="288" t="s">
        <v>190</v>
      </c>
      <c r="T36" s="288" t="s">
        <v>190</v>
      </c>
      <c r="U36" s="288" t="s">
        <v>190</v>
      </c>
      <c r="V36" s="290" t="s">
        <v>190</v>
      </c>
      <c r="W36" s="290" t="s">
        <v>190</v>
      </c>
    </row>
    <row r="37" spans="1:23" ht="15.75" x14ac:dyDescent="0.5">
      <c r="A37" s="288" t="s">
        <v>190</v>
      </c>
      <c r="B37" s="303" t="s">
        <v>190</v>
      </c>
      <c r="C37" s="302" t="s">
        <v>190</v>
      </c>
      <c r="D37" s="288" t="s">
        <v>190</v>
      </c>
      <c r="E37" s="288" t="s">
        <v>190</v>
      </c>
      <c r="F37" s="288" t="s">
        <v>190</v>
      </c>
      <c r="G37" s="303" t="s">
        <v>190</v>
      </c>
      <c r="H37" s="288" t="s">
        <v>190</v>
      </c>
      <c r="I37" s="288" t="s">
        <v>190</v>
      </c>
      <c r="J37" s="288" t="s">
        <v>190</v>
      </c>
      <c r="K37" s="288" t="s">
        <v>190</v>
      </c>
      <c r="L37" s="288" t="s">
        <v>190</v>
      </c>
      <c r="M37" s="302" t="s">
        <v>190</v>
      </c>
      <c r="N37" s="288" t="s">
        <v>190</v>
      </c>
      <c r="O37" s="288" t="s">
        <v>190</v>
      </c>
      <c r="P37" s="288" t="s">
        <v>190</v>
      </c>
      <c r="Q37" s="288" t="s">
        <v>190</v>
      </c>
      <c r="R37" s="288" t="s">
        <v>190</v>
      </c>
      <c r="S37" s="288" t="s">
        <v>190</v>
      </c>
      <c r="T37" s="288" t="s">
        <v>190</v>
      </c>
      <c r="U37" s="288" t="s">
        <v>190</v>
      </c>
      <c r="V37" s="290" t="s">
        <v>190</v>
      </c>
      <c r="W37" s="290" t="s">
        <v>190</v>
      </c>
    </row>
    <row r="38" spans="1:23" ht="15.75" x14ac:dyDescent="0.5">
      <c r="A38" s="288" t="s">
        <v>190</v>
      </c>
      <c r="B38" s="301" t="s">
        <v>261</v>
      </c>
      <c r="C38" s="302" t="s">
        <v>190</v>
      </c>
      <c r="D38" s="288" t="s">
        <v>190</v>
      </c>
      <c r="E38" s="288" t="s">
        <v>190</v>
      </c>
      <c r="F38" s="288" t="s">
        <v>190</v>
      </c>
      <c r="G38" s="301" t="s">
        <v>262</v>
      </c>
      <c r="H38" s="288" t="s">
        <v>190</v>
      </c>
      <c r="I38" s="352" t="s">
        <v>263</v>
      </c>
      <c r="J38" s="353" t="s">
        <v>264</v>
      </c>
      <c r="K38" s="353" t="s">
        <v>190</v>
      </c>
      <c r="L38" s="353" t="s">
        <v>265</v>
      </c>
      <c r="M38" s="353" t="s">
        <v>266</v>
      </c>
      <c r="N38" s="288" t="s">
        <v>190</v>
      </c>
      <c r="O38" s="288" t="s">
        <v>190</v>
      </c>
      <c r="P38" s="288" t="s">
        <v>190</v>
      </c>
      <c r="Q38" s="288" t="s">
        <v>190</v>
      </c>
      <c r="R38" s="288" t="s">
        <v>190</v>
      </c>
      <c r="S38" s="288" t="s">
        <v>190</v>
      </c>
      <c r="T38" s="288" t="s">
        <v>190</v>
      </c>
      <c r="U38" s="288" t="s">
        <v>190</v>
      </c>
      <c r="V38" s="290" t="s">
        <v>190</v>
      </c>
      <c r="W38" s="290" t="s">
        <v>190</v>
      </c>
    </row>
    <row r="39" spans="1:23" ht="15.75" x14ac:dyDescent="0.5">
      <c r="A39" s="288" t="s">
        <v>190</v>
      </c>
      <c r="B39" s="303" t="s">
        <v>267</v>
      </c>
      <c r="C39" s="344">
        <f>C34*C19</f>
        <v>8.1011647102864331E-3</v>
      </c>
      <c r="D39" s="324" t="s">
        <v>268</v>
      </c>
      <c r="E39" s="354"/>
      <c r="F39" s="288" t="s">
        <v>190</v>
      </c>
      <c r="G39" s="316" t="s">
        <v>259</v>
      </c>
      <c r="H39" s="288" t="s">
        <v>190</v>
      </c>
      <c r="I39" s="347">
        <v>55.01</v>
      </c>
      <c r="J39" s="347">
        <v>57.23</v>
      </c>
      <c r="K39" s="347">
        <f>K35</f>
        <v>59.446643644096575</v>
      </c>
      <c r="L39" s="347">
        <v>61.67</v>
      </c>
      <c r="M39" s="348">
        <v>63.88</v>
      </c>
      <c r="N39" s="288" t="s">
        <v>190</v>
      </c>
      <c r="O39" s="288" t="s">
        <v>190</v>
      </c>
      <c r="P39" s="288" t="s">
        <v>190</v>
      </c>
      <c r="Q39" s="288" t="s">
        <v>190</v>
      </c>
      <c r="R39" s="288" t="s">
        <v>190</v>
      </c>
      <c r="S39" s="288" t="s">
        <v>190</v>
      </c>
      <c r="T39" s="288" t="s">
        <v>190</v>
      </c>
      <c r="U39" s="288" t="s">
        <v>190</v>
      </c>
      <c r="V39" s="290" t="s">
        <v>190</v>
      </c>
      <c r="W39" s="290" t="s">
        <v>190</v>
      </c>
    </row>
    <row r="40" spans="1:23" ht="15.75" x14ac:dyDescent="0.5">
      <c r="A40" s="288" t="s">
        <v>190</v>
      </c>
      <c r="B40" s="303" t="s">
        <v>269</v>
      </c>
      <c r="C40" s="311">
        <f>C26*C35</f>
        <v>9.0692197761763085E-2</v>
      </c>
      <c r="D40" s="324" t="s">
        <v>270</v>
      </c>
      <c r="E40" s="354"/>
      <c r="F40" s="288" t="s">
        <v>190</v>
      </c>
      <c r="G40" s="316" t="s">
        <v>260</v>
      </c>
      <c r="H40" s="288" t="s">
        <v>190</v>
      </c>
      <c r="I40" s="350">
        <f>(I39-$K$39)/$K$39</f>
        <v>-7.4632365632927772E-2</v>
      </c>
      <c r="J40" s="350">
        <f>(J39-$K$39)/$K$39</f>
        <v>-3.7287952829893785E-2</v>
      </c>
      <c r="K40" s="350">
        <f>(K39-$K$39)/$K$39</f>
        <v>0</v>
      </c>
      <c r="L40" s="350">
        <f>(L39-$K$39)/$K$39</f>
        <v>3.74008727761743E-2</v>
      </c>
      <c r="M40" s="351">
        <f t="shared" ref="M40" si="9">(M39-$K$39)/$K$39</f>
        <v>7.4577067503518973E-2</v>
      </c>
      <c r="N40" s="288" t="s">
        <v>190</v>
      </c>
      <c r="O40" s="288" t="s">
        <v>190</v>
      </c>
      <c r="P40" s="288" t="s">
        <v>190</v>
      </c>
      <c r="Q40" s="288" t="s">
        <v>190</v>
      </c>
      <c r="R40" s="288" t="s">
        <v>190</v>
      </c>
      <c r="S40" s="288" t="s">
        <v>190</v>
      </c>
      <c r="T40" s="288" t="s">
        <v>190</v>
      </c>
      <c r="U40" s="288" t="s">
        <v>190</v>
      </c>
      <c r="V40" s="290" t="s">
        <v>190</v>
      </c>
      <c r="W40" s="290" t="s">
        <v>190</v>
      </c>
    </row>
    <row r="41" spans="1:23" ht="15.75" x14ac:dyDescent="0.5">
      <c r="A41" s="288" t="s">
        <v>190</v>
      </c>
      <c r="B41" s="318" t="s">
        <v>261</v>
      </c>
      <c r="C41" s="355">
        <f>SUM(C39:C40)</f>
        <v>9.879336247204952E-2</v>
      </c>
      <c r="D41" s="288"/>
      <c r="E41" s="356"/>
      <c r="F41" s="288" t="s">
        <v>190</v>
      </c>
      <c r="G41" s="303" t="s">
        <v>190</v>
      </c>
      <c r="H41" s="288" t="s">
        <v>190</v>
      </c>
      <c r="I41" s="288" t="s">
        <v>190</v>
      </c>
      <c r="J41" s="288" t="s">
        <v>190</v>
      </c>
      <c r="K41" s="288" t="s">
        <v>190</v>
      </c>
      <c r="L41" s="288" t="s">
        <v>190</v>
      </c>
      <c r="M41" s="302" t="s">
        <v>190</v>
      </c>
      <c r="N41" s="288" t="s">
        <v>190</v>
      </c>
      <c r="O41" s="288" t="s">
        <v>190</v>
      </c>
      <c r="P41" s="288" t="s">
        <v>190</v>
      </c>
      <c r="Q41" s="288" t="s">
        <v>190</v>
      </c>
      <c r="R41" s="288" t="s">
        <v>190</v>
      </c>
      <c r="S41" s="288" t="s">
        <v>190</v>
      </c>
      <c r="T41" s="288" t="s">
        <v>190</v>
      </c>
      <c r="U41" s="288" t="s">
        <v>190</v>
      </c>
      <c r="V41" s="290" t="s">
        <v>190</v>
      </c>
      <c r="W41" s="290" t="s">
        <v>190</v>
      </c>
    </row>
    <row r="42" spans="1:23" ht="15.75" x14ac:dyDescent="0.5">
      <c r="A42" s="288" t="s">
        <v>190</v>
      </c>
      <c r="B42" s="288" t="s">
        <v>190</v>
      </c>
      <c r="C42" s="288" t="s">
        <v>190</v>
      </c>
      <c r="D42" s="288" t="s">
        <v>190</v>
      </c>
      <c r="E42" s="288" t="s">
        <v>190</v>
      </c>
      <c r="F42" s="288" t="s">
        <v>190</v>
      </c>
      <c r="G42" s="301" t="s">
        <v>271</v>
      </c>
      <c r="H42" s="288" t="s">
        <v>190</v>
      </c>
      <c r="I42" s="352" t="s">
        <v>263</v>
      </c>
      <c r="J42" s="353" t="s">
        <v>264</v>
      </c>
      <c r="K42" s="353" t="s">
        <v>190</v>
      </c>
      <c r="L42" s="353" t="s">
        <v>265</v>
      </c>
      <c r="M42" s="353" t="s">
        <v>266</v>
      </c>
      <c r="N42" s="288" t="s">
        <v>190</v>
      </c>
      <c r="O42" s="288" t="s">
        <v>190</v>
      </c>
      <c r="P42" s="288" t="s">
        <v>190</v>
      </c>
      <c r="Q42" s="288" t="s">
        <v>190</v>
      </c>
      <c r="R42" s="288" t="s">
        <v>190</v>
      </c>
      <c r="S42" s="288" t="s">
        <v>190</v>
      </c>
      <c r="T42" s="288" t="s">
        <v>190</v>
      </c>
      <c r="U42" s="288" t="s">
        <v>190</v>
      </c>
      <c r="V42" s="290" t="s">
        <v>190</v>
      </c>
      <c r="W42" s="290" t="s">
        <v>190</v>
      </c>
    </row>
    <row r="43" spans="1:23" ht="15.75" x14ac:dyDescent="0.5">
      <c r="A43" s="288" t="s">
        <v>190</v>
      </c>
      <c r="B43" s="292" t="s">
        <v>272</v>
      </c>
      <c r="C43" s="293" t="s">
        <v>190</v>
      </c>
      <c r="D43" s="288" t="s">
        <v>190</v>
      </c>
      <c r="E43" s="288" t="s">
        <v>190</v>
      </c>
      <c r="F43" s="288" t="s">
        <v>190</v>
      </c>
      <c r="G43" s="316" t="s">
        <v>259</v>
      </c>
      <c r="H43" s="288" t="s">
        <v>190</v>
      </c>
      <c r="I43" s="347">
        <v>83.34</v>
      </c>
      <c r="J43" s="347">
        <v>69.37</v>
      </c>
      <c r="K43" s="347">
        <f>K39</f>
        <v>59.446643644096575</v>
      </c>
      <c r="L43" s="347">
        <v>52.03</v>
      </c>
      <c r="M43" s="348">
        <v>46.26</v>
      </c>
      <c r="N43" s="288" t="s">
        <v>190</v>
      </c>
      <c r="O43" s="288" t="s">
        <v>190</v>
      </c>
      <c r="P43" s="288" t="s">
        <v>190</v>
      </c>
      <c r="Q43" s="288" t="s">
        <v>190</v>
      </c>
      <c r="R43" s="288" t="s">
        <v>190</v>
      </c>
      <c r="S43" s="288" t="s">
        <v>190</v>
      </c>
      <c r="T43" s="288" t="s">
        <v>190</v>
      </c>
      <c r="U43" s="288" t="s">
        <v>190</v>
      </c>
      <c r="V43" s="290" t="s">
        <v>190</v>
      </c>
      <c r="W43" s="290" t="s">
        <v>190</v>
      </c>
    </row>
    <row r="44" spans="1:23" ht="15.75" x14ac:dyDescent="0.5">
      <c r="A44" s="288" t="s">
        <v>190</v>
      </c>
      <c r="B44" s="298" t="s">
        <v>273</v>
      </c>
      <c r="C44" s="357">
        <f>SUM(I16:M16)</f>
        <v>11024.062064858093</v>
      </c>
      <c r="D44" s="288" t="s">
        <v>274</v>
      </c>
      <c r="E44" s="288" t="s">
        <v>190</v>
      </c>
      <c r="F44" s="288" t="s">
        <v>190</v>
      </c>
      <c r="G44" s="316" t="s">
        <v>260</v>
      </c>
      <c r="H44" s="288" t="s">
        <v>190</v>
      </c>
      <c r="I44" s="358">
        <f t="shared" ref="I44" si="10">(I43-$K$43)/$K$43</f>
        <v>0.40192944279497922</v>
      </c>
      <c r="J44" s="358">
        <f>(J43-$K$43)/$K$43</f>
        <v>0.16692879105696795</v>
      </c>
      <c r="K44" s="358">
        <f>(K43-$K$43)/$K$43</f>
        <v>0</v>
      </c>
      <c r="L44" s="358">
        <f t="shared" ref="L44:M44" si="11">(L43-$K$43)/$K$43</f>
        <v>-0.12476135218835173</v>
      </c>
      <c r="M44" s="359">
        <f t="shared" si="11"/>
        <v>-0.22182318186110234</v>
      </c>
      <c r="N44" s="288" t="s">
        <v>190</v>
      </c>
      <c r="O44" s="288" t="s">
        <v>190</v>
      </c>
      <c r="P44" s="288" t="s">
        <v>190</v>
      </c>
      <c r="Q44" s="288" t="s">
        <v>190</v>
      </c>
      <c r="R44" s="288" t="s">
        <v>190</v>
      </c>
      <c r="S44" s="288" t="s">
        <v>190</v>
      </c>
      <c r="T44" s="288" t="s">
        <v>190</v>
      </c>
      <c r="U44" s="288" t="s">
        <v>190</v>
      </c>
      <c r="V44" s="290" t="s">
        <v>190</v>
      </c>
      <c r="W44" s="290" t="s">
        <v>190</v>
      </c>
    </row>
    <row r="45" spans="1:23" ht="15.75" x14ac:dyDescent="0.5">
      <c r="A45" s="288" t="s">
        <v>190</v>
      </c>
      <c r="B45" s="310" t="s">
        <v>275</v>
      </c>
      <c r="C45" s="337">
        <f>O16</f>
        <v>26552.161382575356</v>
      </c>
      <c r="D45" s="288" t="s">
        <v>276</v>
      </c>
      <c r="E45" s="288" t="s">
        <v>190</v>
      </c>
      <c r="F45" s="288" t="s">
        <v>190</v>
      </c>
      <c r="G45" s="303" t="s">
        <v>190</v>
      </c>
      <c r="H45" s="288" t="s">
        <v>190</v>
      </c>
      <c r="I45" s="288" t="s">
        <v>190</v>
      </c>
      <c r="J45" s="288" t="s">
        <v>190</v>
      </c>
      <c r="K45" s="288" t="s">
        <v>190</v>
      </c>
      <c r="L45" s="288" t="s">
        <v>190</v>
      </c>
      <c r="M45" s="302" t="s">
        <v>190</v>
      </c>
      <c r="N45" s="288" t="s">
        <v>190</v>
      </c>
      <c r="O45" s="288" t="s">
        <v>190</v>
      </c>
      <c r="P45" s="288" t="s">
        <v>190</v>
      </c>
      <c r="Q45" s="288" t="s">
        <v>190</v>
      </c>
      <c r="R45" s="288" t="s">
        <v>190</v>
      </c>
      <c r="S45" s="288" t="s">
        <v>190</v>
      </c>
      <c r="T45" s="288" t="s">
        <v>190</v>
      </c>
      <c r="U45" s="288" t="s">
        <v>190</v>
      </c>
      <c r="V45" s="290" t="s">
        <v>190</v>
      </c>
      <c r="W45" s="290" t="s">
        <v>190</v>
      </c>
    </row>
    <row r="46" spans="1:23" ht="15.75" x14ac:dyDescent="0.5">
      <c r="A46" s="288" t="s">
        <v>190</v>
      </c>
      <c r="B46" s="303" t="s">
        <v>190</v>
      </c>
      <c r="C46" s="302" t="s">
        <v>190</v>
      </c>
      <c r="D46" s="288" t="s">
        <v>190</v>
      </c>
      <c r="E46" s="288" t="s">
        <v>190</v>
      </c>
      <c r="F46" s="288" t="s">
        <v>190</v>
      </c>
      <c r="G46" s="301" t="s">
        <v>277</v>
      </c>
      <c r="H46" s="288" t="s">
        <v>190</v>
      </c>
      <c r="I46" s="352" t="s">
        <v>263</v>
      </c>
      <c r="J46" s="353" t="s">
        <v>264</v>
      </c>
      <c r="K46" s="353" t="s">
        <v>190</v>
      </c>
      <c r="L46" s="353" t="s">
        <v>265</v>
      </c>
      <c r="M46" s="353" t="s">
        <v>266</v>
      </c>
      <c r="N46" s="288" t="s">
        <v>190</v>
      </c>
      <c r="O46" s="288" t="s">
        <v>190</v>
      </c>
      <c r="P46" s="288" t="s">
        <v>190</v>
      </c>
      <c r="Q46" s="288" t="s">
        <v>190</v>
      </c>
      <c r="R46" s="288" t="s">
        <v>190</v>
      </c>
      <c r="S46" s="288" t="s">
        <v>190</v>
      </c>
      <c r="T46" s="288" t="s">
        <v>190</v>
      </c>
      <c r="U46" s="288" t="s">
        <v>190</v>
      </c>
      <c r="V46" s="290" t="s">
        <v>190</v>
      </c>
      <c r="W46" s="290" t="s">
        <v>190</v>
      </c>
    </row>
    <row r="47" spans="1:23" ht="15.75" x14ac:dyDescent="0.5">
      <c r="A47" s="288" t="s">
        <v>190</v>
      </c>
      <c r="B47" s="301" t="s">
        <v>278</v>
      </c>
      <c r="C47" s="313">
        <f>C44+C45</f>
        <v>37576.223447433447</v>
      </c>
      <c r="D47" s="288" t="s">
        <v>279</v>
      </c>
      <c r="E47" s="288" t="s">
        <v>190</v>
      </c>
      <c r="F47" s="288" t="s">
        <v>190</v>
      </c>
      <c r="G47" s="316" t="s">
        <v>259</v>
      </c>
      <c r="H47" s="288" t="s">
        <v>190</v>
      </c>
      <c r="I47" s="347">
        <v>49.35</v>
      </c>
      <c r="J47" s="347">
        <v>53.76</v>
      </c>
      <c r="K47" s="347">
        <f>K43</f>
        <v>59.446643644096575</v>
      </c>
      <c r="L47" s="347">
        <v>67.069999999999993</v>
      </c>
      <c r="M47" s="348">
        <v>77.81</v>
      </c>
      <c r="N47" s="288" t="s">
        <v>190</v>
      </c>
      <c r="O47" s="288" t="s">
        <v>190</v>
      </c>
      <c r="P47" s="288" t="s">
        <v>190</v>
      </c>
      <c r="Q47" s="288" t="s">
        <v>190</v>
      </c>
      <c r="R47" s="288" t="s">
        <v>190</v>
      </c>
      <c r="S47" s="288" t="s">
        <v>190</v>
      </c>
      <c r="T47" s="288" t="s">
        <v>190</v>
      </c>
      <c r="U47" s="288" t="s">
        <v>190</v>
      </c>
      <c r="V47" s="290" t="s">
        <v>190</v>
      </c>
      <c r="W47" s="290" t="s">
        <v>190</v>
      </c>
    </row>
    <row r="48" spans="1:23" ht="15.75" x14ac:dyDescent="0.5">
      <c r="A48" s="288" t="s">
        <v>190</v>
      </c>
      <c r="B48" s="301" t="s">
        <v>280</v>
      </c>
      <c r="C48" s="360">
        <f>C47/C55</f>
        <v>59.446643644096575</v>
      </c>
      <c r="D48" s="288" t="s">
        <v>281</v>
      </c>
      <c r="E48" s="288" t="s">
        <v>190</v>
      </c>
      <c r="F48" s="288" t="s">
        <v>190</v>
      </c>
      <c r="G48" s="316" t="s">
        <v>260</v>
      </c>
      <c r="H48" s="288" t="s">
        <v>190</v>
      </c>
      <c r="I48" s="358">
        <f t="shared" ref="I48:J48" si="12">(I47-$K$47)/$K$47</f>
        <v>-0.16984379647309547</v>
      </c>
      <c r="J48" s="358">
        <f t="shared" si="12"/>
        <v>-9.5659625094095563E-2</v>
      </c>
      <c r="K48" s="358">
        <f>(K47-$K$47)/$K$47</f>
        <v>0</v>
      </c>
      <c r="L48" s="358">
        <f t="shared" ref="L48:M48" si="13">(L47-$K$47)/$K$47</f>
        <v>0.12823863364841903</v>
      </c>
      <c r="M48" s="359">
        <f t="shared" si="13"/>
        <v>0.30890484693877285</v>
      </c>
      <c r="N48" s="288" t="s">
        <v>190</v>
      </c>
      <c r="O48" s="288" t="s">
        <v>190</v>
      </c>
      <c r="P48" s="288" t="s">
        <v>190</v>
      </c>
      <c r="Q48" s="288" t="s">
        <v>190</v>
      </c>
      <c r="R48" s="288" t="s">
        <v>190</v>
      </c>
      <c r="S48" s="288" t="s">
        <v>190</v>
      </c>
      <c r="T48" s="288" t="s">
        <v>190</v>
      </c>
      <c r="U48" s="288" t="s">
        <v>190</v>
      </c>
      <c r="V48" s="290" t="s">
        <v>190</v>
      </c>
      <c r="W48" s="290" t="s">
        <v>190</v>
      </c>
    </row>
    <row r="49" spans="1:23" ht="15.75" x14ac:dyDescent="0.5">
      <c r="A49" s="288" t="s">
        <v>190</v>
      </c>
      <c r="B49" s="301" t="s">
        <v>190</v>
      </c>
      <c r="C49" s="361" t="s">
        <v>190</v>
      </c>
      <c r="D49" s="288" t="s">
        <v>190</v>
      </c>
      <c r="E49" s="288" t="s">
        <v>190</v>
      </c>
      <c r="F49" s="288" t="s">
        <v>190</v>
      </c>
      <c r="G49" s="303" t="s">
        <v>190</v>
      </c>
      <c r="H49" s="288" t="s">
        <v>190</v>
      </c>
      <c r="I49" s="288" t="s">
        <v>190</v>
      </c>
      <c r="J49" s="288" t="s">
        <v>190</v>
      </c>
      <c r="K49" s="288" t="s">
        <v>190</v>
      </c>
      <c r="L49" s="288" t="s">
        <v>190</v>
      </c>
      <c r="M49" s="302" t="s">
        <v>190</v>
      </c>
      <c r="N49" s="288" t="s">
        <v>190</v>
      </c>
      <c r="O49" s="288" t="s">
        <v>190</v>
      </c>
      <c r="P49" s="288" t="s">
        <v>190</v>
      </c>
      <c r="Q49" s="288" t="s">
        <v>190</v>
      </c>
      <c r="R49" s="288" t="s">
        <v>190</v>
      </c>
      <c r="S49" s="288" t="s">
        <v>190</v>
      </c>
      <c r="T49" s="288" t="s">
        <v>190</v>
      </c>
      <c r="U49" s="288" t="s">
        <v>190</v>
      </c>
      <c r="V49" s="290" t="s">
        <v>190</v>
      </c>
      <c r="W49" s="290" t="s">
        <v>190</v>
      </c>
    </row>
    <row r="50" spans="1:23" ht="15.75" x14ac:dyDescent="0.5">
      <c r="A50" s="288" t="s">
        <v>190</v>
      </c>
      <c r="B50" s="301" t="s">
        <v>278</v>
      </c>
      <c r="C50" s="313">
        <f>C47</f>
        <v>37576.223447433447</v>
      </c>
      <c r="D50" s="288" t="s">
        <v>279</v>
      </c>
      <c r="E50" s="288" t="s">
        <v>190</v>
      </c>
      <c r="F50" s="288" t="s">
        <v>190</v>
      </c>
      <c r="G50" s="301" t="s">
        <v>282</v>
      </c>
      <c r="H50" s="288" t="s">
        <v>190</v>
      </c>
      <c r="I50" s="352" t="s">
        <v>283</v>
      </c>
      <c r="J50" s="353" t="s">
        <v>284</v>
      </c>
      <c r="K50" s="353" t="s">
        <v>285</v>
      </c>
      <c r="L50" s="288" t="s">
        <v>190</v>
      </c>
      <c r="M50" s="302" t="s">
        <v>190</v>
      </c>
      <c r="N50" s="288" t="s">
        <v>190</v>
      </c>
      <c r="O50" s="288" t="s">
        <v>190</v>
      </c>
      <c r="P50" s="288" t="s">
        <v>190</v>
      </c>
      <c r="Q50" s="288" t="s">
        <v>190</v>
      </c>
      <c r="R50" s="288" t="s">
        <v>190</v>
      </c>
      <c r="S50" s="288" t="s">
        <v>190</v>
      </c>
      <c r="T50" s="288" t="s">
        <v>190</v>
      </c>
      <c r="U50" s="288" t="s">
        <v>190</v>
      </c>
      <c r="V50" s="290" t="s">
        <v>190</v>
      </c>
      <c r="W50" s="290" t="s">
        <v>190</v>
      </c>
    </row>
    <row r="51" spans="1:23" ht="15.75" x14ac:dyDescent="0.5">
      <c r="A51" s="288" t="s">
        <v>190</v>
      </c>
      <c r="B51" s="303" t="s">
        <v>286</v>
      </c>
      <c r="C51" s="335">
        <f>-C29</f>
        <v>-2292.25</v>
      </c>
      <c r="D51" s="288" t="s">
        <v>287</v>
      </c>
      <c r="E51" s="288"/>
      <c r="F51" s="288" t="s">
        <v>190</v>
      </c>
      <c r="G51" s="316" t="s">
        <v>259</v>
      </c>
      <c r="H51" s="288" t="s">
        <v>190</v>
      </c>
      <c r="I51" s="347">
        <v>152.69999999999999</v>
      </c>
      <c r="J51" s="347">
        <v>87.35</v>
      </c>
      <c r="K51" s="347">
        <f>K47</f>
        <v>59.446643644096575</v>
      </c>
      <c r="L51" s="288" t="s">
        <v>190</v>
      </c>
      <c r="M51" s="302" t="s">
        <v>190</v>
      </c>
      <c r="N51" s="288" t="s">
        <v>190</v>
      </c>
      <c r="O51" s="288" t="s">
        <v>190</v>
      </c>
      <c r="P51" s="288" t="s">
        <v>190</v>
      </c>
      <c r="Q51" s="288" t="s">
        <v>190</v>
      </c>
      <c r="R51" s="288" t="s">
        <v>190</v>
      </c>
      <c r="S51" s="288" t="s">
        <v>190</v>
      </c>
      <c r="T51" s="288" t="s">
        <v>190</v>
      </c>
      <c r="U51" s="288" t="s">
        <v>190</v>
      </c>
      <c r="V51" s="290" t="s">
        <v>190</v>
      </c>
      <c r="W51" s="290" t="s">
        <v>190</v>
      </c>
    </row>
    <row r="52" spans="1:23" ht="15.75" x14ac:dyDescent="0.5">
      <c r="A52" s="288" t="s">
        <v>190</v>
      </c>
      <c r="B52" s="303" t="s">
        <v>288</v>
      </c>
      <c r="C52" s="337">
        <f>BS!E5</f>
        <v>6864</v>
      </c>
      <c r="D52" s="288" t="s">
        <v>287</v>
      </c>
      <c r="E52" s="288"/>
      <c r="F52" s="288" t="s">
        <v>190</v>
      </c>
      <c r="G52" s="362" t="s">
        <v>260</v>
      </c>
      <c r="H52" s="319" t="s">
        <v>190</v>
      </c>
      <c r="I52" s="363">
        <f>(I51-$K$51)/$K$51</f>
        <v>1.5686900157762573</v>
      </c>
      <c r="J52" s="363">
        <f t="shared" ref="J52" si="14">(J51-$K$51)/$K$51</f>
        <v>0.46938489114640536</v>
      </c>
      <c r="K52" s="363">
        <f>(K51-$K$51)/$K$51</f>
        <v>0</v>
      </c>
      <c r="L52" s="319" t="s">
        <v>190</v>
      </c>
      <c r="M52" s="364" t="s">
        <v>190</v>
      </c>
      <c r="N52" s="288" t="s">
        <v>190</v>
      </c>
      <c r="O52" s="288" t="s">
        <v>190</v>
      </c>
      <c r="P52" s="288" t="s">
        <v>190</v>
      </c>
      <c r="Q52" s="288" t="s">
        <v>190</v>
      </c>
      <c r="R52" s="288" t="s">
        <v>190</v>
      </c>
      <c r="S52" s="288" t="s">
        <v>190</v>
      </c>
      <c r="T52" s="288" t="s">
        <v>190</v>
      </c>
      <c r="U52" s="288" t="s">
        <v>190</v>
      </c>
      <c r="V52" s="290" t="s">
        <v>190</v>
      </c>
      <c r="W52" s="290" t="s">
        <v>190</v>
      </c>
    </row>
    <row r="53" spans="1:23" ht="15.75" x14ac:dyDescent="0.5">
      <c r="A53" s="288" t="s">
        <v>190</v>
      </c>
      <c r="B53" s="301" t="s">
        <v>289</v>
      </c>
      <c r="C53" s="322">
        <f>C50-C51+C52</f>
        <v>46732.473447433447</v>
      </c>
      <c r="D53" s="288" t="s">
        <v>290</v>
      </c>
      <c r="E53" s="288" t="s">
        <v>190</v>
      </c>
      <c r="F53" s="288" t="s">
        <v>190</v>
      </c>
      <c r="G53" s="365"/>
      <c r="H53" s="365"/>
      <c r="I53" s="365"/>
      <c r="J53" s="365"/>
      <c r="K53" s="365"/>
      <c r="L53" s="365"/>
      <c r="M53" s="365"/>
      <c r="N53" s="288" t="s">
        <v>190</v>
      </c>
      <c r="O53" s="288" t="s">
        <v>190</v>
      </c>
      <c r="P53" s="288" t="s">
        <v>190</v>
      </c>
      <c r="Q53" s="288" t="s">
        <v>190</v>
      </c>
      <c r="R53" s="288" t="s">
        <v>190</v>
      </c>
      <c r="S53" s="288" t="s">
        <v>190</v>
      </c>
      <c r="T53" s="288" t="s">
        <v>190</v>
      </c>
      <c r="U53" s="288" t="s">
        <v>190</v>
      </c>
      <c r="V53" s="290" t="s">
        <v>190</v>
      </c>
      <c r="W53" s="290" t="s">
        <v>190</v>
      </c>
    </row>
    <row r="54" spans="1:23" ht="15.75" x14ac:dyDescent="0.5">
      <c r="A54" s="288" t="s">
        <v>190</v>
      </c>
      <c r="B54" s="303" t="s">
        <v>190</v>
      </c>
      <c r="C54" s="302" t="s">
        <v>190</v>
      </c>
      <c r="D54" s="288" t="s">
        <v>190</v>
      </c>
      <c r="E54" s="288" t="s">
        <v>190</v>
      </c>
      <c r="F54" s="288" t="s">
        <v>190</v>
      </c>
      <c r="G54" s="365"/>
      <c r="H54" s="365"/>
      <c r="I54" s="365"/>
      <c r="J54" s="365"/>
      <c r="K54" s="365"/>
      <c r="L54" s="365"/>
      <c r="M54" s="365"/>
      <c r="N54" s="288" t="s">
        <v>190</v>
      </c>
      <c r="O54" s="288" t="s">
        <v>190</v>
      </c>
      <c r="P54" s="288" t="s">
        <v>190</v>
      </c>
      <c r="Q54" s="288" t="s">
        <v>190</v>
      </c>
      <c r="R54" s="288" t="s">
        <v>190</v>
      </c>
      <c r="S54" s="288" t="s">
        <v>190</v>
      </c>
      <c r="T54" s="288" t="s">
        <v>190</v>
      </c>
      <c r="U54" s="288" t="s">
        <v>190</v>
      </c>
      <c r="V54" s="290" t="s">
        <v>190</v>
      </c>
      <c r="W54" s="290" t="s">
        <v>190</v>
      </c>
    </row>
    <row r="55" spans="1:23" ht="15.75" x14ac:dyDescent="0.5">
      <c r="A55" s="288" t="s">
        <v>190</v>
      </c>
      <c r="B55" s="303" t="s">
        <v>291</v>
      </c>
      <c r="C55" s="331">
        <f>Assumptions!F14</f>
        <v>632.1</v>
      </c>
      <c r="D55" s="288" t="s">
        <v>198</v>
      </c>
      <c r="E55" s="288"/>
      <c r="F55" s="288" t="s">
        <v>190</v>
      </c>
      <c r="G55" s="365"/>
      <c r="H55" s="365"/>
      <c r="I55" s="365"/>
      <c r="J55" s="365"/>
      <c r="K55" s="365"/>
      <c r="L55" s="365"/>
      <c r="M55" s="365"/>
      <c r="N55" s="288" t="s">
        <v>190</v>
      </c>
      <c r="O55" s="288" t="s">
        <v>190</v>
      </c>
      <c r="P55" s="288" t="s">
        <v>190</v>
      </c>
      <c r="Q55" s="288" t="s">
        <v>190</v>
      </c>
      <c r="R55" s="288" t="s">
        <v>190</v>
      </c>
      <c r="S55" s="288" t="s">
        <v>190</v>
      </c>
      <c r="T55" s="288" t="s">
        <v>190</v>
      </c>
      <c r="U55" s="288" t="s">
        <v>190</v>
      </c>
      <c r="V55" s="290" t="s">
        <v>190</v>
      </c>
      <c r="W55" s="290" t="s">
        <v>190</v>
      </c>
    </row>
    <row r="56" spans="1:23" ht="15.75" x14ac:dyDescent="0.5">
      <c r="A56" s="289" t="s">
        <v>190</v>
      </c>
      <c r="B56" s="303" t="s">
        <v>190</v>
      </c>
      <c r="C56" s="302" t="s">
        <v>190</v>
      </c>
      <c r="D56" s="288" t="s">
        <v>190</v>
      </c>
      <c r="E56" s="288"/>
      <c r="F56" s="288"/>
      <c r="G56" s="365"/>
      <c r="H56" s="365"/>
      <c r="I56" s="365"/>
      <c r="J56" s="365"/>
      <c r="K56" s="365"/>
      <c r="L56" s="365"/>
      <c r="M56" s="365"/>
      <c r="N56" s="288" t="s">
        <v>190</v>
      </c>
      <c r="O56" s="288" t="s">
        <v>190</v>
      </c>
      <c r="P56" s="288" t="s">
        <v>190</v>
      </c>
      <c r="Q56" s="288" t="s">
        <v>190</v>
      </c>
      <c r="R56" s="288" t="s">
        <v>190</v>
      </c>
      <c r="S56" s="288" t="s">
        <v>190</v>
      </c>
      <c r="T56" s="288" t="s">
        <v>190</v>
      </c>
      <c r="U56" s="288" t="s">
        <v>190</v>
      </c>
      <c r="V56" s="290" t="s">
        <v>190</v>
      </c>
      <c r="W56" s="290" t="s">
        <v>190</v>
      </c>
    </row>
    <row r="57" spans="1:23" ht="15.75" x14ac:dyDescent="0.5">
      <c r="A57" s="289" t="s">
        <v>190</v>
      </c>
      <c r="B57" s="318" t="s">
        <v>292</v>
      </c>
      <c r="C57" s="366">
        <f>C53/C55</f>
        <v>73.93208898502364</v>
      </c>
      <c r="D57" s="324" t="s">
        <v>293</v>
      </c>
      <c r="E57" s="288"/>
      <c r="F57" s="288"/>
      <c r="G57" s="365"/>
      <c r="H57" s="365"/>
      <c r="I57" s="365"/>
      <c r="J57" s="365"/>
      <c r="K57" s="365"/>
      <c r="L57" s="365"/>
      <c r="M57" s="365"/>
      <c r="N57" s="288" t="s">
        <v>190</v>
      </c>
      <c r="O57" s="288" t="s">
        <v>190</v>
      </c>
      <c r="P57" s="288" t="s">
        <v>190</v>
      </c>
      <c r="Q57" s="288" t="s">
        <v>190</v>
      </c>
      <c r="R57" s="288" t="s">
        <v>190</v>
      </c>
      <c r="S57" s="288" t="s">
        <v>190</v>
      </c>
      <c r="T57" s="288" t="s">
        <v>190</v>
      </c>
      <c r="U57" s="288" t="s">
        <v>190</v>
      </c>
      <c r="V57" s="290" t="s">
        <v>190</v>
      </c>
      <c r="W57" s="290" t="s">
        <v>190</v>
      </c>
    </row>
    <row r="58" spans="1:23" ht="15.75" x14ac:dyDescent="0.5">
      <c r="A58" s="288" t="s">
        <v>190</v>
      </c>
      <c r="B58" s="288" t="s">
        <v>190</v>
      </c>
      <c r="C58" s="288"/>
      <c r="D58" s="288" t="s">
        <v>190</v>
      </c>
      <c r="E58" s="288"/>
      <c r="F58" s="288"/>
      <c r="G58" s="365"/>
      <c r="H58" s="365"/>
      <c r="I58" s="365"/>
      <c r="J58" s="365"/>
      <c r="K58" s="365"/>
      <c r="L58" s="365"/>
      <c r="M58" s="365"/>
      <c r="N58" s="288" t="s">
        <v>190</v>
      </c>
      <c r="O58" s="288" t="s">
        <v>190</v>
      </c>
      <c r="P58" s="288" t="s">
        <v>190</v>
      </c>
      <c r="Q58" s="288" t="s">
        <v>190</v>
      </c>
      <c r="R58" s="288" t="s">
        <v>190</v>
      </c>
      <c r="S58" s="288" t="s">
        <v>190</v>
      </c>
      <c r="T58" s="288" t="s">
        <v>190</v>
      </c>
      <c r="U58" s="288" t="s">
        <v>190</v>
      </c>
      <c r="V58" s="290" t="s">
        <v>190</v>
      </c>
      <c r="W58" s="290" t="s">
        <v>190</v>
      </c>
    </row>
    <row r="59" spans="1:23" ht="15.75" x14ac:dyDescent="0.5">
      <c r="A59" s="288" t="s">
        <v>190</v>
      </c>
      <c r="B59" s="288" t="s">
        <v>190</v>
      </c>
      <c r="C59" s="288" t="s">
        <v>190</v>
      </c>
      <c r="D59" s="288" t="s">
        <v>190</v>
      </c>
      <c r="E59" s="288"/>
      <c r="F59" s="367"/>
      <c r="G59" s="365"/>
      <c r="H59" s="365"/>
      <c r="I59" s="365"/>
      <c r="J59" s="365"/>
      <c r="K59" s="365"/>
      <c r="L59" s="365"/>
      <c r="M59" s="365"/>
      <c r="N59" s="288" t="s">
        <v>190</v>
      </c>
      <c r="O59" s="288" t="s">
        <v>190</v>
      </c>
      <c r="P59" s="288" t="s">
        <v>190</v>
      </c>
      <c r="Q59" s="288" t="s">
        <v>190</v>
      </c>
      <c r="R59" s="288" t="s">
        <v>190</v>
      </c>
      <c r="S59" s="288" t="s">
        <v>190</v>
      </c>
      <c r="T59" s="288" t="s">
        <v>190</v>
      </c>
      <c r="U59" s="288" t="s">
        <v>190</v>
      </c>
      <c r="V59" s="290" t="s">
        <v>190</v>
      </c>
      <c r="W59" s="290" t="s">
        <v>190</v>
      </c>
    </row>
    <row r="60" spans="1:23" ht="15.75" x14ac:dyDescent="0.5">
      <c r="A60" s="288" t="s">
        <v>190</v>
      </c>
      <c r="B60" s="288"/>
      <c r="C60" s="288" t="s">
        <v>190</v>
      </c>
      <c r="D60" s="288" t="s">
        <v>190</v>
      </c>
      <c r="E60" s="368"/>
      <c r="F60" s="367"/>
      <c r="G60" s="365"/>
      <c r="H60" s="365"/>
      <c r="I60" s="365"/>
      <c r="J60" s="365"/>
      <c r="K60" s="365"/>
      <c r="L60" s="365"/>
      <c r="M60" s="365"/>
      <c r="N60" s="288" t="s">
        <v>190</v>
      </c>
      <c r="O60" s="288" t="s">
        <v>190</v>
      </c>
      <c r="P60" s="288" t="s">
        <v>190</v>
      </c>
      <c r="Q60" s="288" t="s">
        <v>190</v>
      </c>
      <c r="R60" s="288" t="s">
        <v>190</v>
      </c>
      <c r="S60" s="288" t="s">
        <v>190</v>
      </c>
      <c r="T60" s="288" t="s">
        <v>190</v>
      </c>
      <c r="U60" s="288" t="s">
        <v>190</v>
      </c>
      <c r="V60" s="290" t="s">
        <v>190</v>
      </c>
      <c r="W60" s="290" t="s">
        <v>190</v>
      </c>
    </row>
    <row r="61" spans="1:23" ht="15.75" x14ac:dyDescent="0.5">
      <c r="A61" s="288" t="s">
        <v>190</v>
      </c>
      <c r="B61" s="288" t="s">
        <v>190</v>
      </c>
      <c r="C61" s="288" t="s">
        <v>190</v>
      </c>
      <c r="D61" s="288" t="s">
        <v>190</v>
      </c>
      <c r="E61" s="368"/>
      <c r="F61" s="288"/>
      <c r="G61" s="365"/>
      <c r="H61" s="365"/>
      <c r="I61" s="365"/>
      <c r="J61" s="365"/>
      <c r="K61" s="365"/>
      <c r="L61" s="365"/>
      <c r="M61" s="365"/>
      <c r="N61" s="288" t="s">
        <v>190</v>
      </c>
      <c r="O61" s="288" t="s">
        <v>190</v>
      </c>
      <c r="P61" s="288" t="s">
        <v>190</v>
      </c>
      <c r="Q61" s="288" t="s">
        <v>190</v>
      </c>
      <c r="R61" s="288" t="s">
        <v>190</v>
      </c>
      <c r="S61" s="288" t="s">
        <v>190</v>
      </c>
      <c r="T61" s="288" t="s">
        <v>190</v>
      </c>
      <c r="U61" s="288" t="s">
        <v>190</v>
      </c>
      <c r="V61" s="290" t="s">
        <v>190</v>
      </c>
      <c r="W61" s="290" t="s">
        <v>190</v>
      </c>
    </row>
    <row r="62" spans="1:23" ht="15.75" x14ac:dyDescent="0.5">
      <c r="A62" s="288" t="s">
        <v>190</v>
      </c>
      <c r="B62" s="288" t="s">
        <v>190</v>
      </c>
      <c r="C62" s="288" t="s">
        <v>190</v>
      </c>
      <c r="D62" s="288" t="s">
        <v>190</v>
      </c>
      <c r="E62" s="368"/>
      <c r="F62" s="288"/>
      <c r="G62" s="365"/>
      <c r="H62" s="365"/>
      <c r="I62" s="365"/>
      <c r="J62" s="365"/>
      <c r="K62" s="365"/>
      <c r="L62" s="365"/>
      <c r="M62" s="365"/>
      <c r="N62" s="288" t="s">
        <v>190</v>
      </c>
      <c r="O62" s="288" t="s">
        <v>190</v>
      </c>
      <c r="P62" s="288" t="s">
        <v>190</v>
      </c>
      <c r="Q62" s="288" t="s">
        <v>190</v>
      </c>
      <c r="R62" s="288" t="s">
        <v>190</v>
      </c>
      <c r="S62" s="288" t="s">
        <v>190</v>
      </c>
      <c r="T62" s="288" t="s">
        <v>190</v>
      </c>
      <c r="U62" s="288" t="s">
        <v>190</v>
      </c>
      <c r="V62" s="290" t="s">
        <v>190</v>
      </c>
      <c r="W62" s="290" t="s">
        <v>190</v>
      </c>
    </row>
    <row r="63" spans="1:23" ht="15.75" x14ac:dyDescent="0.5">
      <c r="A63" s="288" t="s">
        <v>190</v>
      </c>
      <c r="B63" s="288" t="s">
        <v>190</v>
      </c>
      <c r="C63" s="288" t="s">
        <v>190</v>
      </c>
      <c r="D63" s="288" t="s">
        <v>190</v>
      </c>
      <c r="E63" s="368"/>
      <c r="F63" s="288"/>
      <c r="G63" s="288" t="s">
        <v>190</v>
      </c>
      <c r="H63" s="288" t="s">
        <v>190</v>
      </c>
      <c r="I63" s="288" t="s">
        <v>190</v>
      </c>
      <c r="J63" s="288" t="s">
        <v>190</v>
      </c>
      <c r="K63" s="288" t="s">
        <v>190</v>
      </c>
      <c r="L63" s="288" t="s">
        <v>190</v>
      </c>
      <c r="M63" s="288" t="s">
        <v>190</v>
      </c>
      <c r="N63" s="288" t="s">
        <v>190</v>
      </c>
      <c r="O63" s="288" t="s">
        <v>190</v>
      </c>
      <c r="P63" s="288" t="s">
        <v>190</v>
      </c>
      <c r="Q63" s="288" t="s">
        <v>190</v>
      </c>
      <c r="R63" s="288" t="s">
        <v>190</v>
      </c>
      <c r="S63" s="288" t="s">
        <v>190</v>
      </c>
      <c r="T63" s="288" t="s">
        <v>190</v>
      </c>
      <c r="U63" s="288" t="s">
        <v>190</v>
      </c>
      <c r="V63" s="290" t="s">
        <v>190</v>
      </c>
      <c r="W63" s="290" t="s">
        <v>190</v>
      </c>
    </row>
    <row r="64" spans="1:23" ht="15.75" x14ac:dyDescent="0.5">
      <c r="A64" s="288" t="s">
        <v>190</v>
      </c>
      <c r="B64" s="288" t="s">
        <v>190</v>
      </c>
      <c r="C64" s="288" t="s">
        <v>190</v>
      </c>
      <c r="D64" s="288" t="s">
        <v>190</v>
      </c>
      <c r="E64" s="368"/>
      <c r="F64" s="288"/>
      <c r="G64" s="288" t="s">
        <v>190</v>
      </c>
      <c r="H64" s="288" t="s">
        <v>190</v>
      </c>
      <c r="I64" s="288" t="s">
        <v>190</v>
      </c>
      <c r="J64" s="288" t="s">
        <v>190</v>
      </c>
      <c r="K64" s="288" t="s">
        <v>190</v>
      </c>
      <c r="L64" s="288" t="s">
        <v>190</v>
      </c>
      <c r="M64" s="288" t="s">
        <v>190</v>
      </c>
      <c r="N64" s="288" t="s">
        <v>190</v>
      </c>
      <c r="O64" s="288" t="s">
        <v>190</v>
      </c>
      <c r="P64" s="288" t="s">
        <v>190</v>
      </c>
      <c r="Q64" s="288" t="s">
        <v>190</v>
      </c>
      <c r="R64" s="288" t="s">
        <v>190</v>
      </c>
      <c r="S64" s="288" t="s">
        <v>190</v>
      </c>
      <c r="T64" s="288" t="s">
        <v>190</v>
      </c>
      <c r="U64" s="288" t="s">
        <v>190</v>
      </c>
      <c r="V64" s="290" t="s">
        <v>190</v>
      </c>
      <c r="W64" s="290" t="s">
        <v>190</v>
      </c>
    </row>
    <row r="65" spans="1:23" ht="15.75" x14ac:dyDescent="0.5">
      <c r="A65" s="288" t="s">
        <v>190</v>
      </c>
      <c r="B65" s="288" t="s">
        <v>190</v>
      </c>
      <c r="C65" s="288" t="s">
        <v>190</v>
      </c>
      <c r="D65" s="288" t="s">
        <v>190</v>
      </c>
      <c r="E65" s="368"/>
      <c r="F65" s="288"/>
      <c r="G65" s="288" t="s">
        <v>190</v>
      </c>
      <c r="H65" s="288" t="s">
        <v>190</v>
      </c>
      <c r="I65" s="288" t="s">
        <v>190</v>
      </c>
      <c r="J65" s="288" t="s">
        <v>190</v>
      </c>
      <c r="K65" s="288" t="s">
        <v>190</v>
      </c>
      <c r="L65" s="288" t="s">
        <v>190</v>
      </c>
      <c r="M65" s="288" t="s">
        <v>190</v>
      </c>
      <c r="N65" s="288" t="s">
        <v>190</v>
      </c>
      <c r="O65" s="288" t="s">
        <v>190</v>
      </c>
      <c r="P65" s="288" t="s">
        <v>190</v>
      </c>
      <c r="Q65" s="288" t="s">
        <v>190</v>
      </c>
      <c r="R65" s="288" t="s">
        <v>190</v>
      </c>
      <c r="S65" s="288" t="s">
        <v>190</v>
      </c>
      <c r="T65" s="288" t="s">
        <v>190</v>
      </c>
      <c r="U65" s="288" t="s">
        <v>190</v>
      </c>
      <c r="V65" s="290" t="s">
        <v>190</v>
      </c>
      <c r="W65" s="290" t="s">
        <v>190</v>
      </c>
    </row>
    <row r="66" spans="1:23" ht="15.75" x14ac:dyDescent="0.5">
      <c r="A66" s="290" t="s">
        <v>190</v>
      </c>
      <c r="B66" s="290" t="s">
        <v>190</v>
      </c>
      <c r="C66" s="290" t="s">
        <v>190</v>
      </c>
      <c r="D66" s="290" t="s">
        <v>190</v>
      </c>
      <c r="E66" s="368"/>
      <c r="F66" s="290"/>
      <c r="G66" s="290" t="s">
        <v>190</v>
      </c>
      <c r="H66" s="290" t="s">
        <v>190</v>
      </c>
      <c r="I66" s="290" t="s">
        <v>190</v>
      </c>
      <c r="J66" s="290" t="s">
        <v>190</v>
      </c>
      <c r="K66" s="290" t="s">
        <v>190</v>
      </c>
      <c r="L66" s="290" t="s">
        <v>190</v>
      </c>
      <c r="M66" s="290" t="s">
        <v>190</v>
      </c>
      <c r="N66" s="290" t="s">
        <v>190</v>
      </c>
      <c r="O66" s="290" t="s">
        <v>190</v>
      </c>
      <c r="P66" s="290" t="s">
        <v>190</v>
      </c>
      <c r="Q66" s="290" t="s">
        <v>190</v>
      </c>
      <c r="R66" s="290" t="s">
        <v>190</v>
      </c>
      <c r="S66" s="290" t="s">
        <v>190</v>
      </c>
      <c r="T66" s="290" t="s">
        <v>190</v>
      </c>
      <c r="U66" s="290" t="s">
        <v>190</v>
      </c>
      <c r="V66" s="290" t="s">
        <v>190</v>
      </c>
      <c r="W66" s="290" t="s">
        <v>190</v>
      </c>
    </row>
    <row r="67" spans="1:23" ht="14.25" x14ac:dyDescent="0.45">
      <c r="E67" s="246"/>
    </row>
    <row r="68" spans="1:23" ht="14.25" x14ac:dyDescent="0.45">
      <c r="E68" s="246"/>
    </row>
    <row r="69" spans="1:23" ht="14.25" x14ac:dyDescent="0.45">
      <c r="E69" s="246"/>
    </row>
    <row r="70" spans="1:23" ht="14.25" x14ac:dyDescent="0.45">
      <c r="E70" s="246"/>
    </row>
    <row r="71" spans="1:23" ht="14.25" x14ac:dyDescent="0.45">
      <c r="E71" s="246"/>
    </row>
    <row r="72" spans="1:23" ht="14.25" x14ac:dyDescent="0.45">
      <c r="E72" s="246"/>
    </row>
    <row r="73" spans="1:23" ht="14.25" x14ac:dyDescent="0.45">
      <c r="E73" s="246"/>
    </row>
    <row r="74" spans="1:23" ht="14.25" x14ac:dyDescent="0.45">
      <c r="E74" s="246"/>
    </row>
    <row r="75" spans="1:23" ht="14.25" x14ac:dyDescent="0.45">
      <c r="E75" s="246"/>
    </row>
    <row r="76" spans="1:23" ht="14.25" x14ac:dyDescent="0.45">
      <c r="E76" s="246"/>
    </row>
    <row r="77" spans="1:23" ht="14.25" x14ac:dyDescent="0.45">
      <c r="E77" s="246"/>
    </row>
    <row r="78" spans="1:23" ht="14.25" x14ac:dyDescent="0.45">
      <c r="E78" s="246"/>
    </row>
    <row r="79" spans="1:23" ht="14.25" x14ac:dyDescent="0.45">
      <c r="E79" s="246"/>
    </row>
    <row r="80" spans="1:23" ht="14.25" x14ac:dyDescent="0.45">
      <c r="E80" s="246"/>
    </row>
    <row r="81" spans="5:5" ht="14.25" x14ac:dyDescent="0.45">
      <c r="E81" s="246"/>
    </row>
    <row r="82" spans="5:5" ht="14.25" x14ac:dyDescent="0.45">
      <c r="E82" s="246"/>
    </row>
    <row r="83" spans="5:5" ht="14.25" x14ac:dyDescent="0.45">
      <c r="E83" s="246"/>
    </row>
    <row r="84" spans="5:5" ht="14.25" x14ac:dyDescent="0.45">
      <c r="E84" s="246"/>
    </row>
    <row r="85" spans="5:5" ht="14.25" x14ac:dyDescent="0.45">
      <c r="E85" s="246"/>
    </row>
  </sheetData>
  <hyperlinks>
    <hyperlink ref="E6" r:id="rId1" xr:uid="{048932D6-6788-4770-B8B4-E1BAB35EF59B}"/>
  </hyperlink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8099B-B60B-4ED0-9EC3-919002C0DA9E}">
  <dimension ref="A1:L59"/>
  <sheetViews>
    <sheetView showGridLines="0" zoomScale="90" zoomScaleNormal="90" workbookViewId="0">
      <selection activeCell="L54" sqref="L54"/>
    </sheetView>
  </sheetViews>
  <sheetFormatPr defaultColWidth="8.796875" defaultRowHeight="15.75" x14ac:dyDescent="0.5"/>
  <cols>
    <col min="1" max="1" width="14.1328125" style="45" customWidth="1"/>
    <col min="2" max="2" width="7.796875" style="45" customWidth="1"/>
    <col min="3" max="5" width="7.796875" style="70" customWidth="1"/>
    <col min="6" max="6" width="7.33203125" style="70" customWidth="1"/>
    <col min="7" max="10" width="9.796875" style="70" customWidth="1"/>
    <col min="11" max="11" width="65.796875" style="45" bestFit="1" customWidth="1"/>
    <col min="12" max="12" width="82.1328125" style="45" customWidth="1"/>
    <col min="13" max="16384" width="8.796875" style="45"/>
  </cols>
  <sheetData>
    <row r="1" spans="1:12" x14ac:dyDescent="0.5">
      <c r="C1" s="287" t="s">
        <v>294</v>
      </c>
      <c r="D1" s="287"/>
      <c r="E1" s="287"/>
    </row>
    <row r="2" spans="1:12" x14ac:dyDescent="0.5">
      <c r="B2" s="170" t="s">
        <v>13</v>
      </c>
      <c r="C2" s="171" t="s">
        <v>14</v>
      </c>
      <c r="D2" s="171" t="s">
        <v>15</v>
      </c>
      <c r="E2" s="172" t="s">
        <v>16</v>
      </c>
      <c r="F2" s="173" t="s">
        <v>17</v>
      </c>
      <c r="G2" s="173" t="s">
        <v>18</v>
      </c>
      <c r="H2" s="173" t="s">
        <v>19</v>
      </c>
      <c r="I2" s="173" t="s">
        <v>20</v>
      </c>
      <c r="J2" s="173" t="s">
        <v>21</v>
      </c>
    </row>
    <row r="3" spans="1:12" x14ac:dyDescent="0.5">
      <c r="A3" s="44" t="s">
        <v>295</v>
      </c>
      <c r="B3" s="44"/>
      <c r="E3" s="117"/>
    </row>
    <row r="4" spans="1:12" x14ac:dyDescent="0.5">
      <c r="A4" s="45" t="s">
        <v>296</v>
      </c>
      <c r="B4" s="215">
        <f>BS!B5/BS!B23</f>
        <v>0.95408083031923263</v>
      </c>
      <c r="C4" s="215">
        <f>BS!C5/BS!C23</f>
        <v>0.92479318124843324</v>
      </c>
      <c r="D4" s="215">
        <f>BS!D5/BS!D23</f>
        <v>0.6908542713567839</v>
      </c>
      <c r="E4" s="216">
        <f>BS!E5/BS!E23</f>
        <v>0.6755240625922645</v>
      </c>
      <c r="F4" s="215">
        <f>BS!F5/BS!F23</f>
        <v>0.56502499040265786</v>
      </c>
      <c r="G4" s="215">
        <f>BS!G5/BS!G23</f>
        <v>0.54851136862418004</v>
      </c>
      <c r="H4" s="215">
        <f>BS!H5/BS!H23</f>
        <v>0.5531044013772235</v>
      </c>
      <c r="I4" s="215">
        <f>BS!I5/BS!I23</f>
        <v>0.58321029705075489</v>
      </c>
      <c r="J4" s="215">
        <f>BS!J5/BS!J23</f>
        <v>0.70843510952072353</v>
      </c>
      <c r="K4" s="71" t="s">
        <v>297</v>
      </c>
    </row>
    <row r="5" spans="1:12" x14ac:dyDescent="0.5">
      <c r="A5" s="45" t="s">
        <v>298</v>
      </c>
      <c r="B5" s="70">
        <f>(BS!B5+BS!B6+BS!B9)/BS!B23</f>
        <v>1.3311841484510143</v>
      </c>
      <c r="C5" s="70">
        <f>(BS!C5+BS!C6+BS!C9)/BS!C23</f>
        <v>1.2311356229631487</v>
      </c>
      <c r="D5" s="70">
        <f>(BS!D5+BS!D6+BS!D9)/BS!D23</f>
        <v>1.0371859296482413</v>
      </c>
      <c r="E5" s="117">
        <f>(BS!E5+BS!E6+BS!E9)/BS!E23</f>
        <v>1.0615096939277631</v>
      </c>
      <c r="F5" s="70">
        <f>(BS!F5+BS!F6+BS!F9)/BS!F23</f>
        <v>0.987941660474698</v>
      </c>
      <c r="G5" s="70">
        <f>(BS!G5+BS!G6+BS!G9)/BS!G23</f>
        <v>0.98623971755515272</v>
      </c>
      <c r="H5" s="70">
        <f>(BS!H5+BS!H6+BS!H9)/BS!H23</f>
        <v>0.99262994957575645</v>
      </c>
      <c r="I5" s="70">
        <f>(BS!I5+BS!I6+BS!I9)/BS!I23</f>
        <v>0.97865167524232133</v>
      </c>
      <c r="J5" s="70">
        <f>(BS!J5+BS!J6+BS!J9)/BS!J23</f>
        <v>1.1543688930075846</v>
      </c>
      <c r="K5" s="71" t="s">
        <v>299</v>
      </c>
    </row>
    <row r="6" spans="1:12" x14ac:dyDescent="0.5">
      <c r="A6" s="72" t="s">
        <v>300</v>
      </c>
      <c r="B6" s="184">
        <f>BS!B10/BS!B23</f>
        <v>1.947790533102689</v>
      </c>
      <c r="C6" s="184">
        <f>BS!C10/BS!C23</f>
        <v>1.8627475557783906</v>
      </c>
      <c r="D6" s="184">
        <f>BS!D10/BS!D23</f>
        <v>1.6591959798994975</v>
      </c>
      <c r="E6" s="185">
        <f>BS!E10/BS!E23</f>
        <v>1.6907784666863497</v>
      </c>
      <c r="F6" s="184">
        <f>BS!F10/BS!F23</f>
        <v>1.5780857704126907</v>
      </c>
      <c r="G6" s="184">
        <f>BS!G10/BS!G23</f>
        <v>1.5926164324067444</v>
      </c>
      <c r="H6" s="184">
        <f>BS!H10/BS!H23</f>
        <v>1.6107354984102011</v>
      </c>
      <c r="I6" s="184">
        <f>BS!I10/BS!I23</f>
        <v>1.606778121116806</v>
      </c>
      <c r="J6" s="184">
        <f>BS!J10/BS!J23</f>
        <v>1.7872427183237014</v>
      </c>
      <c r="K6" s="71" t="s">
        <v>301</v>
      </c>
    </row>
    <row r="7" spans="1:12" x14ac:dyDescent="0.5">
      <c r="A7" s="45" t="s">
        <v>302</v>
      </c>
      <c r="B7" s="110"/>
      <c r="C7" s="110"/>
      <c r="D7" s="110"/>
      <c r="E7" s="111"/>
      <c r="F7" s="110"/>
      <c r="G7" s="110"/>
      <c r="H7" s="110"/>
      <c r="I7" s="110"/>
      <c r="J7" s="110"/>
    </row>
    <row r="8" spans="1:12" x14ac:dyDescent="0.5">
      <c r="A8" s="45" t="s">
        <v>303</v>
      </c>
      <c r="B8" s="217">
        <f>BS!B7/'IS '!C6*365</f>
        <v>226.29756341789053</v>
      </c>
      <c r="C8" s="217">
        <f>BS!C7/'IS '!D6*365</f>
        <v>207.85748303369448</v>
      </c>
      <c r="D8" s="217">
        <f>BS!D7/'IS '!E6*365</f>
        <v>216.01139457497226</v>
      </c>
      <c r="E8" s="218">
        <f>BS!E7/'IS '!F6*365</f>
        <v>194.99324446045759</v>
      </c>
      <c r="F8" s="217">
        <f>BS!F7/'IS '!G6*365</f>
        <v>194.17819959624572</v>
      </c>
      <c r="G8" s="217">
        <f>BS!G7/'IS '!H6*365</f>
        <v>200.24493695973302</v>
      </c>
      <c r="H8" s="217">
        <f>BS!H7/'IS '!I6*365</f>
        <v>204.65405648277806</v>
      </c>
      <c r="I8" s="217">
        <f>BS!I7/'IS '!J6*365</f>
        <v>208.26980044179621</v>
      </c>
      <c r="J8" s="217">
        <f>BS!J7/'IS '!K6*365</f>
        <v>209.92844609596273</v>
      </c>
      <c r="K8" s="71" t="s">
        <v>304</v>
      </c>
    </row>
    <row r="9" spans="1:12" x14ac:dyDescent="0.5">
      <c r="A9" s="45" t="s">
        <v>305</v>
      </c>
      <c r="B9" s="217">
        <f>BS!B17/'IS '!C8*365</f>
        <v>37.257785467128024</v>
      </c>
      <c r="C9" s="217">
        <f>BS!C17/'IS '!D8*365</f>
        <v>33.358905937291532</v>
      </c>
      <c r="D9" s="217">
        <f>BS!D17/'IS '!E8*365</f>
        <v>30.220199647680563</v>
      </c>
      <c r="E9" s="218">
        <f>BS!E17/'IS '!F8*365</f>
        <v>27.598509052183175</v>
      </c>
      <c r="F9" s="217">
        <f>BS!F17/'IS '!G8*365</f>
        <v>28.087428253804752</v>
      </c>
      <c r="G9" s="217">
        <f>BS!G17/'IS '!H8*365</f>
        <v>30.916752834388355</v>
      </c>
      <c r="H9" s="217">
        <f>BS!H17/'IS '!I8*365</f>
        <v>34.688878162134834</v>
      </c>
      <c r="I9" s="217">
        <f>BS!I17/'IS '!J8*365</f>
        <v>39.508252804984878</v>
      </c>
      <c r="J9" s="217">
        <f>BS!J17/'IS '!K8*365</f>
        <v>42.096727537130405</v>
      </c>
      <c r="K9" s="71" t="s">
        <v>306</v>
      </c>
    </row>
    <row r="10" spans="1:12" x14ac:dyDescent="0.5">
      <c r="A10" s="45" t="s">
        <v>307</v>
      </c>
      <c r="B10" s="107" t="s">
        <v>308</v>
      </c>
      <c r="C10" s="70" t="str">
        <f>B10</f>
        <v>-</v>
      </c>
      <c r="D10" s="70" t="str">
        <f t="shared" ref="D10:J10" si="0">C10</f>
        <v>-</v>
      </c>
      <c r="E10" s="117" t="str">
        <f t="shared" si="0"/>
        <v>-</v>
      </c>
      <c r="F10" s="70" t="str">
        <f t="shared" si="0"/>
        <v>-</v>
      </c>
      <c r="G10" s="70" t="str">
        <f t="shared" si="0"/>
        <v>-</v>
      </c>
      <c r="H10" s="70" t="str">
        <f t="shared" si="0"/>
        <v>-</v>
      </c>
      <c r="I10" s="70" t="str">
        <f t="shared" si="0"/>
        <v>-</v>
      </c>
      <c r="J10" s="70" t="str">
        <f t="shared" si="0"/>
        <v>-</v>
      </c>
      <c r="K10" s="71" t="s">
        <v>309</v>
      </c>
      <c r="L10" s="73" t="s">
        <v>310</v>
      </c>
    </row>
    <row r="11" spans="1:12" x14ac:dyDescent="0.5">
      <c r="A11" s="45" t="s">
        <v>311</v>
      </c>
      <c r="B11" s="107"/>
      <c r="E11" s="117"/>
    </row>
    <row r="12" spans="1:12" x14ac:dyDescent="0.5">
      <c r="A12" s="45" t="s">
        <v>312</v>
      </c>
      <c r="B12" s="257">
        <f>BS!B27/BS!B16</f>
        <v>0.65166326232856731</v>
      </c>
      <c r="C12" s="257">
        <f>BS!C27/BS!C16</f>
        <v>0.65332335702706068</v>
      </c>
      <c r="D12" s="257">
        <f>BS!D27/BS!D16</f>
        <v>0.60450472269314603</v>
      </c>
      <c r="E12" s="258">
        <f>BS!E27/BS!E16</f>
        <v>0.59864497351972901</v>
      </c>
      <c r="F12" s="257">
        <f>BS!F27/BS!F16</f>
        <v>0.64367696094943916</v>
      </c>
      <c r="G12" s="257">
        <f>BS!G27/BS!G16</f>
        <v>0.65427056525307525</v>
      </c>
      <c r="H12" s="257">
        <f>BS!H27/BS!H16</f>
        <v>0.64858530885860521</v>
      </c>
      <c r="I12" s="257">
        <f>BS!I27/BS!I16</f>
        <v>0.63197135406078808</v>
      </c>
      <c r="J12" s="257">
        <f>BS!J27/BS!J16</f>
        <v>0.60755402760100308</v>
      </c>
      <c r="K12" s="71" t="s">
        <v>313</v>
      </c>
    </row>
    <row r="13" spans="1:12" x14ac:dyDescent="0.5">
      <c r="A13" s="45" t="s">
        <v>314</v>
      </c>
      <c r="B13" s="257">
        <f>BS!B27/BS!B33</f>
        <v>1.8707853403141361</v>
      </c>
      <c r="C13" s="257">
        <f>BS!C27/BS!C33</f>
        <v>1.8845323741007194</v>
      </c>
      <c r="D13" s="257">
        <f>BS!D27/BS!D33</f>
        <v>1.5284751990202081</v>
      </c>
      <c r="E13" s="258">
        <f>BS!E27/BS!E33</f>
        <v>1.4915596766524013</v>
      </c>
      <c r="F13" s="257">
        <f>BS!F27/BS!F33</f>
        <v>1.8160344699529058</v>
      </c>
      <c r="G13" s="257">
        <f>BS!G27/BS!G33</f>
        <v>1.9073968815891444</v>
      </c>
      <c r="H13" s="257">
        <f>BS!H27/BS!H33</f>
        <v>1.8628253125420939</v>
      </c>
      <c r="I13" s="257">
        <f>BS!I27/BS!I33</f>
        <v>1.7343978475762447</v>
      </c>
      <c r="J13" s="257">
        <f>BS!J27/BS!J33</f>
        <v>1.5629943083646474</v>
      </c>
      <c r="K13" s="71" t="s">
        <v>315</v>
      </c>
    </row>
    <row r="14" spans="1:12" x14ac:dyDescent="0.5">
      <c r="A14" s="45" t="s">
        <v>316</v>
      </c>
      <c r="B14" s="257">
        <f>BS!B24/BS!B33</f>
        <v>0.41528795811518326</v>
      </c>
      <c r="C14" s="257">
        <f>BS!C24/BS!C33</f>
        <v>0.35737410071942444</v>
      </c>
      <c r="D14" s="257">
        <f>BS!D24/BS!D33</f>
        <v>0.24384568279240662</v>
      </c>
      <c r="E14" s="258">
        <f>BS!E24/BS!E33</f>
        <v>0.23716119828815976</v>
      </c>
      <c r="F14" s="257">
        <f>BS!F24/BS!F33</f>
        <v>0.24967876100500899</v>
      </c>
      <c r="G14" s="257">
        <f>BS!G24/BS!G33</f>
        <v>0.27390416934166095</v>
      </c>
      <c r="H14" s="257">
        <f>BS!H24/BS!H33</f>
        <v>0.26137232111907743</v>
      </c>
      <c r="I14" s="257">
        <f>BS!I24/BS!I33</f>
        <v>0.2407159820654346</v>
      </c>
      <c r="J14" s="257">
        <f>BS!J24/BS!J33</f>
        <v>0.21634129408394062</v>
      </c>
      <c r="K14" s="71" t="s">
        <v>317</v>
      </c>
    </row>
    <row r="15" spans="1:12" x14ac:dyDescent="0.5">
      <c r="A15" s="45" t="s">
        <v>318</v>
      </c>
      <c r="B15" s="70">
        <f>BS!B27/'IS '!C31</f>
        <v>30.697594501718214</v>
      </c>
      <c r="C15" s="70">
        <f>BS!C27/'IS '!D31</f>
        <v>6.0883207437536315</v>
      </c>
      <c r="D15" s="70">
        <f>BS!D27/'IS '!E31</f>
        <v>8.4667571234735419</v>
      </c>
      <c r="E15" s="117">
        <f>BS!E27/'IS '!F31</f>
        <v>5.043006430868167</v>
      </c>
      <c r="F15" s="70">
        <f>BS!F27/'IS '!G31</f>
        <v>4.6814129538102822</v>
      </c>
      <c r="G15" s="70">
        <f>BS!G27/'IS '!H31</f>
        <v>4.3054863135114037</v>
      </c>
      <c r="H15" s="70">
        <f>BS!H27/'IS '!I31</f>
        <v>3.9683984088962267</v>
      </c>
      <c r="I15" s="70">
        <f>BS!I27/'IS '!J31</f>
        <v>3.7000756263185015</v>
      </c>
      <c r="J15" s="70">
        <f>BS!J27/'IS '!K31</f>
        <v>3.5784802997996064</v>
      </c>
      <c r="K15" s="71" t="s">
        <v>319</v>
      </c>
    </row>
    <row r="16" spans="1:12" x14ac:dyDescent="0.5">
      <c r="A16" s="74" t="s">
        <v>320</v>
      </c>
      <c r="B16" s="259">
        <f>'IS '!C18/-'IS '!C21</f>
        <v>0.97945205479452058</v>
      </c>
      <c r="C16" s="259">
        <f>'IS '!D18/-'IS '!D21</f>
        <v>75.083333333333329</v>
      </c>
      <c r="D16" s="259">
        <f>'IS '!E18/-'IS '!E21</f>
        <v>18.289156626506024</v>
      </c>
      <c r="E16" s="260">
        <f>'IS '!F18/-'IS '!F21</f>
        <v>18.106382978723403</v>
      </c>
      <c r="F16" s="259">
        <f>'IS '!G18/-'IS '!G21</f>
        <v>19.974184397163114</v>
      </c>
      <c r="G16" s="259">
        <f>'IS '!H18/-'IS '!H21</f>
        <v>21.762778723404256</v>
      </c>
      <c r="H16" s="259">
        <f>'IS '!I18/-'IS '!I21</f>
        <v>23.475842652482282</v>
      </c>
      <c r="I16" s="259">
        <f>'IS '!J18/-'IS '!J21</f>
        <v>25.116874717872346</v>
      </c>
      <c r="J16" s="259">
        <f>'IS '!K18/-'IS '!K21</f>
        <v>25.972045225287946</v>
      </c>
      <c r="K16" s="71" t="s">
        <v>321</v>
      </c>
    </row>
    <row r="17" spans="1:11" x14ac:dyDescent="0.5">
      <c r="A17" s="45" t="s">
        <v>322</v>
      </c>
      <c r="B17" s="107"/>
      <c r="E17" s="117"/>
    </row>
    <row r="18" spans="1:11" x14ac:dyDescent="0.5">
      <c r="A18" s="74" t="s">
        <v>323</v>
      </c>
      <c r="B18" s="261">
        <f>'IS '!C25/BS!B33</f>
        <v>-7.3717277486910995E-2</v>
      </c>
      <c r="C18" s="261">
        <f>'IS '!D25/BS!C33</f>
        <v>0.34046762589928059</v>
      </c>
      <c r="D18" s="261">
        <f>'IS '!E25/BS!D33</f>
        <v>0.58689528475199015</v>
      </c>
      <c r="E18" s="262">
        <f>'IS '!F25/BS!E33</f>
        <v>0.31478839752734189</v>
      </c>
      <c r="F18" s="261">
        <f>'IS '!G25/BS!F33</f>
        <v>0.37551287059665578</v>
      </c>
      <c r="G18" s="261">
        <f>'IS '!H25/BS!G33</f>
        <v>0.4191609085685441</v>
      </c>
      <c r="H18" s="261">
        <f>'IS '!I25/BS!H33</f>
        <v>0.43924282395876185</v>
      </c>
      <c r="I18" s="261">
        <f>'IS '!J25/BS!I33</f>
        <v>0.43818509139161121</v>
      </c>
      <c r="J18" s="261">
        <f>'IS '!K25/BS!J33</f>
        <v>0.42157337536435679</v>
      </c>
      <c r="K18" s="71" t="s">
        <v>324</v>
      </c>
    </row>
    <row r="19" spans="1:11" x14ac:dyDescent="0.5">
      <c r="A19" s="45" t="s">
        <v>325</v>
      </c>
      <c r="B19" s="257">
        <f>'IS '!C25/BS!B16</f>
        <v>-2.5678435949810331E-2</v>
      </c>
      <c r="C19" s="257">
        <f>'IS '!D25/BS!C16</f>
        <v>0.11803217358772915</v>
      </c>
      <c r="D19" s="257">
        <f>'IS '!E25/BS!D16</f>
        <v>0.2321143133930734</v>
      </c>
      <c r="E19" s="258">
        <f>'IS '!F25/BS!E16</f>
        <v>0.12634190562526837</v>
      </c>
      <c r="F19" s="257">
        <f>'IS '!G25/BS!F16</f>
        <v>0.13309713408100865</v>
      </c>
      <c r="G19" s="257">
        <f>'IS '!H25/BS!G16</f>
        <v>0.14377953913432398</v>
      </c>
      <c r="H19" s="257">
        <f>'IS '!I25/BS!H16</f>
        <v>0.15293245197127522</v>
      </c>
      <c r="I19" s="257">
        <f>'IS '!J25/BS!I16</f>
        <v>0.15966372762915526</v>
      </c>
      <c r="J19" s="257">
        <f>'IS '!K25/BS!J16</f>
        <v>0.16387046373825279</v>
      </c>
      <c r="K19" s="71" t="s">
        <v>326</v>
      </c>
    </row>
    <row r="20" spans="1:11" x14ac:dyDescent="0.5">
      <c r="A20" s="45" t="s">
        <v>327</v>
      </c>
      <c r="B20" s="257"/>
      <c r="C20" s="257"/>
      <c r="D20" s="257"/>
      <c r="E20" s="258"/>
      <c r="F20" s="257"/>
      <c r="G20" s="257"/>
      <c r="H20" s="257"/>
      <c r="I20" s="257"/>
      <c r="J20" s="257"/>
      <c r="K20" s="71" t="s">
        <v>328</v>
      </c>
    </row>
    <row r="21" spans="1:11" ht="16.25" customHeight="1" x14ac:dyDescent="0.5">
      <c r="A21" s="45" t="s">
        <v>329</v>
      </c>
      <c r="B21" s="257">
        <f>'IS '!C9/'IS '!C6</f>
        <v>0.80707610146862485</v>
      </c>
      <c r="C21" s="257">
        <f>'IS '!D9/'IS '!D6</f>
        <v>0.82152637218716518</v>
      </c>
      <c r="D21" s="257">
        <f>'IS '!E9/'IS '!E6</f>
        <v>0.82827467984269432</v>
      </c>
      <c r="E21" s="258">
        <f>'IS '!F9/'IS '!F6</f>
        <v>0.83084128985768335</v>
      </c>
      <c r="F21" s="257">
        <f>'IS '!G9/'IS '!G6</f>
        <v>0.83929922536479906</v>
      </c>
      <c r="G21" s="257">
        <f>'IS '!H9/'IS '!H6</f>
        <v>0.84733426409655921</v>
      </c>
      <c r="H21" s="257">
        <f>'IS '!I9/'IS '!I6</f>
        <v>0.85496755089173126</v>
      </c>
      <c r="I21" s="257">
        <f>'IS '!J9/'IS '!J6</f>
        <v>0.86221917334714471</v>
      </c>
      <c r="J21" s="257">
        <f>'IS '!K9/'IS '!K6</f>
        <v>0.86</v>
      </c>
      <c r="K21" s="71" t="s">
        <v>330</v>
      </c>
    </row>
    <row r="22" spans="1:11" x14ac:dyDescent="0.5">
      <c r="A22" s="45" t="s">
        <v>331</v>
      </c>
      <c r="B22" s="257"/>
      <c r="C22" s="257"/>
      <c r="D22" s="257"/>
      <c r="E22" s="258"/>
      <c r="F22" s="257"/>
      <c r="G22" s="257"/>
      <c r="H22" s="257"/>
      <c r="I22" s="257"/>
      <c r="J22" s="257"/>
      <c r="K22" s="71" t="s">
        <v>332</v>
      </c>
    </row>
    <row r="23" spans="1:11" x14ac:dyDescent="0.5">
      <c r="A23" s="45" t="s">
        <v>333</v>
      </c>
      <c r="B23" s="257">
        <f>'IS '!B18/'IS '!B6</f>
        <v>-1.0627590290112492</v>
      </c>
      <c r="C23" s="257">
        <f>'IS '!C18/'IS '!C6</f>
        <v>7.1595460614152201E-2</v>
      </c>
      <c r="D23" s="257">
        <f>'IS '!D18/'IS '!D6</f>
        <v>0.21454935111322776</v>
      </c>
      <c r="E23" s="258">
        <f>'IS '!E18/'IS '!E6</f>
        <v>0.15307048502571341</v>
      </c>
      <c r="F23" s="257">
        <f>'IS '!F18/'IS '!F6</f>
        <v>0.2299585660241398</v>
      </c>
      <c r="G23" s="257">
        <f>'IS '!G18/'IS '!G6</f>
        <v>0.25368041794271295</v>
      </c>
      <c r="H23" s="257">
        <f>'IS '!H18/'IS '!H6</f>
        <v>0.27639630697171685</v>
      </c>
      <c r="I23" s="257">
        <f>'IS '!I18/'IS '!I6</f>
        <v>0.29815292866150256</v>
      </c>
      <c r="J23" s="257">
        <f>'IS '!J18/'IS '!J6</f>
        <v>0.31899471583678624</v>
      </c>
      <c r="K23" s="71" t="s">
        <v>334</v>
      </c>
    </row>
    <row r="24" spans="1:11" x14ac:dyDescent="0.5">
      <c r="A24" s="45" t="s">
        <v>335</v>
      </c>
      <c r="B24" s="257">
        <f>'IS '!C23/'IS '!C6</f>
        <v>-5.0066755674232306E-2</v>
      </c>
      <c r="C24" s="257">
        <f>'IS '!D23/'IS '!D6</f>
        <v>0.23681390641743064</v>
      </c>
      <c r="D24" s="257">
        <f>'IS '!E23/'IS '!E6</f>
        <v>0.21195926187355046</v>
      </c>
      <c r="E24" s="258">
        <f>'IS '!F23/'IS '!F6</f>
        <v>0.28733561520446765</v>
      </c>
      <c r="F24" s="257">
        <f>'IS '!G23/'IS '!G6</f>
        <v>0.30417302298562893</v>
      </c>
      <c r="G24" s="257">
        <f>'IS '!H23/'IS '!H6</f>
        <v>0.32507951362478604</v>
      </c>
      <c r="H24" s="257">
        <f>'IS '!I23/'IS '!I6</f>
        <v>0.34747380167295466</v>
      </c>
      <c r="I24" s="257">
        <f>'IS '!J23/'IS '!J6</f>
        <v>0.37187619263214117</v>
      </c>
      <c r="J24" s="257">
        <f>'IS '!K23/'IS '!K6</f>
        <v>0.39728582752211861</v>
      </c>
      <c r="K24" s="71" t="s">
        <v>336</v>
      </c>
    </row>
    <row r="25" spans="1:11" x14ac:dyDescent="0.5">
      <c r="A25" s="45" t="s">
        <v>337</v>
      </c>
      <c r="B25" s="257">
        <f>'IS '!C25/'IS '!C6</f>
        <v>-5.8744993324432573E-2</v>
      </c>
      <c r="C25" s="257">
        <f>'IS '!D25/'IS '!D6</f>
        <v>0.22538397428265269</v>
      </c>
      <c r="D25" s="257">
        <f>'IS '!E25/'IS '!E6</f>
        <v>0.48321064838156702</v>
      </c>
      <c r="E25" s="258">
        <f>'IS '!F25/'IS '!F6</f>
        <v>0.23851558277787785</v>
      </c>
      <c r="F25" s="257">
        <f>'IS '!G25/'IS '!G6</f>
        <v>0.24029668815864683</v>
      </c>
      <c r="G25" s="257">
        <f>'IS '!H25/'IS '!H6</f>
        <v>0.256812815763581</v>
      </c>
      <c r="H25" s="257">
        <f>'IS '!I25/'IS '!I6</f>
        <v>0.27450430332163417</v>
      </c>
      <c r="I25" s="257">
        <f>'IS '!J25/'IS '!J6</f>
        <v>0.2937821921793915</v>
      </c>
      <c r="J25" s="257">
        <f>'IS '!K25/'IS '!K6</f>
        <v>0.31385580374247368</v>
      </c>
      <c r="K25" s="71" t="s">
        <v>338</v>
      </c>
    </row>
    <row r="26" spans="1:11" x14ac:dyDescent="0.5">
      <c r="A26" s="45" t="s">
        <v>339</v>
      </c>
      <c r="B26" s="257"/>
      <c r="C26" s="257"/>
      <c r="D26" s="257"/>
      <c r="E26" s="258"/>
      <c r="F26" s="257"/>
      <c r="G26" s="257"/>
      <c r="H26" s="257"/>
      <c r="I26" s="257"/>
      <c r="J26" s="257"/>
    </row>
    <row r="27" spans="1:11" x14ac:dyDescent="0.5">
      <c r="A27" s="45" t="s">
        <v>340</v>
      </c>
      <c r="B27" s="257">
        <f>('IS '!C6/'IS '!B6)-1</f>
        <v>0.77383066903493192</v>
      </c>
      <c r="C27" s="257">
        <f>('IS '!D6/'IS '!C6)-1</f>
        <v>0.401702269692924</v>
      </c>
      <c r="D27" s="257">
        <f>('IS '!E6/'IS '!D6)-1</f>
        <v>0.18073580188117644</v>
      </c>
      <c r="E27" s="258">
        <f>('IS '!F6/'IS '!E6)-1</f>
        <v>0.11949178178884745</v>
      </c>
      <c r="F27" s="257">
        <f>('IS '!G6/'IS '!F6)-1</f>
        <v>0.12470109543612717</v>
      </c>
      <c r="G27" s="257">
        <f>('IS '!H6/'IS '!G6)-1</f>
        <v>4.7279690303061894E-2</v>
      </c>
      <c r="H27" s="257">
        <f>('IS '!I6/'IS '!H6)-1</f>
        <v>2.7378530488170849E-2</v>
      </c>
      <c r="I27" s="257">
        <f>('IS '!J6/'IS '!I6)-1</f>
        <v>1.2118308703957137E-2</v>
      </c>
      <c r="J27" s="257">
        <f>('IS '!K6/'IS '!J6)-1</f>
        <v>2.019985181320294E-3</v>
      </c>
      <c r="K27" s="45" t="s">
        <v>341</v>
      </c>
    </row>
    <row r="28" spans="1:11" x14ac:dyDescent="0.5">
      <c r="A28" s="45" t="s">
        <v>342</v>
      </c>
      <c r="B28" s="101">
        <f>('IS '!C18/'IS '!B18)-1</f>
        <v>-1.1194986072423398</v>
      </c>
      <c r="C28" s="101">
        <f>('IS '!D18/'IS '!C18)-1</f>
        <v>3.2004662004662006</v>
      </c>
      <c r="D28" s="101">
        <f>('IS '!E18/'IS '!D18)-1</f>
        <v>-0.15760266370699227</v>
      </c>
      <c r="E28" s="102">
        <f>('IS '!F18/'IS '!E18)-1</f>
        <v>0.68181818181818188</v>
      </c>
      <c r="F28" s="101">
        <f>('IS '!G18/'IS '!F18)-1</f>
        <v>0.24072196519486511</v>
      </c>
      <c r="G28" s="101">
        <f>('IS '!H18/'IS '!G18)-1</f>
        <v>0.14105866394314082</v>
      </c>
      <c r="H28" s="101">
        <f>('IS '!I18/'IS '!H18)-1</f>
        <v>0.10824895261840006</v>
      </c>
      <c r="I28" s="101">
        <f>('IS '!J18/'IS '!I18)-1</f>
        <v>8.2868425031557225E-2</v>
      </c>
      <c r="J28" s="101">
        <f>('IS '!K18/'IS '!J18)-1</f>
        <v>3.6136408852388779E-2</v>
      </c>
      <c r="K28" s="45" t="s">
        <v>343</v>
      </c>
    </row>
    <row r="29" spans="1:11" x14ac:dyDescent="0.5">
      <c r="A29" s="45" t="s">
        <v>344</v>
      </c>
      <c r="B29" s="101">
        <f>('IS '!C25/'IS '!B25)-1</f>
        <v>-0.92634442351956481</v>
      </c>
      <c r="C29" s="101">
        <f>('IS '!D25/'IS '!C25)-1</f>
        <v>-6.3778409090909092</v>
      </c>
      <c r="D29" s="101">
        <f>('IS '!E25/'IS '!D25)-1</f>
        <v>1.5314315900686739</v>
      </c>
      <c r="E29" s="102">
        <f>('IS '!F25/'IS '!E25)-1</f>
        <v>-0.44741235392320533</v>
      </c>
      <c r="F29" s="101">
        <f>('IS '!G25/'IS '!F25)-1</f>
        <v>0.13309975496816939</v>
      </c>
      <c r="G29" s="101">
        <f>('IS '!H25/'IS '!G25)-1</f>
        <v>0.11926156044719649</v>
      </c>
      <c r="H29" s="101">
        <f>('IS '!I25/'IS '!H25)-1</f>
        <v>9.8153248001781934E-2</v>
      </c>
      <c r="I29" s="101">
        <f>('IS '!J25/'IS '!I25)-1</f>
        <v>8.3197355662411265E-2</v>
      </c>
      <c r="J29" s="101">
        <f>('IS '!K25/'IS '!J25)-1</f>
        <v>7.0486217976986065E-2</v>
      </c>
      <c r="K29" s="45" t="s">
        <v>345</v>
      </c>
    </row>
    <row r="31" spans="1:11" x14ac:dyDescent="0.5">
      <c r="B31" s="170" t="s">
        <v>13</v>
      </c>
      <c r="C31" s="171" t="s">
        <v>14</v>
      </c>
      <c r="D31" s="171" t="s">
        <v>15</v>
      </c>
      <c r="E31" s="172" t="s">
        <v>16</v>
      </c>
      <c r="F31" s="173" t="s">
        <v>17</v>
      </c>
      <c r="G31" s="173" t="s">
        <v>18</v>
      </c>
      <c r="H31" s="173" t="s">
        <v>19</v>
      </c>
      <c r="I31" s="173" t="s">
        <v>20</v>
      </c>
      <c r="J31" s="173" t="s">
        <v>21</v>
      </c>
    </row>
    <row r="32" spans="1:11" x14ac:dyDescent="0.5">
      <c r="A32" s="269" t="s">
        <v>300</v>
      </c>
      <c r="B32" s="263">
        <v>1.947790533102689</v>
      </c>
      <c r="C32" s="263">
        <v>1.8627475557783906</v>
      </c>
      <c r="D32" s="263">
        <v>1.6591959798994975</v>
      </c>
      <c r="E32" s="266">
        <v>1.6907784666863497</v>
      </c>
      <c r="F32" s="263">
        <v>1.5780857704126907</v>
      </c>
      <c r="G32" s="263">
        <v>1.5926164324067444</v>
      </c>
      <c r="H32" s="263">
        <v>1.6107354984102011</v>
      </c>
      <c r="I32" s="263">
        <v>1.606778121116806</v>
      </c>
      <c r="J32" s="263">
        <v>1.7872427183237014</v>
      </c>
    </row>
    <row r="33" spans="1:10" ht="31.5" x14ac:dyDescent="0.5">
      <c r="A33" s="269" t="s">
        <v>333</v>
      </c>
      <c r="B33" s="267">
        <v>-1.0627590290112492</v>
      </c>
      <c r="C33" s="257">
        <v>7.1595460614152201E-2</v>
      </c>
      <c r="D33" s="257">
        <v>0.21454935111322776</v>
      </c>
      <c r="E33" s="264">
        <v>0.15307048502571341</v>
      </c>
      <c r="F33" s="257">
        <v>0.2299585660241398</v>
      </c>
      <c r="G33" s="257">
        <v>0.25368041794271295</v>
      </c>
      <c r="H33" s="257">
        <v>0.27639630697171685</v>
      </c>
      <c r="I33" s="257">
        <v>0.29815292866150256</v>
      </c>
      <c r="J33" s="257">
        <v>0.31899471583678624</v>
      </c>
    </row>
    <row r="34" spans="1:10" ht="31.5" x14ac:dyDescent="0.5">
      <c r="A34" s="269" t="s">
        <v>340</v>
      </c>
      <c r="B34" s="268">
        <v>0.77383066903493192</v>
      </c>
      <c r="C34" s="237">
        <v>0.401702269692924</v>
      </c>
      <c r="D34" s="237">
        <v>0.18073580188117644</v>
      </c>
      <c r="E34" s="265">
        <v>0.11949178178884745</v>
      </c>
      <c r="F34" s="237">
        <v>0.12470109543612717</v>
      </c>
      <c r="G34" s="237">
        <v>4.7279690303061894E-2</v>
      </c>
      <c r="H34" s="237">
        <v>2.7378530488170849E-2</v>
      </c>
      <c r="I34" s="237">
        <v>1.2118308703957137E-2</v>
      </c>
      <c r="J34" s="237">
        <v>2.019985181320294E-3</v>
      </c>
    </row>
    <row r="35" spans="1:10" ht="41" customHeight="1" x14ac:dyDescent="0.5">
      <c r="A35" s="269" t="s">
        <v>323</v>
      </c>
      <c r="B35" s="257">
        <v>-7.3717277486910995E-2</v>
      </c>
      <c r="C35" s="257">
        <v>0.34046762589928059</v>
      </c>
      <c r="D35" s="257">
        <v>0.58689528475199015</v>
      </c>
      <c r="E35" s="264">
        <v>0.31478839752734189</v>
      </c>
      <c r="F35" s="257">
        <v>0.37551287059665578</v>
      </c>
      <c r="G35" s="257">
        <v>0.4191609085685441</v>
      </c>
      <c r="H35" s="257">
        <v>0.43924282395876185</v>
      </c>
      <c r="I35" s="257">
        <v>0.43818509139161121</v>
      </c>
      <c r="J35" s="257">
        <v>0.42157337536435679</v>
      </c>
    </row>
    <row r="37" spans="1:10" x14ac:dyDescent="0.5">
      <c r="A37" s="28"/>
      <c r="B37" s="28"/>
    </row>
    <row r="38" spans="1:10" x14ac:dyDescent="0.5">
      <c r="A38" s="28"/>
      <c r="B38" s="28"/>
    </row>
    <row r="39" spans="1:10" x14ac:dyDescent="0.5">
      <c r="A39" s="28"/>
      <c r="B39" s="28"/>
    </row>
    <row r="40" spans="1:10" x14ac:dyDescent="0.5">
      <c r="A40" s="28"/>
      <c r="B40" s="28"/>
    </row>
    <row r="41" spans="1:10" x14ac:dyDescent="0.5">
      <c r="A41" s="28"/>
      <c r="B41" s="28"/>
    </row>
    <row r="44" spans="1:10" x14ac:dyDescent="0.5">
      <c r="C44" s="45"/>
      <c r="D44" s="45"/>
      <c r="E44" s="45"/>
      <c r="F44" s="45"/>
      <c r="G44" s="45"/>
      <c r="H44" s="45"/>
      <c r="I44" s="45"/>
      <c r="J44" s="45"/>
    </row>
    <row r="45" spans="1:10" x14ac:dyDescent="0.5">
      <c r="C45" s="45"/>
      <c r="D45" s="45"/>
      <c r="E45" s="45"/>
      <c r="F45" s="45"/>
      <c r="G45" s="45"/>
      <c r="H45" s="45"/>
      <c r="I45" s="45"/>
      <c r="J45" s="45"/>
    </row>
    <row r="46" spans="1:10" x14ac:dyDescent="0.5">
      <c r="C46" s="45"/>
      <c r="D46" s="45"/>
      <c r="E46" s="45"/>
      <c r="F46" s="45"/>
      <c r="G46" s="45"/>
      <c r="H46" s="45"/>
      <c r="I46" s="45"/>
      <c r="J46" s="45"/>
    </row>
    <row r="47" spans="1:10" x14ac:dyDescent="0.5">
      <c r="C47" s="45"/>
      <c r="D47" s="45"/>
      <c r="E47" s="45"/>
      <c r="F47" s="45"/>
      <c r="G47" s="45"/>
      <c r="H47" s="45"/>
      <c r="I47" s="45"/>
      <c r="J47" s="45"/>
    </row>
    <row r="48" spans="1:10" x14ac:dyDescent="0.5">
      <c r="A48" s="71"/>
      <c r="C48" s="45"/>
      <c r="D48" s="71"/>
      <c r="E48" s="45"/>
      <c r="F48" s="71"/>
      <c r="G48" s="45"/>
      <c r="H48" s="71"/>
      <c r="I48" s="45"/>
      <c r="J48" s="45"/>
    </row>
    <row r="49" spans="1:10" x14ac:dyDescent="0.5">
      <c r="A49" s="71"/>
      <c r="C49" s="45"/>
      <c r="D49" s="71"/>
      <c r="E49" s="45"/>
      <c r="F49" s="71"/>
      <c r="G49" s="45"/>
      <c r="H49" s="71"/>
      <c r="I49" s="45"/>
      <c r="J49" s="45"/>
    </row>
    <row r="50" spans="1:10" x14ac:dyDescent="0.5">
      <c r="A50" s="71"/>
      <c r="C50" s="45"/>
      <c r="D50" s="71"/>
      <c r="E50" s="45"/>
      <c r="F50" s="71"/>
      <c r="G50" s="45"/>
      <c r="H50" s="71"/>
      <c r="I50" s="45"/>
      <c r="J50" s="71"/>
    </row>
    <row r="51" spans="1:10" x14ac:dyDescent="0.5">
      <c r="C51" s="45"/>
      <c r="D51" s="45"/>
      <c r="E51" s="45"/>
      <c r="F51" s="45"/>
      <c r="G51" s="45"/>
      <c r="H51" s="45"/>
      <c r="I51" s="45"/>
      <c r="J51" s="45"/>
    </row>
    <row r="52" spans="1:10" x14ac:dyDescent="0.5">
      <c r="C52" s="45"/>
      <c r="D52" s="45"/>
      <c r="E52" s="45"/>
      <c r="F52" s="45"/>
      <c r="G52" s="45"/>
      <c r="H52" s="45"/>
      <c r="I52" s="45"/>
      <c r="J52" s="45"/>
    </row>
    <row r="53" spans="1:10" x14ac:dyDescent="0.5">
      <c r="C53" s="45"/>
      <c r="D53" s="45"/>
      <c r="E53" s="45"/>
      <c r="F53" s="45"/>
      <c r="G53" s="45"/>
      <c r="H53" s="45"/>
      <c r="I53" s="45"/>
      <c r="J53" s="45"/>
    </row>
    <row r="54" spans="1:10" x14ac:dyDescent="0.5">
      <c r="C54" s="45"/>
      <c r="D54" s="45"/>
      <c r="E54" s="45"/>
      <c r="F54" s="45"/>
      <c r="G54" s="45"/>
      <c r="H54" s="45"/>
      <c r="I54" s="45"/>
      <c r="J54" s="45"/>
    </row>
    <row r="55" spans="1:10" x14ac:dyDescent="0.5">
      <c r="C55" s="45"/>
      <c r="D55" s="45"/>
      <c r="E55" s="45"/>
      <c r="F55" s="45"/>
      <c r="G55" s="45"/>
      <c r="H55" s="45"/>
      <c r="I55" s="45"/>
      <c r="J55" s="45"/>
    </row>
    <row r="56" spans="1:10" x14ac:dyDescent="0.5">
      <c r="C56" s="45"/>
      <c r="D56" s="45"/>
      <c r="E56" s="45"/>
      <c r="F56" s="45"/>
      <c r="G56" s="45"/>
      <c r="H56" s="45"/>
      <c r="I56" s="45"/>
      <c r="J56" s="45"/>
    </row>
    <row r="57" spans="1:10" x14ac:dyDescent="0.5">
      <c r="C57" s="45"/>
      <c r="D57" s="45"/>
      <c r="E57" s="45"/>
      <c r="F57" s="45"/>
      <c r="G57" s="45"/>
      <c r="H57" s="45"/>
      <c r="I57" s="45"/>
      <c r="J57" s="45"/>
    </row>
    <row r="58" spans="1:10" x14ac:dyDescent="0.5">
      <c r="C58" s="45"/>
      <c r="D58" s="45"/>
      <c r="E58" s="45"/>
      <c r="F58" s="45"/>
      <c r="G58" s="45"/>
      <c r="H58" s="45"/>
      <c r="I58" s="45"/>
      <c r="J58" s="45"/>
    </row>
    <row r="59" spans="1:10" x14ac:dyDescent="0.5">
      <c r="C59" s="45"/>
      <c r="D59" s="45"/>
      <c r="E59" s="45"/>
      <c r="F59" s="45"/>
      <c r="G59" s="45"/>
      <c r="H59" s="45"/>
      <c r="I59" s="45"/>
      <c r="J59" s="45"/>
    </row>
  </sheetData>
  <mergeCells count="1">
    <mergeCell ref="C1:E1"/>
  </mergeCells>
  <conditionalFormatting sqref="A3:J29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22BAA-04E8-4D3D-AFCD-9A0532FE37A5}">
  <dimension ref="A1:E16"/>
  <sheetViews>
    <sheetView zoomScale="140" zoomScaleNormal="140" workbookViewId="0">
      <selection activeCell="G9" sqref="G9"/>
    </sheetView>
  </sheetViews>
  <sheetFormatPr defaultColWidth="8.796875" defaultRowHeight="12.75" x14ac:dyDescent="0.35"/>
  <cols>
    <col min="1" max="1" width="20.1328125" bestFit="1" customWidth="1"/>
    <col min="2" max="2" width="13.46484375" bestFit="1" customWidth="1"/>
    <col min="3" max="3" width="15.1328125" bestFit="1" customWidth="1"/>
    <col min="4" max="4" width="10.6640625" bestFit="1" customWidth="1"/>
    <col min="5" max="5" width="11.33203125" bestFit="1" customWidth="1"/>
    <col min="7" max="7" width="11.796875" bestFit="1" customWidth="1"/>
    <col min="8" max="8" width="10.46484375" bestFit="1" customWidth="1"/>
  </cols>
  <sheetData>
    <row r="1" spans="1:5" ht="13.15" x14ac:dyDescent="0.4">
      <c r="A1" s="270" t="s">
        <v>369</v>
      </c>
      <c r="B1" s="255" t="s">
        <v>143</v>
      </c>
      <c r="C1" s="255" t="s">
        <v>370</v>
      </c>
      <c r="D1" s="255" t="s">
        <v>371</v>
      </c>
      <c r="E1" s="255" t="s">
        <v>372</v>
      </c>
    </row>
    <row r="2" spans="1:5" ht="13.15" x14ac:dyDescent="0.4">
      <c r="A2" s="255" t="s">
        <v>191</v>
      </c>
      <c r="B2" s="271">
        <v>2648</v>
      </c>
      <c r="C2" s="271">
        <v>2553</v>
      </c>
      <c r="D2" s="254">
        <v>30.74</v>
      </c>
      <c r="E2" s="254">
        <v>7.07</v>
      </c>
    </row>
    <row r="3" spans="1:5" ht="13.15" x14ac:dyDescent="0.4">
      <c r="A3" s="255" t="s">
        <v>373</v>
      </c>
      <c r="B3" s="271">
        <v>5882</v>
      </c>
      <c r="C3" s="271">
        <v>7550</v>
      </c>
      <c r="D3" s="254">
        <v>21.806619999999999</v>
      </c>
      <c r="E3" s="254">
        <v>6.9351310000000002</v>
      </c>
    </row>
    <row r="4" spans="1:5" ht="13.15" x14ac:dyDescent="0.4">
      <c r="A4" s="255" t="s">
        <v>374</v>
      </c>
      <c r="B4" s="271">
        <v>1234</v>
      </c>
      <c r="C4" s="271">
        <v>1646</v>
      </c>
      <c r="D4" s="254">
        <v>15.57108</v>
      </c>
      <c r="E4" s="254">
        <v>1.872169</v>
      </c>
    </row>
    <row r="5" spans="1:5" ht="13.15" x14ac:dyDescent="0.4">
      <c r="A5" s="255"/>
      <c r="B5" s="254"/>
      <c r="C5" s="254"/>
      <c r="D5" s="254"/>
      <c r="E5" s="254"/>
    </row>
    <row r="6" spans="1:5" ht="13.15" x14ac:dyDescent="0.4">
      <c r="A6" s="255"/>
      <c r="B6" s="254"/>
      <c r="C6" s="254"/>
      <c r="D6" s="254"/>
      <c r="E6" s="254"/>
    </row>
    <row r="7" spans="1:5" ht="13.15" x14ac:dyDescent="0.4">
      <c r="A7" s="255"/>
    </row>
    <row r="10" spans="1:5" x14ac:dyDescent="0.35">
      <c r="A10" t="s">
        <v>375</v>
      </c>
      <c r="B10" t="s">
        <v>191</v>
      </c>
      <c r="C10" t="s">
        <v>373</v>
      </c>
      <c r="D10" t="s">
        <v>374</v>
      </c>
    </row>
    <row r="11" spans="1:5" x14ac:dyDescent="0.35">
      <c r="A11" t="s">
        <v>376</v>
      </c>
      <c r="B11" s="254">
        <v>0.31</v>
      </c>
      <c r="C11" s="254">
        <v>-1.4631799999999999</v>
      </c>
      <c r="D11" s="254">
        <v>0.79800000000000004</v>
      </c>
    </row>
    <row r="12" spans="1:5" x14ac:dyDescent="0.35">
      <c r="A12" t="s">
        <v>377</v>
      </c>
      <c r="B12" s="254">
        <f>'FR%'!E19</f>
        <v>0.12634190562526837</v>
      </c>
      <c r="C12" s="254">
        <v>0.21229999999999999</v>
      </c>
      <c r="D12" s="254">
        <v>5.5E-2</v>
      </c>
    </row>
    <row r="13" spans="1:5" x14ac:dyDescent="0.35">
      <c r="A13" t="s">
        <v>329</v>
      </c>
      <c r="B13" s="254">
        <f>'FR%'!E21</f>
        <v>0.83084128985768335</v>
      </c>
      <c r="C13" s="254">
        <v>1</v>
      </c>
      <c r="D13" s="254">
        <v>1</v>
      </c>
    </row>
    <row r="14" spans="1:5" x14ac:dyDescent="0.35">
      <c r="A14" t="s">
        <v>333</v>
      </c>
      <c r="B14" s="254">
        <f>'FR%'!E23</f>
        <v>0.15307048502571341</v>
      </c>
      <c r="C14" s="254">
        <v>0.31830000000000003</v>
      </c>
      <c r="D14" s="254">
        <v>9.6000000000000002E-2</v>
      </c>
    </row>
    <row r="15" spans="1:5" x14ac:dyDescent="0.35">
      <c r="A15" t="s">
        <v>335</v>
      </c>
      <c r="B15" s="254">
        <f>'FR%'!E24</f>
        <v>0.28733561520446765</v>
      </c>
      <c r="C15" s="254">
        <v>0.28029999999999999</v>
      </c>
      <c r="D15" s="254">
        <v>0.105</v>
      </c>
    </row>
    <row r="16" spans="1:5" x14ac:dyDescent="0.35">
      <c r="A16" t="s">
        <v>337</v>
      </c>
      <c r="B16" s="254">
        <f>'FR%'!E25</f>
        <v>0.23851558277787785</v>
      </c>
      <c r="C16" s="254">
        <v>0.24779999999999999</v>
      </c>
      <c r="D16" s="254">
        <v>8.8999999999999996E-2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208AD-088D-434B-9086-04862EB82C41}">
  <dimension ref="A1:AD77"/>
  <sheetViews>
    <sheetView showGridLines="0" topLeftCell="A67" zoomScale="85" zoomScaleNormal="85" workbookViewId="0">
      <selection activeCell="L79" sqref="L79"/>
    </sheetView>
  </sheetViews>
  <sheetFormatPr defaultColWidth="28.33203125" defaultRowHeight="12.75" x14ac:dyDescent="0.35"/>
  <cols>
    <col min="1" max="1" width="14.9296875" customWidth="1"/>
    <col min="2" max="5" width="9.6640625" bestFit="1" customWidth="1"/>
    <col min="6" max="6" width="6.6640625" bestFit="1" customWidth="1"/>
    <col min="7" max="11" width="9.1328125" bestFit="1" customWidth="1"/>
    <col min="12" max="12" width="88.6640625" bestFit="1" customWidth="1"/>
    <col min="27" max="27" width="5.1328125" bestFit="1" customWidth="1"/>
    <col min="28" max="28" width="9" bestFit="1" customWidth="1"/>
    <col min="29" max="29" width="3.46484375" bestFit="1" customWidth="1"/>
    <col min="30" max="30" width="9" bestFit="1" customWidth="1"/>
  </cols>
  <sheetData>
    <row r="1" spans="1:30" x14ac:dyDescent="0.35">
      <c r="A1" s="2" t="s">
        <v>346</v>
      </c>
      <c r="AA1" s="89">
        <v>2023</v>
      </c>
      <c r="AB1" s="89" t="s">
        <v>347</v>
      </c>
      <c r="AC1" s="90">
        <v>2024</v>
      </c>
      <c r="AD1" s="89" t="s">
        <v>347</v>
      </c>
    </row>
    <row r="2" spans="1:30" ht="17.649999999999999" x14ac:dyDescent="0.35">
      <c r="A2" s="2" t="s">
        <v>348</v>
      </c>
      <c r="AA2" s="89"/>
      <c r="AB2" s="89"/>
      <c r="AC2" s="88"/>
      <c r="AD2" s="89"/>
    </row>
    <row r="3" spans="1:30" ht="13.15" x14ac:dyDescent="0.35">
      <c r="A3" s="92" t="s">
        <v>349</v>
      </c>
      <c r="B3" s="91">
        <v>2020</v>
      </c>
      <c r="C3" s="91">
        <v>2021</v>
      </c>
      <c r="D3" s="91">
        <v>2022</v>
      </c>
      <c r="E3" s="91">
        <v>2023</v>
      </c>
      <c r="F3" s="91">
        <v>2024</v>
      </c>
      <c r="G3" s="91"/>
    </row>
    <row r="4" spans="1:30" x14ac:dyDescent="0.35">
      <c r="A4" s="93" t="s">
        <v>350</v>
      </c>
      <c r="B4" s="93">
        <v>75.5</v>
      </c>
      <c r="C4" s="93">
        <v>114</v>
      </c>
      <c r="D4" s="93">
        <v>133</v>
      </c>
      <c r="E4" s="93">
        <v>146</v>
      </c>
      <c r="F4" s="93">
        <v>154</v>
      </c>
      <c r="G4" s="97"/>
    </row>
    <row r="5" spans="1:30" x14ac:dyDescent="0.35">
      <c r="A5" s="93" t="s">
        <v>351</v>
      </c>
      <c r="B5" s="93">
        <v>67.7</v>
      </c>
      <c r="C5" s="93">
        <v>118.1</v>
      </c>
      <c r="D5" s="93">
        <v>168</v>
      </c>
      <c r="E5" s="93">
        <v>187</v>
      </c>
      <c r="F5" s="93">
        <v>201</v>
      </c>
      <c r="G5" s="97"/>
    </row>
    <row r="6" spans="1:30" x14ac:dyDescent="0.35">
      <c r="A6" s="93" t="s">
        <v>352</v>
      </c>
      <c r="B6" s="93">
        <v>22.4</v>
      </c>
      <c r="C6" s="93">
        <v>38.799999999999997</v>
      </c>
      <c r="D6" s="93">
        <v>53</v>
      </c>
      <c r="E6" s="93">
        <v>64</v>
      </c>
      <c r="F6" s="93">
        <v>76</v>
      </c>
      <c r="G6" s="97"/>
    </row>
    <row r="7" spans="1:30" x14ac:dyDescent="0.35">
      <c r="A7" s="93" t="s">
        <v>353</v>
      </c>
      <c r="B7" s="93">
        <v>27.6</v>
      </c>
      <c r="C7" s="93">
        <v>29.7</v>
      </c>
      <c r="D7" s="93">
        <v>40</v>
      </c>
      <c r="E7" s="93">
        <v>51</v>
      </c>
      <c r="F7" s="93">
        <v>61</v>
      </c>
      <c r="G7" s="97"/>
    </row>
    <row r="8" spans="1:30" ht="13.15" x14ac:dyDescent="0.35">
      <c r="A8" s="92" t="s">
        <v>354</v>
      </c>
      <c r="B8" s="93">
        <v>193.2</v>
      </c>
      <c r="C8" s="93">
        <v>300.60000000000002</v>
      </c>
      <c r="D8" s="93">
        <v>394</v>
      </c>
      <c r="E8" s="93">
        <v>448</v>
      </c>
      <c r="F8" s="93">
        <v>492</v>
      </c>
      <c r="G8" s="97"/>
    </row>
    <row r="9" spans="1:30" ht="13.15" x14ac:dyDescent="0.35">
      <c r="A9" s="92"/>
      <c r="B9" s="93"/>
      <c r="C9" s="93"/>
      <c r="D9" s="93"/>
      <c r="E9" s="93"/>
      <c r="F9" s="93"/>
      <c r="G9" s="97"/>
    </row>
    <row r="10" spans="1:30" x14ac:dyDescent="0.35">
      <c r="A10" s="93"/>
      <c r="B10" s="95"/>
      <c r="C10" s="95"/>
      <c r="D10" s="96"/>
      <c r="E10" s="96"/>
      <c r="F10" s="96"/>
      <c r="G10" s="97"/>
    </row>
    <row r="11" spans="1:30" x14ac:dyDescent="0.35">
      <c r="A11" s="93"/>
      <c r="B11" s="95"/>
      <c r="C11" s="95"/>
      <c r="D11" s="96"/>
      <c r="E11" s="96"/>
      <c r="F11" s="96"/>
      <c r="G11" s="97"/>
    </row>
    <row r="12" spans="1:30" x14ac:dyDescent="0.35">
      <c r="A12" s="93"/>
      <c r="B12" s="95"/>
      <c r="C12" s="95"/>
      <c r="D12" s="96"/>
      <c r="E12" s="96"/>
      <c r="F12" s="96"/>
      <c r="G12" s="97"/>
    </row>
    <row r="13" spans="1:30" x14ac:dyDescent="0.35">
      <c r="A13" s="93"/>
      <c r="B13" s="95"/>
      <c r="C13" s="95"/>
      <c r="D13" s="96"/>
      <c r="E13" s="96"/>
      <c r="F13" s="96"/>
      <c r="G13" s="97"/>
    </row>
    <row r="14" spans="1:30" ht="13.15" x14ac:dyDescent="0.35">
      <c r="A14" s="92"/>
      <c r="B14" s="95"/>
      <c r="C14" s="95"/>
      <c r="D14" s="96"/>
      <c r="E14" s="96"/>
      <c r="F14" s="96"/>
      <c r="G14" s="97"/>
    </row>
    <row r="15" spans="1:30" ht="13.15" x14ac:dyDescent="0.35">
      <c r="A15" s="92"/>
      <c r="B15" s="95"/>
      <c r="C15" s="95"/>
      <c r="D15" s="96"/>
      <c r="E15" s="96"/>
      <c r="F15" s="96"/>
      <c r="G15" s="97"/>
    </row>
    <row r="16" spans="1:30" x14ac:dyDescent="0.35">
      <c r="A16" s="93"/>
      <c r="B16" s="95"/>
      <c r="C16" s="95"/>
      <c r="D16" s="96"/>
      <c r="E16" s="96"/>
      <c r="F16" s="96"/>
      <c r="G16" s="97"/>
    </row>
    <row r="17" spans="1:12" x14ac:dyDescent="0.35">
      <c r="A17" s="93"/>
      <c r="B17" s="95"/>
      <c r="C17" s="95"/>
      <c r="D17" s="96"/>
      <c r="E17" s="96"/>
      <c r="F17" s="96"/>
      <c r="G17" s="97"/>
    </row>
    <row r="18" spans="1:12" x14ac:dyDescent="0.35">
      <c r="A18" s="93"/>
      <c r="B18" s="93"/>
      <c r="C18" s="93"/>
      <c r="D18" s="93"/>
      <c r="E18" s="93"/>
      <c r="F18" s="93"/>
      <c r="G18" s="97"/>
    </row>
    <row r="19" spans="1:12" x14ac:dyDescent="0.35">
      <c r="A19" s="93"/>
      <c r="B19" s="93"/>
      <c r="C19" s="93"/>
      <c r="D19" s="93"/>
      <c r="E19" s="93"/>
      <c r="F19" s="93"/>
      <c r="G19" s="97"/>
    </row>
    <row r="20" spans="1:12" ht="13.15" x14ac:dyDescent="0.35">
      <c r="A20" s="92"/>
      <c r="B20" s="95"/>
      <c r="C20" s="95"/>
      <c r="D20" s="96"/>
      <c r="E20" s="96"/>
      <c r="F20" s="96"/>
      <c r="G20" s="97"/>
    </row>
    <row r="23" spans="1:12" ht="13.15" x14ac:dyDescent="0.35">
      <c r="A23" s="92"/>
      <c r="B23" s="91"/>
      <c r="C23" s="91"/>
      <c r="D23" s="91"/>
      <c r="E23" s="91"/>
      <c r="F23" s="91"/>
    </row>
    <row r="24" spans="1:12" x14ac:dyDescent="0.35">
      <c r="A24" s="98"/>
      <c r="B24" s="98"/>
      <c r="C24" s="98"/>
      <c r="D24" s="98"/>
      <c r="E24" s="98"/>
      <c r="F24" s="98"/>
    </row>
    <row r="25" spans="1:12" x14ac:dyDescent="0.35">
      <c r="A25" s="98"/>
      <c r="B25" s="98"/>
      <c r="C25" s="98"/>
      <c r="D25" s="98"/>
      <c r="E25" s="98"/>
      <c r="F25" s="98"/>
    </row>
    <row r="26" spans="1:12" x14ac:dyDescent="0.35">
      <c r="A26" s="98"/>
      <c r="B26" s="98"/>
      <c r="C26" s="98"/>
      <c r="D26" s="98"/>
      <c r="E26" s="98"/>
      <c r="F26" s="98"/>
    </row>
    <row r="27" spans="1:12" x14ac:dyDescent="0.35">
      <c r="A27" s="98"/>
      <c r="B27" s="98"/>
      <c r="C27" s="98"/>
      <c r="D27" s="98"/>
      <c r="E27" s="98"/>
      <c r="F27" s="98"/>
    </row>
    <row r="29" spans="1:12" hidden="1" x14ac:dyDescent="0.35">
      <c r="A29" t="s">
        <v>355</v>
      </c>
      <c r="G29">
        <v>2</v>
      </c>
      <c r="H29">
        <v>3</v>
      </c>
      <c r="I29">
        <v>4</v>
      </c>
      <c r="J29">
        <v>5</v>
      </c>
      <c r="K29">
        <v>6</v>
      </c>
    </row>
    <row r="30" spans="1:12" ht="13.15" x14ac:dyDescent="0.4">
      <c r="A30" s="92" t="s">
        <v>72</v>
      </c>
      <c r="B30" s="203">
        <v>2020</v>
      </c>
      <c r="C30" s="203">
        <v>2021</v>
      </c>
      <c r="D30" s="203">
        <v>2022</v>
      </c>
      <c r="E30" s="203">
        <v>2023</v>
      </c>
      <c r="F30" s="203">
        <v>2024</v>
      </c>
      <c r="G30" s="204" t="s">
        <v>17</v>
      </c>
      <c r="H30" s="204" t="s">
        <v>18</v>
      </c>
      <c r="I30" s="205" t="s">
        <v>19</v>
      </c>
      <c r="J30" s="205" t="s">
        <v>20</v>
      </c>
      <c r="K30" s="205" t="s">
        <v>21</v>
      </c>
    </row>
    <row r="31" spans="1:12" ht="13.15" x14ac:dyDescent="0.35">
      <c r="A31" s="92"/>
      <c r="B31" s="91"/>
      <c r="C31" s="91"/>
      <c r="D31" s="91"/>
      <c r="E31" s="91"/>
      <c r="F31" s="91"/>
      <c r="G31" s="94"/>
    </row>
    <row r="32" spans="1:12" x14ac:dyDescent="0.35">
      <c r="A32" s="98" t="s">
        <v>350</v>
      </c>
      <c r="B32" s="99">
        <v>1772.7</v>
      </c>
      <c r="C32" s="99">
        <v>3201.1</v>
      </c>
      <c r="D32" s="100">
        <v>4210</v>
      </c>
      <c r="E32" s="100">
        <v>4638</v>
      </c>
      <c r="F32" s="100">
        <v>5006</v>
      </c>
      <c r="G32" s="94">
        <f>F32+G33</f>
        <v>5314</v>
      </c>
      <c r="H32" s="94">
        <f>G32+H33</f>
        <v>5562</v>
      </c>
      <c r="I32" s="94">
        <f>H32+I33</f>
        <v>5750</v>
      </c>
      <c r="J32" s="94">
        <f>I32+J33</f>
        <v>5878</v>
      </c>
      <c r="K32" s="94">
        <f>J32+K33</f>
        <v>5946</v>
      </c>
      <c r="L32" t="s">
        <v>356</v>
      </c>
    </row>
    <row r="33" spans="1:15" hidden="1" x14ac:dyDescent="0.35">
      <c r="A33" s="98"/>
      <c r="B33" s="99"/>
      <c r="C33" s="99">
        <f>C32-B32</f>
        <v>1428.3999999999999</v>
      </c>
      <c r="D33" s="99">
        <f>D32-C32</f>
        <v>1008.9000000000001</v>
      </c>
      <c r="E33" s="99">
        <f>E32-D32</f>
        <v>428</v>
      </c>
      <c r="F33" s="99">
        <f>F32-E32</f>
        <v>368</v>
      </c>
      <c r="G33" s="95">
        <f>428-60*G29</f>
        <v>308</v>
      </c>
      <c r="H33" s="99">
        <f>428-60*H29</f>
        <v>248</v>
      </c>
      <c r="I33" s="99">
        <f>428-60*I29</f>
        <v>188</v>
      </c>
      <c r="J33" s="99">
        <f>428-60*J29</f>
        <v>128</v>
      </c>
      <c r="K33" s="99">
        <f>428-60*K29</f>
        <v>68</v>
      </c>
    </row>
    <row r="34" spans="1:15" x14ac:dyDescent="0.35">
      <c r="A34" s="98" t="s">
        <v>351</v>
      </c>
      <c r="B34" s="99">
        <v>1023.8</v>
      </c>
      <c r="C34" s="99">
        <v>1930.8</v>
      </c>
      <c r="D34" s="100">
        <v>2924</v>
      </c>
      <c r="E34" s="100">
        <v>3615</v>
      </c>
      <c r="F34" s="100">
        <v>4135</v>
      </c>
      <c r="G34" s="94">
        <f>F34*(G35+1)</f>
        <v>4540.3335364928289</v>
      </c>
      <c r="H34" s="94">
        <f>G34*(H35+1)</f>
        <v>4796.729707972544</v>
      </c>
      <c r="I34" s="94">
        <f>H34*(I35+1)</f>
        <v>4952.7768358510257</v>
      </c>
      <c r="J34" s="94">
        <f>I34*(J35+1)</f>
        <v>5045.5977939366239</v>
      </c>
      <c r="K34" s="94">
        <f>J34*(K35+1)</f>
        <v>5100.0727225080336</v>
      </c>
      <c r="L34" t="s">
        <v>357</v>
      </c>
      <c r="O34" s="94"/>
    </row>
    <row r="35" spans="1:15" hidden="1" x14ac:dyDescent="0.35">
      <c r="A35" s="98"/>
      <c r="B35" s="99"/>
      <c r="C35" s="99">
        <f>(C34/B34)-1</f>
        <v>0.88591521781597971</v>
      </c>
      <c r="D35" s="99">
        <f>(D34/C34)-1</f>
        <v>0.51439817692148337</v>
      </c>
      <c r="E35" s="99">
        <f>(E34/D34)-1</f>
        <v>0.23632010943912451</v>
      </c>
      <c r="F35" s="99">
        <f>(F34/E34)-1</f>
        <v>0.14384508990318112</v>
      </c>
      <c r="G35" s="95">
        <f>0.89*2.71828^(-0.5515*4)</f>
        <v>9.8025039055097532E-2</v>
      </c>
      <c r="H35" s="99">
        <f>0.89*2.71828^(-0.5515*5)</f>
        <v>5.6470778945849912E-2</v>
      </c>
      <c r="I35" s="99">
        <f>0.89*2.71828^(-0.5515*6)</f>
        <v>3.2531982700446709E-2</v>
      </c>
      <c r="J35" s="99">
        <f>0.89*2.71828^(-0.5515*7)</f>
        <v>1.8741195325763113E-2</v>
      </c>
      <c r="K35" s="99">
        <f>0.89*2.71828^(-0.5515*8)</f>
        <v>1.0796526159273477E-2</v>
      </c>
      <c r="O35" s="94"/>
    </row>
    <row r="36" spans="1:15" x14ac:dyDescent="0.35">
      <c r="A36" s="98" t="s">
        <v>352</v>
      </c>
      <c r="B36" s="98">
        <v>242</v>
      </c>
      <c r="C36" s="98">
        <v>431.2</v>
      </c>
      <c r="D36" s="98">
        <v>643</v>
      </c>
      <c r="E36" s="98">
        <v>824</v>
      </c>
      <c r="F36" s="98">
        <v>969</v>
      </c>
      <c r="G36">
        <f>F36+G37</f>
        <v>1078</v>
      </c>
      <c r="H36">
        <f>G36+H37</f>
        <v>1151</v>
      </c>
      <c r="I36">
        <f>H36+I37</f>
        <v>1188</v>
      </c>
      <c r="J36">
        <f>I36+J37</f>
        <v>1189</v>
      </c>
      <c r="K36">
        <f>J36</f>
        <v>1189</v>
      </c>
      <c r="L36" t="s">
        <v>358</v>
      </c>
      <c r="O36" s="94"/>
    </row>
    <row r="37" spans="1:15" hidden="1" x14ac:dyDescent="0.35">
      <c r="A37" s="98"/>
      <c r="B37" s="98"/>
      <c r="C37" s="98">
        <f>C36-B36</f>
        <v>189.2</v>
      </c>
      <c r="D37" s="98">
        <f>D36-C36</f>
        <v>211.8</v>
      </c>
      <c r="E37" s="98">
        <f>E36-D36</f>
        <v>181</v>
      </c>
      <c r="F37" s="98">
        <f>F36-E36</f>
        <v>145</v>
      </c>
      <c r="G37" s="93">
        <f>-36*(G29)+181</f>
        <v>109</v>
      </c>
      <c r="H37" s="98">
        <f>-36*(H29)+181</f>
        <v>73</v>
      </c>
      <c r="I37" s="98">
        <f>-36*(I29)+181</f>
        <v>37</v>
      </c>
      <c r="J37" s="98">
        <f>-36*(J29)+181</f>
        <v>1</v>
      </c>
      <c r="K37" s="98">
        <f>-36*(K29)+181</f>
        <v>-35</v>
      </c>
      <c r="L37" t="s">
        <v>358</v>
      </c>
      <c r="O37" s="94"/>
    </row>
    <row r="38" spans="1:15" x14ac:dyDescent="0.35">
      <c r="A38" s="98" t="s">
        <v>353</v>
      </c>
      <c r="B38" s="98">
        <v>339.7</v>
      </c>
      <c r="C38" s="98">
        <v>428.7</v>
      </c>
      <c r="D38" s="98">
        <v>622</v>
      </c>
      <c r="E38" s="98">
        <v>840</v>
      </c>
      <c r="F38" s="98">
        <v>992</v>
      </c>
      <c r="G38">
        <f>F38+G39</f>
        <v>1137</v>
      </c>
      <c r="H38">
        <f>G38+H39</f>
        <v>1246</v>
      </c>
      <c r="I38">
        <f>H38+I39</f>
        <v>1319</v>
      </c>
      <c r="J38">
        <f>I38+J39</f>
        <v>1356</v>
      </c>
      <c r="K38">
        <f>J38+K39</f>
        <v>1357</v>
      </c>
      <c r="L38" s="2" t="s">
        <v>359</v>
      </c>
    </row>
    <row r="39" spans="1:15" hidden="1" x14ac:dyDescent="0.35">
      <c r="A39" s="98"/>
      <c r="B39" s="98"/>
      <c r="C39" s="98">
        <f>C38-B38</f>
        <v>89</v>
      </c>
      <c r="D39" s="98">
        <f>D38-C38</f>
        <v>193.3</v>
      </c>
      <c r="E39" s="98">
        <f>E38-D38</f>
        <v>218</v>
      </c>
      <c r="F39" s="98">
        <f>F38-E38</f>
        <v>152</v>
      </c>
      <c r="G39" s="93">
        <f>F37</f>
        <v>145</v>
      </c>
      <c r="H39" s="98">
        <f>G37</f>
        <v>109</v>
      </c>
      <c r="I39" s="98">
        <f>H37</f>
        <v>73</v>
      </c>
      <c r="J39" s="98">
        <f>I37</f>
        <v>37</v>
      </c>
      <c r="K39" s="98">
        <f>J37</f>
        <v>1</v>
      </c>
      <c r="L39" t="s">
        <v>360</v>
      </c>
    </row>
    <row r="40" spans="1:15" ht="13.15" x14ac:dyDescent="0.35">
      <c r="A40" s="92" t="s">
        <v>354</v>
      </c>
      <c r="B40" s="99">
        <v>3378.2</v>
      </c>
      <c r="C40" s="99">
        <v>5991.8</v>
      </c>
      <c r="D40" s="100">
        <v>8399</v>
      </c>
      <c r="E40" s="100">
        <v>9917</v>
      </c>
      <c r="F40" s="100">
        <v>11102</v>
      </c>
      <c r="G40" s="94">
        <f>SUM(G32:G38)</f>
        <v>12486.431561531883</v>
      </c>
      <c r="H40" s="94">
        <f>SUM(H32:H38)</f>
        <v>13076.786178751488</v>
      </c>
      <c r="I40" s="94">
        <f>SUM(I32:I38)</f>
        <v>13434.809367833726</v>
      </c>
      <c r="J40" s="94">
        <f>SUM(J32:J38)</f>
        <v>13597.616535131951</v>
      </c>
      <c r="K40" s="94">
        <f>SUM(K32:K38)</f>
        <v>13625.083519034193</v>
      </c>
    </row>
    <row r="41" spans="1:15" x14ac:dyDescent="0.35">
      <c r="C41" s="94"/>
      <c r="D41" s="94"/>
      <c r="E41" s="94"/>
      <c r="F41" s="94"/>
      <c r="G41" s="234"/>
      <c r="H41" s="234"/>
      <c r="I41" s="234"/>
      <c r="J41" s="234"/>
      <c r="K41" s="234"/>
    </row>
    <row r="42" spans="1:15" x14ac:dyDescent="0.35">
      <c r="C42" s="94"/>
      <c r="D42" s="94"/>
      <c r="E42" s="94"/>
      <c r="F42" s="94"/>
      <c r="G42" s="234"/>
      <c r="H42" s="234"/>
      <c r="I42" s="234"/>
      <c r="J42" s="234"/>
      <c r="K42" s="234"/>
    </row>
    <row r="43" spans="1:15" x14ac:dyDescent="0.35">
      <c r="C43" s="94"/>
      <c r="D43" s="94"/>
      <c r="E43" s="94"/>
      <c r="F43" s="94"/>
      <c r="G43" s="234"/>
      <c r="H43" s="234"/>
      <c r="I43" s="234"/>
      <c r="J43" s="234"/>
      <c r="K43" s="234"/>
    </row>
    <row r="44" spans="1:15" x14ac:dyDescent="0.35">
      <c r="C44" s="94"/>
      <c r="D44" s="94"/>
      <c r="E44" s="94"/>
      <c r="F44" s="94"/>
      <c r="G44" s="234"/>
      <c r="H44" s="234"/>
      <c r="I44" s="234"/>
      <c r="J44" s="234"/>
      <c r="K44" s="234"/>
    </row>
    <row r="45" spans="1:15" x14ac:dyDescent="0.35">
      <c r="C45" s="94"/>
      <c r="D45" s="94"/>
      <c r="E45" s="94"/>
      <c r="F45" s="94"/>
      <c r="G45" s="234"/>
      <c r="H45" s="234"/>
      <c r="I45" s="234"/>
      <c r="J45" s="234"/>
      <c r="K45" s="234"/>
    </row>
    <row r="46" spans="1:15" x14ac:dyDescent="0.35">
      <c r="C46" s="94"/>
      <c r="D46" s="94"/>
      <c r="E46" s="94"/>
      <c r="F46" s="94"/>
      <c r="G46" s="234"/>
      <c r="H46" s="234"/>
      <c r="I46" s="234"/>
      <c r="J46" s="234"/>
      <c r="K46" s="234"/>
    </row>
    <row r="47" spans="1:15" x14ac:dyDescent="0.35">
      <c r="C47" s="94"/>
      <c r="D47" s="94"/>
      <c r="E47" s="94"/>
      <c r="F47" s="94"/>
      <c r="G47" s="234"/>
      <c r="H47" s="234"/>
      <c r="I47" s="234"/>
      <c r="J47" s="234"/>
      <c r="K47" s="234"/>
    </row>
    <row r="48" spans="1:15" x14ac:dyDescent="0.35">
      <c r="C48" s="94"/>
      <c r="D48" s="94"/>
      <c r="E48" s="94"/>
      <c r="F48" s="94"/>
      <c r="G48" s="234"/>
      <c r="H48" s="234"/>
      <c r="I48" s="234"/>
      <c r="J48" s="234"/>
      <c r="K48" s="234"/>
    </row>
    <row r="49" spans="1:12" x14ac:dyDescent="0.35">
      <c r="C49" s="94"/>
      <c r="D49" s="94"/>
      <c r="E49" s="94"/>
      <c r="F49" s="94"/>
      <c r="G49" s="234"/>
      <c r="H49" s="234"/>
      <c r="I49" s="234"/>
      <c r="J49" s="234"/>
      <c r="K49" s="234"/>
    </row>
    <row r="50" spans="1:12" x14ac:dyDescent="0.35">
      <c r="C50" s="94"/>
      <c r="D50" s="94"/>
      <c r="E50" s="94"/>
      <c r="F50" s="94"/>
      <c r="G50" s="234"/>
      <c r="H50" s="234"/>
      <c r="I50" s="234"/>
      <c r="J50" s="234"/>
      <c r="K50" s="234"/>
    </row>
    <row r="51" spans="1:12" x14ac:dyDescent="0.35">
      <c r="C51" s="94"/>
      <c r="D51" s="94"/>
      <c r="E51" s="94"/>
      <c r="F51" s="94"/>
      <c r="G51" s="234"/>
      <c r="H51" s="234"/>
      <c r="I51" s="234"/>
      <c r="J51" s="234"/>
      <c r="K51" s="234"/>
    </row>
    <row r="52" spans="1:12" x14ac:dyDescent="0.35">
      <c r="C52" s="94"/>
      <c r="D52" s="94"/>
      <c r="E52" s="94"/>
      <c r="F52" s="94"/>
      <c r="G52" s="234"/>
      <c r="H52" s="234"/>
      <c r="I52" s="234"/>
      <c r="J52" s="234"/>
      <c r="K52" s="234"/>
    </row>
    <row r="53" spans="1:12" x14ac:dyDescent="0.35">
      <c r="C53" s="94"/>
      <c r="D53" s="94"/>
      <c r="E53" s="94"/>
      <c r="F53" s="94"/>
      <c r="G53" s="234"/>
      <c r="H53" s="234"/>
      <c r="I53" s="234"/>
      <c r="J53" s="234"/>
      <c r="K53" s="234"/>
    </row>
    <row r="54" spans="1:12" x14ac:dyDescent="0.35">
      <c r="C54" s="94"/>
      <c r="D54" s="94"/>
      <c r="E54" s="94"/>
      <c r="F54" s="94"/>
      <c r="G54" s="234"/>
      <c r="H54" s="234"/>
      <c r="I54" s="234"/>
      <c r="J54" s="234"/>
      <c r="K54" s="234"/>
    </row>
    <row r="55" spans="1:12" x14ac:dyDescent="0.35">
      <c r="C55" s="94"/>
      <c r="D55" s="94"/>
      <c r="E55" s="94"/>
      <c r="F55" s="94"/>
      <c r="G55" s="234"/>
      <c r="H55" s="234"/>
      <c r="I55" s="234"/>
      <c r="J55" s="234"/>
      <c r="K55" s="234"/>
    </row>
    <row r="56" spans="1:12" x14ac:dyDescent="0.35">
      <c r="C56" s="94"/>
      <c r="D56" s="94"/>
      <c r="E56" s="94"/>
      <c r="F56" s="94"/>
      <c r="G56" s="234"/>
      <c r="H56" s="234"/>
      <c r="I56" s="234"/>
      <c r="J56" s="234"/>
      <c r="K56" s="234"/>
    </row>
    <row r="57" spans="1:12" x14ac:dyDescent="0.35">
      <c r="C57" s="94"/>
      <c r="D57" s="94"/>
      <c r="E57" s="94"/>
      <c r="F57" s="94"/>
      <c r="G57" s="234"/>
      <c r="H57" s="234"/>
      <c r="I57" s="234"/>
      <c r="J57" s="234"/>
      <c r="K57" s="234"/>
    </row>
    <row r="58" spans="1:12" x14ac:dyDescent="0.35">
      <c r="C58" s="94"/>
      <c r="D58" s="94"/>
      <c r="E58" s="94"/>
      <c r="F58" s="94"/>
      <c r="G58" s="234"/>
      <c r="H58" s="234"/>
      <c r="I58" s="234"/>
      <c r="J58" s="234"/>
      <c r="K58" s="234"/>
    </row>
    <row r="59" spans="1:12" x14ac:dyDescent="0.35">
      <c r="A59" t="s">
        <v>361</v>
      </c>
    </row>
    <row r="60" spans="1:12" x14ac:dyDescent="0.35">
      <c r="A60" s="2" t="s">
        <v>362</v>
      </c>
    </row>
    <row r="61" spans="1:12" x14ac:dyDescent="0.35">
      <c r="A61" s="2" t="s">
        <v>363</v>
      </c>
    </row>
    <row r="62" spans="1:12" x14ac:dyDescent="0.35">
      <c r="L62" s="234"/>
    </row>
    <row r="65" spans="1:6" ht="13.15" x14ac:dyDescent="0.35">
      <c r="A65" s="92" t="s">
        <v>349</v>
      </c>
      <c r="B65" s="91">
        <v>2020</v>
      </c>
      <c r="C65" s="91">
        <v>2021</v>
      </c>
      <c r="D65" s="91">
        <v>2022</v>
      </c>
      <c r="E65" s="91">
        <v>2023</v>
      </c>
      <c r="F65" s="91">
        <v>2024</v>
      </c>
    </row>
    <row r="66" spans="1:6" x14ac:dyDescent="0.35">
      <c r="A66" s="98" t="s">
        <v>350</v>
      </c>
      <c r="B66" s="98">
        <v>75.5</v>
      </c>
      <c r="C66" s="98">
        <v>114</v>
      </c>
      <c r="D66" s="98">
        <v>133</v>
      </c>
      <c r="E66" s="98">
        <v>146</v>
      </c>
      <c r="F66" s="98">
        <v>154</v>
      </c>
    </row>
    <row r="67" spans="1:6" x14ac:dyDescent="0.35">
      <c r="A67" s="98" t="s">
        <v>351</v>
      </c>
      <c r="B67" s="98">
        <v>67.7</v>
      </c>
      <c r="C67" s="98">
        <v>118.1</v>
      </c>
      <c r="D67" s="98">
        <v>168</v>
      </c>
      <c r="E67" s="98">
        <v>187</v>
      </c>
      <c r="F67" s="98">
        <v>201</v>
      </c>
    </row>
    <row r="68" spans="1:6" x14ac:dyDescent="0.35">
      <c r="A68" s="98" t="s">
        <v>352</v>
      </c>
      <c r="B68" s="98">
        <v>22.4</v>
      </c>
      <c r="C68" s="98">
        <v>38.799999999999997</v>
      </c>
      <c r="D68" s="98">
        <v>53</v>
      </c>
      <c r="E68" s="98">
        <v>64</v>
      </c>
      <c r="F68" s="98">
        <v>76</v>
      </c>
    </row>
    <row r="69" spans="1:6" x14ac:dyDescent="0.35">
      <c r="A69" s="98" t="s">
        <v>353</v>
      </c>
      <c r="B69" s="98">
        <v>27.6</v>
      </c>
      <c r="C69" s="98">
        <v>29.7</v>
      </c>
      <c r="D69" s="98">
        <v>40</v>
      </c>
      <c r="E69" s="98">
        <v>51</v>
      </c>
      <c r="F69" s="98">
        <v>61</v>
      </c>
    </row>
    <row r="70" spans="1:6" ht="13.15" x14ac:dyDescent="0.35">
      <c r="A70" s="92" t="s">
        <v>354</v>
      </c>
      <c r="B70" s="98">
        <v>193.2</v>
      </c>
      <c r="C70" s="98">
        <v>300.60000000000002</v>
      </c>
      <c r="D70" s="98">
        <v>394</v>
      </c>
      <c r="E70" s="98">
        <v>448</v>
      </c>
      <c r="F70" s="98">
        <v>492</v>
      </c>
    </row>
    <row r="72" spans="1:6" ht="13.15" x14ac:dyDescent="0.35">
      <c r="A72" s="92" t="s">
        <v>364</v>
      </c>
      <c r="B72" s="93" t="s">
        <v>365</v>
      </c>
      <c r="C72" s="93" t="s">
        <v>366</v>
      </c>
      <c r="D72" s="93" t="s">
        <v>367</v>
      </c>
      <c r="E72" s="93" t="s">
        <v>368</v>
      </c>
      <c r="F72" s="93"/>
    </row>
    <row r="73" spans="1:6" x14ac:dyDescent="0.35">
      <c r="A73" s="98" t="s">
        <v>350</v>
      </c>
      <c r="B73" s="234">
        <f t="shared" ref="B73:E76" si="0">(C66/B66)-1</f>
        <v>0.50993377483443703</v>
      </c>
      <c r="C73" s="234">
        <f t="shared" si="0"/>
        <v>0.16666666666666674</v>
      </c>
      <c r="D73" s="234">
        <f t="shared" si="0"/>
        <v>9.7744360902255689E-2</v>
      </c>
      <c r="E73" s="234">
        <f t="shared" si="0"/>
        <v>5.4794520547945202E-2</v>
      </c>
      <c r="F73" s="256"/>
    </row>
    <row r="74" spans="1:6" x14ac:dyDescent="0.35">
      <c r="A74" s="98" t="s">
        <v>351</v>
      </c>
      <c r="B74" s="234">
        <f t="shared" si="0"/>
        <v>0.74446085672082707</v>
      </c>
      <c r="C74" s="234">
        <f t="shared" si="0"/>
        <v>0.42252328535139716</v>
      </c>
      <c r="D74" s="234">
        <f t="shared" si="0"/>
        <v>0.11309523809523814</v>
      </c>
      <c r="E74" s="234">
        <f t="shared" si="0"/>
        <v>7.4866310160427885E-2</v>
      </c>
    </row>
    <row r="75" spans="1:6" x14ac:dyDescent="0.35">
      <c r="A75" s="98" t="s">
        <v>352</v>
      </c>
      <c r="B75" s="234">
        <f t="shared" si="0"/>
        <v>0.73214285714285721</v>
      </c>
      <c r="C75" s="234">
        <f t="shared" si="0"/>
        <v>0.365979381443299</v>
      </c>
      <c r="D75" s="234">
        <f t="shared" si="0"/>
        <v>0.20754716981132071</v>
      </c>
      <c r="E75" s="234">
        <f t="shared" si="0"/>
        <v>0.1875</v>
      </c>
    </row>
    <row r="76" spans="1:6" x14ac:dyDescent="0.35">
      <c r="A76" s="98" t="s">
        <v>353</v>
      </c>
      <c r="B76" s="234">
        <f t="shared" si="0"/>
        <v>7.6086956521739024E-2</v>
      </c>
      <c r="C76" s="234">
        <f t="shared" si="0"/>
        <v>0.34680134680134689</v>
      </c>
      <c r="D76" s="234">
        <f t="shared" si="0"/>
        <v>0.27499999999999991</v>
      </c>
      <c r="E76" s="234">
        <f t="shared" si="0"/>
        <v>0.19607843137254899</v>
      </c>
    </row>
    <row r="77" spans="1:6" ht="13.15" x14ac:dyDescent="0.35">
      <c r="A77" s="92"/>
      <c r="B77" s="234"/>
      <c r="C77" s="234"/>
      <c r="D77" s="234"/>
      <c r="E77" s="234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E A A B Q S w M E F A A C A A g A x m g 3 W k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M Z o N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a D d a 5 H N k 9 x Y B A A D b A g A A E w A c A E Z v c m 1 1 b G F z L 1 N l Y 3 R p b 2 4 x L m 0 g o h g A K K A U A A A A A A A A A A A A A A A A A A A A A A A A A A A A d Z F B S 8 M w F M f P F v o d Q r y s E I q p T q e j B 9 f q c S C t J y s S 2 + c a S B N J U t 0 Y + + 5 m F F H B l 0 u S 3 z + 8 9 3 7 E Q e u l 0 a S a d r 6 M o z h y v b D Q k V t p V + v V S 6 F A a J I T B T 6 O S F i V G W 0 L g R T u I y 1 N O w 6 g / e x e K k g L o 3 2 4 u B k t b p p H B 9 Y 1 g + j B N q X 5 1 M q I z j W / q 6 Z + 6 2 n C n k p Q c p A e b E 5 P K C O F U e O g X c 4 X j N z p 1 n R S b 3 K e z T N G H k b j o f I 7 B f n P M V 0 b D c 8 J m 8 Y 7 p U U v 9 C Y I 1 L t 3 o G H O W r y G R 7 U V 2 r 0 Z O 0 z l j 6 G b T S 5 s v 6 c T 5 a G 9 D w n x s P U H R r 5 5 h v B z h F 8 g f I 7 w S 4 R f I X y B 8 G u E 8 z M s w I w 5 p s w x Z 4 5 J c 8 y a Y 9 o c 8 + Z / x Q 9 J H E n 9 7 7 8 v v w B Q S w E C L Q A U A A I A C A D G a D d a T H W Q k q U A A A D 2 A A A A E g A A A A A A A A A A A A A A A A A A A A A A Q 2 9 u Z m l n L 1 B h Y 2 t h Z 2 U u e G 1 s U E s B A i 0 A F A A C A A g A x m g 3 W g / K 6 a u k A A A A 6 Q A A A B M A A A A A A A A A A A A A A A A A 8 Q A A A F t D b 2 5 0 Z W 5 0 X 1 R 5 c G V z X S 5 4 b W x Q S w E C L Q A U A A I A C A D G a D d a 5 H N k 9 x Y B A A D b A g A A E w A A A A A A A A A A A A A A A A D i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E g A A A A A A A C k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l y Q k 5 C X 0 N s Z W F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d l N z Y y N j A t N D Z m Y i 0 0 Z D g 5 L W I z N D g t N m M 0 N z B h Z j A 3 M z c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M 1 Q x O T o w M T o y M y 4 4 M j Y 5 M T A 0 W i I g L z 4 8 R W 5 0 c n k g V H l w Z T 0 i R m l s b E N v b H V t b l R 5 c G V z I i B W Y W x 1 Z T 0 i c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a X J C T k J f Q 2 x l Y W 4 v Q X V 0 b 1 J l b W 9 2 Z W R D b 2 x 1 b W 5 z M S 5 7 Q 2 9 s d W 1 u M S w w f S Z x d W 9 0 O y w m c X V v d D t T Z W N 0 a W 9 u M S 9 B a X J C T k J f Q 2 x l Y W 4 v Q X V 0 b 1 J l b W 9 2 Z W R D b 2 x 1 b W 5 z M S 5 7 Q 2 9 s d W 1 u M i w x f S Z x d W 9 0 O y w m c X V v d D t T Z W N 0 a W 9 u M S 9 B a X J C T k J f Q 2 x l Y W 4 v Q X V 0 b 1 J l b W 9 2 Z W R D b 2 x 1 b W 5 z M S 5 7 Q 2 9 s d W 1 u M y w y f S Z x d W 9 0 O y w m c X V v d D t T Z W N 0 a W 9 u M S 9 B a X J C T k J f Q 2 x l Y W 4 v Q X V 0 b 1 J l b W 9 2 Z W R D b 2 x 1 b W 5 z M S 5 7 Q 2 9 s d W 1 u N C w z f S Z x d W 9 0 O y w m c X V v d D t T Z W N 0 a W 9 u M S 9 B a X J C T k J f Q 2 x l Y W 4 v Q X V 0 b 1 J l b W 9 2 Z W R D b 2 x 1 b W 5 z M S 5 7 Q 2 9 s d W 1 u N S w 0 f S Z x d W 9 0 O y w m c X V v d D t T Z W N 0 a W 9 u M S 9 B a X J C T k J f Q 2 x l Y W 4 v Q X V 0 b 1 J l b W 9 2 Z W R D b 2 x 1 b W 5 z M S 5 7 Q 2 9 s d W 1 u N i w 1 f S Z x d W 9 0 O y w m c X V v d D t T Z W N 0 a W 9 u M S 9 B a X J C T k J f Q 2 x l Y W 4 v Q X V 0 b 1 J l b W 9 2 Z W R D b 2 x 1 b W 5 z M S 5 7 Q 2 9 s d W 1 u N y w 2 f S Z x d W 9 0 O y w m c X V v d D t T Z W N 0 a W 9 u M S 9 B a X J C T k J f Q 2 x l Y W 4 v Q X V 0 b 1 J l b W 9 2 Z W R D b 2 x 1 b W 5 z M S 5 7 Q 2 9 s d W 1 u O C w 3 f S Z x d W 9 0 O y w m c X V v d D t T Z W N 0 a W 9 u M S 9 B a X J C T k J f Q 2 x l Y W 4 v Q X V 0 b 1 J l b W 9 2 Z W R D b 2 x 1 b W 5 z M S 5 7 Q 2 9 s d W 1 u O S w 4 f S Z x d W 9 0 O y w m c X V v d D t T Z W N 0 a W 9 u M S 9 B a X J C T k J f Q 2 x l Y W 4 v Q X V 0 b 1 J l b W 9 2 Z W R D b 2 x 1 b W 5 z M S 5 7 Q 2 9 s d W 1 u M T A s O X 0 m c X V v d D s s J n F 1 b 3 Q 7 U 2 V j d G l v b j E v Q W l y Q k 5 C X 0 N s Z W F u L 0 F 1 d G 9 S Z W 1 v d m V k Q 2 9 s d W 1 u c z E u e 0 N v b H V t b j E x L D E w f S Z x d W 9 0 O y w m c X V v d D t T Z W N 0 a W 9 u M S 9 B a X J C T k J f Q 2 x l Y W 4 v Q X V 0 b 1 J l b W 9 2 Z W R D b 2 x 1 b W 5 z M S 5 7 Q 2 9 s d W 1 u M T I s M T F 9 J n F 1 b 3 Q 7 L C Z x d W 9 0 O 1 N l Y 3 R p b 2 4 x L 0 F p c k J O Q l 9 D b G V h b i 9 B d X R v U m V t b 3 Z l Z E N v b H V t b n M x L n t D b 2 x 1 b W 4 x M y w x M n 0 m c X V v d D s s J n F 1 b 3 Q 7 U 2 V j d G l v b j E v Q W l y Q k 5 C X 0 N s Z W F u L 0 F 1 d G 9 S Z W 1 v d m V k Q 2 9 s d W 1 u c z E u e 0 N v b H V t b j E 0 L D E z f S Z x d W 9 0 O y w m c X V v d D t T Z W N 0 a W 9 u M S 9 B a X J C T k J f Q 2 x l Y W 4 v Q X V 0 b 1 J l b W 9 2 Z W R D b 2 x 1 b W 5 z M S 5 7 Q 2 9 s d W 1 u M T U s M T R 9 J n F 1 b 3 Q 7 L C Z x d W 9 0 O 1 N l Y 3 R p b 2 4 x L 0 F p c k J O Q l 9 D b G V h b i 9 B d X R v U m V t b 3 Z l Z E N v b H V t b n M x L n t D b 2 x 1 b W 4 x N i w x N X 0 m c X V v d D s s J n F 1 b 3 Q 7 U 2 V j d G l v b j E v Q W l y Q k 5 C X 0 N s Z W F u L 0 F 1 d G 9 S Z W 1 v d m V k Q 2 9 s d W 1 u c z E u e 0 N v b H V t b j E 3 L D E 2 f S Z x d W 9 0 O y w m c X V v d D t T Z W N 0 a W 9 u M S 9 B a X J C T k J f Q 2 x l Y W 4 v Q X V 0 b 1 J l b W 9 2 Z W R D b 2 x 1 b W 5 z M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B a X J C T k J f Q 2 x l Y W 4 v Q X V 0 b 1 J l b W 9 2 Z W R D b 2 x 1 b W 5 z M S 5 7 Q 2 9 s d W 1 u M S w w f S Z x d W 9 0 O y w m c X V v d D t T Z W N 0 a W 9 u M S 9 B a X J C T k J f Q 2 x l Y W 4 v Q X V 0 b 1 J l b W 9 2 Z W R D b 2 x 1 b W 5 z M S 5 7 Q 2 9 s d W 1 u M i w x f S Z x d W 9 0 O y w m c X V v d D t T Z W N 0 a W 9 u M S 9 B a X J C T k J f Q 2 x l Y W 4 v Q X V 0 b 1 J l b W 9 2 Z W R D b 2 x 1 b W 5 z M S 5 7 Q 2 9 s d W 1 u M y w y f S Z x d W 9 0 O y w m c X V v d D t T Z W N 0 a W 9 u M S 9 B a X J C T k J f Q 2 x l Y W 4 v Q X V 0 b 1 J l b W 9 2 Z W R D b 2 x 1 b W 5 z M S 5 7 Q 2 9 s d W 1 u N C w z f S Z x d W 9 0 O y w m c X V v d D t T Z W N 0 a W 9 u M S 9 B a X J C T k J f Q 2 x l Y W 4 v Q X V 0 b 1 J l b W 9 2 Z W R D b 2 x 1 b W 5 z M S 5 7 Q 2 9 s d W 1 u N S w 0 f S Z x d W 9 0 O y w m c X V v d D t T Z W N 0 a W 9 u M S 9 B a X J C T k J f Q 2 x l Y W 4 v Q X V 0 b 1 J l b W 9 2 Z W R D b 2 x 1 b W 5 z M S 5 7 Q 2 9 s d W 1 u N i w 1 f S Z x d W 9 0 O y w m c X V v d D t T Z W N 0 a W 9 u M S 9 B a X J C T k J f Q 2 x l Y W 4 v Q X V 0 b 1 J l b W 9 2 Z W R D b 2 x 1 b W 5 z M S 5 7 Q 2 9 s d W 1 u N y w 2 f S Z x d W 9 0 O y w m c X V v d D t T Z W N 0 a W 9 u M S 9 B a X J C T k J f Q 2 x l Y W 4 v Q X V 0 b 1 J l b W 9 2 Z W R D b 2 x 1 b W 5 z M S 5 7 Q 2 9 s d W 1 u O C w 3 f S Z x d W 9 0 O y w m c X V v d D t T Z W N 0 a W 9 u M S 9 B a X J C T k J f Q 2 x l Y W 4 v Q X V 0 b 1 J l b W 9 2 Z W R D b 2 x 1 b W 5 z M S 5 7 Q 2 9 s d W 1 u O S w 4 f S Z x d W 9 0 O y w m c X V v d D t T Z W N 0 a W 9 u M S 9 B a X J C T k J f Q 2 x l Y W 4 v Q X V 0 b 1 J l b W 9 2 Z W R D b 2 x 1 b W 5 z M S 5 7 Q 2 9 s d W 1 u M T A s O X 0 m c X V v d D s s J n F 1 b 3 Q 7 U 2 V j d G l v b j E v Q W l y Q k 5 C X 0 N s Z W F u L 0 F 1 d G 9 S Z W 1 v d m V k Q 2 9 s d W 1 u c z E u e 0 N v b H V t b j E x L D E w f S Z x d W 9 0 O y w m c X V v d D t T Z W N 0 a W 9 u M S 9 B a X J C T k J f Q 2 x l Y W 4 v Q X V 0 b 1 J l b W 9 2 Z W R D b 2 x 1 b W 5 z M S 5 7 Q 2 9 s d W 1 u M T I s M T F 9 J n F 1 b 3 Q 7 L C Z x d W 9 0 O 1 N l Y 3 R p b 2 4 x L 0 F p c k J O Q l 9 D b G V h b i 9 B d X R v U m V t b 3 Z l Z E N v b H V t b n M x L n t D b 2 x 1 b W 4 x M y w x M n 0 m c X V v d D s s J n F 1 b 3 Q 7 U 2 V j d G l v b j E v Q W l y Q k 5 C X 0 N s Z W F u L 0 F 1 d G 9 S Z W 1 v d m V k Q 2 9 s d W 1 u c z E u e 0 N v b H V t b j E 0 L D E z f S Z x d W 9 0 O y w m c X V v d D t T Z W N 0 a W 9 u M S 9 B a X J C T k J f Q 2 x l Y W 4 v Q X V 0 b 1 J l b W 9 2 Z W R D b 2 x 1 b W 5 z M S 5 7 Q 2 9 s d W 1 u M T U s M T R 9 J n F 1 b 3 Q 7 L C Z x d W 9 0 O 1 N l Y 3 R p b 2 4 x L 0 F p c k J O Q l 9 D b G V h b i 9 B d X R v U m V t b 3 Z l Z E N v b H V t b n M x L n t D b 2 x 1 b W 4 x N i w x N X 0 m c X V v d D s s J n F 1 b 3 Q 7 U 2 V j d G l v b j E v Q W l y Q k 5 C X 0 N s Z W F u L 0 F 1 d G 9 S Z W 1 v d m V k Q 2 9 s d W 1 u c z E u e 0 N v b H V t b j E 3 L D E 2 f S Z x d W 9 0 O y w m c X V v d D t T Z W N 0 a W 9 u M S 9 B a X J C T k J f Q 2 x l Y W 4 v Q X V 0 b 1 J l b W 9 2 Z W R D b 2 x 1 b W 5 z M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a X J C T k J f Q 2 x l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l y Q k 5 C X 0 N s Z W F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d D C g 8 Q k c p G r w F W H t e d J f I A A A A A A g A A A A A A E G Y A A A A B A A A g A A A A p t U t x c W 0 C r b B 2 r c R T k p g z Q i P w q o / F F H i n X w 7 Z j H H c u Y A A A A A D o A A A A A C A A A g A A A A i T j W x k u C q S y 2 n g r t I / F n V B h M z A J 0 m C 1 r j + W u 5 g M Y + l 5 Q A A A A 6 i B D W T v r I l 4 L q I 2 5 I 4 e 4 r 3 G c R L h D u E p / u A r d H 0 q g n Z 3 T 8 3 a H X G H t s v V 5 R H d k z N y X F M x x r B d U x 5 p Z b n 2 z t Q 0 g F 2 A T w n j 9 1 g U T P 0 C w Q t Y q E 4 d A A A A A x K e C R F A + v D Z 2 G f 8 b v n s b z 1 A G 2 o l k t L k U Q y 2 a / Q l B u X H t l z / 3 V K 5 n R V U g M r J b B f A C n 4 + T u n l X I 5 8 l E 6 l l d D f l x g = = < / D a t a M a s h u p > 
</file>

<file path=customXml/itemProps1.xml><?xml version="1.0" encoding="utf-8"?>
<ds:datastoreItem xmlns:ds="http://schemas.openxmlformats.org/officeDocument/2006/customXml" ds:itemID="{4C616882-0595-4BE6-AD87-1B3AFA9A1C34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e202cd47-7a56-4baa-99e3-e3b71a7c77dd}" enabled="0" method="" siteId="{e202cd47-7a56-4baa-99e3-e3b71a7c77d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</vt:lpstr>
      <vt:lpstr>Assumptions</vt:lpstr>
      <vt:lpstr>IS </vt:lpstr>
      <vt:lpstr>BS</vt:lpstr>
      <vt:lpstr>CF</vt:lpstr>
      <vt:lpstr>DCF</vt:lpstr>
      <vt:lpstr>FR%</vt:lpstr>
      <vt:lpstr>Multiple</vt:lpstr>
      <vt:lpstr>DA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Maher Jaweed</cp:lastModifiedBy>
  <cp:revision/>
  <dcterms:created xsi:type="dcterms:W3CDTF">2025-01-17T19:00:13Z</dcterms:created>
  <dcterms:modified xsi:type="dcterms:W3CDTF">2025-05-24T19:54:07Z</dcterms:modified>
  <cp:category/>
  <cp:contentStatus/>
</cp:coreProperties>
</file>