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riétaire\Desktop\IronHack\IronMaher\MODULE 2\"/>
    </mc:Choice>
  </mc:AlternateContent>
  <xr:revisionPtr revIDLastSave="0" documentId="8_{7B5C6528-7431-4C8B-BA1D-AD0BA7E0EB02}" xr6:coauthVersionLast="47" xr6:coauthVersionMax="47" xr10:uidLastSave="{00000000-0000-0000-0000-000000000000}"/>
  <bookViews>
    <workbookView xWindow="-110" yWindow="-110" windowWidth="19420" windowHeight="10420" activeTab="2" xr2:uid="{D95F495D-949E-4710-9CA7-D3ABB397297A}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T24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</calcChain>
</file>

<file path=xl/sharedStrings.xml><?xml version="1.0" encoding="utf-8"?>
<sst xmlns="http://schemas.openxmlformats.org/spreadsheetml/2006/main" count="35" uniqueCount="31">
  <si>
    <t>Country Name</t>
  </si>
  <si>
    <t>difference</t>
  </si>
  <si>
    <t>Benin</t>
  </si>
  <si>
    <t>Belize</t>
  </si>
  <si>
    <t>Brazil</t>
  </si>
  <si>
    <t>Africa Eastern and Southern</t>
  </si>
  <si>
    <t>Angola</t>
  </si>
  <si>
    <t>Bolivia</t>
  </si>
  <si>
    <t>Botswana</t>
  </si>
  <si>
    <t>Brunei Darussalam</t>
  </si>
  <si>
    <t>Burkina Faso</t>
  </si>
  <si>
    <t>American Samoa</t>
  </si>
  <si>
    <t>Antigua and Barbuda</t>
  </si>
  <si>
    <t>Africa Western and Central</t>
  </si>
  <si>
    <t>Argentina</t>
  </si>
  <si>
    <t>Central African Republic</t>
  </si>
  <si>
    <t>Belgium</t>
  </si>
  <si>
    <t>Bosnia and Herzegovina</t>
  </si>
  <si>
    <t>Bangladesh</t>
  </si>
  <si>
    <t>Armenia</t>
  </si>
  <si>
    <t>Canada</t>
  </si>
  <si>
    <t>Australia</t>
  </si>
  <si>
    <t>country</t>
  </si>
  <si>
    <t>Country Code</t>
  </si>
  <si>
    <t>Indicator Name</t>
  </si>
  <si>
    <t>Indicator Code</t>
  </si>
  <si>
    <t>World Bank</t>
  </si>
  <si>
    <t>Section 1</t>
  </si>
  <si>
    <t>utilise la page Service</t>
  </si>
  <si>
    <t>current state</t>
  </si>
  <si>
    <t>(toutes les valeurs en 2020 ; tout le tableau ; pays en B5)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</si>
</sst>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[1]Data!$AI$2</c:f>
              <c:strCache>
                <c:ptCount val="1"/>
                <c:pt idx="0">
                  <c:v>Benin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[1]Data!$AJ$1:$BL$1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[1]Data!$AJ$2:$BL$2</c:f>
              <c:numCache>
                <c:formatCode>General</c:formatCode>
                <c:ptCount val="29"/>
                <c:pt idx="0">
                  <c:v>42.880010599999999</c:v>
                </c:pt>
                <c:pt idx="1">
                  <c:v>42.2592231</c:v>
                </c:pt>
                <c:pt idx="2">
                  <c:v>41.638435600000001</c:v>
                </c:pt>
                <c:pt idx="3">
                  <c:v>41.017648100000002</c:v>
                </c:pt>
                <c:pt idx="4">
                  <c:v>40.396860599999997</c:v>
                </c:pt>
                <c:pt idx="5">
                  <c:v>39.776073099999998</c:v>
                </c:pt>
                <c:pt idx="6">
                  <c:v>39.155285599999999</c:v>
                </c:pt>
                <c:pt idx="7">
                  <c:v>38.534497999999999</c:v>
                </c:pt>
                <c:pt idx="8">
                  <c:v>37.913710500000001</c:v>
                </c:pt>
                <c:pt idx="9">
                  <c:v>37.292923000000002</c:v>
                </c:pt>
                <c:pt idx="10">
                  <c:v>36.672135500000003</c:v>
                </c:pt>
                <c:pt idx="11">
                  <c:v>36.228715899999997</c:v>
                </c:pt>
                <c:pt idx="12">
                  <c:v>35.785296199999998</c:v>
                </c:pt>
                <c:pt idx="13">
                  <c:v>35.341876599999999</c:v>
                </c:pt>
                <c:pt idx="14">
                  <c:v>34.898456899999999</c:v>
                </c:pt>
                <c:pt idx="15">
                  <c:v>34.4550372</c:v>
                </c:pt>
                <c:pt idx="16">
                  <c:v>34.011617600000001</c:v>
                </c:pt>
                <c:pt idx="17">
                  <c:v>33.568197900000001</c:v>
                </c:pt>
                <c:pt idx="18">
                  <c:v>33.124778300000003</c:v>
                </c:pt>
                <c:pt idx="19">
                  <c:v>32.681358600000003</c:v>
                </c:pt>
                <c:pt idx="20">
                  <c:v>32.237938999999997</c:v>
                </c:pt>
                <c:pt idx="21">
                  <c:v>31.794519300000001</c:v>
                </c:pt>
                <c:pt idx="22">
                  <c:v>31.351099699999999</c:v>
                </c:pt>
                <c:pt idx="23">
                  <c:v>30.907679999999999</c:v>
                </c:pt>
                <c:pt idx="24">
                  <c:v>30.464260400000001</c:v>
                </c:pt>
                <c:pt idx="25">
                  <c:v>30.020840700000001</c:v>
                </c:pt>
                <c:pt idx="26">
                  <c:v>29.577421099999999</c:v>
                </c:pt>
                <c:pt idx="27">
                  <c:v>29.134001399999999</c:v>
                </c:pt>
                <c:pt idx="28">
                  <c:v>28.6905818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5-40E8-BA7D-B90DB1FD6B6A}"/>
            </c:ext>
          </c:extLst>
        </c:ser>
        <c:ser>
          <c:idx val="1"/>
          <c:order val="1"/>
          <c:tx>
            <c:strRef>
              <c:f>[1]Data!$AI$3</c:f>
              <c:strCache>
                <c:ptCount val="1"/>
                <c:pt idx="0">
                  <c:v>Brazil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[1]Data!$AJ$1:$BL$1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[1]Data!$AJ$3:$BL$3</c:f>
              <c:numCache>
                <c:formatCode>General</c:formatCode>
                <c:ptCount val="29"/>
                <c:pt idx="0">
                  <c:v>70.458020599999998</c:v>
                </c:pt>
                <c:pt idx="1">
                  <c:v>70.005654399999997</c:v>
                </c:pt>
                <c:pt idx="2">
                  <c:v>69.553288199999997</c:v>
                </c:pt>
                <c:pt idx="3">
                  <c:v>69.100921999999997</c:v>
                </c:pt>
                <c:pt idx="4">
                  <c:v>68.648555799999997</c:v>
                </c:pt>
                <c:pt idx="5">
                  <c:v>68.196189599999997</c:v>
                </c:pt>
                <c:pt idx="6">
                  <c:v>67.743823399999997</c:v>
                </c:pt>
                <c:pt idx="7">
                  <c:v>67.291457199999996</c:v>
                </c:pt>
                <c:pt idx="8">
                  <c:v>66.839090999999996</c:v>
                </c:pt>
                <c:pt idx="9">
                  <c:v>66.386724799999996</c:v>
                </c:pt>
                <c:pt idx="10">
                  <c:v>65.934358599999996</c:v>
                </c:pt>
                <c:pt idx="11">
                  <c:v>65.461670900000001</c:v>
                </c:pt>
                <c:pt idx="12">
                  <c:v>64.988983200000007</c:v>
                </c:pt>
                <c:pt idx="13">
                  <c:v>64.516295499999998</c:v>
                </c:pt>
                <c:pt idx="14">
                  <c:v>64.043607800000004</c:v>
                </c:pt>
                <c:pt idx="15">
                  <c:v>63.570920100000002</c:v>
                </c:pt>
                <c:pt idx="16">
                  <c:v>63.098232400000001</c:v>
                </c:pt>
                <c:pt idx="17">
                  <c:v>62.625544699999999</c:v>
                </c:pt>
                <c:pt idx="18">
                  <c:v>62.152856999999997</c:v>
                </c:pt>
                <c:pt idx="19">
                  <c:v>61.680169300000003</c:v>
                </c:pt>
                <c:pt idx="20">
                  <c:v>61.207481600000001</c:v>
                </c:pt>
                <c:pt idx="21">
                  <c:v>61.023328200000002</c:v>
                </c:pt>
                <c:pt idx="22">
                  <c:v>60.839174700000001</c:v>
                </c:pt>
                <c:pt idx="23">
                  <c:v>60.655021300000001</c:v>
                </c:pt>
                <c:pt idx="24">
                  <c:v>60.470867900000002</c:v>
                </c:pt>
                <c:pt idx="25">
                  <c:v>60.286714500000002</c:v>
                </c:pt>
                <c:pt idx="26">
                  <c:v>60.071032600000002</c:v>
                </c:pt>
                <c:pt idx="27">
                  <c:v>59.832881499999999</c:v>
                </c:pt>
                <c:pt idx="28">
                  <c:v>59.708427999999998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5-40E8-BA7D-B90DB1FD6B6A}"/>
            </c:ext>
          </c:extLst>
        </c:ser>
        <c:ser>
          <c:idx val="2"/>
          <c:order val="2"/>
          <c:tx>
            <c:strRef>
              <c:f>[1]Data!$AI$4</c:f>
              <c:strCache>
                <c:ptCount val="1"/>
                <c:pt idx="0">
                  <c:v>Africa Eastern and Southern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[1]Data!$AJ$1:$BL$1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[1]Data!$AJ$4:$BL$4</c:f>
              <c:numCache>
                <c:formatCode>General</c:formatCode>
                <c:ptCount val="29"/>
                <c:pt idx="0">
                  <c:v>40.565911999999997</c:v>
                </c:pt>
                <c:pt idx="1">
                  <c:v>40.403946400000002</c:v>
                </c:pt>
                <c:pt idx="2">
                  <c:v>40.235806699999998</c:v>
                </c:pt>
                <c:pt idx="3">
                  <c:v>40.269689999999997</c:v>
                </c:pt>
                <c:pt idx="4">
                  <c:v>40.1032704</c:v>
                </c:pt>
                <c:pt idx="5">
                  <c:v>39.936850800000002</c:v>
                </c:pt>
                <c:pt idx="6">
                  <c:v>39.770431199999997</c:v>
                </c:pt>
                <c:pt idx="7">
                  <c:v>39.6040116</c:v>
                </c:pt>
                <c:pt idx="8">
                  <c:v>39.437592000000002</c:v>
                </c:pt>
                <c:pt idx="9">
                  <c:v>39.271172399999998</c:v>
                </c:pt>
                <c:pt idx="10">
                  <c:v>33.980631500000001</c:v>
                </c:pt>
                <c:pt idx="11">
                  <c:v>38.903980099999998</c:v>
                </c:pt>
                <c:pt idx="12">
                  <c:v>38.703207300000003</c:v>
                </c:pt>
                <c:pt idx="13">
                  <c:v>38.502434600000001</c:v>
                </c:pt>
                <c:pt idx="14">
                  <c:v>37.899950799999999</c:v>
                </c:pt>
                <c:pt idx="15">
                  <c:v>37.701120299999999</c:v>
                </c:pt>
                <c:pt idx="16">
                  <c:v>37.502464500000002</c:v>
                </c:pt>
                <c:pt idx="17">
                  <c:v>37.303880200000002</c:v>
                </c:pt>
                <c:pt idx="18">
                  <c:v>37.105259400000001</c:v>
                </c:pt>
                <c:pt idx="19">
                  <c:v>36.906595699999997</c:v>
                </c:pt>
                <c:pt idx="20">
                  <c:v>31.910877899999999</c:v>
                </c:pt>
                <c:pt idx="21">
                  <c:v>32.183134799999998</c:v>
                </c:pt>
                <c:pt idx="22">
                  <c:v>31.972492299999999</c:v>
                </c:pt>
                <c:pt idx="23">
                  <c:v>31.761841700000002</c:v>
                </c:pt>
                <c:pt idx="24">
                  <c:v>31.5512701</c:v>
                </c:pt>
                <c:pt idx="25">
                  <c:v>31.340525599999999</c:v>
                </c:pt>
                <c:pt idx="26">
                  <c:v>31.1194314</c:v>
                </c:pt>
                <c:pt idx="27">
                  <c:v>30.903542900000001</c:v>
                </c:pt>
                <c:pt idx="28">
                  <c:v>30.690224300000001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5-40E8-BA7D-B90DB1FD6B6A}"/>
            </c:ext>
          </c:extLst>
        </c:ser>
        <c:ser>
          <c:idx val="3"/>
          <c:order val="3"/>
          <c:tx>
            <c:strRef>
              <c:f>[1]Data!$AI$5</c:f>
              <c:strCache>
                <c:ptCount val="1"/>
                <c:pt idx="0">
                  <c:v>Angola</c:v>
                </c:pt>
              </c:strCache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[1]Data!$AJ$1:$BL$1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[1]Data!$AJ$5:$BL$5</c:f>
              <c:numCache>
                <c:formatCode>General</c:formatCode>
                <c:ptCount val="29"/>
                <c:pt idx="0">
                  <c:v>63.578070099999998</c:v>
                </c:pt>
                <c:pt idx="1">
                  <c:v>63.453407400000003</c:v>
                </c:pt>
                <c:pt idx="2">
                  <c:v>63.328744700000001</c:v>
                </c:pt>
                <c:pt idx="3">
                  <c:v>63.204082</c:v>
                </c:pt>
                <c:pt idx="4">
                  <c:v>63.079419299999998</c:v>
                </c:pt>
                <c:pt idx="5">
                  <c:v>62.954756600000003</c:v>
                </c:pt>
                <c:pt idx="6">
                  <c:v>62.8300938</c:v>
                </c:pt>
                <c:pt idx="7">
                  <c:v>62.705431099999998</c:v>
                </c:pt>
                <c:pt idx="8">
                  <c:v>62.580768399999997</c:v>
                </c:pt>
                <c:pt idx="9">
                  <c:v>62.456105700000002</c:v>
                </c:pt>
                <c:pt idx="10">
                  <c:v>62.331443</c:v>
                </c:pt>
                <c:pt idx="11">
                  <c:v>61.886218800000002</c:v>
                </c:pt>
                <c:pt idx="12">
                  <c:v>61.440994600000003</c:v>
                </c:pt>
                <c:pt idx="13">
                  <c:v>60.995770399999998</c:v>
                </c:pt>
                <c:pt idx="14">
                  <c:v>60.550546199999999</c:v>
                </c:pt>
                <c:pt idx="15">
                  <c:v>60.105322100000002</c:v>
                </c:pt>
                <c:pt idx="16">
                  <c:v>59.660097899999997</c:v>
                </c:pt>
                <c:pt idx="17">
                  <c:v>59.214873699999998</c:v>
                </c:pt>
                <c:pt idx="18">
                  <c:v>58.7696495</c:v>
                </c:pt>
                <c:pt idx="19">
                  <c:v>58.324425300000001</c:v>
                </c:pt>
                <c:pt idx="20">
                  <c:v>57.879201100000003</c:v>
                </c:pt>
                <c:pt idx="21">
                  <c:v>57.433976100000002</c:v>
                </c:pt>
                <c:pt idx="22">
                  <c:v>56.988751100000002</c:v>
                </c:pt>
                <c:pt idx="23">
                  <c:v>56.543526100000001</c:v>
                </c:pt>
                <c:pt idx="24">
                  <c:v>56.0983011</c:v>
                </c:pt>
                <c:pt idx="25">
                  <c:v>55.6530761</c:v>
                </c:pt>
                <c:pt idx="26">
                  <c:v>55.207844700000003</c:v>
                </c:pt>
                <c:pt idx="27">
                  <c:v>54.7626293</c:v>
                </c:pt>
                <c:pt idx="28">
                  <c:v>54.317405999999998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5-40E8-BA7D-B90DB1FD6B6A}"/>
            </c:ext>
          </c:extLst>
        </c:ser>
        <c:ser>
          <c:idx val="4"/>
          <c:order val="4"/>
          <c:tx>
            <c:strRef>
              <c:f>[1]Data!$AI$6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[1]Data!$AJ$1:$BL$1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[1]Data!$AJ$6:$BL$6</c:f>
              <c:numCache>
                <c:formatCode>General</c:formatCode>
                <c:ptCount val="29"/>
                <c:pt idx="0">
                  <c:v>37.245176399999998</c:v>
                </c:pt>
                <c:pt idx="1">
                  <c:v>37.197020799999997</c:v>
                </c:pt>
                <c:pt idx="2">
                  <c:v>37.148865100000002</c:v>
                </c:pt>
                <c:pt idx="3">
                  <c:v>37.100709500000001</c:v>
                </c:pt>
                <c:pt idx="4">
                  <c:v>37.052553899999999</c:v>
                </c:pt>
                <c:pt idx="5">
                  <c:v>37.004398199999997</c:v>
                </c:pt>
                <c:pt idx="6">
                  <c:v>36.956242600000003</c:v>
                </c:pt>
                <c:pt idx="7">
                  <c:v>36.908086900000001</c:v>
                </c:pt>
                <c:pt idx="8">
                  <c:v>36.8599313</c:v>
                </c:pt>
                <c:pt idx="9">
                  <c:v>36.811775699999998</c:v>
                </c:pt>
                <c:pt idx="10">
                  <c:v>36.763620000000003</c:v>
                </c:pt>
                <c:pt idx="11">
                  <c:v>36.715464400000002</c:v>
                </c:pt>
                <c:pt idx="12">
                  <c:v>36.6673087</c:v>
                </c:pt>
                <c:pt idx="13">
                  <c:v>36.619153099999998</c:v>
                </c:pt>
                <c:pt idx="14">
                  <c:v>36.570997499999997</c:v>
                </c:pt>
                <c:pt idx="15">
                  <c:v>36.522841800000002</c:v>
                </c:pt>
                <c:pt idx="16">
                  <c:v>36.474686200000001</c:v>
                </c:pt>
                <c:pt idx="17">
                  <c:v>36.426530499999998</c:v>
                </c:pt>
                <c:pt idx="18">
                  <c:v>36.378374899999997</c:v>
                </c:pt>
                <c:pt idx="19">
                  <c:v>36.330219300000003</c:v>
                </c:pt>
                <c:pt idx="20">
                  <c:v>36.282063600000001</c:v>
                </c:pt>
                <c:pt idx="21">
                  <c:v>36.233908</c:v>
                </c:pt>
                <c:pt idx="22">
                  <c:v>36.185752399999998</c:v>
                </c:pt>
                <c:pt idx="23">
                  <c:v>36.137596700000003</c:v>
                </c:pt>
                <c:pt idx="24">
                  <c:v>36.089441100000002</c:v>
                </c:pt>
                <c:pt idx="25">
                  <c:v>36.0412854</c:v>
                </c:pt>
                <c:pt idx="26">
                  <c:v>35.993129799999998</c:v>
                </c:pt>
                <c:pt idx="27">
                  <c:v>35.944974199999997</c:v>
                </c:pt>
                <c:pt idx="28">
                  <c:v>35.896818500000002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25-40E8-BA7D-B90DB1FD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481728"/>
        <c:axId val="299488000"/>
      </c:lineChart>
      <c:catAx>
        <c:axId val="2994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99488000"/>
        <c:crosses val="autoZero"/>
        <c:auto val="1"/>
        <c:lblAlgn val="ctr"/>
        <c:lblOffset val="100"/>
        <c:noMultiLvlLbl val="1"/>
      </c:catAx>
      <c:valAx>
        <c:axId val="299488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994817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AG.LND.FRST.ZS par rapport à Indicator Code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[1]Service!$E$25:$AI$25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[1]Service!$E$26:$AI$26</c:f>
              <c:numCache>
                <c:formatCode>General</c:formatCode>
                <c:ptCount val="31"/>
                <c:pt idx="0">
                  <c:v>32.553067599999999</c:v>
                </c:pt>
                <c:pt idx="1">
                  <c:v>32.344326199999998</c:v>
                </c:pt>
                <c:pt idx="2">
                  <c:v>32.135584799999997</c:v>
                </c:pt>
                <c:pt idx="3">
                  <c:v>31.9268435</c:v>
                </c:pt>
                <c:pt idx="4">
                  <c:v>31.718102099999999</c:v>
                </c:pt>
                <c:pt idx="5">
                  <c:v>31.509360699999998</c:v>
                </c:pt>
                <c:pt idx="6">
                  <c:v>31.300619300000001</c:v>
                </c:pt>
                <c:pt idx="7">
                  <c:v>31.091878000000001</c:v>
                </c:pt>
                <c:pt idx="8">
                  <c:v>30.8831366</c:v>
                </c:pt>
                <c:pt idx="9">
                  <c:v>30.674395199999999</c:v>
                </c:pt>
                <c:pt idx="10">
                  <c:v>30.465653799999998</c:v>
                </c:pt>
                <c:pt idx="11">
                  <c:v>30.256912499999999</c:v>
                </c:pt>
                <c:pt idx="12">
                  <c:v>30.048171100000001</c:v>
                </c:pt>
                <c:pt idx="13">
                  <c:v>29.8394297</c:v>
                </c:pt>
                <c:pt idx="14">
                  <c:v>29.630688299999999</c:v>
                </c:pt>
                <c:pt idx="15">
                  <c:v>29.421946999999999</c:v>
                </c:pt>
                <c:pt idx="16">
                  <c:v>29.213205599999998</c:v>
                </c:pt>
                <c:pt idx="17">
                  <c:v>29.004464200000001</c:v>
                </c:pt>
                <c:pt idx="18">
                  <c:v>28.7957228</c:v>
                </c:pt>
                <c:pt idx="19">
                  <c:v>28.5869815</c:v>
                </c:pt>
                <c:pt idx="20">
                  <c:v>28.378240099999999</c:v>
                </c:pt>
                <c:pt idx="21">
                  <c:v>28.169498699999998</c:v>
                </c:pt>
                <c:pt idx="22">
                  <c:v>27.960757300000001</c:v>
                </c:pt>
                <c:pt idx="23">
                  <c:v>27.752016000000001</c:v>
                </c:pt>
                <c:pt idx="24">
                  <c:v>27.5432746</c:v>
                </c:pt>
                <c:pt idx="25">
                  <c:v>27.334533199999999</c:v>
                </c:pt>
                <c:pt idx="26">
                  <c:v>27.125791799999998</c:v>
                </c:pt>
                <c:pt idx="27">
                  <c:v>26.917050400000001</c:v>
                </c:pt>
                <c:pt idx="28">
                  <c:v>6.2622412999999897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0B7-45D5-A265-C087411EC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354560"/>
        <c:axId val="300377216"/>
      </c:barChart>
      <c:catAx>
        <c:axId val="30035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Indicator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00377216"/>
        <c:crosses val="autoZero"/>
        <c:auto val="1"/>
        <c:lblAlgn val="ctr"/>
        <c:lblOffset val="100"/>
        <c:noMultiLvlLbl val="1"/>
      </c:catAx>
      <c:valAx>
        <c:axId val="300377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AG.LND.FRST.ZS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00354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[1]Data!$AJ$1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[1]Data!$AJ$2:$AJ$5</c:f>
              <c:numCache>
                <c:formatCode>General</c:formatCode>
                <c:ptCount val="4"/>
                <c:pt idx="0">
                  <c:v>42.880010599999999</c:v>
                </c:pt>
                <c:pt idx="1">
                  <c:v>70.458020599999998</c:v>
                </c:pt>
                <c:pt idx="2">
                  <c:v>40.565911999999997</c:v>
                </c:pt>
                <c:pt idx="3">
                  <c:v>63.578070099999998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AC-4552-AE48-ADF6B80C580E}"/>
            </c:ext>
          </c:extLst>
        </c:ser>
        <c:ser>
          <c:idx val="1"/>
          <c:order val="1"/>
          <c:tx>
            <c:strRef>
              <c:f>[1]Data!$AK$1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[1]Data!$AK$2:$AK$5</c:f>
              <c:numCache>
                <c:formatCode>General</c:formatCode>
                <c:ptCount val="4"/>
                <c:pt idx="0">
                  <c:v>42.2592231</c:v>
                </c:pt>
                <c:pt idx="1">
                  <c:v>70.005654399999997</c:v>
                </c:pt>
                <c:pt idx="2">
                  <c:v>40.403946400000002</c:v>
                </c:pt>
                <c:pt idx="3">
                  <c:v>63.453407400000003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DAC-4552-AE48-ADF6B80C580E}"/>
            </c:ext>
          </c:extLst>
        </c:ser>
        <c:ser>
          <c:idx val="2"/>
          <c:order val="2"/>
          <c:tx>
            <c:strRef>
              <c:f>[1]Data!$AL$1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[1]Data!$AL$2:$AL$5</c:f>
              <c:numCache>
                <c:formatCode>General</c:formatCode>
                <c:ptCount val="4"/>
                <c:pt idx="0">
                  <c:v>41.638435600000001</c:v>
                </c:pt>
                <c:pt idx="1">
                  <c:v>69.553288199999997</c:v>
                </c:pt>
                <c:pt idx="2">
                  <c:v>40.235806699999998</c:v>
                </c:pt>
                <c:pt idx="3">
                  <c:v>63.328744700000001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DAC-4552-AE48-ADF6B80C580E}"/>
            </c:ext>
          </c:extLst>
        </c:ser>
        <c:ser>
          <c:idx val="3"/>
          <c:order val="3"/>
          <c:tx>
            <c:strRef>
              <c:f>[1]Data!$AM$1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[1]Data!$AM$2:$AM$5</c:f>
              <c:numCache>
                <c:formatCode>General</c:formatCode>
                <c:ptCount val="4"/>
                <c:pt idx="0">
                  <c:v>41.017648100000002</c:v>
                </c:pt>
                <c:pt idx="1">
                  <c:v>69.100921999999997</c:v>
                </c:pt>
                <c:pt idx="2">
                  <c:v>40.269689999999997</c:v>
                </c:pt>
                <c:pt idx="3">
                  <c:v>63.204082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DAC-4552-AE48-ADF6B80C580E}"/>
            </c:ext>
          </c:extLst>
        </c:ser>
        <c:ser>
          <c:idx val="4"/>
          <c:order val="4"/>
          <c:tx>
            <c:strRef>
              <c:f>[1]Data!$AN$1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[1]Data!$AN$2:$AN$5</c:f>
              <c:numCache>
                <c:formatCode>General</c:formatCode>
                <c:ptCount val="4"/>
                <c:pt idx="0">
                  <c:v>40.396860599999997</c:v>
                </c:pt>
                <c:pt idx="1">
                  <c:v>68.648555799999997</c:v>
                </c:pt>
                <c:pt idx="2">
                  <c:v>40.1032704</c:v>
                </c:pt>
                <c:pt idx="3">
                  <c:v>63.079419299999998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DAC-4552-AE48-ADF6B80C580E}"/>
            </c:ext>
          </c:extLst>
        </c:ser>
        <c:ser>
          <c:idx val="5"/>
          <c:order val="5"/>
          <c:tx>
            <c:strRef>
              <c:f>[1]Data!$AO$1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[1]Data!$AO$2:$AO$5</c:f>
              <c:numCache>
                <c:formatCode>General</c:formatCode>
                <c:ptCount val="4"/>
                <c:pt idx="0">
                  <c:v>39.776073099999998</c:v>
                </c:pt>
                <c:pt idx="1">
                  <c:v>68.196189599999997</c:v>
                </c:pt>
                <c:pt idx="2">
                  <c:v>39.936850800000002</c:v>
                </c:pt>
                <c:pt idx="3">
                  <c:v>62.954756600000003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DAC-4552-AE48-ADF6B80C580E}"/>
            </c:ext>
          </c:extLst>
        </c:ser>
        <c:ser>
          <c:idx val="6"/>
          <c:order val="6"/>
          <c:tx>
            <c:strRef>
              <c:f>[1]Data!$AP$1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BED1E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[1]Data!$AP$2:$AP$5</c:f>
              <c:numCache>
                <c:formatCode>General</c:formatCode>
                <c:ptCount val="4"/>
                <c:pt idx="0">
                  <c:v>39.155285599999999</c:v>
                </c:pt>
                <c:pt idx="1">
                  <c:v>67.743823399999997</c:v>
                </c:pt>
                <c:pt idx="2">
                  <c:v>39.770431199999997</c:v>
                </c:pt>
                <c:pt idx="3">
                  <c:v>62.8300938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DAC-4552-AE48-ADF6B80C580E}"/>
            </c:ext>
          </c:extLst>
        </c:ser>
        <c:ser>
          <c:idx val="7"/>
          <c:order val="7"/>
          <c:tx>
            <c:strRef>
              <c:f>[1]Data!$AQ$1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E8BFB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[1]Data!$AQ$2:$AQ$5</c:f>
              <c:numCache>
                <c:formatCode>General</c:formatCode>
                <c:ptCount val="4"/>
                <c:pt idx="0">
                  <c:v>38.534497999999999</c:v>
                </c:pt>
                <c:pt idx="1">
                  <c:v>67.291457199999996</c:v>
                </c:pt>
                <c:pt idx="2">
                  <c:v>39.6040116</c:v>
                </c:pt>
                <c:pt idx="3">
                  <c:v>62.705431099999998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DAC-4552-AE48-ADF6B80C580E}"/>
            </c:ext>
          </c:extLst>
        </c:ser>
        <c:ser>
          <c:idx val="8"/>
          <c:order val="8"/>
          <c:tx>
            <c:strRef>
              <c:f>[1]Data!$AR$1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DCE7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[1]Data!$AR$2:$AR$5</c:f>
              <c:numCache>
                <c:formatCode>General</c:formatCode>
                <c:ptCount val="4"/>
                <c:pt idx="0">
                  <c:v>37.913710500000001</c:v>
                </c:pt>
                <c:pt idx="1">
                  <c:v>66.839090999999996</c:v>
                </c:pt>
                <c:pt idx="2">
                  <c:v>39.437592000000002</c:v>
                </c:pt>
                <c:pt idx="3">
                  <c:v>62.580768399999997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DAC-4552-AE48-ADF6B80C580E}"/>
            </c:ext>
          </c:extLst>
        </c:ser>
        <c:ser>
          <c:idx val="9"/>
          <c:order val="9"/>
          <c:tx>
            <c:strRef>
              <c:f>[1]Data!$AS$1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CEC4D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[1]Data!$AS$2:$AS$5</c:f>
              <c:numCache>
                <c:formatCode>General</c:formatCode>
                <c:ptCount val="4"/>
                <c:pt idx="0">
                  <c:v>37.292923000000002</c:v>
                </c:pt>
                <c:pt idx="1">
                  <c:v>66.386724799999996</c:v>
                </c:pt>
                <c:pt idx="2">
                  <c:v>39.271172399999998</c:v>
                </c:pt>
                <c:pt idx="3">
                  <c:v>62.456105700000002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DAC-4552-AE48-ADF6B80C580E}"/>
            </c:ext>
          </c:extLst>
        </c:ser>
        <c:ser>
          <c:idx val="10"/>
          <c:order val="10"/>
          <c:tx>
            <c:strRef>
              <c:f>[1]Data!$AT$1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BFE2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[1]Data!$AT$2:$AT$5</c:f>
              <c:numCache>
                <c:formatCode>General</c:formatCode>
                <c:ptCount val="4"/>
                <c:pt idx="0">
                  <c:v>36.672135500000003</c:v>
                </c:pt>
                <c:pt idx="1">
                  <c:v>65.934358599999996</c:v>
                </c:pt>
                <c:pt idx="2">
                  <c:v>33.980631500000001</c:v>
                </c:pt>
                <c:pt idx="3">
                  <c:v>62.331443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DAC-4552-AE48-ADF6B80C580E}"/>
            </c:ext>
          </c:extLst>
        </c:ser>
        <c:ser>
          <c:idx val="11"/>
          <c:order val="11"/>
          <c:tx>
            <c:strRef>
              <c:f>[1]Data!$AU$1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DE9D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[1]Data!$AU$2:$AU$5</c:f>
              <c:numCache>
                <c:formatCode>General</c:formatCode>
                <c:ptCount val="4"/>
                <c:pt idx="0">
                  <c:v>36.228715899999997</c:v>
                </c:pt>
                <c:pt idx="1">
                  <c:v>65.461670900000001</c:v>
                </c:pt>
                <c:pt idx="2">
                  <c:v>38.903980099999998</c:v>
                </c:pt>
                <c:pt idx="3">
                  <c:v>61.886218800000002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CDAC-4552-AE48-ADF6B80C580E}"/>
            </c:ext>
          </c:extLst>
        </c:ser>
        <c:ser>
          <c:idx val="12"/>
          <c:order val="12"/>
          <c:tx>
            <c:strRef>
              <c:f>[1]Data!$AV$1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[1]Data!$AV$2:$AV$5</c:f>
              <c:numCache>
                <c:formatCode>General</c:formatCode>
                <c:ptCount val="4"/>
                <c:pt idx="0">
                  <c:v>35.785296199999998</c:v>
                </c:pt>
                <c:pt idx="1">
                  <c:v>64.988983200000007</c:v>
                </c:pt>
                <c:pt idx="2">
                  <c:v>38.703207300000003</c:v>
                </c:pt>
                <c:pt idx="3">
                  <c:v>61.440994600000003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CDAC-4552-AE48-ADF6B80C580E}"/>
            </c:ext>
          </c:extLst>
        </c:ser>
        <c:ser>
          <c:idx val="13"/>
          <c:order val="13"/>
          <c:tx>
            <c:strRef>
              <c:f>[1]Data!$AW$1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[1]Data!$AW$2:$AW$5</c:f>
              <c:numCache>
                <c:formatCode>General</c:formatCode>
                <c:ptCount val="4"/>
                <c:pt idx="0">
                  <c:v>35.341876599999999</c:v>
                </c:pt>
                <c:pt idx="1">
                  <c:v>64.516295499999998</c:v>
                </c:pt>
                <c:pt idx="2">
                  <c:v>38.502434600000001</c:v>
                </c:pt>
                <c:pt idx="3">
                  <c:v>60.995770399999998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CDAC-4552-AE48-ADF6B80C580E}"/>
            </c:ext>
          </c:extLst>
        </c:ser>
        <c:ser>
          <c:idx val="14"/>
          <c:order val="14"/>
          <c:tx>
            <c:strRef>
              <c:f>[1]Data!$AX$1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[1]Data!$AX$2:$AX$5</c:f>
              <c:numCache>
                <c:formatCode>General</c:formatCode>
                <c:ptCount val="4"/>
                <c:pt idx="0">
                  <c:v>34.898456899999999</c:v>
                </c:pt>
                <c:pt idx="1">
                  <c:v>64.043607800000004</c:v>
                </c:pt>
                <c:pt idx="2">
                  <c:v>37.899950799999999</c:v>
                </c:pt>
                <c:pt idx="3">
                  <c:v>60.550546199999999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CDAC-4552-AE48-ADF6B80C580E}"/>
            </c:ext>
          </c:extLst>
        </c:ser>
        <c:ser>
          <c:idx val="15"/>
          <c:order val="15"/>
          <c:tx>
            <c:strRef>
              <c:f>[1]Data!$AY$1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[1]Data!$AY$2:$AY$5</c:f>
              <c:numCache>
                <c:formatCode>General</c:formatCode>
                <c:ptCount val="4"/>
                <c:pt idx="0">
                  <c:v>34.4550372</c:v>
                </c:pt>
                <c:pt idx="1">
                  <c:v>63.570920100000002</c:v>
                </c:pt>
                <c:pt idx="2">
                  <c:v>37.701120299999999</c:v>
                </c:pt>
                <c:pt idx="3">
                  <c:v>60.105322100000002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CDAC-4552-AE48-ADF6B80C580E}"/>
            </c:ext>
          </c:extLst>
        </c:ser>
        <c:ser>
          <c:idx val="16"/>
          <c:order val="16"/>
          <c:tx>
            <c:strRef>
              <c:f>[1]Data!$AZ$1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[1]Data!$AZ$2:$AZ$5</c:f>
              <c:numCache>
                <c:formatCode>General</c:formatCode>
                <c:ptCount val="4"/>
                <c:pt idx="0">
                  <c:v>34.011617600000001</c:v>
                </c:pt>
                <c:pt idx="1">
                  <c:v>63.098232400000001</c:v>
                </c:pt>
                <c:pt idx="2">
                  <c:v>37.502464500000002</c:v>
                </c:pt>
                <c:pt idx="3">
                  <c:v>59.660097899999997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CDAC-4552-AE48-ADF6B80C580E}"/>
            </c:ext>
          </c:extLst>
        </c:ser>
        <c:ser>
          <c:idx val="17"/>
          <c:order val="17"/>
          <c:tx>
            <c:strRef>
              <c:f>[1]Data!$BA$1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[1]Data!$BA$2:$BA$5</c:f>
              <c:numCache>
                <c:formatCode>General</c:formatCode>
                <c:ptCount val="4"/>
                <c:pt idx="0">
                  <c:v>33.568197900000001</c:v>
                </c:pt>
                <c:pt idx="1">
                  <c:v>62.625544699999999</c:v>
                </c:pt>
                <c:pt idx="2">
                  <c:v>37.303880200000002</c:v>
                </c:pt>
                <c:pt idx="3">
                  <c:v>59.214873699999998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1-CDAC-4552-AE48-ADF6B80C580E}"/>
            </c:ext>
          </c:extLst>
        </c:ser>
        <c:ser>
          <c:idx val="18"/>
          <c:order val="18"/>
          <c:tx>
            <c:strRef>
              <c:f>[1]Data!$BB$1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[1]Data!$BB$2:$BB$5</c:f>
              <c:numCache>
                <c:formatCode>General</c:formatCode>
                <c:ptCount val="4"/>
                <c:pt idx="0">
                  <c:v>33.124778300000003</c:v>
                </c:pt>
                <c:pt idx="1">
                  <c:v>62.152856999999997</c:v>
                </c:pt>
                <c:pt idx="2">
                  <c:v>37.105259400000001</c:v>
                </c:pt>
                <c:pt idx="3">
                  <c:v>58.7696495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CDAC-4552-AE48-ADF6B80C580E}"/>
            </c:ext>
          </c:extLst>
        </c:ser>
        <c:ser>
          <c:idx val="19"/>
          <c:order val="19"/>
          <c:tx>
            <c:strRef>
              <c:f>[1]Data!$BC$1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[1]Data!$BC$2:$BC$5</c:f>
              <c:numCache>
                <c:formatCode>General</c:formatCode>
                <c:ptCount val="4"/>
                <c:pt idx="0">
                  <c:v>32.681358600000003</c:v>
                </c:pt>
                <c:pt idx="1">
                  <c:v>61.680169300000003</c:v>
                </c:pt>
                <c:pt idx="2">
                  <c:v>36.906595699999997</c:v>
                </c:pt>
                <c:pt idx="3">
                  <c:v>58.324425300000001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CDAC-4552-AE48-ADF6B80C580E}"/>
            </c:ext>
          </c:extLst>
        </c:ser>
        <c:ser>
          <c:idx val="20"/>
          <c:order val="20"/>
          <c:tx>
            <c:strRef>
              <c:f>[1]Data!$BD$1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[1]Data!$BD$2:$BD$5</c:f>
              <c:numCache>
                <c:formatCode>General</c:formatCode>
                <c:ptCount val="4"/>
                <c:pt idx="0">
                  <c:v>32.237938999999997</c:v>
                </c:pt>
                <c:pt idx="1">
                  <c:v>61.207481600000001</c:v>
                </c:pt>
                <c:pt idx="2">
                  <c:v>31.910877899999999</c:v>
                </c:pt>
                <c:pt idx="3">
                  <c:v>57.879201100000003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4-CDAC-4552-AE48-ADF6B80C580E}"/>
            </c:ext>
          </c:extLst>
        </c:ser>
        <c:ser>
          <c:idx val="21"/>
          <c:order val="21"/>
          <c:tx>
            <c:strRef>
              <c:f>[1]Data!$BE$1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[1]Data!$BE$2:$BE$5</c:f>
              <c:numCache>
                <c:formatCode>General</c:formatCode>
                <c:ptCount val="4"/>
                <c:pt idx="0">
                  <c:v>31.794519300000001</c:v>
                </c:pt>
                <c:pt idx="1">
                  <c:v>61.023328200000002</c:v>
                </c:pt>
                <c:pt idx="2">
                  <c:v>32.183134799999998</c:v>
                </c:pt>
                <c:pt idx="3">
                  <c:v>57.433976100000002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5-CDAC-4552-AE48-ADF6B80C580E}"/>
            </c:ext>
          </c:extLst>
        </c:ser>
        <c:ser>
          <c:idx val="22"/>
          <c:order val="22"/>
          <c:tx>
            <c:strRef>
              <c:f>[1]Data!$BF$1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[1]Data!$BF$2:$BF$5</c:f>
              <c:numCache>
                <c:formatCode>General</c:formatCode>
                <c:ptCount val="4"/>
                <c:pt idx="0">
                  <c:v>31.351099699999999</c:v>
                </c:pt>
                <c:pt idx="1">
                  <c:v>60.839174700000001</c:v>
                </c:pt>
                <c:pt idx="2">
                  <c:v>31.972492299999999</c:v>
                </c:pt>
                <c:pt idx="3">
                  <c:v>56.988751100000002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6-CDAC-4552-AE48-ADF6B80C580E}"/>
            </c:ext>
          </c:extLst>
        </c:ser>
        <c:ser>
          <c:idx val="23"/>
          <c:order val="23"/>
          <c:tx>
            <c:strRef>
              <c:f>[1]Data!$BG$1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[1]Data!$BG$2:$BG$5</c:f>
              <c:numCache>
                <c:formatCode>General</c:formatCode>
                <c:ptCount val="4"/>
                <c:pt idx="0">
                  <c:v>30.907679999999999</c:v>
                </c:pt>
                <c:pt idx="1">
                  <c:v>60.655021300000001</c:v>
                </c:pt>
                <c:pt idx="2">
                  <c:v>31.761841700000002</c:v>
                </c:pt>
                <c:pt idx="3">
                  <c:v>56.543526100000001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7-CDAC-4552-AE48-ADF6B80C580E}"/>
            </c:ext>
          </c:extLst>
        </c:ser>
        <c:ser>
          <c:idx val="24"/>
          <c:order val="24"/>
          <c:tx>
            <c:strRef>
              <c:f>[1]Data!$BH$1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[1]Data!$BH$2:$BH$5</c:f>
              <c:numCache>
                <c:formatCode>General</c:formatCode>
                <c:ptCount val="4"/>
                <c:pt idx="0">
                  <c:v>30.464260400000001</c:v>
                </c:pt>
                <c:pt idx="1">
                  <c:v>60.470867900000002</c:v>
                </c:pt>
                <c:pt idx="2">
                  <c:v>31.5512701</c:v>
                </c:pt>
                <c:pt idx="3">
                  <c:v>56.0983011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8-CDAC-4552-AE48-ADF6B80C580E}"/>
            </c:ext>
          </c:extLst>
        </c:ser>
        <c:ser>
          <c:idx val="25"/>
          <c:order val="25"/>
          <c:tx>
            <c:strRef>
              <c:f>[1]Data!$BI$1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[1]Data!$BI$2:$BI$5</c:f>
              <c:numCache>
                <c:formatCode>General</c:formatCode>
                <c:ptCount val="4"/>
                <c:pt idx="0">
                  <c:v>30.020840700000001</c:v>
                </c:pt>
                <c:pt idx="1">
                  <c:v>60.286714500000002</c:v>
                </c:pt>
                <c:pt idx="2">
                  <c:v>31.340525599999999</c:v>
                </c:pt>
                <c:pt idx="3">
                  <c:v>55.6530761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9-CDAC-4552-AE48-ADF6B80C580E}"/>
            </c:ext>
          </c:extLst>
        </c:ser>
        <c:ser>
          <c:idx val="26"/>
          <c:order val="26"/>
          <c:tx>
            <c:strRef>
              <c:f>[1]Data!$BJ$1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[1]Data!$BJ$2:$BJ$5</c:f>
              <c:numCache>
                <c:formatCode>General</c:formatCode>
                <c:ptCount val="4"/>
                <c:pt idx="0">
                  <c:v>29.577421099999999</c:v>
                </c:pt>
                <c:pt idx="1">
                  <c:v>60.071032600000002</c:v>
                </c:pt>
                <c:pt idx="2">
                  <c:v>31.1194314</c:v>
                </c:pt>
                <c:pt idx="3">
                  <c:v>55.207844700000003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A-CDAC-4552-AE48-ADF6B80C580E}"/>
            </c:ext>
          </c:extLst>
        </c:ser>
        <c:ser>
          <c:idx val="27"/>
          <c:order val="27"/>
          <c:tx>
            <c:strRef>
              <c:f>[1]Data!$BK$1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[1]Data!$BK$2:$BK$5</c:f>
              <c:numCache>
                <c:formatCode>General</c:formatCode>
                <c:ptCount val="4"/>
                <c:pt idx="0">
                  <c:v>29.134001399999999</c:v>
                </c:pt>
                <c:pt idx="1">
                  <c:v>59.832881499999999</c:v>
                </c:pt>
                <c:pt idx="2">
                  <c:v>30.903542900000001</c:v>
                </c:pt>
                <c:pt idx="3">
                  <c:v>54.7626293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B-CDAC-4552-AE48-ADF6B80C580E}"/>
            </c:ext>
          </c:extLst>
        </c:ser>
        <c:ser>
          <c:idx val="28"/>
          <c:order val="28"/>
          <c:tx>
            <c:strRef>
              <c:f>[1]Data!$BL$1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[1]Data!$AI$2:$AI$5</c:f>
              <c:strCache>
                <c:ptCount val="4"/>
                <c:pt idx="0">
                  <c:v>Benin</c:v>
                </c:pt>
                <c:pt idx="1">
                  <c:v>Brazil</c:v>
                </c:pt>
                <c:pt idx="2">
                  <c:v>Africa Eastern and Southern</c:v>
                </c:pt>
                <c:pt idx="3">
                  <c:v>Angola</c:v>
                </c:pt>
              </c:strCache>
            </c:strRef>
          </c:cat>
          <c:val>
            <c:numRef>
              <c:f>[1]Data!$BL$2:$BL$5</c:f>
              <c:numCache>
                <c:formatCode>General</c:formatCode>
                <c:ptCount val="4"/>
                <c:pt idx="0">
                  <c:v>28.6905818</c:v>
                </c:pt>
                <c:pt idx="1">
                  <c:v>59.708427999999998</c:v>
                </c:pt>
                <c:pt idx="2">
                  <c:v>30.690224300000001</c:v>
                </c:pt>
                <c:pt idx="3">
                  <c:v>54.317405999999998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C-CDAC-4552-AE48-ADF6B80C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117824"/>
        <c:axId val="301119744"/>
      </c:barChart>
      <c:catAx>
        <c:axId val="30111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01119744"/>
        <c:crosses val="autoZero"/>
        <c:auto val="1"/>
        <c:lblAlgn val="ctr"/>
        <c:lblOffset val="100"/>
        <c:noMultiLvlLbl val="1"/>
      </c:catAx>
      <c:valAx>
        <c:axId val="301119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011178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104775</xdr:colOff>
      <xdr:row>1</xdr:row>
      <xdr:rowOff>95250</xdr:rowOff>
    </xdr:from>
    <xdr:ext cx="5715000" cy="35337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A729D04E-CCD6-4AC5-88CB-62DF1D2BA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8</xdr:row>
      <xdr:rowOff>95250</xdr:rowOff>
    </xdr:from>
    <xdr:ext cx="5715000" cy="3533775"/>
    <xdr:graphicFrame macro="">
      <xdr:nvGraphicFramePr>
        <xdr:cNvPr id="5" name="Chart 2" title="Graphique">
          <a:extLst>
            <a:ext uri="{FF2B5EF4-FFF2-40B4-BE49-F238E27FC236}">
              <a16:creationId xmlns:a16="http://schemas.microsoft.com/office/drawing/2014/main" id="{61025180-9C1C-430C-BFD5-B32965C8C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390525</xdr:colOff>
      <xdr:row>28</xdr:row>
      <xdr:rowOff>66675</xdr:rowOff>
    </xdr:from>
    <xdr:ext cx="5715000" cy="3533775"/>
    <xdr:graphicFrame macro="">
      <xdr:nvGraphicFramePr>
        <xdr:cNvPr id="6" name="Chart 3" title="Graphique">
          <a:extLst>
            <a:ext uri="{FF2B5EF4-FFF2-40B4-BE49-F238E27FC236}">
              <a16:creationId xmlns:a16="http://schemas.microsoft.com/office/drawing/2014/main" id="{2F7D24E5-8B51-4380-A048-CD9D1136A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733550" cy="342900"/>
    <xdr:pic>
      <xdr:nvPicPr>
        <xdr:cNvPr id="7" name="image1.png" title="Image">
          <a:extLst>
            <a:ext uri="{FF2B5EF4-FFF2-40B4-BE49-F238E27FC236}">
              <a16:creationId xmlns:a16="http://schemas.microsoft.com/office/drawing/2014/main" id="{277BEC8E-6468-460D-80F3-2F2044C7E70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733550" cy="3429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pri&#233;taire/Downloads/Lab%2018%20-%20Forests_dashboar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rvice"/>
      <sheetName val="Dashboard_"/>
      <sheetName val="Metadata - Countries"/>
      <sheetName val="Metadata - Indicators"/>
    </sheetNames>
    <sheetDataSet>
      <sheetData sheetId="0">
        <row r="1">
          <cell r="A1" t="str">
            <v>Country Name</v>
          </cell>
          <cell r="AF1">
            <v>2020</v>
          </cell>
          <cell r="AJ1" t="str">
            <v>1990</v>
          </cell>
          <cell r="AK1" t="str">
            <v>1991</v>
          </cell>
          <cell r="AL1" t="str">
            <v>1992</v>
          </cell>
          <cell r="AM1" t="str">
            <v>1993</v>
          </cell>
          <cell r="AN1" t="str">
            <v>1994</v>
          </cell>
          <cell r="AO1" t="str">
            <v>1995</v>
          </cell>
          <cell r="AP1" t="str">
            <v>1996</v>
          </cell>
          <cell r="AQ1" t="str">
            <v>1997</v>
          </cell>
          <cell r="AR1" t="str">
            <v>1998</v>
          </cell>
          <cell r="AS1" t="str">
            <v>1999</v>
          </cell>
          <cell r="AT1" t="str">
            <v>2000</v>
          </cell>
          <cell r="AU1" t="str">
            <v>2001</v>
          </cell>
          <cell r="AV1" t="str">
            <v>2002</v>
          </cell>
          <cell r="AW1" t="str">
            <v>2003</v>
          </cell>
          <cell r="AX1" t="str">
            <v>2004</v>
          </cell>
          <cell r="AY1" t="str">
            <v>2005</v>
          </cell>
          <cell r="AZ1" t="str">
            <v>2006</v>
          </cell>
          <cell r="BA1" t="str">
            <v>2007</v>
          </cell>
          <cell r="BB1" t="str">
            <v>2008</v>
          </cell>
          <cell r="BC1" t="str">
            <v>2009</v>
          </cell>
          <cell r="BD1" t="str">
            <v>2010</v>
          </cell>
          <cell r="BE1" t="str">
            <v>2011</v>
          </cell>
          <cell r="BF1" t="str">
            <v>2012</v>
          </cell>
          <cell r="BG1" t="str">
            <v>2013</v>
          </cell>
          <cell r="BH1" t="str">
            <v>2014</v>
          </cell>
          <cell r="BI1" t="str">
            <v>2015</v>
          </cell>
          <cell r="BJ1" t="str">
            <v>2016</v>
          </cell>
          <cell r="BK1" t="str">
            <v>2017</v>
          </cell>
          <cell r="BL1" t="str">
            <v>2018</v>
          </cell>
        </row>
        <row r="2">
          <cell r="A2" t="str">
            <v>Benin</v>
          </cell>
          <cell r="AF2">
            <v>27.803742499999998</v>
          </cell>
          <cell r="AI2" t="str">
            <v>Benin</v>
          </cell>
          <cell r="AJ2">
            <v>42.880010599999999</v>
          </cell>
          <cell r="AK2">
            <v>42.2592231</v>
          </cell>
          <cell r="AL2">
            <v>41.638435600000001</v>
          </cell>
          <cell r="AM2">
            <v>41.017648100000002</v>
          </cell>
          <cell r="AN2">
            <v>40.396860599999997</v>
          </cell>
          <cell r="AO2">
            <v>39.776073099999998</v>
          </cell>
          <cell r="AP2">
            <v>39.155285599999999</v>
          </cell>
          <cell r="AQ2">
            <v>38.534497999999999</v>
          </cell>
          <cell r="AR2">
            <v>37.913710500000001</v>
          </cell>
          <cell r="AS2">
            <v>37.292923000000002</v>
          </cell>
          <cell r="AT2">
            <v>36.672135500000003</v>
          </cell>
          <cell r="AU2">
            <v>36.228715899999997</v>
          </cell>
          <cell r="AV2">
            <v>35.785296199999998</v>
          </cell>
          <cell r="AW2">
            <v>35.341876599999999</v>
          </cell>
          <cell r="AX2">
            <v>34.898456899999999</v>
          </cell>
          <cell r="AY2">
            <v>34.4550372</v>
          </cell>
          <cell r="AZ2">
            <v>34.011617600000001</v>
          </cell>
          <cell r="BA2">
            <v>33.568197900000001</v>
          </cell>
          <cell r="BB2">
            <v>33.124778300000003</v>
          </cell>
          <cell r="BC2">
            <v>32.681358600000003</v>
          </cell>
          <cell r="BD2">
            <v>32.237938999999997</v>
          </cell>
          <cell r="BE2">
            <v>31.794519300000001</v>
          </cell>
          <cell r="BF2">
            <v>31.351099699999999</v>
          </cell>
          <cell r="BG2">
            <v>30.907679999999999</v>
          </cell>
          <cell r="BH2">
            <v>30.464260400000001</v>
          </cell>
          <cell r="BI2">
            <v>30.020840700000001</v>
          </cell>
          <cell r="BJ2">
            <v>29.577421099999999</v>
          </cell>
          <cell r="BK2">
            <v>29.134001399999999</v>
          </cell>
          <cell r="BL2">
            <v>28.6905818</v>
          </cell>
        </row>
        <row r="3">
          <cell r="A3" t="str">
            <v>Belize</v>
          </cell>
          <cell r="AF3">
            <v>55.986409500000001</v>
          </cell>
          <cell r="AI3" t="str">
            <v>Brazil</v>
          </cell>
          <cell r="AJ3">
            <v>70.458020599999998</v>
          </cell>
          <cell r="AK3">
            <v>70.005654399999997</v>
          </cell>
          <cell r="AL3">
            <v>69.553288199999997</v>
          </cell>
          <cell r="AM3">
            <v>69.100921999999997</v>
          </cell>
          <cell r="AN3">
            <v>68.648555799999997</v>
          </cell>
          <cell r="AO3">
            <v>68.196189599999997</v>
          </cell>
          <cell r="AP3">
            <v>67.743823399999997</v>
          </cell>
          <cell r="AQ3">
            <v>67.291457199999996</v>
          </cell>
          <cell r="AR3">
            <v>66.839090999999996</v>
          </cell>
          <cell r="AS3">
            <v>66.386724799999996</v>
          </cell>
          <cell r="AT3">
            <v>65.934358599999996</v>
          </cell>
          <cell r="AU3">
            <v>65.461670900000001</v>
          </cell>
          <cell r="AV3">
            <v>64.988983200000007</v>
          </cell>
          <cell r="AW3">
            <v>64.516295499999998</v>
          </cell>
          <cell r="AX3">
            <v>64.043607800000004</v>
          </cell>
          <cell r="AY3">
            <v>63.570920100000002</v>
          </cell>
          <cell r="AZ3">
            <v>63.098232400000001</v>
          </cell>
          <cell r="BA3">
            <v>62.625544699999999</v>
          </cell>
          <cell r="BB3">
            <v>62.152856999999997</v>
          </cell>
          <cell r="BC3">
            <v>61.680169300000003</v>
          </cell>
          <cell r="BD3">
            <v>61.207481600000001</v>
          </cell>
          <cell r="BE3">
            <v>61.023328200000002</v>
          </cell>
          <cell r="BF3">
            <v>60.839174700000001</v>
          </cell>
          <cell r="BG3">
            <v>60.655021300000001</v>
          </cell>
          <cell r="BH3">
            <v>60.470867900000002</v>
          </cell>
          <cell r="BI3">
            <v>60.286714500000002</v>
          </cell>
          <cell r="BJ3">
            <v>60.071032600000002</v>
          </cell>
          <cell r="BK3">
            <v>59.832881499999999</v>
          </cell>
          <cell r="BL3">
            <v>59.708427999999998</v>
          </cell>
        </row>
        <row r="4">
          <cell r="A4" t="str">
            <v>Brazil</v>
          </cell>
          <cell r="AF4">
            <v>59.417478099999997</v>
          </cell>
          <cell r="AI4" t="str">
            <v>Africa Eastern and Southern</v>
          </cell>
          <cell r="AJ4">
            <v>40.565911999999997</v>
          </cell>
          <cell r="AK4">
            <v>40.403946400000002</v>
          </cell>
          <cell r="AL4">
            <v>40.235806699999998</v>
          </cell>
          <cell r="AM4">
            <v>40.269689999999997</v>
          </cell>
          <cell r="AN4">
            <v>40.1032704</v>
          </cell>
          <cell r="AO4">
            <v>39.936850800000002</v>
          </cell>
          <cell r="AP4">
            <v>39.770431199999997</v>
          </cell>
          <cell r="AQ4">
            <v>39.6040116</v>
          </cell>
          <cell r="AR4">
            <v>39.437592000000002</v>
          </cell>
          <cell r="AS4">
            <v>39.271172399999998</v>
          </cell>
          <cell r="AT4">
            <v>33.980631500000001</v>
          </cell>
          <cell r="AU4">
            <v>38.903980099999998</v>
          </cell>
          <cell r="AV4">
            <v>38.703207300000003</v>
          </cell>
          <cell r="AW4">
            <v>38.502434600000001</v>
          </cell>
          <cell r="AX4">
            <v>37.899950799999999</v>
          </cell>
          <cell r="AY4">
            <v>37.701120299999999</v>
          </cell>
          <cell r="AZ4">
            <v>37.502464500000002</v>
          </cell>
          <cell r="BA4">
            <v>37.303880200000002</v>
          </cell>
          <cell r="BB4">
            <v>37.105259400000001</v>
          </cell>
          <cell r="BC4">
            <v>36.906595699999997</v>
          </cell>
          <cell r="BD4">
            <v>31.910877899999999</v>
          </cell>
          <cell r="BE4">
            <v>32.183134799999998</v>
          </cell>
          <cell r="BF4">
            <v>31.972492299999999</v>
          </cell>
          <cell r="BG4">
            <v>31.761841700000002</v>
          </cell>
          <cell r="BH4">
            <v>31.5512701</v>
          </cell>
          <cell r="BI4">
            <v>31.340525599999999</v>
          </cell>
          <cell r="BJ4">
            <v>31.1194314</v>
          </cell>
          <cell r="BK4">
            <v>30.903542900000001</v>
          </cell>
          <cell r="BL4">
            <v>30.690224300000001</v>
          </cell>
        </row>
        <row r="5">
          <cell r="A5" t="str">
            <v>Africa Eastern and Southern</v>
          </cell>
          <cell r="AF5">
            <v>30.2517858</v>
          </cell>
          <cell r="AI5" t="str">
            <v>Angola</v>
          </cell>
          <cell r="AJ5">
            <v>63.578070099999998</v>
          </cell>
          <cell r="AK5">
            <v>63.453407400000003</v>
          </cell>
          <cell r="AL5">
            <v>63.328744700000001</v>
          </cell>
          <cell r="AM5">
            <v>63.204082</v>
          </cell>
          <cell r="AN5">
            <v>63.079419299999998</v>
          </cell>
          <cell r="AO5">
            <v>62.954756600000003</v>
          </cell>
          <cell r="AP5">
            <v>62.8300938</v>
          </cell>
          <cell r="AQ5">
            <v>62.705431099999998</v>
          </cell>
          <cell r="AR5">
            <v>62.580768399999997</v>
          </cell>
          <cell r="AS5">
            <v>62.456105700000002</v>
          </cell>
          <cell r="AT5">
            <v>62.331443</v>
          </cell>
          <cell r="AU5">
            <v>61.886218800000002</v>
          </cell>
          <cell r="AV5">
            <v>61.440994600000003</v>
          </cell>
          <cell r="AW5">
            <v>60.995770399999998</v>
          </cell>
          <cell r="AX5">
            <v>60.550546199999999</v>
          </cell>
          <cell r="AY5">
            <v>60.105322100000002</v>
          </cell>
          <cell r="AZ5">
            <v>59.660097899999997</v>
          </cell>
          <cell r="BA5">
            <v>59.214873699999998</v>
          </cell>
          <cell r="BB5">
            <v>58.7696495</v>
          </cell>
          <cell r="BC5">
            <v>58.324425300000001</v>
          </cell>
          <cell r="BD5">
            <v>57.879201100000003</v>
          </cell>
          <cell r="BE5">
            <v>57.433976100000002</v>
          </cell>
          <cell r="BF5">
            <v>56.988751100000002</v>
          </cell>
          <cell r="BG5">
            <v>56.543526100000001</v>
          </cell>
          <cell r="BH5">
            <v>56.0983011</v>
          </cell>
          <cell r="BI5">
            <v>55.6530761</v>
          </cell>
          <cell r="BJ5">
            <v>55.207844700000003</v>
          </cell>
          <cell r="BK5">
            <v>54.7626293</v>
          </cell>
          <cell r="BL5">
            <v>54.317405999999998</v>
          </cell>
        </row>
        <row r="6">
          <cell r="A6" t="str">
            <v>Angola</v>
          </cell>
          <cell r="AF6">
            <v>53.426951199999998</v>
          </cell>
          <cell r="AI6" t="str">
            <v>Central African Republic</v>
          </cell>
          <cell r="AJ6">
            <v>37.245176399999998</v>
          </cell>
          <cell r="AK6">
            <v>37.197020799999997</v>
          </cell>
          <cell r="AL6">
            <v>37.148865100000002</v>
          </cell>
          <cell r="AM6">
            <v>37.100709500000001</v>
          </cell>
          <cell r="AN6">
            <v>37.052553899999999</v>
          </cell>
          <cell r="AO6">
            <v>37.004398199999997</v>
          </cell>
          <cell r="AP6">
            <v>36.956242600000003</v>
          </cell>
          <cell r="AQ6">
            <v>36.908086900000001</v>
          </cell>
          <cell r="AR6">
            <v>36.8599313</v>
          </cell>
          <cell r="AS6">
            <v>36.811775699999998</v>
          </cell>
          <cell r="AT6">
            <v>36.763620000000003</v>
          </cell>
          <cell r="AU6">
            <v>36.715464400000002</v>
          </cell>
          <cell r="AV6">
            <v>36.6673087</v>
          </cell>
          <cell r="AW6">
            <v>36.619153099999998</v>
          </cell>
          <cell r="AX6">
            <v>36.570997499999997</v>
          </cell>
          <cell r="AY6">
            <v>36.522841800000002</v>
          </cell>
          <cell r="AZ6">
            <v>36.474686200000001</v>
          </cell>
          <cell r="BA6">
            <v>36.426530499999998</v>
          </cell>
          <cell r="BB6">
            <v>36.378374899999997</v>
          </cell>
          <cell r="BC6">
            <v>36.330219300000003</v>
          </cell>
          <cell r="BD6">
            <v>36.282063600000001</v>
          </cell>
          <cell r="BE6">
            <v>36.233908</v>
          </cell>
          <cell r="BF6">
            <v>36.185752399999998</v>
          </cell>
          <cell r="BG6">
            <v>36.137596700000003</v>
          </cell>
          <cell r="BH6">
            <v>36.089441100000002</v>
          </cell>
          <cell r="BI6">
            <v>36.0412854</v>
          </cell>
          <cell r="BJ6">
            <v>35.993129799999998</v>
          </cell>
          <cell r="BK6">
            <v>35.944974199999997</v>
          </cell>
          <cell r="BL6">
            <v>35.896818500000002</v>
          </cell>
        </row>
        <row r="7">
          <cell r="A7" t="str">
            <v>Bolivia</v>
          </cell>
          <cell r="AF7">
            <v>46.924914600000001</v>
          </cell>
        </row>
        <row r="8">
          <cell r="A8" t="str">
            <v>Botswana</v>
          </cell>
          <cell r="AF8">
            <v>26.917050400000001</v>
          </cell>
        </row>
        <row r="9">
          <cell r="A9" t="str">
            <v>Brunei Darussalam</v>
          </cell>
          <cell r="AF9">
            <v>72.106261900000007</v>
          </cell>
        </row>
        <row r="10">
          <cell r="A10" t="str">
            <v>Burkina Faso</v>
          </cell>
          <cell r="AF10">
            <v>22.720760200000001</v>
          </cell>
        </row>
        <row r="11">
          <cell r="A11" t="str">
            <v>American Samoa</v>
          </cell>
          <cell r="AF11">
            <v>85.65</v>
          </cell>
        </row>
        <row r="12">
          <cell r="A12" t="str">
            <v>Antigua and Barbuda</v>
          </cell>
          <cell r="AF12">
            <v>18.454545499999998</v>
          </cell>
        </row>
        <row r="13">
          <cell r="A13" t="str">
            <v>Africa Western and Central</v>
          </cell>
          <cell r="AF13">
            <v>19.816762099999998</v>
          </cell>
        </row>
        <row r="14">
          <cell r="A14" t="str">
            <v>Argentina</v>
          </cell>
          <cell r="AF14">
            <v>10.4407149</v>
          </cell>
        </row>
        <row r="15">
          <cell r="A15" t="str">
            <v>Central African Republic</v>
          </cell>
          <cell r="AF15">
            <v>35.800507199999998</v>
          </cell>
        </row>
        <row r="16">
          <cell r="A16" t="str">
            <v>Belgium</v>
          </cell>
          <cell r="AF16">
            <v>22.764200800000001</v>
          </cell>
        </row>
        <row r="17">
          <cell r="A17" t="str">
            <v>Bosnia and Herzegovina</v>
          </cell>
          <cell r="AF17">
            <v>42.7326172</v>
          </cell>
        </row>
        <row r="18">
          <cell r="A18" t="str">
            <v>Bangladesh</v>
          </cell>
          <cell r="AF18">
            <v>14.4687716</v>
          </cell>
        </row>
        <row r="19">
          <cell r="A19" t="str">
            <v>Armenia</v>
          </cell>
          <cell r="AF19">
            <v>11.5374078</v>
          </cell>
        </row>
        <row r="20">
          <cell r="A20" t="str">
            <v>Canada</v>
          </cell>
          <cell r="AF20">
            <v>38.6955125</v>
          </cell>
        </row>
        <row r="21">
          <cell r="A21" t="str">
            <v>Australia</v>
          </cell>
          <cell r="AF21">
            <v>17.421314599999999</v>
          </cell>
        </row>
      </sheetData>
      <sheetData sheetId="1">
        <row r="25">
          <cell r="E25">
            <v>1990</v>
          </cell>
          <cell r="F25">
            <v>1991</v>
          </cell>
          <cell r="G25">
            <v>1992</v>
          </cell>
          <cell r="H25">
            <v>1993</v>
          </cell>
          <cell r="I25">
            <v>1994</v>
          </cell>
          <cell r="J25">
            <v>1995</v>
          </cell>
          <cell r="K25">
            <v>1996</v>
          </cell>
          <cell r="L25">
            <v>1997</v>
          </cell>
          <cell r="M25">
            <v>1998</v>
          </cell>
          <cell r="N25">
            <v>1999</v>
          </cell>
          <cell r="O25">
            <v>2000</v>
          </cell>
          <cell r="P25">
            <v>2001</v>
          </cell>
          <cell r="Q25">
            <v>2002</v>
          </cell>
          <cell r="R25">
            <v>2003</v>
          </cell>
          <cell r="S25">
            <v>2004</v>
          </cell>
          <cell r="T25">
            <v>2005</v>
          </cell>
          <cell r="U25">
            <v>2006</v>
          </cell>
          <cell r="V25">
            <v>2007</v>
          </cell>
          <cell r="W25">
            <v>2008</v>
          </cell>
          <cell r="X25">
            <v>2009</v>
          </cell>
          <cell r="Y25">
            <v>2010</v>
          </cell>
          <cell r="Z25">
            <v>2011</v>
          </cell>
          <cell r="AA25">
            <v>2012</v>
          </cell>
          <cell r="AB25">
            <v>2013</v>
          </cell>
          <cell r="AC25">
            <v>2014</v>
          </cell>
          <cell r="AD25">
            <v>2015</v>
          </cell>
          <cell r="AE25">
            <v>2016</v>
          </cell>
          <cell r="AF25">
            <v>2017</v>
          </cell>
          <cell r="AG25">
            <v>2018</v>
          </cell>
          <cell r="AH25">
            <v>2019</v>
          </cell>
          <cell r="AI25">
            <v>2020</v>
          </cell>
        </row>
        <row r="26">
          <cell r="E26">
            <v>32.553067599999999</v>
          </cell>
          <cell r="F26">
            <v>32.344326199999998</v>
          </cell>
          <cell r="G26">
            <v>32.135584799999997</v>
          </cell>
          <cell r="H26">
            <v>31.9268435</v>
          </cell>
          <cell r="I26">
            <v>31.718102099999999</v>
          </cell>
          <cell r="J26">
            <v>31.509360699999998</v>
          </cell>
          <cell r="K26">
            <v>31.300619300000001</v>
          </cell>
          <cell r="L26">
            <v>31.091878000000001</v>
          </cell>
          <cell r="M26">
            <v>30.8831366</v>
          </cell>
          <cell r="N26">
            <v>30.674395199999999</v>
          </cell>
          <cell r="O26">
            <v>30.465653799999998</v>
          </cell>
          <cell r="P26">
            <v>30.256912499999999</v>
          </cell>
          <cell r="Q26">
            <v>30.048171100000001</v>
          </cell>
          <cell r="R26">
            <v>29.8394297</v>
          </cell>
          <cell r="S26">
            <v>29.630688299999999</v>
          </cell>
          <cell r="T26">
            <v>29.421946999999999</v>
          </cell>
          <cell r="U26">
            <v>29.213205599999998</v>
          </cell>
          <cell r="V26">
            <v>29.004464200000001</v>
          </cell>
          <cell r="W26">
            <v>28.7957228</v>
          </cell>
          <cell r="X26">
            <v>28.5869815</v>
          </cell>
          <cell r="Y26">
            <v>28.378240099999999</v>
          </cell>
          <cell r="Z26">
            <v>28.169498699999998</v>
          </cell>
          <cell r="AA26">
            <v>27.960757300000001</v>
          </cell>
          <cell r="AB26">
            <v>27.752016000000001</v>
          </cell>
          <cell r="AC26">
            <v>27.5432746</v>
          </cell>
          <cell r="AD26">
            <v>27.334533199999999</v>
          </cell>
          <cell r="AE26">
            <v>27.125791799999998</v>
          </cell>
          <cell r="AF26">
            <v>26.917050400000001</v>
          </cell>
          <cell r="AG26">
            <v>6.2622412999999897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5288-0BD4-4AD7-8EED-D283BE22C212}">
  <dimension ref="A1:BW997"/>
  <sheetViews>
    <sheetView workbookViewId="0">
      <selection sqref="A1:XFD1048576"/>
    </sheetView>
  </sheetViews>
  <sheetFormatPr baseColWidth="10" defaultColWidth="14.453125" defaultRowHeight="15" customHeight="1" x14ac:dyDescent="0.35"/>
  <cols>
    <col min="1" max="1" width="44" customWidth="1"/>
    <col min="2" max="75" width="11.453125" customWidth="1"/>
  </cols>
  <sheetData>
    <row r="1" spans="1:75" ht="12.75" customHeight="1" x14ac:dyDescent="0.35">
      <c r="A1" s="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 t="s">
        <v>1</v>
      </c>
      <c r="AH1" s="1"/>
      <c r="AI1" s="1" t="str">
        <f ca="1">IFERROR(__xludf.DUMMYFUNCTION("QUERY(A1:AH21, ""where AH = TRUE"", 1)"),"Country Name")</f>
        <v>Country Name</v>
      </c>
      <c r="AJ1" s="1" t="str">
        <f ca="1">IFERROR(__xludf.DUMMYFUNCTION("""COMPUTED_VALUE"""),"1990")</f>
        <v>1990</v>
      </c>
      <c r="AK1" s="1" t="str">
        <f ca="1">IFERROR(__xludf.DUMMYFUNCTION("""COMPUTED_VALUE"""),"1991")</f>
        <v>1991</v>
      </c>
      <c r="AL1" s="1" t="str">
        <f ca="1">IFERROR(__xludf.DUMMYFUNCTION("""COMPUTED_VALUE"""),"1992")</f>
        <v>1992</v>
      </c>
      <c r="AM1" s="1" t="str">
        <f ca="1">IFERROR(__xludf.DUMMYFUNCTION("""COMPUTED_VALUE"""),"1993")</f>
        <v>1993</v>
      </c>
      <c r="AN1" s="1" t="str">
        <f ca="1">IFERROR(__xludf.DUMMYFUNCTION("""COMPUTED_VALUE"""),"1994")</f>
        <v>1994</v>
      </c>
      <c r="AO1" s="1" t="str">
        <f ca="1">IFERROR(__xludf.DUMMYFUNCTION("""COMPUTED_VALUE"""),"1995")</f>
        <v>1995</v>
      </c>
      <c r="AP1" s="1" t="str">
        <f ca="1">IFERROR(__xludf.DUMMYFUNCTION("""COMPUTED_VALUE"""),"1996")</f>
        <v>1996</v>
      </c>
      <c r="AQ1" s="1" t="str">
        <f ca="1">IFERROR(__xludf.DUMMYFUNCTION("""COMPUTED_VALUE"""),"1997")</f>
        <v>1997</v>
      </c>
      <c r="AR1" s="1" t="str">
        <f ca="1">IFERROR(__xludf.DUMMYFUNCTION("""COMPUTED_VALUE"""),"1998")</f>
        <v>1998</v>
      </c>
      <c r="AS1" s="1" t="str">
        <f ca="1">IFERROR(__xludf.DUMMYFUNCTION("""COMPUTED_VALUE"""),"1999")</f>
        <v>1999</v>
      </c>
      <c r="AT1" s="1" t="str">
        <f ca="1">IFERROR(__xludf.DUMMYFUNCTION("""COMPUTED_VALUE"""),"2000")</f>
        <v>2000</v>
      </c>
      <c r="AU1" s="1" t="str">
        <f ca="1">IFERROR(__xludf.DUMMYFUNCTION("""COMPUTED_VALUE"""),"2001")</f>
        <v>2001</v>
      </c>
      <c r="AV1" s="1" t="str">
        <f ca="1">IFERROR(__xludf.DUMMYFUNCTION("""COMPUTED_VALUE"""),"2002")</f>
        <v>2002</v>
      </c>
      <c r="AW1" s="1" t="str">
        <f ca="1">IFERROR(__xludf.DUMMYFUNCTION("""COMPUTED_VALUE"""),"2003")</f>
        <v>2003</v>
      </c>
      <c r="AX1" s="1" t="str">
        <f ca="1">IFERROR(__xludf.DUMMYFUNCTION("""COMPUTED_VALUE"""),"2004")</f>
        <v>2004</v>
      </c>
      <c r="AY1" s="1" t="str">
        <f ca="1">IFERROR(__xludf.DUMMYFUNCTION("""COMPUTED_VALUE"""),"2005")</f>
        <v>2005</v>
      </c>
      <c r="AZ1" s="1" t="str">
        <f ca="1">IFERROR(__xludf.DUMMYFUNCTION("""COMPUTED_VALUE"""),"2006")</f>
        <v>2006</v>
      </c>
      <c r="BA1" s="1" t="str">
        <f ca="1">IFERROR(__xludf.DUMMYFUNCTION("""COMPUTED_VALUE"""),"2007")</f>
        <v>2007</v>
      </c>
      <c r="BB1" s="1" t="str">
        <f ca="1">IFERROR(__xludf.DUMMYFUNCTION("""COMPUTED_VALUE"""),"2008")</f>
        <v>2008</v>
      </c>
      <c r="BC1" s="1" t="str">
        <f ca="1">IFERROR(__xludf.DUMMYFUNCTION("""COMPUTED_VALUE"""),"2009")</f>
        <v>2009</v>
      </c>
      <c r="BD1" s="1" t="str">
        <f ca="1">IFERROR(__xludf.DUMMYFUNCTION("""COMPUTED_VALUE"""),"2010")</f>
        <v>2010</v>
      </c>
      <c r="BE1" s="1" t="str">
        <f ca="1">IFERROR(__xludf.DUMMYFUNCTION("""COMPUTED_VALUE"""),"2011")</f>
        <v>2011</v>
      </c>
      <c r="BF1" s="1" t="str">
        <f ca="1">IFERROR(__xludf.DUMMYFUNCTION("""COMPUTED_VALUE"""),"2012")</f>
        <v>2012</v>
      </c>
      <c r="BG1" s="1" t="str">
        <f ca="1">IFERROR(__xludf.DUMMYFUNCTION("""COMPUTED_VALUE"""),"2013")</f>
        <v>2013</v>
      </c>
      <c r="BH1" s="1" t="str">
        <f ca="1">IFERROR(__xludf.DUMMYFUNCTION("""COMPUTED_VALUE"""),"2014")</f>
        <v>2014</v>
      </c>
      <c r="BI1" s="1" t="str">
        <f ca="1">IFERROR(__xludf.DUMMYFUNCTION("""COMPUTED_VALUE"""),"2015")</f>
        <v>2015</v>
      </c>
      <c r="BJ1" s="1" t="str">
        <f ca="1">IFERROR(__xludf.DUMMYFUNCTION("""COMPUTED_VALUE"""),"2016")</f>
        <v>2016</v>
      </c>
      <c r="BK1" s="1" t="str">
        <f ca="1">IFERROR(__xludf.DUMMYFUNCTION("""COMPUTED_VALUE"""),"2017")</f>
        <v>2017</v>
      </c>
      <c r="BL1" s="1" t="str">
        <f ca="1">IFERROR(__xludf.DUMMYFUNCTION("""COMPUTED_VALUE"""),"2018")</f>
        <v>2018</v>
      </c>
      <c r="BM1" s="1" t="str">
        <f ca="1">IFERROR(__xludf.DUMMYFUNCTION("""COMPUTED_VALUE"""),"2019")</f>
        <v>2019</v>
      </c>
      <c r="BN1" s="1" t="str">
        <f ca="1">IFERROR(__xludf.DUMMYFUNCTION("""COMPUTED_VALUE"""),"2020")</f>
        <v>2020</v>
      </c>
      <c r="BO1" s="1" t="str">
        <f ca="1">IFERROR(__xludf.DUMMYFUNCTION("""COMPUTED_VALUE"""),"difference")</f>
        <v>difference</v>
      </c>
      <c r="BP1" s="1" t="str">
        <f ca="1">IFERROR(__xludf.DUMMYFUNCTION("""COMPUTED_VALUE"""),"")</f>
        <v/>
      </c>
      <c r="BQ1" s="1"/>
      <c r="BR1" s="1"/>
      <c r="BS1" s="1"/>
      <c r="BT1" s="1"/>
      <c r="BU1" s="1"/>
      <c r="BV1" s="1"/>
      <c r="BW1" s="1"/>
    </row>
    <row r="2" spans="1:75" ht="12.75" customHeight="1" x14ac:dyDescent="0.35">
      <c r="A2" s="1" t="s">
        <v>2</v>
      </c>
      <c r="B2" s="2">
        <v>42.880010599999999</v>
      </c>
      <c r="C2" s="2">
        <v>42.2592231</v>
      </c>
      <c r="D2" s="2">
        <v>41.638435600000001</v>
      </c>
      <c r="E2" s="2">
        <v>41.017648100000002</v>
      </c>
      <c r="F2" s="2">
        <v>40.396860599999997</v>
      </c>
      <c r="G2" s="2">
        <v>39.776073099999998</v>
      </c>
      <c r="H2" s="2">
        <v>39.155285599999999</v>
      </c>
      <c r="I2" s="2">
        <v>38.534497999999999</v>
      </c>
      <c r="J2" s="2">
        <v>37.913710500000001</v>
      </c>
      <c r="K2" s="2">
        <v>37.292923000000002</v>
      </c>
      <c r="L2" s="2">
        <v>36.672135500000003</v>
      </c>
      <c r="M2" s="2">
        <v>36.228715899999997</v>
      </c>
      <c r="N2" s="2">
        <v>35.785296199999998</v>
      </c>
      <c r="O2" s="2">
        <v>35.341876599999999</v>
      </c>
      <c r="P2" s="2">
        <v>34.898456899999999</v>
      </c>
      <c r="Q2" s="2">
        <v>34.4550372</v>
      </c>
      <c r="R2" s="2">
        <v>34.011617600000001</v>
      </c>
      <c r="S2" s="2">
        <v>33.568197900000001</v>
      </c>
      <c r="T2" s="2">
        <v>33.124778300000003</v>
      </c>
      <c r="U2" s="2">
        <v>32.681358600000003</v>
      </c>
      <c r="V2" s="2">
        <v>32.237938999999997</v>
      </c>
      <c r="W2" s="2">
        <v>31.794519300000001</v>
      </c>
      <c r="X2" s="2">
        <v>31.351099699999999</v>
      </c>
      <c r="Y2" s="2">
        <v>30.907679999999999</v>
      </c>
      <c r="Z2" s="2">
        <v>30.464260400000001</v>
      </c>
      <c r="AA2" s="2">
        <v>30.020840700000001</v>
      </c>
      <c r="AB2" s="2">
        <v>29.577421099999999</v>
      </c>
      <c r="AC2" s="2">
        <v>29.134001399999999</v>
      </c>
      <c r="AD2" s="2">
        <v>28.6905818</v>
      </c>
      <c r="AE2" s="2">
        <v>28.247162100000001</v>
      </c>
      <c r="AF2" s="2">
        <v>27.803742499999998</v>
      </c>
      <c r="AG2" s="2">
        <v>15.0762681</v>
      </c>
      <c r="AH2" s="2" t="b">
        <v>1</v>
      </c>
      <c r="AI2" s="2" t="str">
        <f ca="1">IFERROR(__xludf.DUMMYFUNCTION("""COMPUTED_VALUE"""),"Benin")</f>
        <v>Benin</v>
      </c>
      <c r="AJ2" s="2">
        <f ca="1">IFERROR(__xludf.DUMMYFUNCTION("""COMPUTED_VALUE"""),42.8800106)</f>
        <v>42.880010599999999</v>
      </c>
      <c r="AK2" s="2">
        <f ca="1">IFERROR(__xludf.DUMMYFUNCTION("""COMPUTED_VALUE"""),42.2592231)</f>
        <v>42.2592231</v>
      </c>
      <c r="AL2" s="2">
        <f ca="1">IFERROR(__xludf.DUMMYFUNCTION("""COMPUTED_VALUE"""),41.6384356)</f>
        <v>41.638435600000001</v>
      </c>
      <c r="AM2" s="2">
        <f ca="1">IFERROR(__xludf.DUMMYFUNCTION("""COMPUTED_VALUE"""),41.0176481)</f>
        <v>41.017648100000002</v>
      </c>
      <c r="AN2" s="2">
        <f ca="1">IFERROR(__xludf.DUMMYFUNCTION("""COMPUTED_VALUE"""),40.3968606)</f>
        <v>40.396860599999997</v>
      </c>
      <c r="AO2" s="2">
        <f ca="1">IFERROR(__xludf.DUMMYFUNCTION("""COMPUTED_VALUE"""),39.7760731)</f>
        <v>39.776073099999998</v>
      </c>
      <c r="AP2" s="2">
        <f ca="1">IFERROR(__xludf.DUMMYFUNCTION("""COMPUTED_VALUE"""),39.1552856)</f>
        <v>39.155285599999999</v>
      </c>
      <c r="AQ2" s="2">
        <f ca="1">IFERROR(__xludf.DUMMYFUNCTION("""COMPUTED_VALUE"""),38.534498)</f>
        <v>38.534497999999999</v>
      </c>
      <c r="AR2" s="2">
        <f ca="1">IFERROR(__xludf.DUMMYFUNCTION("""COMPUTED_VALUE"""),37.9137105)</f>
        <v>37.913710500000001</v>
      </c>
      <c r="AS2" s="2">
        <f ca="1">IFERROR(__xludf.DUMMYFUNCTION("""COMPUTED_VALUE"""),37.292923)</f>
        <v>37.292923000000002</v>
      </c>
      <c r="AT2" s="2">
        <f ca="1">IFERROR(__xludf.DUMMYFUNCTION("""COMPUTED_VALUE"""),36.6721355)</f>
        <v>36.672135500000003</v>
      </c>
      <c r="AU2" s="2">
        <f ca="1">IFERROR(__xludf.DUMMYFUNCTION("""COMPUTED_VALUE"""),36.2287159)</f>
        <v>36.228715899999997</v>
      </c>
      <c r="AV2" s="2">
        <f ca="1">IFERROR(__xludf.DUMMYFUNCTION("""COMPUTED_VALUE"""),35.7852962)</f>
        <v>35.785296199999998</v>
      </c>
      <c r="AW2" s="2">
        <f ca="1">IFERROR(__xludf.DUMMYFUNCTION("""COMPUTED_VALUE"""),35.3418766)</f>
        <v>35.341876599999999</v>
      </c>
      <c r="AX2" s="2">
        <f ca="1">IFERROR(__xludf.DUMMYFUNCTION("""COMPUTED_VALUE"""),34.8984569)</f>
        <v>34.898456899999999</v>
      </c>
      <c r="AY2" s="2">
        <f ca="1">IFERROR(__xludf.DUMMYFUNCTION("""COMPUTED_VALUE"""),34.4550372)</f>
        <v>34.4550372</v>
      </c>
      <c r="AZ2" s="2">
        <f ca="1">IFERROR(__xludf.DUMMYFUNCTION("""COMPUTED_VALUE"""),34.0116176)</f>
        <v>34.011617600000001</v>
      </c>
      <c r="BA2" s="2">
        <f ca="1">IFERROR(__xludf.DUMMYFUNCTION("""COMPUTED_VALUE"""),33.5681979)</f>
        <v>33.568197900000001</v>
      </c>
      <c r="BB2" s="2">
        <f ca="1">IFERROR(__xludf.DUMMYFUNCTION("""COMPUTED_VALUE"""),33.1247783)</f>
        <v>33.124778300000003</v>
      </c>
      <c r="BC2" s="2">
        <f ca="1">IFERROR(__xludf.DUMMYFUNCTION("""COMPUTED_VALUE"""),32.6813586)</f>
        <v>32.681358600000003</v>
      </c>
      <c r="BD2" s="2">
        <f ca="1">IFERROR(__xludf.DUMMYFUNCTION("""COMPUTED_VALUE"""),32.237939)</f>
        <v>32.237938999999997</v>
      </c>
      <c r="BE2" s="2">
        <f ca="1">IFERROR(__xludf.DUMMYFUNCTION("""COMPUTED_VALUE"""),31.7945193)</f>
        <v>31.794519300000001</v>
      </c>
      <c r="BF2" s="2">
        <f ca="1">IFERROR(__xludf.DUMMYFUNCTION("""COMPUTED_VALUE"""),31.3510997)</f>
        <v>31.351099699999999</v>
      </c>
      <c r="BG2" s="2">
        <f ca="1">IFERROR(__xludf.DUMMYFUNCTION("""COMPUTED_VALUE"""),30.90768)</f>
        <v>30.907679999999999</v>
      </c>
      <c r="BH2" s="2">
        <f ca="1">IFERROR(__xludf.DUMMYFUNCTION("""COMPUTED_VALUE"""),30.4642604)</f>
        <v>30.464260400000001</v>
      </c>
      <c r="BI2" s="2">
        <f ca="1">IFERROR(__xludf.DUMMYFUNCTION("""COMPUTED_VALUE"""),30.0208407)</f>
        <v>30.020840700000001</v>
      </c>
      <c r="BJ2" s="2">
        <f ca="1">IFERROR(__xludf.DUMMYFUNCTION("""COMPUTED_VALUE"""),29.5774211)</f>
        <v>29.577421099999999</v>
      </c>
      <c r="BK2" s="2">
        <f ca="1">IFERROR(__xludf.DUMMYFUNCTION("""COMPUTED_VALUE"""),29.1340014)</f>
        <v>29.134001399999999</v>
      </c>
      <c r="BL2" s="2">
        <f ca="1">IFERROR(__xludf.DUMMYFUNCTION("""COMPUTED_VALUE"""),28.6905818)</f>
        <v>28.6905818</v>
      </c>
      <c r="BM2" s="2">
        <f ca="1">IFERROR(__xludf.DUMMYFUNCTION("""COMPUTED_VALUE"""),28.2471621)</f>
        <v>28.247162100000001</v>
      </c>
      <c r="BN2" s="2">
        <f ca="1">IFERROR(__xludf.DUMMYFUNCTION("""COMPUTED_VALUE"""),27.8037425)</f>
        <v>27.803742499999998</v>
      </c>
      <c r="BO2" s="2">
        <f ca="1">IFERROR(__xludf.DUMMYFUNCTION("""COMPUTED_VALUE"""),15.0762681)</f>
        <v>15.0762681</v>
      </c>
      <c r="BP2" s="2" t="b">
        <f ca="1">IFERROR(__xludf.DUMMYFUNCTION("""COMPUTED_VALUE"""),TRUE)</f>
        <v>1</v>
      </c>
      <c r="BQ2" s="2"/>
      <c r="BR2" s="2"/>
      <c r="BS2" s="2"/>
      <c r="BT2" s="2"/>
      <c r="BU2" s="2"/>
      <c r="BV2" s="2"/>
      <c r="BW2" s="2"/>
    </row>
    <row r="3" spans="1:75" ht="12.75" customHeight="1" x14ac:dyDescent="0.35">
      <c r="A3" s="1" t="s">
        <v>3</v>
      </c>
      <c r="B3" s="2">
        <v>70.145988599999995</v>
      </c>
      <c r="C3" s="2">
        <v>69.529022400000002</v>
      </c>
      <c r="D3" s="2">
        <v>68.912056100000001</v>
      </c>
      <c r="E3" s="2">
        <v>68.295089899999994</v>
      </c>
      <c r="F3" s="2">
        <v>67.678123600000006</v>
      </c>
      <c r="G3" s="2">
        <v>67.061157399999999</v>
      </c>
      <c r="H3" s="2">
        <v>66.444191099999998</v>
      </c>
      <c r="I3" s="2">
        <v>65.827224900000004</v>
      </c>
      <c r="J3" s="2">
        <v>65.210258699999997</v>
      </c>
      <c r="K3" s="2">
        <v>64.593292399999996</v>
      </c>
      <c r="L3" s="2">
        <v>63.976326200000003</v>
      </c>
      <c r="M3" s="2">
        <v>63.678605900000001</v>
      </c>
      <c r="N3" s="2">
        <v>63.380885599999999</v>
      </c>
      <c r="O3" s="2">
        <v>63.083165299999997</v>
      </c>
      <c r="P3" s="2">
        <v>62.785445000000003</v>
      </c>
      <c r="Q3" s="2">
        <v>62.487724700000001</v>
      </c>
      <c r="R3" s="2">
        <v>62.190004399999999</v>
      </c>
      <c r="S3" s="2">
        <v>61.892284099999998</v>
      </c>
      <c r="T3" s="2">
        <v>61.594563800000003</v>
      </c>
      <c r="U3" s="2">
        <v>61.296843500000001</v>
      </c>
      <c r="V3" s="2">
        <v>60.9991232</v>
      </c>
      <c r="W3" s="2">
        <v>60.485664200000002</v>
      </c>
      <c r="X3" s="2">
        <v>59.972205199999998</v>
      </c>
      <c r="Y3" s="2">
        <v>59.4587462</v>
      </c>
      <c r="Z3" s="2">
        <v>58.945287200000003</v>
      </c>
      <c r="AA3" s="2">
        <v>58.431828099999997</v>
      </c>
      <c r="AB3" s="2">
        <v>57.9430075</v>
      </c>
      <c r="AC3" s="2">
        <v>57.453748400000002</v>
      </c>
      <c r="AD3" s="2">
        <v>56.964927699999997</v>
      </c>
      <c r="AE3" s="2">
        <v>56.475668599999999</v>
      </c>
      <c r="AF3" s="2">
        <v>55.986409500000001</v>
      </c>
      <c r="AG3" s="2">
        <v>14.159579099999995</v>
      </c>
      <c r="AH3" s="2" t="b">
        <v>0</v>
      </c>
      <c r="AI3" s="2" t="str">
        <f ca="1">IFERROR(__xludf.DUMMYFUNCTION("""COMPUTED_VALUE"""),"Brazil")</f>
        <v>Brazil</v>
      </c>
      <c r="AJ3" s="2">
        <f ca="1">IFERROR(__xludf.DUMMYFUNCTION("""COMPUTED_VALUE"""),70.4580206)</f>
        <v>70.458020599999998</v>
      </c>
      <c r="AK3" s="2">
        <f ca="1">IFERROR(__xludf.DUMMYFUNCTION("""COMPUTED_VALUE"""),70.0056544)</f>
        <v>70.005654399999997</v>
      </c>
      <c r="AL3" s="2">
        <f ca="1">IFERROR(__xludf.DUMMYFUNCTION("""COMPUTED_VALUE"""),69.5532882)</f>
        <v>69.553288199999997</v>
      </c>
      <c r="AM3" s="2">
        <f ca="1">IFERROR(__xludf.DUMMYFUNCTION("""COMPUTED_VALUE"""),69.100922)</f>
        <v>69.100921999999997</v>
      </c>
      <c r="AN3" s="2">
        <f ca="1">IFERROR(__xludf.DUMMYFUNCTION("""COMPUTED_VALUE"""),68.6485558)</f>
        <v>68.648555799999997</v>
      </c>
      <c r="AO3" s="2">
        <f ca="1">IFERROR(__xludf.DUMMYFUNCTION("""COMPUTED_VALUE"""),68.1961896)</f>
        <v>68.196189599999997</v>
      </c>
      <c r="AP3" s="2">
        <f ca="1">IFERROR(__xludf.DUMMYFUNCTION("""COMPUTED_VALUE"""),67.7438234)</f>
        <v>67.743823399999997</v>
      </c>
      <c r="AQ3" s="2">
        <f ca="1">IFERROR(__xludf.DUMMYFUNCTION("""COMPUTED_VALUE"""),67.2914572)</f>
        <v>67.291457199999996</v>
      </c>
      <c r="AR3" s="2">
        <f ca="1">IFERROR(__xludf.DUMMYFUNCTION("""COMPUTED_VALUE"""),66.839091)</f>
        <v>66.839090999999996</v>
      </c>
      <c r="AS3" s="2">
        <f ca="1">IFERROR(__xludf.DUMMYFUNCTION("""COMPUTED_VALUE"""),66.3867248)</f>
        <v>66.386724799999996</v>
      </c>
      <c r="AT3" s="2">
        <f ca="1">IFERROR(__xludf.DUMMYFUNCTION("""COMPUTED_VALUE"""),65.9343586)</f>
        <v>65.934358599999996</v>
      </c>
      <c r="AU3" s="2">
        <f ca="1">IFERROR(__xludf.DUMMYFUNCTION("""COMPUTED_VALUE"""),65.4616709)</f>
        <v>65.461670900000001</v>
      </c>
      <c r="AV3" s="2">
        <f ca="1">IFERROR(__xludf.DUMMYFUNCTION("""COMPUTED_VALUE"""),64.9889832)</f>
        <v>64.988983200000007</v>
      </c>
      <c r="AW3" s="2">
        <f ca="1">IFERROR(__xludf.DUMMYFUNCTION("""COMPUTED_VALUE"""),64.5162955)</f>
        <v>64.516295499999998</v>
      </c>
      <c r="AX3" s="2">
        <f ca="1">IFERROR(__xludf.DUMMYFUNCTION("""COMPUTED_VALUE"""),64.0436078)</f>
        <v>64.043607800000004</v>
      </c>
      <c r="AY3" s="2">
        <f ca="1">IFERROR(__xludf.DUMMYFUNCTION("""COMPUTED_VALUE"""),63.5709201)</f>
        <v>63.570920100000002</v>
      </c>
      <c r="AZ3" s="2">
        <f ca="1">IFERROR(__xludf.DUMMYFUNCTION("""COMPUTED_VALUE"""),63.0982324)</f>
        <v>63.098232400000001</v>
      </c>
      <c r="BA3" s="2">
        <f ca="1">IFERROR(__xludf.DUMMYFUNCTION("""COMPUTED_VALUE"""),62.6255447)</f>
        <v>62.625544699999999</v>
      </c>
      <c r="BB3" s="2">
        <f ca="1">IFERROR(__xludf.DUMMYFUNCTION("""COMPUTED_VALUE"""),62.152857)</f>
        <v>62.152856999999997</v>
      </c>
      <c r="BC3" s="2">
        <f ca="1">IFERROR(__xludf.DUMMYFUNCTION("""COMPUTED_VALUE"""),61.6801693)</f>
        <v>61.680169300000003</v>
      </c>
      <c r="BD3" s="2">
        <f ca="1">IFERROR(__xludf.DUMMYFUNCTION("""COMPUTED_VALUE"""),61.2074816)</f>
        <v>61.207481600000001</v>
      </c>
      <c r="BE3" s="2">
        <f ca="1">IFERROR(__xludf.DUMMYFUNCTION("""COMPUTED_VALUE"""),61.0233282)</f>
        <v>61.023328200000002</v>
      </c>
      <c r="BF3" s="2">
        <f ca="1">IFERROR(__xludf.DUMMYFUNCTION("""COMPUTED_VALUE"""),60.8391747)</f>
        <v>60.839174700000001</v>
      </c>
      <c r="BG3" s="2">
        <f ca="1">IFERROR(__xludf.DUMMYFUNCTION("""COMPUTED_VALUE"""),60.6550213)</f>
        <v>60.655021300000001</v>
      </c>
      <c r="BH3" s="2">
        <f ca="1">IFERROR(__xludf.DUMMYFUNCTION("""COMPUTED_VALUE"""),60.4708679)</f>
        <v>60.470867900000002</v>
      </c>
      <c r="BI3" s="2">
        <f ca="1">IFERROR(__xludf.DUMMYFUNCTION("""COMPUTED_VALUE"""),60.2867145)</f>
        <v>60.286714500000002</v>
      </c>
      <c r="BJ3" s="2">
        <f ca="1">IFERROR(__xludf.DUMMYFUNCTION("""COMPUTED_VALUE"""),60.0710326)</f>
        <v>60.071032600000002</v>
      </c>
      <c r="BK3" s="2">
        <f ca="1">IFERROR(__xludf.DUMMYFUNCTION("""COMPUTED_VALUE"""),59.8328815)</f>
        <v>59.832881499999999</v>
      </c>
      <c r="BL3" s="2">
        <f ca="1">IFERROR(__xludf.DUMMYFUNCTION("""COMPUTED_VALUE"""),59.708428)</f>
        <v>59.708427999999998</v>
      </c>
      <c r="BM3" s="2">
        <f ca="1">IFERROR(__xludf.DUMMYFUNCTION("""COMPUTED_VALUE"""),59.5585262)</f>
        <v>59.558526200000003</v>
      </c>
      <c r="BN3" s="2">
        <f ca="1">IFERROR(__xludf.DUMMYFUNCTION("""COMPUTED_VALUE"""),59.4174781)</f>
        <v>59.417478099999997</v>
      </c>
      <c r="BO3" s="2">
        <f ca="1">IFERROR(__xludf.DUMMYFUNCTION("""COMPUTED_VALUE"""),11.0405425)</f>
        <v>11.040542500000001</v>
      </c>
      <c r="BP3" s="2" t="b">
        <f ca="1">IFERROR(__xludf.DUMMYFUNCTION("""COMPUTED_VALUE"""),TRUE)</f>
        <v>1</v>
      </c>
      <c r="BQ3" s="2"/>
      <c r="BR3" s="2"/>
      <c r="BS3" s="2"/>
      <c r="BT3" s="2"/>
      <c r="BU3" s="2"/>
      <c r="BV3" s="2"/>
      <c r="BW3" s="2"/>
    </row>
    <row r="4" spans="1:75" ht="12.75" customHeight="1" x14ac:dyDescent="0.35">
      <c r="A4" s="1" t="s">
        <v>4</v>
      </c>
      <c r="B4" s="2">
        <v>70.458020599999998</v>
      </c>
      <c r="C4" s="2">
        <v>70.005654399999997</v>
      </c>
      <c r="D4" s="2">
        <v>69.553288199999997</v>
      </c>
      <c r="E4" s="2">
        <v>69.100921999999997</v>
      </c>
      <c r="F4" s="2">
        <v>68.648555799999997</v>
      </c>
      <c r="G4" s="2">
        <v>68.196189599999997</v>
      </c>
      <c r="H4" s="2">
        <v>67.743823399999997</v>
      </c>
      <c r="I4" s="2">
        <v>67.291457199999996</v>
      </c>
      <c r="J4" s="2">
        <v>66.839090999999996</v>
      </c>
      <c r="K4" s="2">
        <v>66.386724799999996</v>
      </c>
      <c r="L4" s="2">
        <v>65.934358599999996</v>
      </c>
      <c r="M4" s="2">
        <v>65.461670900000001</v>
      </c>
      <c r="N4" s="2">
        <v>64.988983200000007</v>
      </c>
      <c r="O4" s="2">
        <v>64.516295499999998</v>
      </c>
      <c r="P4" s="2">
        <v>64.043607800000004</v>
      </c>
      <c r="Q4" s="2">
        <v>63.570920100000002</v>
      </c>
      <c r="R4" s="2">
        <v>63.098232400000001</v>
      </c>
      <c r="S4" s="2">
        <v>62.625544699999999</v>
      </c>
      <c r="T4" s="2">
        <v>62.152856999999997</v>
      </c>
      <c r="U4" s="2">
        <v>61.680169300000003</v>
      </c>
      <c r="V4" s="2">
        <v>61.207481600000001</v>
      </c>
      <c r="W4" s="2">
        <v>61.023328200000002</v>
      </c>
      <c r="X4" s="2">
        <v>60.839174700000001</v>
      </c>
      <c r="Y4" s="2">
        <v>60.655021300000001</v>
      </c>
      <c r="Z4" s="2">
        <v>60.470867900000002</v>
      </c>
      <c r="AA4" s="2">
        <v>60.286714500000002</v>
      </c>
      <c r="AB4" s="2">
        <v>60.071032600000002</v>
      </c>
      <c r="AC4" s="2">
        <v>59.832881499999999</v>
      </c>
      <c r="AD4" s="2">
        <v>59.708427999999998</v>
      </c>
      <c r="AE4" s="2">
        <v>59.558526200000003</v>
      </c>
      <c r="AF4" s="2">
        <v>59.417478099999997</v>
      </c>
      <c r="AG4" s="2">
        <v>11.040542500000001</v>
      </c>
      <c r="AH4" s="2" t="b">
        <v>1</v>
      </c>
      <c r="AI4" s="2" t="str">
        <f ca="1">IFERROR(__xludf.DUMMYFUNCTION("""COMPUTED_VALUE"""),"Africa Eastern and Southern")</f>
        <v>Africa Eastern and Southern</v>
      </c>
      <c r="AJ4" s="2">
        <f ca="1">IFERROR(__xludf.DUMMYFUNCTION("""COMPUTED_VALUE"""),40.565912)</f>
        <v>40.565911999999997</v>
      </c>
      <c r="AK4" s="2">
        <f ca="1">IFERROR(__xludf.DUMMYFUNCTION("""COMPUTED_VALUE"""),40.4039464)</f>
        <v>40.403946400000002</v>
      </c>
      <c r="AL4" s="2">
        <f ca="1">IFERROR(__xludf.DUMMYFUNCTION("""COMPUTED_VALUE"""),40.2358067)</f>
        <v>40.235806699999998</v>
      </c>
      <c r="AM4" s="2">
        <f ca="1">IFERROR(__xludf.DUMMYFUNCTION("""COMPUTED_VALUE"""),40.26969)</f>
        <v>40.269689999999997</v>
      </c>
      <c r="AN4" s="2">
        <f ca="1">IFERROR(__xludf.DUMMYFUNCTION("""COMPUTED_VALUE"""),40.1032704)</f>
        <v>40.1032704</v>
      </c>
      <c r="AO4" s="2">
        <f ca="1">IFERROR(__xludf.DUMMYFUNCTION("""COMPUTED_VALUE"""),39.9368508)</f>
        <v>39.936850800000002</v>
      </c>
      <c r="AP4" s="2">
        <f ca="1">IFERROR(__xludf.DUMMYFUNCTION("""COMPUTED_VALUE"""),39.7704312)</f>
        <v>39.770431199999997</v>
      </c>
      <c r="AQ4" s="2">
        <f ca="1">IFERROR(__xludf.DUMMYFUNCTION("""COMPUTED_VALUE"""),39.6040116)</f>
        <v>39.6040116</v>
      </c>
      <c r="AR4" s="2">
        <f ca="1">IFERROR(__xludf.DUMMYFUNCTION("""COMPUTED_VALUE"""),39.437592)</f>
        <v>39.437592000000002</v>
      </c>
      <c r="AS4" s="2">
        <f ca="1">IFERROR(__xludf.DUMMYFUNCTION("""COMPUTED_VALUE"""),39.2711724)</f>
        <v>39.271172399999998</v>
      </c>
      <c r="AT4" s="2">
        <f ca="1">IFERROR(__xludf.DUMMYFUNCTION("""COMPUTED_VALUE"""),33.9806315)</f>
        <v>33.980631500000001</v>
      </c>
      <c r="AU4" s="2">
        <f ca="1">IFERROR(__xludf.DUMMYFUNCTION("""COMPUTED_VALUE"""),38.9039801)</f>
        <v>38.903980099999998</v>
      </c>
      <c r="AV4" s="2">
        <f ca="1">IFERROR(__xludf.DUMMYFUNCTION("""COMPUTED_VALUE"""),38.7032073)</f>
        <v>38.703207300000003</v>
      </c>
      <c r="AW4" s="2">
        <f ca="1">IFERROR(__xludf.DUMMYFUNCTION("""COMPUTED_VALUE"""),38.5024346)</f>
        <v>38.502434600000001</v>
      </c>
      <c r="AX4" s="2">
        <f ca="1">IFERROR(__xludf.DUMMYFUNCTION("""COMPUTED_VALUE"""),37.8999508)</f>
        <v>37.899950799999999</v>
      </c>
      <c r="AY4" s="2">
        <f ca="1">IFERROR(__xludf.DUMMYFUNCTION("""COMPUTED_VALUE"""),37.7011203)</f>
        <v>37.701120299999999</v>
      </c>
      <c r="AZ4" s="2">
        <f ca="1">IFERROR(__xludf.DUMMYFUNCTION("""COMPUTED_VALUE"""),37.5024645)</f>
        <v>37.502464500000002</v>
      </c>
      <c r="BA4" s="2">
        <f ca="1">IFERROR(__xludf.DUMMYFUNCTION("""COMPUTED_VALUE"""),37.3038802)</f>
        <v>37.303880200000002</v>
      </c>
      <c r="BB4" s="2">
        <f ca="1">IFERROR(__xludf.DUMMYFUNCTION("""COMPUTED_VALUE"""),37.1052594)</f>
        <v>37.105259400000001</v>
      </c>
      <c r="BC4" s="2">
        <f ca="1">IFERROR(__xludf.DUMMYFUNCTION("""COMPUTED_VALUE"""),36.9065957)</f>
        <v>36.906595699999997</v>
      </c>
      <c r="BD4" s="2">
        <f ca="1">IFERROR(__xludf.DUMMYFUNCTION("""COMPUTED_VALUE"""),31.9108779)</f>
        <v>31.910877899999999</v>
      </c>
      <c r="BE4" s="2">
        <f ca="1">IFERROR(__xludf.DUMMYFUNCTION("""COMPUTED_VALUE"""),32.1831348)</f>
        <v>32.183134799999998</v>
      </c>
      <c r="BF4" s="2">
        <f ca="1">IFERROR(__xludf.DUMMYFUNCTION("""COMPUTED_VALUE"""),31.9724923)</f>
        <v>31.972492299999999</v>
      </c>
      <c r="BG4" s="2">
        <f ca="1">IFERROR(__xludf.DUMMYFUNCTION("""COMPUTED_VALUE"""),31.7618417)</f>
        <v>31.761841700000002</v>
      </c>
      <c r="BH4" s="2">
        <f ca="1">IFERROR(__xludf.DUMMYFUNCTION("""COMPUTED_VALUE"""),31.5512701)</f>
        <v>31.5512701</v>
      </c>
      <c r="BI4" s="2">
        <f ca="1">IFERROR(__xludf.DUMMYFUNCTION("""COMPUTED_VALUE"""),31.3405256)</f>
        <v>31.340525599999999</v>
      </c>
      <c r="BJ4" s="2">
        <f ca="1">IFERROR(__xludf.DUMMYFUNCTION("""COMPUTED_VALUE"""),31.1194314)</f>
        <v>31.1194314</v>
      </c>
      <c r="BK4" s="2">
        <f ca="1">IFERROR(__xludf.DUMMYFUNCTION("""COMPUTED_VALUE"""),30.9035429)</f>
        <v>30.903542900000001</v>
      </c>
      <c r="BL4" s="2">
        <f ca="1">IFERROR(__xludf.DUMMYFUNCTION("""COMPUTED_VALUE"""),30.6902243)</f>
        <v>30.690224300000001</v>
      </c>
      <c r="BM4" s="2">
        <f ca="1">IFERROR(__xludf.DUMMYFUNCTION("""COMPUTED_VALUE"""),30.4697983)</f>
        <v>30.469798300000001</v>
      </c>
      <c r="BN4" s="2">
        <f ca="1">IFERROR(__xludf.DUMMYFUNCTION("""COMPUTED_VALUE"""),30.2517858)</f>
        <v>30.2517858</v>
      </c>
      <c r="BO4" s="2">
        <f ca="1">IFERROR(__xludf.DUMMYFUNCTION("""COMPUTED_VALUE"""),10.3141261999999)</f>
        <v>10.314126199999899</v>
      </c>
      <c r="BP4" s="2" t="b">
        <f ca="1">IFERROR(__xludf.DUMMYFUNCTION("""COMPUTED_VALUE"""),TRUE)</f>
        <v>1</v>
      </c>
      <c r="BQ4" s="2"/>
      <c r="BR4" s="2"/>
      <c r="BS4" s="2"/>
      <c r="BT4" s="2"/>
      <c r="BU4" s="2"/>
      <c r="BV4" s="2"/>
      <c r="BW4" s="2"/>
    </row>
    <row r="5" spans="1:75" ht="12.75" customHeight="1" x14ac:dyDescent="0.35">
      <c r="A5" s="1" t="s">
        <v>5</v>
      </c>
      <c r="B5" s="2">
        <v>40.565911999999997</v>
      </c>
      <c r="C5" s="2">
        <v>40.403946400000002</v>
      </c>
      <c r="D5" s="2">
        <v>40.235806699999998</v>
      </c>
      <c r="E5" s="2">
        <v>40.269689999999997</v>
      </c>
      <c r="F5" s="2">
        <v>40.1032704</v>
      </c>
      <c r="G5" s="2">
        <v>39.936850800000002</v>
      </c>
      <c r="H5" s="2">
        <v>39.770431199999997</v>
      </c>
      <c r="I5" s="2">
        <v>39.6040116</v>
      </c>
      <c r="J5" s="2">
        <v>39.437592000000002</v>
      </c>
      <c r="K5" s="2">
        <v>39.271172399999998</v>
      </c>
      <c r="L5" s="2">
        <v>33.980631500000001</v>
      </c>
      <c r="M5" s="2">
        <v>38.903980099999998</v>
      </c>
      <c r="N5" s="2">
        <v>38.703207300000003</v>
      </c>
      <c r="O5" s="2">
        <v>38.502434600000001</v>
      </c>
      <c r="P5" s="2">
        <v>37.899950799999999</v>
      </c>
      <c r="Q5" s="2">
        <v>37.701120299999999</v>
      </c>
      <c r="R5" s="2">
        <v>37.502464500000002</v>
      </c>
      <c r="S5" s="2">
        <v>37.303880200000002</v>
      </c>
      <c r="T5" s="2">
        <v>37.105259400000001</v>
      </c>
      <c r="U5" s="2">
        <v>36.906595699999997</v>
      </c>
      <c r="V5" s="2">
        <v>31.910877899999999</v>
      </c>
      <c r="W5" s="2">
        <v>32.183134799999998</v>
      </c>
      <c r="X5" s="2">
        <v>31.972492299999999</v>
      </c>
      <c r="Y5" s="2">
        <v>31.761841700000002</v>
      </c>
      <c r="Z5" s="2">
        <v>31.5512701</v>
      </c>
      <c r="AA5" s="2">
        <v>31.340525599999999</v>
      </c>
      <c r="AB5" s="2">
        <v>31.1194314</v>
      </c>
      <c r="AC5" s="2">
        <v>30.903542900000001</v>
      </c>
      <c r="AD5" s="2">
        <v>30.690224300000001</v>
      </c>
      <c r="AE5" s="2">
        <v>30.469798300000001</v>
      </c>
      <c r="AF5" s="2">
        <v>30.2517858</v>
      </c>
      <c r="AG5" s="2">
        <v>10.314126199999997</v>
      </c>
      <c r="AH5" s="2" t="b">
        <v>1</v>
      </c>
      <c r="AI5" s="2" t="str">
        <f ca="1">IFERROR(__xludf.DUMMYFUNCTION("""COMPUTED_VALUE"""),"Angola")</f>
        <v>Angola</v>
      </c>
      <c r="AJ5" s="2">
        <f ca="1">IFERROR(__xludf.DUMMYFUNCTION("""COMPUTED_VALUE"""),63.5780701)</f>
        <v>63.578070099999998</v>
      </c>
      <c r="AK5" s="2">
        <f ca="1">IFERROR(__xludf.DUMMYFUNCTION("""COMPUTED_VALUE"""),63.4534074)</f>
        <v>63.453407400000003</v>
      </c>
      <c r="AL5" s="2">
        <f ca="1">IFERROR(__xludf.DUMMYFUNCTION("""COMPUTED_VALUE"""),63.3287447)</f>
        <v>63.328744700000001</v>
      </c>
      <c r="AM5" s="2">
        <f ca="1">IFERROR(__xludf.DUMMYFUNCTION("""COMPUTED_VALUE"""),63.204082)</f>
        <v>63.204082</v>
      </c>
      <c r="AN5" s="2">
        <f ca="1">IFERROR(__xludf.DUMMYFUNCTION("""COMPUTED_VALUE"""),63.0794193)</f>
        <v>63.079419299999998</v>
      </c>
      <c r="AO5" s="2">
        <f ca="1">IFERROR(__xludf.DUMMYFUNCTION("""COMPUTED_VALUE"""),62.9547566)</f>
        <v>62.954756600000003</v>
      </c>
      <c r="AP5" s="2">
        <f ca="1">IFERROR(__xludf.DUMMYFUNCTION("""COMPUTED_VALUE"""),62.8300938)</f>
        <v>62.8300938</v>
      </c>
      <c r="AQ5" s="2">
        <f ca="1">IFERROR(__xludf.DUMMYFUNCTION("""COMPUTED_VALUE"""),62.7054311)</f>
        <v>62.705431099999998</v>
      </c>
      <c r="AR5" s="2">
        <f ca="1">IFERROR(__xludf.DUMMYFUNCTION("""COMPUTED_VALUE"""),62.5807684)</f>
        <v>62.580768399999997</v>
      </c>
      <c r="AS5" s="2">
        <f ca="1">IFERROR(__xludf.DUMMYFUNCTION("""COMPUTED_VALUE"""),62.4561057)</f>
        <v>62.456105700000002</v>
      </c>
      <c r="AT5" s="2">
        <f ca="1">IFERROR(__xludf.DUMMYFUNCTION("""COMPUTED_VALUE"""),62.331443)</f>
        <v>62.331443</v>
      </c>
      <c r="AU5" s="2">
        <f ca="1">IFERROR(__xludf.DUMMYFUNCTION("""COMPUTED_VALUE"""),61.8862188)</f>
        <v>61.886218800000002</v>
      </c>
      <c r="AV5" s="2">
        <f ca="1">IFERROR(__xludf.DUMMYFUNCTION("""COMPUTED_VALUE"""),61.4409946)</f>
        <v>61.440994600000003</v>
      </c>
      <c r="AW5" s="2">
        <f ca="1">IFERROR(__xludf.DUMMYFUNCTION("""COMPUTED_VALUE"""),60.9957704)</f>
        <v>60.995770399999998</v>
      </c>
      <c r="AX5" s="2">
        <f ca="1">IFERROR(__xludf.DUMMYFUNCTION("""COMPUTED_VALUE"""),60.5505462)</f>
        <v>60.550546199999999</v>
      </c>
      <c r="AY5" s="2">
        <f ca="1">IFERROR(__xludf.DUMMYFUNCTION("""COMPUTED_VALUE"""),60.1053221)</f>
        <v>60.105322100000002</v>
      </c>
      <c r="AZ5" s="2">
        <f ca="1">IFERROR(__xludf.DUMMYFUNCTION("""COMPUTED_VALUE"""),59.6600979)</f>
        <v>59.660097899999997</v>
      </c>
      <c r="BA5" s="2">
        <f ca="1">IFERROR(__xludf.DUMMYFUNCTION("""COMPUTED_VALUE"""),59.2148737)</f>
        <v>59.214873699999998</v>
      </c>
      <c r="BB5" s="2">
        <f ca="1">IFERROR(__xludf.DUMMYFUNCTION("""COMPUTED_VALUE"""),58.7696495)</f>
        <v>58.7696495</v>
      </c>
      <c r="BC5" s="2">
        <f ca="1">IFERROR(__xludf.DUMMYFUNCTION("""COMPUTED_VALUE"""),58.3244253)</f>
        <v>58.324425300000001</v>
      </c>
      <c r="BD5" s="2">
        <f ca="1">IFERROR(__xludf.DUMMYFUNCTION("""COMPUTED_VALUE"""),57.8792011)</f>
        <v>57.879201100000003</v>
      </c>
      <c r="BE5" s="2">
        <f ca="1">IFERROR(__xludf.DUMMYFUNCTION("""COMPUTED_VALUE"""),57.4339761)</f>
        <v>57.433976100000002</v>
      </c>
      <c r="BF5" s="2">
        <f ca="1">IFERROR(__xludf.DUMMYFUNCTION("""COMPUTED_VALUE"""),56.9887511)</f>
        <v>56.988751100000002</v>
      </c>
      <c r="BG5" s="2">
        <f ca="1">IFERROR(__xludf.DUMMYFUNCTION("""COMPUTED_VALUE"""),56.5435261)</f>
        <v>56.543526100000001</v>
      </c>
      <c r="BH5" s="2">
        <f ca="1">IFERROR(__xludf.DUMMYFUNCTION("""COMPUTED_VALUE"""),56.0983011)</f>
        <v>56.0983011</v>
      </c>
      <c r="BI5" s="2">
        <f ca="1">IFERROR(__xludf.DUMMYFUNCTION("""COMPUTED_VALUE"""),55.6530761)</f>
        <v>55.6530761</v>
      </c>
      <c r="BJ5" s="2">
        <f ca="1">IFERROR(__xludf.DUMMYFUNCTION("""COMPUTED_VALUE"""),55.2078447)</f>
        <v>55.207844700000003</v>
      </c>
      <c r="BK5" s="2">
        <f ca="1">IFERROR(__xludf.DUMMYFUNCTION("""COMPUTED_VALUE"""),54.7626293)</f>
        <v>54.7626293</v>
      </c>
      <c r="BL5" s="2">
        <f ca="1">IFERROR(__xludf.DUMMYFUNCTION("""COMPUTED_VALUE"""),54.317406)</f>
        <v>54.317405999999998</v>
      </c>
      <c r="BM5" s="2">
        <f ca="1">IFERROR(__xludf.DUMMYFUNCTION("""COMPUTED_VALUE"""),53.8721745)</f>
        <v>53.8721745</v>
      </c>
      <c r="BN5" s="2">
        <f ca="1">IFERROR(__xludf.DUMMYFUNCTION("""COMPUTED_VALUE"""),53.4269512)</f>
        <v>53.426951199999998</v>
      </c>
      <c r="BO5" s="2">
        <f ca="1">IFERROR(__xludf.DUMMYFUNCTION("""COMPUTED_VALUE"""),10.1511189)</f>
        <v>10.1511189</v>
      </c>
      <c r="BP5" s="2" t="b">
        <f ca="1">IFERROR(__xludf.DUMMYFUNCTION("""COMPUTED_VALUE"""),TRUE)</f>
        <v>1</v>
      </c>
      <c r="BQ5" s="2"/>
      <c r="BR5" s="2"/>
      <c r="BS5" s="2"/>
      <c r="BT5" s="2"/>
      <c r="BU5" s="2"/>
      <c r="BV5" s="2"/>
      <c r="BW5" s="2"/>
    </row>
    <row r="6" spans="1:75" ht="12.75" customHeight="1" x14ac:dyDescent="0.35">
      <c r="A6" s="1" t="s">
        <v>6</v>
      </c>
      <c r="B6" s="2">
        <v>63.578070099999998</v>
      </c>
      <c r="C6" s="2">
        <v>63.453407400000003</v>
      </c>
      <c r="D6" s="2">
        <v>63.328744700000001</v>
      </c>
      <c r="E6" s="2">
        <v>63.204082</v>
      </c>
      <c r="F6" s="2">
        <v>63.079419299999998</v>
      </c>
      <c r="G6" s="2">
        <v>62.954756600000003</v>
      </c>
      <c r="H6" s="2">
        <v>62.8300938</v>
      </c>
      <c r="I6" s="2">
        <v>62.705431099999998</v>
      </c>
      <c r="J6" s="2">
        <v>62.580768399999997</v>
      </c>
      <c r="K6" s="2">
        <v>62.456105700000002</v>
      </c>
      <c r="L6" s="2">
        <v>62.331443</v>
      </c>
      <c r="M6" s="2">
        <v>61.886218800000002</v>
      </c>
      <c r="N6" s="2">
        <v>61.440994600000003</v>
      </c>
      <c r="O6" s="2">
        <v>60.995770399999998</v>
      </c>
      <c r="P6" s="2">
        <v>60.550546199999999</v>
      </c>
      <c r="Q6" s="2">
        <v>60.105322100000002</v>
      </c>
      <c r="R6" s="2">
        <v>59.660097899999997</v>
      </c>
      <c r="S6" s="2">
        <v>59.214873699999998</v>
      </c>
      <c r="T6" s="2">
        <v>58.7696495</v>
      </c>
      <c r="U6" s="2">
        <v>58.324425300000001</v>
      </c>
      <c r="V6" s="2">
        <v>57.879201100000003</v>
      </c>
      <c r="W6" s="2">
        <v>57.433976100000002</v>
      </c>
      <c r="X6" s="2">
        <v>56.988751100000002</v>
      </c>
      <c r="Y6" s="2">
        <v>56.543526100000001</v>
      </c>
      <c r="Z6" s="2">
        <v>56.0983011</v>
      </c>
      <c r="AA6" s="2">
        <v>55.6530761</v>
      </c>
      <c r="AB6" s="2">
        <v>55.207844700000003</v>
      </c>
      <c r="AC6" s="2">
        <v>54.7626293</v>
      </c>
      <c r="AD6" s="2">
        <v>54.317405999999998</v>
      </c>
      <c r="AE6" s="2">
        <v>53.8721745</v>
      </c>
      <c r="AF6" s="2">
        <v>53.426951199999998</v>
      </c>
      <c r="AG6" s="2">
        <v>10.1511189</v>
      </c>
      <c r="AH6" s="2" t="b">
        <v>1</v>
      </c>
      <c r="AI6" s="2" t="str">
        <f ca="1">IFERROR(__xludf.DUMMYFUNCTION("""COMPUTED_VALUE"""),"Central African Republic")</f>
        <v>Central African Republic</v>
      </c>
      <c r="AJ6" s="2">
        <f ca="1">IFERROR(__xludf.DUMMYFUNCTION("""COMPUTED_VALUE"""),37.2451764)</f>
        <v>37.245176399999998</v>
      </c>
      <c r="AK6" s="2">
        <f ca="1">IFERROR(__xludf.DUMMYFUNCTION("""COMPUTED_VALUE"""),37.1970208)</f>
        <v>37.197020799999997</v>
      </c>
      <c r="AL6" s="2">
        <f ca="1">IFERROR(__xludf.DUMMYFUNCTION("""COMPUTED_VALUE"""),37.1488651)</f>
        <v>37.148865100000002</v>
      </c>
      <c r="AM6" s="2">
        <f ca="1">IFERROR(__xludf.DUMMYFUNCTION("""COMPUTED_VALUE"""),37.1007095)</f>
        <v>37.100709500000001</v>
      </c>
      <c r="AN6" s="2">
        <f ca="1">IFERROR(__xludf.DUMMYFUNCTION("""COMPUTED_VALUE"""),37.0525539)</f>
        <v>37.052553899999999</v>
      </c>
      <c r="AO6" s="2">
        <f ca="1">IFERROR(__xludf.DUMMYFUNCTION("""COMPUTED_VALUE"""),37.0043982)</f>
        <v>37.004398199999997</v>
      </c>
      <c r="AP6" s="2">
        <f ca="1">IFERROR(__xludf.DUMMYFUNCTION("""COMPUTED_VALUE"""),36.9562426)</f>
        <v>36.956242600000003</v>
      </c>
      <c r="AQ6" s="2">
        <f ca="1">IFERROR(__xludf.DUMMYFUNCTION("""COMPUTED_VALUE"""),36.9080869)</f>
        <v>36.908086900000001</v>
      </c>
      <c r="AR6" s="2">
        <f ca="1">IFERROR(__xludf.DUMMYFUNCTION("""COMPUTED_VALUE"""),36.8599313)</f>
        <v>36.8599313</v>
      </c>
      <c r="AS6" s="2">
        <f ca="1">IFERROR(__xludf.DUMMYFUNCTION("""COMPUTED_VALUE"""),36.8117757)</f>
        <v>36.811775699999998</v>
      </c>
      <c r="AT6" s="2">
        <f ca="1">IFERROR(__xludf.DUMMYFUNCTION("""COMPUTED_VALUE"""),36.76362)</f>
        <v>36.763620000000003</v>
      </c>
      <c r="AU6" s="2">
        <f ca="1">IFERROR(__xludf.DUMMYFUNCTION("""COMPUTED_VALUE"""),36.7154644)</f>
        <v>36.715464400000002</v>
      </c>
      <c r="AV6" s="2">
        <f ca="1">IFERROR(__xludf.DUMMYFUNCTION("""COMPUTED_VALUE"""),36.6673087)</f>
        <v>36.6673087</v>
      </c>
      <c r="AW6" s="2">
        <f ca="1">IFERROR(__xludf.DUMMYFUNCTION("""COMPUTED_VALUE"""),36.6191531)</f>
        <v>36.619153099999998</v>
      </c>
      <c r="AX6" s="2">
        <f ca="1">IFERROR(__xludf.DUMMYFUNCTION("""COMPUTED_VALUE"""),36.5709975)</f>
        <v>36.570997499999997</v>
      </c>
      <c r="AY6" s="2">
        <f ca="1">IFERROR(__xludf.DUMMYFUNCTION("""COMPUTED_VALUE"""),36.5228418)</f>
        <v>36.522841800000002</v>
      </c>
      <c r="AZ6" s="2">
        <f ca="1">IFERROR(__xludf.DUMMYFUNCTION("""COMPUTED_VALUE"""),36.4746862)</f>
        <v>36.474686200000001</v>
      </c>
      <c r="BA6" s="2">
        <f ca="1">IFERROR(__xludf.DUMMYFUNCTION("""COMPUTED_VALUE"""),36.4265305)</f>
        <v>36.426530499999998</v>
      </c>
      <c r="BB6" s="2">
        <f ca="1">IFERROR(__xludf.DUMMYFUNCTION("""COMPUTED_VALUE"""),36.3783749)</f>
        <v>36.378374899999997</v>
      </c>
      <c r="BC6" s="2">
        <f ca="1">IFERROR(__xludf.DUMMYFUNCTION("""COMPUTED_VALUE"""),36.3302193)</f>
        <v>36.330219300000003</v>
      </c>
      <c r="BD6" s="2">
        <f ca="1">IFERROR(__xludf.DUMMYFUNCTION("""COMPUTED_VALUE"""),36.2820636)</f>
        <v>36.282063600000001</v>
      </c>
      <c r="BE6" s="2">
        <f ca="1">IFERROR(__xludf.DUMMYFUNCTION("""COMPUTED_VALUE"""),36.233908)</f>
        <v>36.233908</v>
      </c>
      <c r="BF6" s="2">
        <f ca="1">IFERROR(__xludf.DUMMYFUNCTION("""COMPUTED_VALUE"""),36.1857524)</f>
        <v>36.185752399999998</v>
      </c>
      <c r="BG6" s="2">
        <f ca="1">IFERROR(__xludf.DUMMYFUNCTION("""COMPUTED_VALUE"""),36.1375967)</f>
        <v>36.137596700000003</v>
      </c>
      <c r="BH6" s="2">
        <f ca="1">IFERROR(__xludf.DUMMYFUNCTION("""COMPUTED_VALUE"""),36.0894411)</f>
        <v>36.089441100000002</v>
      </c>
      <c r="BI6" s="2">
        <f ca="1">IFERROR(__xludf.DUMMYFUNCTION("""COMPUTED_VALUE"""),36.0412854)</f>
        <v>36.0412854</v>
      </c>
      <c r="BJ6" s="2">
        <f ca="1">IFERROR(__xludf.DUMMYFUNCTION("""COMPUTED_VALUE"""),35.9931298)</f>
        <v>35.993129799999998</v>
      </c>
      <c r="BK6" s="2">
        <f ca="1">IFERROR(__xludf.DUMMYFUNCTION("""COMPUTED_VALUE"""),35.9449742)</f>
        <v>35.944974199999997</v>
      </c>
      <c r="BL6" s="2">
        <f ca="1">IFERROR(__xludf.DUMMYFUNCTION("""COMPUTED_VALUE"""),35.8968185)</f>
        <v>35.896818500000002</v>
      </c>
      <c r="BM6" s="2">
        <f ca="1">IFERROR(__xludf.DUMMYFUNCTION("""COMPUTED_VALUE"""),35.8486629)</f>
        <v>35.848662900000001</v>
      </c>
      <c r="BN6" s="2">
        <f ca="1">IFERROR(__xludf.DUMMYFUNCTION("""COMPUTED_VALUE"""),35.8005072)</f>
        <v>35.800507199999998</v>
      </c>
      <c r="BO6" s="2">
        <f ca="1">IFERROR(__xludf.DUMMYFUNCTION("""COMPUTED_VALUE"""),1.44466919999999)</f>
        <v>1.4446691999999901</v>
      </c>
      <c r="BP6" s="2" t="b">
        <f ca="1">IFERROR(__xludf.DUMMYFUNCTION("""COMPUTED_VALUE"""),TRUE)</f>
        <v>1</v>
      </c>
      <c r="BQ6" s="2"/>
      <c r="BR6" s="2"/>
      <c r="BS6" s="2"/>
      <c r="BT6" s="2"/>
      <c r="BU6" s="2"/>
      <c r="BV6" s="2"/>
      <c r="BW6" s="2"/>
    </row>
    <row r="7" spans="1:75" ht="12.75" customHeight="1" x14ac:dyDescent="0.35">
      <c r="A7" s="1" t="s">
        <v>7</v>
      </c>
      <c r="B7" s="2">
        <v>53.359844899999999</v>
      </c>
      <c r="C7" s="2">
        <v>53.110299099999999</v>
      </c>
      <c r="D7" s="2">
        <v>52.860753299999999</v>
      </c>
      <c r="E7" s="2">
        <v>52.611207399999998</v>
      </c>
      <c r="F7" s="2">
        <v>52.361661599999998</v>
      </c>
      <c r="G7" s="2">
        <v>52.112115799999998</v>
      </c>
      <c r="H7" s="2">
        <v>51.862569899999997</v>
      </c>
      <c r="I7" s="2">
        <v>51.613024099999997</v>
      </c>
      <c r="J7" s="2">
        <v>51.363478299999997</v>
      </c>
      <c r="K7" s="2">
        <v>51.113932400000003</v>
      </c>
      <c r="L7" s="2">
        <v>50.864386600000003</v>
      </c>
      <c r="M7" s="2">
        <v>50.678345800000002</v>
      </c>
      <c r="N7" s="2">
        <v>50.492305000000002</v>
      </c>
      <c r="O7" s="2">
        <v>50.306264200000001</v>
      </c>
      <c r="P7" s="2">
        <v>50.1202234</v>
      </c>
      <c r="Q7" s="2">
        <v>49.9341826</v>
      </c>
      <c r="R7" s="2">
        <v>49.748141799999999</v>
      </c>
      <c r="S7" s="2">
        <v>49.562100999999998</v>
      </c>
      <c r="T7" s="2">
        <v>49.376060199999998</v>
      </c>
      <c r="U7" s="2">
        <v>49.190019399999997</v>
      </c>
      <c r="V7" s="2">
        <v>49.003978600000003</v>
      </c>
      <c r="W7" s="2">
        <v>48.808503600000002</v>
      </c>
      <c r="X7" s="2">
        <v>48.613028700000001</v>
      </c>
      <c r="Y7" s="2">
        <v>48.4175538</v>
      </c>
      <c r="Z7" s="2">
        <v>48.222078799999998</v>
      </c>
      <c r="AA7" s="2">
        <v>48.026603899999998</v>
      </c>
      <c r="AB7" s="2">
        <v>47.7713283</v>
      </c>
      <c r="AC7" s="2">
        <v>47.532742499999998</v>
      </c>
      <c r="AD7" s="2">
        <v>47.3121388</v>
      </c>
      <c r="AE7" s="2">
        <v>47.109535700000002</v>
      </c>
      <c r="AF7" s="2">
        <v>46.924914600000001</v>
      </c>
      <c r="AG7" s="2">
        <v>6.4349302999999978</v>
      </c>
      <c r="AH7" s="2" t="b">
        <v>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ht="12.75" customHeight="1" x14ac:dyDescent="0.35">
      <c r="A8" s="1" t="s">
        <v>8</v>
      </c>
      <c r="B8" s="2">
        <v>33.1792917</v>
      </c>
      <c r="C8" s="2">
        <v>32.9705504</v>
      </c>
      <c r="D8" s="2">
        <v>32.761809</v>
      </c>
      <c r="E8" s="2">
        <v>32.553067599999999</v>
      </c>
      <c r="F8" s="2">
        <v>32.344326199999998</v>
      </c>
      <c r="G8" s="2">
        <v>32.135584799999997</v>
      </c>
      <c r="H8" s="2">
        <v>31.9268435</v>
      </c>
      <c r="I8" s="2">
        <v>31.718102099999999</v>
      </c>
      <c r="J8" s="2">
        <v>31.509360699999998</v>
      </c>
      <c r="K8" s="2">
        <v>31.300619300000001</v>
      </c>
      <c r="L8" s="2">
        <v>31.091878000000001</v>
      </c>
      <c r="M8" s="2">
        <v>30.8831366</v>
      </c>
      <c r="N8" s="2">
        <v>30.674395199999999</v>
      </c>
      <c r="O8" s="2">
        <v>30.465653799999998</v>
      </c>
      <c r="P8" s="2">
        <v>30.256912499999999</v>
      </c>
      <c r="Q8" s="2">
        <v>30.048171100000001</v>
      </c>
      <c r="R8" s="2">
        <v>29.8394297</v>
      </c>
      <c r="S8" s="2">
        <v>29.630688299999999</v>
      </c>
      <c r="T8" s="2">
        <v>29.421946999999999</v>
      </c>
      <c r="U8" s="2">
        <v>29.213205599999998</v>
      </c>
      <c r="V8" s="2">
        <v>29.004464200000001</v>
      </c>
      <c r="W8" s="2">
        <v>28.7957228</v>
      </c>
      <c r="X8" s="2">
        <v>28.5869815</v>
      </c>
      <c r="Y8" s="2">
        <v>28.378240099999999</v>
      </c>
      <c r="Z8" s="2">
        <v>28.169498699999998</v>
      </c>
      <c r="AA8" s="2">
        <v>27.960757300000001</v>
      </c>
      <c r="AB8" s="2">
        <v>27.752016000000001</v>
      </c>
      <c r="AC8" s="2">
        <v>27.5432746</v>
      </c>
      <c r="AD8" s="2">
        <v>27.334533199999999</v>
      </c>
      <c r="AE8" s="2">
        <v>27.125791799999998</v>
      </c>
      <c r="AF8" s="2">
        <v>26.917050400000001</v>
      </c>
      <c r="AG8" s="2">
        <v>6.2622412999999995</v>
      </c>
      <c r="AH8" s="2" t="b">
        <v>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ht="12.75" customHeight="1" x14ac:dyDescent="0.35">
      <c r="A9" s="1" t="s">
        <v>9</v>
      </c>
      <c r="B9" s="2">
        <v>78.368121400000007</v>
      </c>
      <c r="C9" s="2">
        <v>78.064516100000006</v>
      </c>
      <c r="D9" s="2">
        <v>77.760910800000005</v>
      </c>
      <c r="E9" s="2">
        <v>77.457305500000004</v>
      </c>
      <c r="F9" s="2">
        <v>77.153700200000003</v>
      </c>
      <c r="G9" s="2">
        <v>76.850094900000002</v>
      </c>
      <c r="H9" s="2">
        <v>76.546489600000001</v>
      </c>
      <c r="I9" s="2">
        <v>76.2428843</v>
      </c>
      <c r="J9" s="2">
        <v>75.939278900000005</v>
      </c>
      <c r="K9" s="2">
        <v>75.635673600000004</v>
      </c>
      <c r="L9" s="2">
        <v>75.332068300000003</v>
      </c>
      <c r="M9" s="2">
        <v>75.009487699999994</v>
      </c>
      <c r="N9" s="2">
        <v>74.686907000000005</v>
      </c>
      <c r="O9" s="2">
        <v>74.364326399999996</v>
      </c>
      <c r="P9" s="2">
        <v>74.041745700000007</v>
      </c>
      <c r="Q9" s="2">
        <v>73.719165099999998</v>
      </c>
      <c r="R9" s="2">
        <v>73.396584399999995</v>
      </c>
      <c r="S9" s="2">
        <v>73.0740038</v>
      </c>
      <c r="T9" s="2">
        <v>72.751423099999997</v>
      </c>
      <c r="U9" s="2">
        <v>72.428842500000002</v>
      </c>
      <c r="V9" s="2">
        <v>72.106261900000007</v>
      </c>
      <c r="W9" s="2">
        <v>72.106261900000007</v>
      </c>
      <c r="X9" s="2">
        <v>72.106261900000007</v>
      </c>
      <c r="Y9" s="2">
        <v>72.106261900000007</v>
      </c>
      <c r="Z9" s="2">
        <v>72.106261900000007</v>
      </c>
      <c r="AA9" s="2">
        <v>72.106261900000007</v>
      </c>
      <c r="AB9" s="2">
        <v>72.106261900000007</v>
      </c>
      <c r="AC9" s="2">
        <v>72.106261900000007</v>
      </c>
      <c r="AD9" s="2">
        <v>72.106261900000007</v>
      </c>
      <c r="AE9" s="2">
        <v>72.106261900000007</v>
      </c>
      <c r="AF9" s="2">
        <v>72.106261900000007</v>
      </c>
      <c r="AG9" s="2">
        <v>6.2618594999999999</v>
      </c>
      <c r="AH9" s="2" t="b">
        <v>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ht="12.75" customHeight="1" x14ac:dyDescent="0.35">
      <c r="A10" s="1" t="s">
        <v>10</v>
      </c>
      <c r="B10" s="2">
        <v>28.203947400000001</v>
      </c>
      <c r="C10" s="2">
        <v>28.0211623</v>
      </c>
      <c r="D10" s="2">
        <v>27.8383772</v>
      </c>
      <c r="E10" s="2">
        <v>27.6555921</v>
      </c>
      <c r="F10" s="2">
        <v>27.472807</v>
      </c>
      <c r="G10" s="2">
        <v>27.290021899999999</v>
      </c>
      <c r="H10" s="2">
        <v>27.107236799999999</v>
      </c>
      <c r="I10" s="2">
        <v>26.9244518</v>
      </c>
      <c r="J10" s="2">
        <v>26.7416667</v>
      </c>
      <c r="K10" s="2">
        <v>26.558881599999999</v>
      </c>
      <c r="L10" s="2">
        <v>26.376096499999999</v>
      </c>
      <c r="M10" s="2">
        <v>26.193348</v>
      </c>
      <c r="N10" s="2">
        <v>26.0105994</v>
      </c>
      <c r="O10" s="2">
        <v>25.827850900000001</v>
      </c>
      <c r="P10" s="2">
        <v>25.645102300000001</v>
      </c>
      <c r="Q10" s="2">
        <v>25.462353799999999</v>
      </c>
      <c r="R10" s="2">
        <v>25.2796053</v>
      </c>
      <c r="S10" s="2">
        <v>25.0968567</v>
      </c>
      <c r="T10" s="2">
        <v>24.914108200000001</v>
      </c>
      <c r="U10" s="2">
        <v>24.731359600000001</v>
      </c>
      <c r="V10" s="2">
        <v>24.548611099999999</v>
      </c>
      <c r="W10" s="2">
        <v>24.365789500000002</v>
      </c>
      <c r="X10" s="2">
        <v>24.1829678</v>
      </c>
      <c r="Y10" s="2">
        <v>24.0001462</v>
      </c>
      <c r="Z10" s="2">
        <v>23.817324599999999</v>
      </c>
      <c r="AA10" s="2">
        <v>23.634502900000001</v>
      </c>
      <c r="AB10" s="2">
        <v>23.451754399999999</v>
      </c>
      <c r="AC10" s="2">
        <v>23.269005799999999</v>
      </c>
      <c r="AD10" s="2">
        <v>23.0862573</v>
      </c>
      <c r="AE10" s="2">
        <v>22.903508800000001</v>
      </c>
      <c r="AF10" s="2">
        <v>22.720760200000001</v>
      </c>
      <c r="AG10" s="2">
        <v>5.4831871999999997</v>
      </c>
      <c r="AH10" s="2" t="b"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ht="12.75" customHeight="1" x14ac:dyDescent="0.35">
      <c r="A11" s="1" t="s">
        <v>11</v>
      </c>
      <c r="B11" s="2">
        <v>90.35</v>
      </c>
      <c r="C11" s="2">
        <v>90.18</v>
      </c>
      <c r="D11" s="2">
        <v>90.01</v>
      </c>
      <c r="E11" s="2">
        <v>89.84</v>
      </c>
      <c r="F11" s="2">
        <v>89.67</v>
      </c>
      <c r="G11" s="2">
        <v>89.5</v>
      </c>
      <c r="H11" s="2">
        <v>89.33</v>
      </c>
      <c r="I11" s="2">
        <v>89.16</v>
      </c>
      <c r="J11" s="2">
        <v>88.99</v>
      </c>
      <c r="K11" s="2">
        <v>88.82</v>
      </c>
      <c r="L11" s="2">
        <v>88.65</v>
      </c>
      <c r="M11" s="2">
        <v>88.5</v>
      </c>
      <c r="N11" s="2">
        <v>88.35</v>
      </c>
      <c r="O11" s="2">
        <v>88.2</v>
      </c>
      <c r="P11" s="2">
        <v>88.05</v>
      </c>
      <c r="Q11" s="2">
        <v>87.9</v>
      </c>
      <c r="R11" s="2">
        <v>87.75</v>
      </c>
      <c r="S11" s="2">
        <v>87.6</v>
      </c>
      <c r="T11" s="2">
        <v>87.45</v>
      </c>
      <c r="U11" s="2">
        <v>87.3</v>
      </c>
      <c r="V11" s="2">
        <v>87.15</v>
      </c>
      <c r="W11" s="2">
        <v>87</v>
      </c>
      <c r="X11" s="2">
        <v>86.85</v>
      </c>
      <c r="Y11" s="2">
        <v>86.7</v>
      </c>
      <c r="Z11" s="2">
        <v>86.55</v>
      </c>
      <c r="AA11" s="2">
        <v>86.4</v>
      </c>
      <c r="AB11" s="2">
        <v>86.25</v>
      </c>
      <c r="AC11" s="2">
        <v>86.1</v>
      </c>
      <c r="AD11" s="2">
        <v>85.95</v>
      </c>
      <c r="AE11" s="2">
        <v>85.8</v>
      </c>
      <c r="AF11" s="2">
        <v>85.65</v>
      </c>
      <c r="AG11" s="2">
        <v>4.6999999999999886</v>
      </c>
      <c r="AH11" s="2" t="b"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ht="12.75" customHeight="1" x14ac:dyDescent="0.35">
      <c r="A12" s="1" t="s">
        <v>12</v>
      </c>
      <c r="B12" s="2">
        <v>22.9772727</v>
      </c>
      <c r="C12" s="2">
        <v>22.827272700000002</v>
      </c>
      <c r="D12" s="2">
        <v>22.6772727</v>
      </c>
      <c r="E12" s="2">
        <v>22.527272700000001</v>
      </c>
      <c r="F12" s="2">
        <v>22.377272699999999</v>
      </c>
      <c r="G12" s="2">
        <v>22.2272727</v>
      </c>
      <c r="H12" s="2">
        <v>22.077272700000002</v>
      </c>
      <c r="I12" s="2">
        <v>21.9272727</v>
      </c>
      <c r="J12" s="2">
        <v>21.777272700000001</v>
      </c>
      <c r="K12" s="2">
        <v>21.627272699999999</v>
      </c>
      <c r="L12" s="2">
        <v>21.4772727</v>
      </c>
      <c r="M12" s="2">
        <v>21.324999999999999</v>
      </c>
      <c r="N12" s="2">
        <v>21.172727299999998</v>
      </c>
      <c r="O12" s="2">
        <v>21.0204545</v>
      </c>
      <c r="P12" s="2">
        <v>20.868181799999999</v>
      </c>
      <c r="Q12" s="2">
        <v>20.715909100000001</v>
      </c>
      <c r="R12" s="2">
        <v>20.5636364</v>
      </c>
      <c r="S12" s="2">
        <v>20.411363600000001</v>
      </c>
      <c r="T12" s="2">
        <v>20.2590909</v>
      </c>
      <c r="U12" s="2">
        <v>20.106818199999999</v>
      </c>
      <c r="V12" s="2">
        <v>19.954545499999998</v>
      </c>
      <c r="W12" s="2">
        <v>19.8045455</v>
      </c>
      <c r="X12" s="2">
        <v>19.654545500000001</v>
      </c>
      <c r="Y12" s="2">
        <v>19.504545499999999</v>
      </c>
      <c r="Z12" s="2">
        <v>19.3545455</v>
      </c>
      <c r="AA12" s="2">
        <v>19.204545499999998</v>
      </c>
      <c r="AB12" s="2">
        <v>19.045454500000002</v>
      </c>
      <c r="AC12" s="2">
        <v>18.909090899999999</v>
      </c>
      <c r="AD12" s="2">
        <v>18.75</v>
      </c>
      <c r="AE12" s="2">
        <v>18.590909100000001</v>
      </c>
      <c r="AF12" s="2">
        <v>18.454545499999998</v>
      </c>
      <c r="AG12" s="2">
        <v>4.5227272000000021</v>
      </c>
      <c r="AH12" s="2" t="b"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3" spans="1:75" ht="12.75" customHeight="1" x14ac:dyDescent="0.35">
      <c r="A13" s="1" t="s">
        <v>13</v>
      </c>
      <c r="B13" s="2">
        <v>22.7769081</v>
      </c>
      <c r="C13" s="2">
        <v>22.658745700000001</v>
      </c>
      <c r="D13" s="2">
        <v>22.5405832</v>
      </c>
      <c r="E13" s="2">
        <v>22.422420800000001</v>
      </c>
      <c r="F13" s="2">
        <v>22.304258300000001</v>
      </c>
      <c r="G13" s="2">
        <v>22.1860958</v>
      </c>
      <c r="H13" s="2">
        <v>22.067933400000001</v>
      </c>
      <c r="I13" s="2">
        <v>21.949770900000001</v>
      </c>
      <c r="J13" s="2">
        <v>21.831608500000002</v>
      </c>
      <c r="K13" s="2">
        <v>21.713446000000001</v>
      </c>
      <c r="L13" s="2">
        <v>21.595283500000001</v>
      </c>
      <c r="M13" s="2">
        <v>21.503156300000001</v>
      </c>
      <c r="N13" s="2">
        <v>21.4110291</v>
      </c>
      <c r="O13" s="2">
        <v>21.3189019</v>
      </c>
      <c r="P13" s="2">
        <v>21.2267747</v>
      </c>
      <c r="Q13" s="2">
        <v>21.1346475</v>
      </c>
      <c r="R13" s="2">
        <v>21.0425203</v>
      </c>
      <c r="S13" s="2">
        <v>20.950393099999999</v>
      </c>
      <c r="T13" s="2">
        <v>20.858265899999999</v>
      </c>
      <c r="U13" s="2">
        <v>20.766138699999999</v>
      </c>
      <c r="V13" s="2">
        <v>20.674011499999999</v>
      </c>
      <c r="W13" s="2">
        <v>20.586055399999999</v>
      </c>
      <c r="X13" s="2">
        <v>20.498099199999999</v>
      </c>
      <c r="Y13" s="2">
        <v>20.410143099999999</v>
      </c>
      <c r="Z13" s="2">
        <v>20.322186899999998</v>
      </c>
      <c r="AA13" s="2">
        <v>20.234230799999999</v>
      </c>
      <c r="AB13" s="2">
        <v>20.152610200000002</v>
      </c>
      <c r="AC13" s="2">
        <v>20.071327199999999</v>
      </c>
      <c r="AD13" s="2">
        <v>19.986099599999999</v>
      </c>
      <c r="AE13" s="2">
        <v>19.901214700000001</v>
      </c>
      <c r="AF13" s="2">
        <v>19.816762099999998</v>
      </c>
      <c r="AG13" s="2">
        <v>2.9601460000000017</v>
      </c>
      <c r="AH13" s="2" t="b">
        <v>0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1:75" ht="12.75" customHeight="1" x14ac:dyDescent="0.35">
      <c r="A14" s="1" t="s">
        <v>14</v>
      </c>
      <c r="B14" s="2">
        <v>12.8637149</v>
      </c>
      <c r="C14" s="2">
        <v>12.796991999999999</v>
      </c>
      <c r="D14" s="2">
        <v>12.730269</v>
      </c>
      <c r="E14" s="2">
        <v>12.6635461</v>
      </c>
      <c r="F14" s="2">
        <v>12.596823199999999</v>
      </c>
      <c r="G14" s="2">
        <v>12.5301002</v>
      </c>
      <c r="H14" s="2">
        <v>12.463377299999999</v>
      </c>
      <c r="I14" s="2">
        <v>12.396654399999999</v>
      </c>
      <c r="J14" s="2">
        <v>12.3299314</v>
      </c>
      <c r="K14" s="2">
        <v>12.263208499999999</v>
      </c>
      <c r="L14" s="2">
        <v>12.1964855</v>
      </c>
      <c r="M14" s="2">
        <v>12.080871399999999</v>
      </c>
      <c r="N14" s="2">
        <v>11.965257299999999</v>
      </c>
      <c r="O14" s="2">
        <v>11.849643199999999</v>
      </c>
      <c r="P14" s="2">
        <v>11.734029100000001</v>
      </c>
      <c r="Q14" s="2">
        <v>11.618414899999999</v>
      </c>
      <c r="R14" s="2">
        <v>11.502800799999999</v>
      </c>
      <c r="S14" s="2">
        <v>11.387186700000001</v>
      </c>
      <c r="T14" s="2">
        <v>11.271572600000001</v>
      </c>
      <c r="U14" s="2">
        <v>11.155958500000001</v>
      </c>
      <c r="V14" s="2">
        <v>11.0403444</v>
      </c>
      <c r="W14" s="2">
        <v>10.9587129</v>
      </c>
      <c r="X14" s="2">
        <v>10.8770814</v>
      </c>
      <c r="Y14" s="2">
        <v>10.795450000000001</v>
      </c>
      <c r="Z14" s="2">
        <v>10.7138185</v>
      </c>
      <c r="AA14" s="2">
        <v>10.632187099999999</v>
      </c>
      <c r="AB14" s="2">
        <v>10.6003968</v>
      </c>
      <c r="AC14" s="2">
        <v>10.559836900000001</v>
      </c>
      <c r="AD14" s="2">
        <v>10.5203732</v>
      </c>
      <c r="AE14" s="2">
        <v>10.4801786</v>
      </c>
      <c r="AF14" s="2">
        <v>10.4407149</v>
      </c>
      <c r="AG14" s="2">
        <v>2.423</v>
      </c>
      <c r="AH14" s="2" t="b">
        <v>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</row>
    <row r="15" spans="1:75" ht="12.75" customHeight="1" x14ac:dyDescent="0.35">
      <c r="A15" s="1" t="s">
        <v>15</v>
      </c>
      <c r="B15" s="2">
        <v>37.245176399999998</v>
      </c>
      <c r="C15" s="2">
        <v>37.197020799999997</v>
      </c>
      <c r="D15" s="2">
        <v>37.148865100000002</v>
      </c>
      <c r="E15" s="2">
        <v>37.100709500000001</v>
      </c>
      <c r="F15" s="2">
        <v>37.052553899999999</v>
      </c>
      <c r="G15" s="2">
        <v>37.004398199999997</v>
      </c>
      <c r="H15" s="2">
        <v>36.956242600000003</v>
      </c>
      <c r="I15" s="2">
        <v>36.908086900000001</v>
      </c>
      <c r="J15" s="2">
        <v>36.8599313</v>
      </c>
      <c r="K15" s="2">
        <v>36.811775699999998</v>
      </c>
      <c r="L15" s="2">
        <v>36.763620000000003</v>
      </c>
      <c r="M15" s="2">
        <v>36.715464400000002</v>
      </c>
      <c r="N15" s="2">
        <v>36.6673087</v>
      </c>
      <c r="O15" s="2">
        <v>36.619153099999998</v>
      </c>
      <c r="P15" s="2">
        <v>36.570997499999997</v>
      </c>
      <c r="Q15" s="2">
        <v>36.522841800000002</v>
      </c>
      <c r="R15" s="2">
        <v>36.474686200000001</v>
      </c>
      <c r="S15" s="2">
        <v>36.426530499999998</v>
      </c>
      <c r="T15" s="2">
        <v>36.378374899999997</v>
      </c>
      <c r="U15" s="2">
        <v>36.330219300000003</v>
      </c>
      <c r="V15" s="2">
        <v>36.282063600000001</v>
      </c>
      <c r="W15" s="2">
        <v>36.233908</v>
      </c>
      <c r="X15" s="2">
        <v>36.185752399999998</v>
      </c>
      <c r="Y15" s="2">
        <v>36.137596700000003</v>
      </c>
      <c r="Z15" s="2">
        <v>36.089441100000002</v>
      </c>
      <c r="AA15" s="2">
        <v>36.0412854</v>
      </c>
      <c r="AB15" s="2">
        <v>35.993129799999998</v>
      </c>
      <c r="AC15" s="2">
        <v>35.944974199999997</v>
      </c>
      <c r="AD15" s="2">
        <v>35.896818500000002</v>
      </c>
      <c r="AE15" s="2">
        <v>35.848662900000001</v>
      </c>
      <c r="AF15" s="2">
        <v>35.800507199999998</v>
      </c>
      <c r="AG15" s="2">
        <v>1.4446691999999999</v>
      </c>
      <c r="AH15" s="2" t="b">
        <v>1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</row>
    <row r="16" spans="1:75" ht="12.75" customHeight="1" x14ac:dyDescent="0.35">
      <c r="A16" s="1" t="s">
        <v>16</v>
      </c>
      <c r="B16" s="2">
        <v>23.2541133</v>
      </c>
      <c r="C16" s="2">
        <v>23.226081700000002</v>
      </c>
      <c r="D16" s="2">
        <v>23.198049999999999</v>
      </c>
      <c r="E16" s="2">
        <v>23.170018299999999</v>
      </c>
      <c r="F16" s="2">
        <v>23.141986599999999</v>
      </c>
      <c r="G16" s="2">
        <v>23.1139549</v>
      </c>
      <c r="H16" s="2">
        <v>23.0859232</v>
      </c>
      <c r="I16" s="2">
        <v>23.0578915</v>
      </c>
      <c r="J16" s="2">
        <v>23.029859800000001</v>
      </c>
      <c r="K16" s="2">
        <v>23.001828199999999</v>
      </c>
      <c r="L16" s="2">
        <v>22.037648600000001</v>
      </c>
      <c r="M16" s="2">
        <v>22.112186300000001</v>
      </c>
      <c r="N16" s="2">
        <v>22.1867239</v>
      </c>
      <c r="O16" s="2">
        <v>22.261261600000001</v>
      </c>
      <c r="P16" s="2">
        <v>22.3357992</v>
      </c>
      <c r="Q16" s="2">
        <v>22.410336900000001</v>
      </c>
      <c r="R16" s="2">
        <v>22.4848745</v>
      </c>
      <c r="S16" s="2">
        <v>22.559412200000001</v>
      </c>
      <c r="T16" s="2">
        <v>22.6339498</v>
      </c>
      <c r="U16" s="2">
        <v>22.7084875</v>
      </c>
      <c r="V16" s="2">
        <v>22.7830251</v>
      </c>
      <c r="W16" s="2">
        <v>22.7792602</v>
      </c>
      <c r="X16" s="2">
        <v>22.775495400000001</v>
      </c>
      <c r="Y16" s="2">
        <v>22.7717305</v>
      </c>
      <c r="Z16" s="2">
        <v>22.767965700000001</v>
      </c>
      <c r="AA16" s="2">
        <v>22.764200800000001</v>
      </c>
      <c r="AB16" s="2">
        <v>22.764200800000001</v>
      </c>
      <c r="AC16" s="2">
        <v>22.764200800000001</v>
      </c>
      <c r="AD16" s="2">
        <v>22.764200800000001</v>
      </c>
      <c r="AE16" s="2">
        <v>22.764200800000001</v>
      </c>
      <c r="AF16" s="2">
        <v>22.764200800000001</v>
      </c>
      <c r="AG16" s="2">
        <v>0.48991249999999908</v>
      </c>
      <c r="AH16" s="2" t="b">
        <v>0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</row>
    <row r="17" spans="1:75" ht="12.75" customHeight="1" x14ac:dyDescent="0.35">
      <c r="A17" s="1" t="s">
        <v>17</v>
      </c>
      <c r="B17" s="2">
        <v>43.1640625</v>
      </c>
      <c r="C17" s="2">
        <v>43.066406299999997</v>
      </c>
      <c r="D17" s="2">
        <v>42.779882800000003</v>
      </c>
      <c r="E17" s="2">
        <v>42.587792999999998</v>
      </c>
      <c r="F17" s="2">
        <v>42.395703099999999</v>
      </c>
      <c r="G17" s="2">
        <v>42.203613300000001</v>
      </c>
      <c r="H17" s="2">
        <v>42.011523400000002</v>
      </c>
      <c r="I17" s="2">
        <v>41.819433600000004</v>
      </c>
      <c r="J17" s="2">
        <v>41.627343799999998</v>
      </c>
      <c r="K17" s="2">
        <v>41.435253899999999</v>
      </c>
      <c r="L17" s="2">
        <v>41.243164100000001</v>
      </c>
      <c r="M17" s="2">
        <v>41.2256055</v>
      </c>
      <c r="N17" s="2">
        <v>41.208046899999999</v>
      </c>
      <c r="O17" s="2">
        <v>41.190488299999998</v>
      </c>
      <c r="P17" s="2">
        <v>41.172929699999997</v>
      </c>
      <c r="Q17" s="2">
        <v>41.155371100000004</v>
      </c>
      <c r="R17" s="2">
        <v>41.137812500000003</v>
      </c>
      <c r="S17" s="2">
        <v>41.120253900000002</v>
      </c>
      <c r="T17" s="2">
        <v>41.102695300000001</v>
      </c>
      <c r="U17" s="2">
        <v>41.0851367</v>
      </c>
      <c r="V17" s="2">
        <v>41.067578099999999</v>
      </c>
      <c r="W17" s="2">
        <v>41.293515599999999</v>
      </c>
      <c r="X17" s="2">
        <v>41.5194531</v>
      </c>
      <c r="Y17" s="2">
        <v>41.7453906</v>
      </c>
      <c r="Z17" s="2">
        <v>41.971328100000001</v>
      </c>
      <c r="AA17" s="2">
        <v>42.197265600000001</v>
      </c>
      <c r="AB17" s="2">
        <v>42.509960900000003</v>
      </c>
      <c r="AC17" s="2">
        <v>42.7326172</v>
      </c>
      <c r="AD17" s="2">
        <v>42.7326172</v>
      </c>
      <c r="AE17" s="2">
        <v>42.7326172</v>
      </c>
      <c r="AF17" s="2">
        <v>42.7326172</v>
      </c>
      <c r="AG17" s="2">
        <v>0.43144530000000003</v>
      </c>
      <c r="AH17" s="2" t="b">
        <v>0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</row>
    <row r="18" spans="1:75" ht="12.75" customHeight="1" x14ac:dyDescent="0.35">
      <c r="A18" s="1" t="s">
        <v>18</v>
      </c>
      <c r="B18" s="2">
        <v>14.752477499999999</v>
      </c>
      <c r="C18" s="2">
        <v>14.752476</v>
      </c>
      <c r="D18" s="2">
        <v>14.7524745</v>
      </c>
      <c r="E18" s="2">
        <v>14.752472900000001</v>
      </c>
      <c r="F18" s="2">
        <v>14.752471399999999</v>
      </c>
      <c r="G18" s="2">
        <v>14.7524698</v>
      </c>
      <c r="H18" s="2">
        <v>14.752469100000001</v>
      </c>
      <c r="I18" s="2">
        <v>14.7524675</v>
      </c>
      <c r="J18" s="2">
        <v>14.752466</v>
      </c>
      <c r="K18" s="2">
        <v>14.7524645</v>
      </c>
      <c r="L18" s="2">
        <v>14.752462899999999</v>
      </c>
      <c r="M18" s="2">
        <v>14.727890500000001</v>
      </c>
      <c r="N18" s="2">
        <v>14.703317999999999</v>
      </c>
      <c r="O18" s="2">
        <v>14.6787455</v>
      </c>
      <c r="P18" s="2">
        <v>14.654173</v>
      </c>
      <c r="Q18" s="2">
        <v>14.6296005</v>
      </c>
      <c r="R18" s="2">
        <v>14.605028000000001</v>
      </c>
      <c r="S18" s="2">
        <v>14.580455600000001</v>
      </c>
      <c r="T18" s="2">
        <v>14.555883100000001</v>
      </c>
      <c r="U18" s="2">
        <v>14.531309800000001</v>
      </c>
      <c r="V18" s="2">
        <v>14.5067377</v>
      </c>
      <c r="W18" s="2">
        <v>14.4991442</v>
      </c>
      <c r="X18" s="2">
        <v>14.491550999999999</v>
      </c>
      <c r="Y18" s="2">
        <v>14.4839579</v>
      </c>
      <c r="Z18" s="2">
        <v>14.476364800000001</v>
      </c>
      <c r="AA18" s="2">
        <v>14.4687716</v>
      </c>
      <c r="AB18" s="2">
        <v>14.4687716</v>
      </c>
      <c r="AC18" s="2">
        <v>14.4687716</v>
      </c>
      <c r="AD18" s="2">
        <v>14.4687716</v>
      </c>
      <c r="AE18" s="2">
        <v>14.4687716</v>
      </c>
      <c r="AF18" s="2">
        <v>14.4687716</v>
      </c>
      <c r="AG18" s="2">
        <v>0.28370589999999929</v>
      </c>
      <c r="AH18" s="2" t="b">
        <v>0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</row>
    <row r="19" spans="1:75" ht="12.75" customHeight="1" x14ac:dyDescent="0.35">
      <c r="A19" s="1" t="s">
        <v>19</v>
      </c>
      <c r="B19" s="2">
        <v>11.766772</v>
      </c>
      <c r="C19" s="2">
        <v>11.752722199999999</v>
      </c>
      <c r="D19" s="2">
        <v>11.7426063</v>
      </c>
      <c r="E19" s="2">
        <v>11.735265200000001</v>
      </c>
      <c r="F19" s="2">
        <v>11.727924099999999</v>
      </c>
      <c r="G19" s="2">
        <v>11.720583100000001</v>
      </c>
      <c r="H19" s="2">
        <v>11.713241999999999</v>
      </c>
      <c r="I19" s="2">
        <v>11.7059009</v>
      </c>
      <c r="J19" s="2">
        <v>11.698559899999999</v>
      </c>
      <c r="K19" s="2">
        <v>11.6912188</v>
      </c>
      <c r="L19" s="2">
        <v>11.683877799999999</v>
      </c>
      <c r="M19" s="2">
        <v>11.6765718</v>
      </c>
      <c r="N19" s="2">
        <v>11.669265899999999</v>
      </c>
      <c r="O19" s="2">
        <v>11.661960000000001</v>
      </c>
      <c r="P19" s="2">
        <v>11.654654000000001</v>
      </c>
      <c r="Q19" s="2">
        <v>11.6473481</v>
      </c>
      <c r="R19" s="2">
        <v>11.640042100000001</v>
      </c>
      <c r="S19" s="2">
        <v>11.6327362</v>
      </c>
      <c r="T19" s="2">
        <v>11.6254303</v>
      </c>
      <c r="U19" s="2">
        <v>11.6181243</v>
      </c>
      <c r="V19" s="2">
        <v>11.610818399999999</v>
      </c>
      <c r="W19" s="2">
        <v>11.603512500000001</v>
      </c>
      <c r="X19" s="2">
        <v>11.596206499999999</v>
      </c>
      <c r="Y19" s="2">
        <v>11.588900600000001</v>
      </c>
      <c r="Z19" s="2">
        <v>11.5815947</v>
      </c>
      <c r="AA19" s="2">
        <v>11.5742887</v>
      </c>
      <c r="AB19" s="2">
        <v>11.566912500000001</v>
      </c>
      <c r="AC19" s="2">
        <v>11.559536400000001</v>
      </c>
      <c r="AD19" s="2">
        <v>11.552160199999999</v>
      </c>
      <c r="AE19" s="2">
        <v>11.544784</v>
      </c>
      <c r="AF19" s="2">
        <v>11.5374078</v>
      </c>
      <c r="AG19" s="2">
        <v>0.22936419999999913</v>
      </c>
      <c r="AH19" s="2" t="b">
        <v>0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</row>
    <row r="20" spans="1:75" ht="12.75" customHeight="1" x14ac:dyDescent="0.35">
      <c r="A20" s="1" t="s">
        <v>20</v>
      </c>
      <c r="B20" s="2">
        <v>38.845511600000002</v>
      </c>
      <c r="C20" s="2">
        <v>38.840258599999999</v>
      </c>
      <c r="D20" s="2">
        <v>38.835005600000002</v>
      </c>
      <c r="E20" s="2">
        <v>38.829752599999999</v>
      </c>
      <c r="F20" s="2">
        <v>38.824499699999997</v>
      </c>
      <c r="G20" s="2">
        <v>38.819246700000001</v>
      </c>
      <c r="H20" s="2">
        <v>38.813993699999997</v>
      </c>
      <c r="I20" s="2">
        <v>38.808740800000002</v>
      </c>
      <c r="J20" s="2">
        <v>38.803487799999999</v>
      </c>
      <c r="K20" s="2">
        <v>38.798234800000003</v>
      </c>
      <c r="L20" s="2">
        <v>38.7929818</v>
      </c>
      <c r="M20" s="2">
        <v>38.787630700000001</v>
      </c>
      <c r="N20" s="2">
        <v>38.782279600000003</v>
      </c>
      <c r="O20" s="2">
        <v>38.776928499999997</v>
      </c>
      <c r="P20" s="2">
        <v>38.771577299999997</v>
      </c>
      <c r="Q20" s="2">
        <v>38.766226199999998</v>
      </c>
      <c r="R20" s="2">
        <v>38.7608751</v>
      </c>
      <c r="S20" s="2">
        <v>38.755524000000001</v>
      </c>
      <c r="T20" s="2">
        <v>38.750172800000001</v>
      </c>
      <c r="U20" s="2">
        <v>38.744821700000003</v>
      </c>
      <c r="V20" s="2">
        <v>38.739470599999997</v>
      </c>
      <c r="W20" s="2">
        <v>38.734864100000003</v>
      </c>
      <c r="X20" s="2">
        <v>38.730257600000002</v>
      </c>
      <c r="Y20" s="2">
        <v>38.7256511</v>
      </c>
      <c r="Z20" s="2">
        <v>38.721044599999999</v>
      </c>
      <c r="AA20" s="2">
        <v>38.716438099999998</v>
      </c>
      <c r="AB20" s="2">
        <v>38.712013399999996</v>
      </c>
      <c r="AC20" s="2">
        <v>38.707887599999999</v>
      </c>
      <c r="AD20" s="2">
        <v>38.703762900000001</v>
      </c>
      <c r="AE20" s="2">
        <v>38.699637199999998</v>
      </c>
      <c r="AF20" s="2">
        <v>38.6955125</v>
      </c>
      <c r="AG20" s="2" t="e">
        <v>#REF!</v>
      </c>
      <c r="AH20" s="2" t="b">
        <v>0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 spans="1:75" ht="12.75" customHeight="1" x14ac:dyDescent="0.35">
      <c r="A21" s="1" t="s">
        <v>21</v>
      </c>
      <c r="B21" s="2">
        <v>17.427358999999999</v>
      </c>
      <c r="C21" s="2">
        <v>17.400438699999999</v>
      </c>
      <c r="D21" s="2">
        <v>17.373518300000001</v>
      </c>
      <c r="E21" s="2">
        <v>17.346598</v>
      </c>
      <c r="F21" s="2">
        <v>17.3196777</v>
      </c>
      <c r="G21" s="2">
        <v>17.292757399999999</v>
      </c>
      <c r="H21" s="2">
        <v>17.265837099999999</v>
      </c>
      <c r="I21" s="2">
        <v>17.238916700000001</v>
      </c>
      <c r="J21" s="2">
        <v>17.2119964</v>
      </c>
      <c r="K21" s="2">
        <v>17.1850761</v>
      </c>
      <c r="L21" s="2">
        <v>17.158155799999999</v>
      </c>
      <c r="M21" s="2">
        <v>17.128633399999998</v>
      </c>
      <c r="N21" s="2">
        <v>17.099110899999999</v>
      </c>
      <c r="O21" s="2">
        <v>17.069588499999998</v>
      </c>
      <c r="P21" s="2">
        <v>17.040066100000001</v>
      </c>
      <c r="Q21" s="2">
        <v>17.010543699999999</v>
      </c>
      <c r="R21" s="2">
        <v>16.981021299999998</v>
      </c>
      <c r="S21" s="2">
        <v>16.951498900000001</v>
      </c>
      <c r="T21" s="2">
        <v>16.9219765</v>
      </c>
      <c r="U21" s="2">
        <v>16.892454099999998</v>
      </c>
      <c r="V21" s="2">
        <v>16.862931700000001</v>
      </c>
      <c r="W21" s="2">
        <v>16.955310300000001</v>
      </c>
      <c r="X21" s="2">
        <v>17.0476888</v>
      </c>
      <c r="Y21" s="2">
        <v>17.1400674</v>
      </c>
      <c r="Z21" s="2">
        <v>17.232445999999999</v>
      </c>
      <c r="AA21" s="2">
        <v>17.324824599999999</v>
      </c>
      <c r="AB21" s="2">
        <v>17.425487700000001</v>
      </c>
      <c r="AC21" s="2">
        <v>17.422913600000001</v>
      </c>
      <c r="AD21" s="2">
        <v>17.421314599999999</v>
      </c>
      <c r="AE21" s="2">
        <v>17.421314599999999</v>
      </c>
      <c r="AF21" s="2">
        <v>17.421314599999999</v>
      </c>
      <c r="AG21" s="2">
        <v>6.0444000000003939E-3</v>
      </c>
      <c r="AH21" s="2" t="b">
        <v>0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</row>
    <row r="22" spans="1:75" ht="12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</row>
    <row r="23" spans="1:75" ht="12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</row>
    <row r="24" spans="1:75" ht="12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>SUM(T2:T21)</f>
        <v>751.01805860000002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</row>
    <row r="25" spans="1:75" ht="12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</row>
    <row r="26" spans="1:75" ht="12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</row>
    <row r="27" spans="1:75" ht="12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</row>
    <row r="28" spans="1:75" ht="12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</row>
    <row r="29" spans="1:75" ht="12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</row>
    <row r="30" spans="1:75" ht="12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</row>
    <row r="31" spans="1:75" ht="12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</row>
    <row r="32" spans="1:75" ht="12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</row>
    <row r="33" spans="1:75" ht="12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</row>
    <row r="34" spans="1:75" ht="12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</row>
    <row r="35" spans="1:75" ht="12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</row>
    <row r="36" spans="1:75" ht="12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</row>
    <row r="37" spans="1:75" ht="12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</row>
    <row r="38" spans="1:75" ht="12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</row>
    <row r="39" spans="1:75" ht="12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</row>
    <row r="40" spans="1:75" ht="12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spans="1:75" ht="12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</row>
    <row r="42" spans="1:75" ht="12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</row>
    <row r="43" spans="1:75" ht="12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</row>
    <row r="44" spans="1:75" ht="12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</row>
    <row r="45" spans="1:75" ht="12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</row>
    <row r="46" spans="1:75" ht="12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</row>
    <row r="47" spans="1:75" ht="12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</row>
    <row r="48" spans="1:75" ht="12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</row>
    <row r="49" spans="1:75" ht="12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</row>
    <row r="50" spans="1:75" ht="12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</row>
    <row r="51" spans="1:75" ht="12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</row>
    <row r="52" spans="1:75" ht="12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</row>
    <row r="53" spans="1:75" ht="12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</row>
    <row r="54" spans="1:75" ht="12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</row>
    <row r="55" spans="1:75" ht="12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</row>
    <row r="56" spans="1:75" ht="12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</row>
    <row r="57" spans="1:75" ht="12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</row>
    <row r="58" spans="1:75" ht="12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</row>
    <row r="59" spans="1:75" ht="12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</row>
    <row r="60" spans="1:75" ht="12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:75" ht="12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:75" ht="12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:75" ht="12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:75" ht="12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</row>
    <row r="65" spans="1:75" ht="12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</row>
    <row r="66" spans="1:75" ht="12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</row>
    <row r="67" spans="1:75" ht="12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</row>
    <row r="68" spans="1:75" ht="12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</row>
    <row r="69" spans="1:75" ht="12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</row>
    <row r="70" spans="1:75" ht="12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</row>
    <row r="71" spans="1:75" ht="12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</row>
    <row r="72" spans="1:75" ht="12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</row>
    <row r="73" spans="1:75" ht="12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</row>
    <row r="74" spans="1:75" ht="12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</row>
    <row r="75" spans="1:75" ht="12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</row>
    <row r="76" spans="1:75" ht="12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</row>
    <row r="77" spans="1:75" ht="12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</row>
    <row r="78" spans="1:75" ht="12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</row>
    <row r="79" spans="1:75" ht="12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</row>
    <row r="80" spans="1:75" ht="12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</row>
    <row r="81" spans="1:75" ht="12.75" customHeight="1" x14ac:dyDescent="0.3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</row>
    <row r="82" spans="1:75" ht="12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</row>
    <row r="83" spans="1:75" ht="12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</row>
    <row r="84" spans="1:75" ht="12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</row>
    <row r="85" spans="1:75" ht="12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</row>
    <row r="86" spans="1:75" ht="12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spans="1:75" ht="12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</row>
    <row r="88" spans="1:75" ht="12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</row>
    <row r="89" spans="1:75" ht="12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</row>
    <row r="90" spans="1:75" ht="12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</row>
    <row r="91" spans="1:75" ht="12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</row>
    <row r="92" spans="1:75" ht="12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</row>
    <row r="93" spans="1:75" ht="12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</row>
    <row r="94" spans="1:75" ht="12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</row>
    <row r="95" spans="1:75" ht="12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</row>
    <row r="96" spans="1:75" ht="12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</row>
    <row r="97" spans="1:75" ht="12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</row>
    <row r="98" spans="1:75" ht="12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spans="1:75" ht="12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</row>
    <row r="100" spans="1:75" ht="12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</row>
    <row r="101" spans="1:75" ht="12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</row>
    <row r="102" spans="1:75" ht="12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</row>
    <row r="103" spans="1:75" ht="12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</row>
    <row r="104" spans="1:75" ht="12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</row>
    <row r="105" spans="1:75" ht="12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</row>
    <row r="106" spans="1:75" ht="12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</row>
    <row r="107" spans="1:75" ht="12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</row>
    <row r="108" spans="1:75" ht="12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</row>
    <row r="109" spans="1:75" ht="12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</row>
    <row r="110" spans="1:75" ht="12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</row>
    <row r="111" spans="1:75" ht="12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</row>
    <row r="112" spans="1:75" ht="12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spans="1:75" ht="12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</row>
    <row r="114" spans="1:75" ht="12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</row>
    <row r="115" spans="1:75" ht="12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</row>
    <row r="116" spans="1:75" ht="12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</row>
    <row r="117" spans="1:75" ht="12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</row>
    <row r="118" spans="1:75" ht="12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</row>
    <row r="119" spans="1:75" ht="12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</row>
    <row r="120" spans="1:75" ht="12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</row>
    <row r="121" spans="1:75" ht="12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</row>
    <row r="122" spans="1:75" ht="12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</row>
    <row r="123" spans="1:75" ht="12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</row>
    <row r="124" spans="1:75" ht="12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</row>
    <row r="125" spans="1:75" ht="12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</row>
    <row r="126" spans="1:75" ht="12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</row>
    <row r="127" spans="1:75" ht="12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</row>
    <row r="128" spans="1:75" ht="12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</row>
    <row r="129" spans="1:75" ht="12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</row>
    <row r="130" spans="1:75" ht="12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</row>
    <row r="131" spans="1:75" ht="12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</row>
    <row r="132" spans="1:75" ht="12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</row>
    <row r="133" spans="1:75" ht="12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</row>
    <row r="134" spans="1:75" ht="12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</row>
    <row r="135" spans="1:75" ht="12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</row>
    <row r="136" spans="1:75" ht="12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</row>
    <row r="137" spans="1:75" ht="12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</row>
    <row r="138" spans="1:75" ht="12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</row>
    <row r="139" spans="1:75" ht="12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</row>
    <row r="140" spans="1:75" ht="12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</row>
    <row r="141" spans="1:75" ht="12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</row>
    <row r="142" spans="1:75" ht="12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</row>
    <row r="143" spans="1:75" ht="12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</row>
    <row r="144" spans="1:75" ht="12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</row>
    <row r="145" spans="1:75" ht="12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</row>
    <row r="146" spans="1:75" ht="12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</row>
    <row r="147" spans="1:75" ht="12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</row>
    <row r="148" spans="1:75" ht="12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spans="1:75" ht="12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</row>
    <row r="150" spans="1:75" ht="12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</row>
    <row r="151" spans="1:75" ht="12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spans="1:75" ht="12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</row>
    <row r="153" spans="1:75" ht="12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</row>
    <row r="154" spans="1:75" ht="12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</row>
    <row r="155" spans="1:75" ht="12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</row>
    <row r="156" spans="1:75" ht="12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</row>
    <row r="157" spans="1:75" ht="12.75" customHeight="1" x14ac:dyDescent="0.3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</row>
    <row r="158" spans="1:75" ht="12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</row>
    <row r="159" spans="1:75" ht="12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</row>
    <row r="160" spans="1:75" ht="12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</row>
    <row r="161" spans="1:75" ht="12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</row>
    <row r="162" spans="1:75" ht="12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</row>
    <row r="163" spans="1:75" ht="12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</row>
    <row r="164" spans="1:75" ht="12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</row>
    <row r="165" spans="1:75" ht="12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</row>
    <row r="166" spans="1:75" ht="12.75" customHeight="1" x14ac:dyDescent="0.3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</row>
    <row r="167" spans="1:75" ht="12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</row>
    <row r="168" spans="1:75" ht="12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</row>
    <row r="169" spans="1:75" ht="12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</row>
    <row r="170" spans="1:75" ht="12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</row>
    <row r="171" spans="1:75" ht="12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</row>
    <row r="172" spans="1:75" ht="12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</row>
    <row r="173" spans="1:75" ht="12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</row>
    <row r="174" spans="1:75" ht="12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</row>
    <row r="175" spans="1:75" ht="12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</row>
    <row r="176" spans="1:75" ht="12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</row>
    <row r="177" spans="1:75" ht="12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</row>
    <row r="178" spans="1:75" ht="12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</row>
    <row r="179" spans="1:75" ht="12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</row>
    <row r="180" spans="1:75" ht="12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</row>
    <row r="181" spans="1:75" ht="12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</row>
    <row r="182" spans="1:75" ht="12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</row>
    <row r="183" spans="1:75" ht="12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</row>
    <row r="184" spans="1:75" ht="12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</row>
    <row r="185" spans="1:75" ht="12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</row>
    <row r="186" spans="1:75" ht="12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</row>
    <row r="187" spans="1:75" ht="12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</row>
    <row r="188" spans="1:75" ht="12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</row>
    <row r="189" spans="1:75" ht="12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</row>
    <row r="190" spans="1:75" ht="12.75" customHeight="1" x14ac:dyDescent="0.3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</row>
    <row r="191" spans="1:75" ht="12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</row>
    <row r="192" spans="1:75" ht="12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</row>
    <row r="193" spans="1:75" ht="12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</row>
    <row r="194" spans="1:75" ht="12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</row>
    <row r="195" spans="1:75" ht="12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</row>
    <row r="196" spans="1:75" ht="12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</row>
    <row r="197" spans="1:75" ht="12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</row>
    <row r="198" spans="1:75" ht="12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</row>
    <row r="199" spans="1:75" ht="12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</row>
    <row r="200" spans="1:75" ht="12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</row>
    <row r="201" spans="1:75" ht="12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</row>
    <row r="202" spans="1:75" ht="12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</row>
    <row r="203" spans="1:75" ht="12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</row>
    <row r="204" spans="1:75" ht="12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</row>
    <row r="205" spans="1:75" ht="12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</row>
    <row r="206" spans="1:75" ht="12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</row>
    <row r="207" spans="1:75" ht="12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</row>
    <row r="208" spans="1:75" ht="12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</row>
    <row r="209" spans="1:75" ht="12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</row>
    <row r="210" spans="1:75" ht="12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</row>
    <row r="211" spans="1:75" ht="12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</row>
    <row r="212" spans="1:75" ht="12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</row>
    <row r="213" spans="1:75" ht="12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</row>
    <row r="214" spans="1:75" ht="12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</row>
    <row r="215" spans="1:75" ht="12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</row>
    <row r="216" spans="1:75" ht="12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</row>
    <row r="217" spans="1:75" ht="12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</row>
    <row r="218" spans="1:75" ht="12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</row>
    <row r="219" spans="1:75" ht="12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</row>
    <row r="220" spans="1:75" ht="12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</row>
    <row r="221" spans="1:75" ht="12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</row>
    <row r="222" spans="1:75" ht="12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</row>
    <row r="223" spans="1:75" ht="12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</row>
    <row r="224" spans="1:75" ht="12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</row>
    <row r="225" spans="1:75" ht="12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</row>
    <row r="226" spans="1:75" ht="12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</row>
    <row r="227" spans="1:75" ht="12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</row>
    <row r="228" spans="1:75" ht="12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</row>
    <row r="229" spans="1:75" ht="12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</row>
    <row r="230" spans="1:75" ht="12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</row>
    <row r="231" spans="1:75" ht="12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</row>
    <row r="232" spans="1:75" ht="12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</row>
    <row r="233" spans="1:75" ht="12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</row>
    <row r="234" spans="1:75" ht="12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</row>
    <row r="235" spans="1:75" ht="12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</row>
    <row r="236" spans="1:75" ht="12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</row>
    <row r="237" spans="1:75" ht="12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</row>
    <row r="238" spans="1:75" ht="12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</row>
    <row r="239" spans="1:75" ht="12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</row>
    <row r="240" spans="1:75" ht="12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</row>
    <row r="241" spans="1:75" ht="12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</row>
    <row r="242" spans="1:75" ht="12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</row>
    <row r="243" spans="1:75" ht="12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</row>
    <row r="244" spans="1:75" ht="12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</row>
    <row r="245" spans="1:75" ht="12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</row>
    <row r="246" spans="1:75" ht="12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</row>
    <row r="247" spans="1:75" ht="12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</row>
    <row r="248" spans="1:75" ht="12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</row>
    <row r="249" spans="1:75" ht="12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</row>
    <row r="250" spans="1:75" ht="12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</row>
    <row r="251" spans="1:75" ht="12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</row>
    <row r="252" spans="1:75" ht="12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</row>
    <row r="253" spans="1:75" ht="12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</row>
    <row r="254" spans="1:75" ht="12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</row>
    <row r="255" spans="1:75" ht="12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</row>
    <row r="256" spans="1:75" ht="12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</row>
    <row r="257" spans="1:75" ht="12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</row>
    <row r="258" spans="1:75" ht="12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</row>
    <row r="259" spans="1:75" ht="12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</row>
    <row r="260" spans="1:75" ht="12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</row>
    <row r="261" spans="1:75" ht="12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</row>
    <row r="262" spans="1:75" ht="12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</row>
    <row r="263" spans="1:75" ht="12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</row>
    <row r="264" spans="1:75" ht="12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</row>
    <row r="265" spans="1:75" ht="12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</row>
    <row r="266" spans="1:75" ht="12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</row>
    <row r="267" spans="1:75" ht="12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</row>
    <row r="268" spans="1:75" ht="12.75" customHeight="1" x14ac:dyDescent="0.35"/>
    <row r="269" spans="1:75" ht="12.75" customHeight="1" x14ac:dyDescent="0.35"/>
    <row r="270" spans="1:75" ht="12.75" customHeight="1" x14ac:dyDescent="0.35"/>
    <row r="271" spans="1:75" ht="12.75" customHeight="1" x14ac:dyDescent="0.35"/>
    <row r="272" spans="1:75" ht="12.75" customHeight="1" x14ac:dyDescent="0.35"/>
    <row r="273" customFormat="1" ht="12.75" customHeight="1" x14ac:dyDescent="0.35"/>
    <row r="274" customFormat="1" ht="12.75" customHeight="1" x14ac:dyDescent="0.35"/>
    <row r="275" customFormat="1" ht="12.75" customHeight="1" x14ac:dyDescent="0.35"/>
    <row r="276" customFormat="1" ht="12.75" customHeight="1" x14ac:dyDescent="0.35"/>
    <row r="277" customFormat="1" ht="12.75" customHeight="1" x14ac:dyDescent="0.35"/>
    <row r="278" customFormat="1" ht="12.75" customHeight="1" x14ac:dyDescent="0.35"/>
    <row r="279" customFormat="1" ht="12.75" customHeight="1" x14ac:dyDescent="0.35"/>
    <row r="280" customFormat="1" ht="12.75" customHeight="1" x14ac:dyDescent="0.35"/>
    <row r="281" customFormat="1" ht="12.75" customHeight="1" x14ac:dyDescent="0.35"/>
    <row r="282" customFormat="1" ht="12.75" customHeight="1" x14ac:dyDescent="0.35"/>
    <row r="283" customFormat="1" ht="12.75" customHeight="1" x14ac:dyDescent="0.35"/>
    <row r="284" customFormat="1" ht="12.75" customHeight="1" x14ac:dyDescent="0.35"/>
    <row r="285" customFormat="1" ht="12.75" customHeight="1" x14ac:dyDescent="0.35"/>
    <row r="286" customFormat="1" ht="12.75" customHeight="1" x14ac:dyDescent="0.35"/>
    <row r="287" customFormat="1" ht="12.75" customHeight="1" x14ac:dyDescent="0.35"/>
    <row r="288" customFormat="1" ht="12.75" customHeight="1" x14ac:dyDescent="0.35"/>
    <row r="289" customFormat="1" ht="12.75" customHeight="1" x14ac:dyDescent="0.35"/>
    <row r="290" customFormat="1" ht="12.75" customHeight="1" x14ac:dyDescent="0.35"/>
    <row r="291" customFormat="1" ht="12.75" customHeight="1" x14ac:dyDescent="0.35"/>
    <row r="292" customFormat="1" ht="12.75" customHeight="1" x14ac:dyDescent="0.35"/>
    <row r="293" customFormat="1" ht="12.75" customHeight="1" x14ac:dyDescent="0.35"/>
    <row r="294" customFormat="1" ht="12.75" customHeight="1" x14ac:dyDescent="0.35"/>
    <row r="295" customFormat="1" ht="12.75" customHeight="1" x14ac:dyDescent="0.35"/>
    <row r="296" customFormat="1" ht="12.75" customHeight="1" x14ac:dyDescent="0.35"/>
    <row r="297" customFormat="1" ht="12.75" customHeight="1" x14ac:dyDescent="0.35"/>
    <row r="298" customFormat="1" ht="12.75" customHeight="1" x14ac:dyDescent="0.35"/>
    <row r="299" customFormat="1" ht="12.75" customHeight="1" x14ac:dyDescent="0.35"/>
    <row r="300" customFormat="1" ht="12.75" customHeight="1" x14ac:dyDescent="0.35"/>
    <row r="301" customFormat="1" ht="12.75" customHeight="1" x14ac:dyDescent="0.35"/>
    <row r="302" customFormat="1" ht="12.75" customHeight="1" x14ac:dyDescent="0.35"/>
    <row r="303" customFormat="1" ht="12.75" customHeight="1" x14ac:dyDescent="0.35"/>
    <row r="304" customFormat="1" ht="12.75" customHeight="1" x14ac:dyDescent="0.35"/>
    <row r="305" customFormat="1" ht="12.75" customHeight="1" x14ac:dyDescent="0.35"/>
    <row r="306" customFormat="1" ht="12.75" customHeight="1" x14ac:dyDescent="0.35"/>
    <row r="307" customFormat="1" ht="12.75" customHeight="1" x14ac:dyDescent="0.35"/>
    <row r="308" customFormat="1" ht="12.75" customHeight="1" x14ac:dyDescent="0.35"/>
    <row r="309" customFormat="1" ht="12.75" customHeight="1" x14ac:dyDescent="0.35"/>
    <row r="310" customFormat="1" ht="12.75" customHeight="1" x14ac:dyDescent="0.35"/>
    <row r="311" customFormat="1" ht="12.75" customHeight="1" x14ac:dyDescent="0.35"/>
    <row r="312" customFormat="1" ht="12.75" customHeight="1" x14ac:dyDescent="0.35"/>
    <row r="313" customFormat="1" ht="12.75" customHeight="1" x14ac:dyDescent="0.35"/>
    <row r="314" customFormat="1" ht="12.75" customHeight="1" x14ac:dyDescent="0.35"/>
    <row r="315" customFormat="1" ht="12.75" customHeight="1" x14ac:dyDescent="0.35"/>
    <row r="316" customFormat="1" ht="12.75" customHeight="1" x14ac:dyDescent="0.35"/>
    <row r="317" customFormat="1" ht="12.75" customHeight="1" x14ac:dyDescent="0.35"/>
    <row r="318" customFormat="1" ht="12.75" customHeight="1" x14ac:dyDescent="0.35"/>
    <row r="319" customFormat="1" ht="12.75" customHeight="1" x14ac:dyDescent="0.35"/>
    <row r="320" customFormat="1" ht="12.75" customHeight="1" x14ac:dyDescent="0.35"/>
    <row r="321" customFormat="1" ht="12.75" customHeight="1" x14ac:dyDescent="0.35"/>
    <row r="322" customFormat="1" ht="12.75" customHeight="1" x14ac:dyDescent="0.35"/>
    <row r="323" customFormat="1" ht="12.75" customHeight="1" x14ac:dyDescent="0.35"/>
    <row r="324" customFormat="1" ht="12.75" customHeight="1" x14ac:dyDescent="0.35"/>
    <row r="325" customFormat="1" ht="12.75" customHeight="1" x14ac:dyDescent="0.35"/>
    <row r="326" customFormat="1" ht="12.75" customHeight="1" x14ac:dyDescent="0.35"/>
    <row r="327" customFormat="1" ht="12.75" customHeight="1" x14ac:dyDescent="0.35"/>
    <row r="328" customFormat="1" ht="12.75" customHeight="1" x14ac:dyDescent="0.35"/>
    <row r="329" customFormat="1" ht="12.75" customHeight="1" x14ac:dyDescent="0.35"/>
    <row r="330" customFormat="1" ht="12.75" customHeight="1" x14ac:dyDescent="0.35"/>
    <row r="331" customFormat="1" ht="12.75" customHeight="1" x14ac:dyDescent="0.35"/>
    <row r="332" customFormat="1" ht="12.75" customHeight="1" x14ac:dyDescent="0.35"/>
    <row r="333" customFormat="1" ht="12.75" customHeight="1" x14ac:dyDescent="0.35"/>
    <row r="334" customFormat="1" ht="12.75" customHeight="1" x14ac:dyDescent="0.35"/>
    <row r="335" customFormat="1" ht="12.75" customHeight="1" x14ac:dyDescent="0.35"/>
    <row r="336" customFormat="1" ht="12.75" customHeight="1" x14ac:dyDescent="0.35"/>
    <row r="337" customFormat="1" ht="12.75" customHeight="1" x14ac:dyDescent="0.35"/>
    <row r="338" customFormat="1" ht="12.75" customHeight="1" x14ac:dyDescent="0.35"/>
    <row r="339" customFormat="1" ht="12.75" customHeight="1" x14ac:dyDescent="0.35"/>
    <row r="340" customFormat="1" ht="12.75" customHeight="1" x14ac:dyDescent="0.35"/>
    <row r="341" customFormat="1" ht="12.75" customHeight="1" x14ac:dyDescent="0.35"/>
    <row r="342" customFormat="1" ht="12.75" customHeight="1" x14ac:dyDescent="0.35"/>
    <row r="343" customFormat="1" ht="12.75" customHeight="1" x14ac:dyDescent="0.35"/>
    <row r="344" customFormat="1" ht="12.75" customHeight="1" x14ac:dyDescent="0.35"/>
    <row r="345" customFormat="1" ht="12.75" customHeight="1" x14ac:dyDescent="0.35"/>
    <row r="346" customFormat="1" ht="12.75" customHeight="1" x14ac:dyDescent="0.35"/>
    <row r="347" customFormat="1" ht="12.75" customHeight="1" x14ac:dyDescent="0.35"/>
    <row r="348" customFormat="1" ht="12.75" customHeight="1" x14ac:dyDescent="0.35"/>
    <row r="349" customFormat="1" ht="12.75" customHeight="1" x14ac:dyDescent="0.35"/>
    <row r="350" customFormat="1" ht="12.75" customHeight="1" x14ac:dyDescent="0.35"/>
    <row r="351" customFormat="1" ht="12.75" customHeight="1" x14ac:dyDescent="0.35"/>
    <row r="352" customFormat="1" ht="12.75" customHeight="1" x14ac:dyDescent="0.35"/>
    <row r="353" customFormat="1" ht="12.75" customHeight="1" x14ac:dyDescent="0.35"/>
    <row r="354" customFormat="1" ht="12.75" customHeight="1" x14ac:dyDescent="0.35"/>
    <row r="355" customFormat="1" ht="12.75" customHeight="1" x14ac:dyDescent="0.35"/>
    <row r="356" customFormat="1" ht="12.75" customHeight="1" x14ac:dyDescent="0.35"/>
    <row r="357" customFormat="1" ht="12.75" customHeight="1" x14ac:dyDescent="0.35"/>
    <row r="358" customFormat="1" ht="12.75" customHeight="1" x14ac:dyDescent="0.35"/>
    <row r="359" customFormat="1" ht="12.75" customHeight="1" x14ac:dyDescent="0.35"/>
    <row r="360" customFormat="1" ht="12.75" customHeight="1" x14ac:dyDescent="0.35"/>
    <row r="361" customFormat="1" ht="12.75" customHeight="1" x14ac:dyDescent="0.35"/>
    <row r="362" customFormat="1" ht="12.75" customHeight="1" x14ac:dyDescent="0.35"/>
    <row r="363" customFormat="1" ht="12.75" customHeight="1" x14ac:dyDescent="0.35"/>
    <row r="364" customFormat="1" ht="12.75" customHeight="1" x14ac:dyDescent="0.35"/>
    <row r="365" customFormat="1" ht="12.75" customHeight="1" x14ac:dyDescent="0.35"/>
    <row r="366" customFormat="1" ht="12.75" customHeight="1" x14ac:dyDescent="0.35"/>
    <row r="367" customFormat="1" ht="12.75" customHeight="1" x14ac:dyDescent="0.35"/>
    <row r="368" customFormat="1" ht="12.75" customHeight="1" x14ac:dyDescent="0.35"/>
    <row r="369" customFormat="1" ht="12.75" customHeight="1" x14ac:dyDescent="0.35"/>
    <row r="370" customFormat="1" ht="12.75" customHeight="1" x14ac:dyDescent="0.35"/>
    <row r="371" customFormat="1" ht="12.75" customHeight="1" x14ac:dyDescent="0.35"/>
    <row r="372" customFormat="1" ht="12.75" customHeight="1" x14ac:dyDescent="0.35"/>
    <row r="373" customFormat="1" ht="12.75" customHeight="1" x14ac:dyDescent="0.35"/>
    <row r="374" customFormat="1" ht="12.75" customHeight="1" x14ac:dyDescent="0.35"/>
    <row r="375" customFormat="1" ht="12.75" customHeight="1" x14ac:dyDescent="0.35"/>
    <row r="376" customFormat="1" ht="12.75" customHeight="1" x14ac:dyDescent="0.35"/>
    <row r="377" customFormat="1" ht="12.75" customHeight="1" x14ac:dyDescent="0.35"/>
    <row r="378" customFormat="1" ht="12.75" customHeight="1" x14ac:dyDescent="0.35"/>
    <row r="379" customFormat="1" ht="12.75" customHeight="1" x14ac:dyDescent="0.35"/>
    <row r="380" customFormat="1" ht="12.75" customHeight="1" x14ac:dyDescent="0.35"/>
    <row r="381" customFormat="1" ht="12.75" customHeight="1" x14ac:dyDescent="0.35"/>
    <row r="382" customFormat="1" ht="12.75" customHeight="1" x14ac:dyDescent="0.35"/>
    <row r="383" customFormat="1" ht="12.75" customHeight="1" x14ac:dyDescent="0.35"/>
    <row r="384" customFormat="1" ht="12.75" customHeight="1" x14ac:dyDescent="0.35"/>
    <row r="385" customFormat="1" ht="12.75" customHeight="1" x14ac:dyDescent="0.35"/>
    <row r="386" customFormat="1" ht="12.75" customHeight="1" x14ac:dyDescent="0.35"/>
    <row r="387" customFormat="1" ht="12.75" customHeight="1" x14ac:dyDescent="0.35"/>
    <row r="388" customFormat="1" ht="12.75" customHeight="1" x14ac:dyDescent="0.35"/>
    <row r="389" customFormat="1" ht="12.75" customHeight="1" x14ac:dyDescent="0.35"/>
    <row r="390" customFormat="1" ht="12.75" customHeight="1" x14ac:dyDescent="0.35"/>
    <row r="391" customFormat="1" ht="12.75" customHeight="1" x14ac:dyDescent="0.35"/>
    <row r="392" customFormat="1" ht="12.75" customHeight="1" x14ac:dyDescent="0.35"/>
    <row r="393" customFormat="1" ht="12.75" customHeight="1" x14ac:dyDescent="0.35"/>
    <row r="394" customFormat="1" ht="12.75" customHeight="1" x14ac:dyDescent="0.35"/>
    <row r="395" customFormat="1" ht="12.75" customHeight="1" x14ac:dyDescent="0.35"/>
    <row r="396" customFormat="1" ht="12.75" customHeight="1" x14ac:dyDescent="0.35"/>
    <row r="397" customFormat="1" ht="12.75" customHeight="1" x14ac:dyDescent="0.35"/>
    <row r="398" customFormat="1" ht="12.75" customHeight="1" x14ac:dyDescent="0.35"/>
    <row r="399" customFormat="1" ht="12.75" customHeight="1" x14ac:dyDescent="0.35"/>
    <row r="400" customFormat="1" ht="12.75" customHeight="1" x14ac:dyDescent="0.35"/>
    <row r="401" customFormat="1" ht="12.75" customHeight="1" x14ac:dyDescent="0.35"/>
    <row r="402" customFormat="1" ht="12.75" customHeight="1" x14ac:dyDescent="0.35"/>
    <row r="403" customFormat="1" ht="12.75" customHeight="1" x14ac:dyDescent="0.35"/>
    <row r="404" customFormat="1" ht="12.75" customHeight="1" x14ac:dyDescent="0.35"/>
    <row r="405" customFormat="1" ht="12.75" customHeight="1" x14ac:dyDescent="0.35"/>
    <row r="406" customFormat="1" ht="12.75" customHeight="1" x14ac:dyDescent="0.35"/>
    <row r="407" customFormat="1" ht="12.75" customHeight="1" x14ac:dyDescent="0.35"/>
    <row r="408" customFormat="1" ht="12.75" customHeight="1" x14ac:dyDescent="0.35"/>
    <row r="409" customFormat="1" ht="12.75" customHeight="1" x14ac:dyDescent="0.35"/>
    <row r="410" customFormat="1" ht="12.75" customHeight="1" x14ac:dyDescent="0.35"/>
    <row r="411" customFormat="1" ht="12.75" customHeight="1" x14ac:dyDescent="0.35"/>
    <row r="412" customFormat="1" ht="12.75" customHeight="1" x14ac:dyDescent="0.35"/>
    <row r="413" customFormat="1" ht="12.75" customHeight="1" x14ac:dyDescent="0.35"/>
    <row r="414" customFormat="1" ht="12.75" customHeight="1" x14ac:dyDescent="0.35"/>
    <row r="415" customFormat="1" ht="12.75" customHeight="1" x14ac:dyDescent="0.35"/>
    <row r="416" customFormat="1" ht="12.75" customHeight="1" x14ac:dyDescent="0.35"/>
    <row r="417" customFormat="1" ht="12.75" customHeight="1" x14ac:dyDescent="0.35"/>
    <row r="418" customFormat="1" ht="12.75" customHeight="1" x14ac:dyDescent="0.35"/>
    <row r="419" customFormat="1" ht="12.75" customHeight="1" x14ac:dyDescent="0.35"/>
    <row r="420" customFormat="1" ht="12.75" customHeight="1" x14ac:dyDescent="0.35"/>
    <row r="421" customFormat="1" ht="12.75" customHeight="1" x14ac:dyDescent="0.35"/>
    <row r="422" customFormat="1" ht="12.75" customHeight="1" x14ac:dyDescent="0.35"/>
    <row r="423" customFormat="1" ht="12.75" customHeight="1" x14ac:dyDescent="0.35"/>
    <row r="424" customFormat="1" ht="12.75" customHeight="1" x14ac:dyDescent="0.35"/>
    <row r="425" customFormat="1" ht="12.75" customHeight="1" x14ac:dyDescent="0.35"/>
    <row r="426" customFormat="1" ht="12.75" customHeight="1" x14ac:dyDescent="0.35"/>
    <row r="427" customFormat="1" ht="12.75" customHeight="1" x14ac:dyDescent="0.35"/>
    <row r="428" customFormat="1" ht="12.75" customHeight="1" x14ac:dyDescent="0.35"/>
    <row r="429" customFormat="1" ht="12.75" customHeight="1" x14ac:dyDescent="0.35"/>
    <row r="430" customFormat="1" ht="12.75" customHeight="1" x14ac:dyDescent="0.35"/>
    <row r="431" customFormat="1" ht="12.75" customHeight="1" x14ac:dyDescent="0.35"/>
    <row r="432" customFormat="1" ht="12.75" customHeight="1" x14ac:dyDescent="0.35"/>
    <row r="433" customFormat="1" ht="12.75" customHeight="1" x14ac:dyDescent="0.35"/>
    <row r="434" customFormat="1" ht="12.75" customHeight="1" x14ac:dyDescent="0.35"/>
    <row r="435" customFormat="1" ht="12.75" customHeight="1" x14ac:dyDescent="0.35"/>
    <row r="436" customFormat="1" ht="12.75" customHeight="1" x14ac:dyDescent="0.35"/>
    <row r="437" customFormat="1" ht="12.75" customHeight="1" x14ac:dyDescent="0.35"/>
    <row r="438" customFormat="1" ht="12.75" customHeight="1" x14ac:dyDescent="0.35"/>
    <row r="439" customFormat="1" ht="12.75" customHeight="1" x14ac:dyDescent="0.35"/>
    <row r="440" customFormat="1" ht="12.75" customHeight="1" x14ac:dyDescent="0.35"/>
    <row r="441" customFormat="1" ht="12.75" customHeight="1" x14ac:dyDescent="0.35"/>
    <row r="442" customFormat="1" ht="12.75" customHeight="1" x14ac:dyDescent="0.35"/>
    <row r="443" customFormat="1" ht="12.75" customHeight="1" x14ac:dyDescent="0.35"/>
    <row r="444" customFormat="1" ht="12.75" customHeight="1" x14ac:dyDescent="0.35"/>
    <row r="445" customFormat="1" ht="12.75" customHeight="1" x14ac:dyDescent="0.35"/>
    <row r="446" customFormat="1" ht="12.75" customHeight="1" x14ac:dyDescent="0.35"/>
    <row r="447" customFormat="1" ht="12.75" customHeight="1" x14ac:dyDescent="0.35"/>
    <row r="448" customFormat="1" ht="12.75" customHeight="1" x14ac:dyDescent="0.35"/>
    <row r="449" customFormat="1" ht="12.75" customHeight="1" x14ac:dyDescent="0.35"/>
    <row r="450" customFormat="1" ht="12.75" customHeight="1" x14ac:dyDescent="0.35"/>
    <row r="451" customFormat="1" ht="12.75" customHeight="1" x14ac:dyDescent="0.35"/>
    <row r="452" customFormat="1" ht="12.75" customHeight="1" x14ac:dyDescent="0.35"/>
    <row r="453" customFormat="1" ht="12.75" customHeight="1" x14ac:dyDescent="0.35"/>
    <row r="454" customFormat="1" ht="12.75" customHeight="1" x14ac:dyDescent="0.35"/>
    <row r="455" customFormat="1" ht="12.75" customHeight="1" x14ac:dyDescent="0.35"/>
    <row r="456" customFormat="1" ht="12.75" customHeight="1" x14ac:dyDescent="0.35"/>
    <row r="457" customFormat="1" ht="12.75" customHeight="1" x14ac:dyDescent="0.35"/>
    <row r="458" customFormat="1" ht="12.75" customHeight="1" x14ac:dyDescent="0.35"/>
    <row r="459" customFormat="1" ht="12.75" customHeight="1" x14ac:dyDescent="0.35"/>
    <row r="460" customFormat="1" ht="12.75" customHeight="1" x14ac:dyDescent="0.35"/>
    <row r="461" customFormat="1" ht="12.75" customHeight="1" x14ac:dyDescent="0.35"/>
    <row r="462" customFormat="1" ht="12.75" customHeight="1" x14ac:dyDescent="0.35"/>
    <row r="463" customFormat="1" ht="12.75" customHeight="1" x14ac:dyDescent="0.35"/>
    <row r="464" customFormat="1" ht="12.75" customHeight="1" x14ac:dyDescent="0.35"/>
    <row r="465" customFormat="1" ht="12.75" customHeight="1" x14ac:dyDescent="0.35"/>
    <row r="466" customFormat="1" ht="12.75" customHeight="1" x14ac:dyDescent="0.35"/>
    <row r="467" customFormat="1" ht="12.75" customHeight="1" x14ac:dyDescent="0.35"/>
    <row r="468" customFormat="1" ht="12.75" customHeight="1" x14ac:dyDescent="0.35"/>
    <row r="469" customFormat="1" ht="12.75" customHeight="1" x14ac:dyDescent="0.35"/>
    <row r="470" customFormat="1" ht="12.75" customHeight="1" x14ac:dyDescent="0.35"/>
    <row r="471" customFormat="1" ht="12.75" customHeight="1" x14ac:dyDescent="0.35"/>
    <row r="472" customFormat="1" ht="12.75" customHeight="1" x14ac:dyDescent="0.35"/>
    <row r="473" customFormat="1" ht="12.75" customHeight="1" x14ac:dyDescent="0.35"/>
    <row r="474" customFormat="1" ht="12.75" customHeight="1" x14ac:dyDescent="0.35"/>
    <row r="475" customFormat="1" ht="12.75" customHeight="1" x14ac:dyDescent="0.35"/>
    <row r="476" customFormat="1" ht="12.75" customHeight="1" x14ac:dyDescent="0.35"/>
    <row r="477" customFormat="1" ht="12.75" customHeight="1" x14ac:dyDescent="0.35"/>
    <row r="478" customFormat="1" ht="12.75" customHeight="1" x14ac:dyDescent="0.35"/>
    <row r="479" customFormat="1" ht="12.75" customHeight="1" x14ac:dyDescent="0.35"/>
    <row r="480" customFormat="1" ht="12.75" customHeight="1" x14ac:dyDescent="0.35"/>
    <row r="481" customFormat="1" ht="12.75" customHeight="1" x14ac:dyDescent="0.35"/>
    <row r="482" customFormat="1" ht="12.75" customHeight="1" x14ac:dyDescent="0.35"/>
    <row r="483" customFormat="1" ht="12.75" customHeight="1" x14ac:dyDescent="0.35"/>
    <row r="484" customFormat="1" ht="12.75" customHeight="1" x14ac:dyDescent="0.35"/>
    <row r="485" customFormat="1" ht="12.75" customHeight="1" x14ac:dyDescent="0.35"/>
    <row r="486" customFormat="1" ht="12.75" customHeight="1" x14ac:dyDescent="0.35"/>
    <row r="487" customFormat="1" ht="12.75" customHeight="1" x14ac:dyDescent="0.35"/>
    <row r="488" customFormat="1" ht="12.75" customHeight="1" x14ac:dyDescent="0.35"/>
    <row r="489" customFormat="1" ht="12.75" customHeight="1" x14ac:dyDescent="0.35"/>
    <row r="490" customFormat="1" ht="12.75" customHeight="1" x14ac:dyDescent="0.35"/>
    <row r="491" customFormat="1" ht="12.75" customHeight="1" x14ac:dyDescent="0.35"/>
    <row r="492" customFormat="1" ht="12.75" customHeight="1" x14ac:dyDescent="0.35"/>
    <row r="493" customFormat="1" ht="12.75" customHeight="1" x14ac:dyDescent="0.35"/>
    <row r="494" customFormat="1" ht="12.75" customHeight="1" x14ac:dyDescent="0.35"/>
    <row r="495" customFormat="1" ht="12.75" customHeight="1" x14ac:dyDescent="0.35"/>
    <row r="496" customFormat="1" ht="12.75" customHeight="1" x14ac:dyDescent="0.35"/>
    <row r="497" customFormat="1" ht="12.75" customHeight="1" x14ac:dyDescent="0.35"/>
    <row r="498" customFormat="1" ht="12.75" customHeight="1" x14ac:dyDescent="0.35"/>
    <row r="499" customFormat="1" ht="12.75" customHeight="1" x14ac:dyDescent="0.35"/>
    <row r="500" customFormat="1" ht="12.75" customHeight="1" x14ac:dyDescent="0.35"/>
    <row r="501" customFormat="1" ht="12.75" customHeight="1" x14ac:dyDescent="0.35"/>
    <row r="502" customFormat="1" ht="12.75" customHeight="1" x14ac:dyDescent="0.35"/>
    <row r="503" customFormat="1" ht="12.75" customHeight="1" x14ac:dyDescent="0.35"/>
    <row r="504" customFormat="1" ht="12.75" customHeight="1" x14ac:dyDescent="0.35"/>
    <row r="505" customFormat="1" ht="12.75" customHeight="1" x14ac:dyDescent="0.35"/>
    <row r="506" customFormat="1" ht="12.75" customHeight="1" x14ac:dyDescent="0.35"/>
    <row r="507" customFormat="1" ht="12.75" customHeight="1" x14ac:dyDescent="0.35"/>
    <row r="508" customFormat="1" ht="12.75" customHeight="1" x14ac:dyDescent="0.35"/>
    <row r="509" customFormat="1" ht="12.75" customHeight="1" x14ac:dyDescent="0.35"/>
    <row r="510" customFormat="1" ht="12.75" customHeight="1" x14ac:dyDescent="0.35"/>
    <row r="511" customFormat="1" ht="12.75" customHeight="1" x14ac:dyDescent="0.35"/>
    <row r="512" customFormat="1" ht="12.75" customHeight="1" x14ac:dyDescent="0.35"/>
    <row r="513" customFormat="1" ht="12.75" customHeight="1" x14ac:dyDescent="0.35"/>
    <row r="514" customFormat="1" ht="12.75" customHeight="1" x14ac:dyDescent="0.35"/>
    <row r="515" customFormat="1" ht="12.75" customHeight="1" x14ac:dyDescent="0.35"/>
    <row r="516" customFormat="1" ht="12.75" customHeight="1" x14ac:dyDescent="0.35"/>
    <row r="517" customFormat="1" ht="12.75" customHeight="1" x14ac:dyDescent="0.35"/>
    <row r="518" customFormat="1" ht="12.75" customHeight="1" x14ac:dyDescent="0.35"/>
    <row r="519" customFormat="1" ht="12.75" customHeight="1" x14ac:dyDescent="0.35"/>
    <row r="520" customFormat="1" ht="12.75" customHeight="1" x14ac:dyDescent="0.35"/>
    <row r="521" customFormat="1" ht="12.75" customHeight="1" x14ac:dyDescent="0.35"/>
    <row r="522" customFormat="1" ht="12.75" customHeight="1" x14ac:dyDescent="0.35"/>
    <row r="523" customFormat="1" ht="12.75" customHeight="1" x14ac:dyDescent="0.35"/>
    <row r="524" customFormat="1" ht="12.75" customHeight="1" x14ac:dyDescent="0.35"/>
    <row r="525" customFormat="1" ht="12.75" customHeight="1" x14ac:dyDescent="0.35"/>
    <row r="526" customFormat="1" ht="12.75" customHeight="1" x14ac:dyDescent="0.35"/>
    <row r="527" customFormat="1" ht="12.75" customHeight="1" x14ac:dyDescent="0.35"/>
    <row r="528" customFormat="1" ht="12.75" customHeight="1" x14ac:dyDescent="0.35"/>
    <row r="529" customFormat="1" ht="12.75" customHeight="1" x14ac:dyDescent="0.35"/>
    <row r="530" customFormat="1" ht="12.75" customHeight="1" x14ac:dyDescent="0.35"/>
    <row r="531" customFormat="1" ht="12.75" customHeight="1" x14ac:dyDescent="0.35"/>
    <row r="532" customFormat="1" ht="12.75" customHeight="1" x14ac:dyDescent="0.35"/>
    <row r="533" customFormat="1" ht="12.75" customHeight="1" x14ac:dyDescent="0.35"/>
    <row r="534" customFormat="1" ht="12.75" customHeight="1" x14ac:dyDescent="0.35"/>
    <row r="535" customFormat="1" ht="12.75" customHeight="1" x14ac:dyDescent="0.35"/>
    <row r="536" customFormat="1" ht="12.75" customHeight="1" x14ac:dyDescent="0.35"/>
    <row r="537" customFormat="1" ht="12.75" customHeight="1" x14ac:dyDescent="0.35"/>
    <row r="538" customFormat="1" ht="12.75" customHeight="1" x14ac:dyDescent="0.35"/>
    <row r="539" customFormat="1" ht="12.75" customHeight="1" x14ac:dyDescent="0.35"/>
    <row r="540" customFormat="1" ht="12.75" customHeight="1" x14ac:dyDescent="0.35"/>
    <row r="541" customFormat="1" ht="12.75" customHeight="1" x14ac:dyDescent="0.35"/>
    <row r="542" customFormat="1" ht="12.75" customHeight="1" x14ac:dyDescent="0.35"/>
    <row r="543" customFormat="1" ht="12.75" customHeight="1" x14ac:dyDescent="0.35"/>
    <row r="544" customFormat="1" ht="12.75" customHeight="1" x14ac:dyDescent="0.35"/>
    <row r="545" customFormat="1" ht="12.75" customHeight="1" x14ac:dyDescent="0.35"/>
    <row r="546" customFormat="1" ht="12.75" customHeight="1" x14ac:dyDescent="0.35"/>
    <row r="547" customFormat="1" ht="12.75" customHeight="1" x14ac:dyDescent="0.35"/>
    <row r="548" customFormat="1" ht="12.75" customHeight="1" x14ac:dyDescent="0.35"/>
    <row r="549" customFormat="1" ht="12.75" customHeight="1" x14ac:dyDescent="0.35"/>
    <row r="550" customFormat="1" ht="12.75" customHeight="1" x14ac:dyDescent="0.35"/>
    <row r="551" customFormat="1" ht="12.75" customHeight="1" x14ac:dyDescent="0.35"/>
    <row r="552" customFormat="1" ht="12.75" customHeight="1" x14ac:dyDescent="0.35"/>
    <row r="553" customFormat="1" ht="12.75" customHeight="1" x14ac:dyDescent="0.35"/>
    <row r="554" customFormat="1" ht="12.75" customHeight="1" x14ac:dyDescent="0.35"/>
    <row r="555" customFormat="1" ht="12.75" customHeight="1" x14ac:dyDescent="0.35"/>
    <row r="556" customFormat="1" ht="12.75" customHeight="1" x14ac:dyDescent="0.35"/>
    <row r="557" customFormat="1" ht="12.75" customHeight="1" x14ac:dyDescent="0.35"/>
    <row r="558" customFormat="1" ht="12.75" customHeight="1" x14ac:dyDescent="0.35"/>
    <row r="559" customFormat="1" ht="12.75" customHeight="1" x14ac:dyDescent="0.35"/>
    <row r="560" customFormat="1" ht="12.75" customHeight="1" x14ac:dyDescent="0.35"/>
    <row r="561" customFormat="1" ht="12.75" customHeight="1" x14ac:dyDescent="0.35"/>
    <row r="562" customFormat="1" ht="12.75" customHeight="1" x14ac:dyDescent="0.35"/>
    <row r="563" customFormat="1" ht="12.75" customHeight="1" x14ac:dyDescent="0.35"/>
    <row r="564" customFormat="1" ht="12.75" customHeight="1" x14ac:dyDescent="0.35"/>
    <row r="565" customFormat="1" ht="12.75" customHeight="1" x14ac:dyDescent="0.35"/>
    <row r="566" customFormat="1" ht="12.75" customHeight="1" x14ac:dyDescent="0.35"/>
    <row r="567" customFormat="1" ht="12.75" customHeight="1" x14ac:dyDescent="0.35"/>
    <row r="568" customFormat="1" ht="12.75" customHeight="1" x14ac:dyDescent="0.35"/>
    <row r="569" customFormat="1" ht="12.75" customHeight="1" x14ac:dyDescent="0.35"/>
    <row r="570" customFormat="1" ht="12.75" customHeight="1" x14ac:dyDescent="0.35"/>
    <row r="571" customFormat="1" ht="12.75" customHeight="1" x14ac:dyDescent="0.35"/>
    <row r="572" customFormat="1" ht="12.75" customHeight="1" x14ac:dyDescent="0.35"/>
    <row r="573" customFormat="1" ht="12.75" customHeight="1" x14ac:dyDescent="0.35"/>
    <row r="574" customFormat="1" ht="12.75" customHeight="1" x14ac:dyDescent="0.35"/>
    <row r="575" customFormat="1" ht="12.75" customHeight="1" x14ac:dyDescent="0.35"/>
    <row r="576" customFormat="1" ht="12.75" customHeight="1" x14ac:dyDescent="0.35"/>
    <row r="577" customFormat="1" ht="12.75" customHeight="1" x14ac:dyDescent="0.35"/>
    <row r="578" customFormat="1" ht="12.75" customHeight="1" x14ac:dyDescent="0.35"/>
    <row r="579" customFormat="1" ht="12.75" customHeight="1" x14ac:dyDescent="0.35"/>
    <row r="580" customFormat="1" ht="12.75" customHeight="1" x14ac:dyDescent="0.35"/>
    <row r="581" customFormat="1" ht="12.75" customHeight="1" x14ac:dyDescent="0.35"/>
    <row r="582" customFormat="1" ht="12.75" customHeight="1" x14ac:dyDescent="0.35"/>
    <row r="583" customFormat="1" ht="12.75" customHeight="1" x14ac:dyDescent="0.35"/>
    <row r="584" customFormat="1" ht="12.75" customHeight="1" x14ac:dyDescent="0.35"/>
    <row r="585" customFormat="1" ht="12.75" customHeight="1" x14ac:dyDescent="0.35"/>
    <row r="586" customFormat="1" ht="12.75" customHeight="1" x14ac:dyDescent="0.35"/>
    <row r="587" customFormat="1" ht="12.75" customHeight="1" x14ac:dyDescent="0.35"/>
    <row r="588" customFormat="1" ht="12.75" customHeight="1" x14ac:dyDescent="0.35"/>
    <row r="589" customFormat="1" ht="12.75" customHeight="1" x14ac:dyDescent="0.35"/>
    <row r="590" customFormat="1" ht="12.75" customHeight="1" x14ac:dyDescent="0.35"/>
    <row r="591" customFormat="1" ht="12.75" customHeight="1" x14ac:dyDescent="0.35"/>
    <row r="592" customFormat="1" ht="12.75" customHeight="1" x14ac:dyDescent="0.35"/>
    <row r="593" customFormat="1" ht="12.75" customHeight="1" x14ac:dyDescent="0.35"/>
    <row r="594" customFormat="1" ht="12.75" customHeight="1" x14ac:dyDescent="0.35"/>
    <row r="595" customFormat="1" ht="12.75" customHeight="1" x14ac:dyDescent="0.35"/>
    <row r="596" customFormat="1" ht="12.75" customHeight="1" x14ac:dyDescent="0.35"/>
    <row r="597" customFormat="1" ht="12.75" customHeight="1" x14ac:dyDescent="0.35"/>
    <row r="598" customFormat="1" ht="12.75" customHeight="1" x14ac:dyDescent="0.35"/>
    <row r="599" customFormat="1" ht="12.75" customHeight="1" x14ac:dyDescent="0.35"/>
    <row r="600" customFormat="1" ht="12.75" customHeight="1" x14ac:dyDescent="0.35"/>
    <row r="601" customFormat="1" ht="12.75" customHeight="1" x14ac:dyDescent="0.35"/>
    <row r="602" customFormat="1" ht="12.75" customHeight="1" x14ac:dyDescent="0.35"/>
    <row r="603" customFormat="1" ht="12.75" customHeight="1" x14ac:dyDescent="0.35"/>
    <row r="604" customFormat="1" ht="12.75" customHeight="1" x14ac:dyDescent="0.35"/>
    <row r="605" customFormat="1" ht="12.75" customHeight="1" x14ac:dyDescent="0.35"/>
    <row r="606" customFormat="1" ht="12.75" customHeight="1" x14ac:dyDescent="0.35"/>
    <row r="607" customFormat="1" ht="12.75" customHeight="1" x14ac:dyDescent="0.35"/>
    <row r="608" customFormat="1" ht="12.75" customHeight="1" x14ac:dyDescent="0.35"/>
    <row r="609" customFormat="1" ht="12.75" customHeight="1" x14ac:dyDescent="0.35"/>
    <row r="610" customFormat="1" ht="12.75" customHeight="1" x14ac:dyDescent="0.35"/>
    <row r="611" customFormat="1" ht="12.75" customHeight="1" x14ac:dyDescent="0.35"/>
    <row r="612" customFormat="1" ht="12.75" customHeight="1" x14ac:dyDescent="0.35"/>
    <row r="613" customFormat="1" ht="12.75" customHeight="1" x14ac:dyDescent="0.35"/>
    <row r="614" customFormat="1" ht="12.75" customHeight="1" x14ac:dyDescent="0.35"/>
    <row r="615" customFormat="1" ht="12.75" customHeight="1" x14ac:dyDescent="0.35"/>
    <row r="616" customFormat="1" ht="12.75" customHeight="1" x14ac:dyDescent="0.35"/>
    <row r="617" customFormat="1" ht="12.75" customHeight="1" x14ac:dyDescent="0.35"/>
    <row r="618" customFormat="1" ht="12.75" customHeight="1" x14ac:dyDescent="0.35"/>
    <row r="619" customFormat="1" ht="12.75" customHeight="1" x14ac:dyDescent="0.35"/>
    <row r="620" customFormat="1" ht="12.75" customHeight="1" x14ac:dyDescent="0.35"/>
    <row r="621" customFormat="1" ht="12.75" customHeight="1" x14ac:dyDescent="0.35"/>
    <row r="622" customFormat="1" ht="12.75" customHeight="1" x14ac:dyDescent="0.35"/>
    <row r="623" customFormat="1" ht="12.75" customHeight="1" x14ac:dyDescent="0.35"/>
    <row r="624" customFormat="1" ht="12.75" customHeight="1" x14ac:dyDescent="0.35"/>
    <row r="625" customFormat="1" ht="12.75" customHeight="1" x14ac:dyDescent="0.35"/>
    <row r="626" customFormat="1" ht="12.75" customHeight="1" x14ac:dyDescent="0.35"/>
    <row r="627" customFormat="1" ht="12.75" customHeight="1" x14ac:dyDescent="0.35"/>
    <row r="628" customFormat="1" ht="12.75" customHeight="1" x14ac:dyDescent="0.35"/>
    <row r="629" customFormat="1" ht="12.75" customHeight="1" x14ac:dyDescent="0.35"/>
    <row r="630" customFormat="1" ht="12.75" customHeight="1" x14ac:dyDescent="0.35"/>
    <row r="631" customFormat="1" ht="12.75" customHeight="1" x14ac:dyDescent="0.35"/>
    <row r="632" customFormat="1" ht="12.75" customHeight="1" x14ac:dyDescent="0.35"/>
    <row r="633" customFormat="1" ht="12.75" customHeight="1" x14ac:dyDescent="0.35"/>
    <row r="634" customFormat="1" ht="12.75" customHeight="1" x14ac:dyDescent="0.35"/>
    <row r="635" customFormat="1" ht="12.75" customHeight="1" x14ac:dyDescent="0.35"/>
    <row r="636" customFormat="1" ht="12.75" customHeight="1" x14ac:dyDescent="0.35"/>
    <row r="637" customFormat="1" ht="12.75" customHeight="1" x14ac:dyDescent="0.35"/>
    <row r="638" customFormat="1" ht="12.75" customHeight="1" x14ac:dyDescent="0.35"/>
    <row r="639" customFormat="1" ht="12.75" customHeight="1" x14ac:dyDescent="0.35"/>
    <row r="640" customFormat="1" ht="12.75" customHeight="1" x14ac:dyDescent="0.35"/>
    <row r="641" customFormat="1" ht="12.75" customHeight="1" x14ac:dyDescent="0.35"/>
    <row r="642" customFormat="1" ht="12.75" customHeight="1" x14ac:dyDescent="0.35"/>
    <row r="643" customFormat="1" ht="12.75" customHeight="1" x14ac:dyDescent="0.35"/>
    <row r="644" customFormat="1" ht="12.75" customHeight="1" x14ac:dyDescent="0.35"/>
    <row r="645" customFormat="1" ht="12.75" customHeight="1" x14ac:dyDescent="0.35"/>
    <row r="646" customFormat="1" ht="12.75" customHeight="1" x14ac:dyDescent="0.35"/>
    <row r="647" customFormat="1" ht="12.75" customHeight="1" x14ac:dyDescent="0.35"/>
    <row r="648" customFormat="1" ht="12.75" customHeight="1" x14ac:dyDescent="0.35"/>
    <row r="649" customFormat="1" ht="12.75" customHeight="1" x14ac:dyDescent="0.35"/>
    <row r="650" customFormat="1" ht="12.75" customHeight="1" x14ac:dyDescent="0.35"/>
    <row r="651" customFormat="1" ht="12.75" customHeight="1" x14ac:dyDescent="0.35"/>
    <row r="652" customFormat="1" ht="12.75" customHeight="1" x14ac:dyDescent="0.35"/>
    <row r="653" customFormat="1" ht="12.75" customHeight="1" x14ac:dyDescent="0.35"/>
    <row r="654" customFormat="1" ht="12.75" customHeight="1" x14ac:dyDescent="0.35"/>
    <row r="655" customFormat="1" ht="12.75" customHeight="1" x14ac:dyDescent="0.35"/>
    <row r="656" customFormat="1" ht="12.75" customHeight="1" x14ac:dyDescent="0.35"/>
    <row r="657" customFormat="1" ht="12.75" customHeight="1" x14ac:dyDescent="0.35"/>
    <row r="658" customFormat="1" ht="12.75" customHeight="1" x14ac:dyDescent="0.35"/>
    <row r="659" customFormat="1" ht="12.75" customHeight="1" x14ac:dyDescent="0.35"/>
    <row r="660" customFormat="1" ht="12.75" customHeight="1" x14ac:dyDescent="0.35"/>
    <row r="661" customFormat="1" ht="12.75" customHeight="1" x14ac:dyDescent="0.35"/>
    <row r="662" customFormat="1" ht="12.75" customHeight="1" x14ac:dyDescent="0.35"/>
    <row r="663" customFormat="1" ht="12.75" customHeight="1" x14ac:dyDescent="0.35"/>
    <row r="664" customFormat="1" ht="12.75" customHeight="1" x14ac:dyDescent="0.35"/>
    <row r="665" customFormat="1" ht="12.75" customHeight="1" x14ac:dyDescent="0.35"/>
    <row r="666" customFormat="1" ht="12.75" customHeight="1" x14ac:dyDescent="0.35"/>
    <row r="667" customFormat="1" ht="12.75" customHeight="1" x14ac:dyDescent="0.35"/>
    <row r="668" customFormat="1" ht="12.75" customHeight="1" x14ac:dyDescent="0.35"/>
    <row r="669" customFormat="1" ht="12.75" customHeight="1" x14ac:dyDescent="0.35"/>
    <row r="670" customFormat="1" ht="12.75" customHeight="1" x14ac:dyDescent="0.35"/>
    <row r="671" customFormat="1" ht="12.75" customHeight="1" x14ac:dyDescent="0.35"/>
    <row r="672" customFormat="1" ht="12.75" customHeight="1" x14ac:dyDescent="0.35"/>
    <row r="673" customFormat="1" ht="12.75" customHeight="1" x14ac:dyDescent="0.35"/>
    <row r="674" customFormat="1" ht="12.75" customHeight="1" x14ac:dyDescent="0.35"/>
    <row r="675" customFormat="1" ht="12.75" customHeight="1" x14ac:dyDescent="0.35"/>
    <row r="676" customFormat="1" ht="12.75" customHeight="1" x14ac:dyDescent="0.35"/>
    <row r="677" customFormat="1" ht="12.75" customHeight="1" x14ac:dyDescent="0.35"/>
    <row r="678" customFormat="1" ht="12.75" customHeight="1" x14ac:dyDescent="0.35"/>
    <row r="679" customFormat="1" ht="12.75" customHeight="1" x14ac:dyDescent="0.35"/>
    <row r="680" customFormat="1" ht="12.75" customHeight="1" x14ac:dyDescent="0.35"/>
    <row r="681" customFormat="1" ht="12.75" customHeight="1" x14ac:dyDescent="0.35"/>
    <row r="682" customFormat="1" ht="12.75" customHeight="1" x14ac:dyDescent="0.35"/>
    <row r="683" customFormat="1" ht="12.75" customHeight="1" x14ac:dyDescent="0.35"/>
    <row r="684" customFormat="1" ht="12.75" customHeight="1" x14ac:dyDescent="0.35"/>
    <row r="685" customFormat="1" ht="12.75" customHeight="1" x14ac:dyDescent="0.35"/>
    <row r="686" customFormat="1" ht="12.75" customHeight="1" x14ac:dyDescent="0.35"/>
    <row r="687" customFormat="1" ht="12.75" customHeight="1" x14ac:dyDescent="0.35"/>
    <row r="688" customFormat="1" ht="12.75" customHeight="1" x14ac:dyDescent="0.35"/>
    <row r="689" customFormat="1" ht="12.75" customHeight="1" x14ac:dyDescent="0.35"/>
    <row r="690" customFormat="1" ht="12.75" customHeight="1" x14ac:dyDescent="0.35"/>
    <row r="691" customFormat="1" ht="12.75" customHeight="1" x14ac:dyDescent="0.35"/>
    <row r="692" customFormat="1" ht="12.75" customHeight="1" x14ac:dyDescent="0.35"/>
    <row r="693" customFormat="1" ht="12.75" customHeight="1" x14ac:dyDescent="0.35"/>
    <row r="694" customFormat="1" ht="12.75" customHeight="1" x14ac:dyDescent="0.35"/>
    <row r="695" customFormat="1" ht="12.75" customHeight="1" x14ac:dyDescent="0.35"/>
    <row r="696" customFormat="1" ht="12.75" customHeight="1" x14ac:dyDescent="0.35"/>
    <row r="697" customFormat="1" ht="12.75" customHeight="1" x14ac:dyDescent="0.35"/>
    <row r="698" customFormat="1" ht="12.75" customHeight="1" x14ac:dyDescent="0.35"/>
    <row r="699" customFormat="1" ht="12.75" customHeight="1" x14ac:dyDescent="0.35"/>
    <row r="700" customFormat="1" ht="12.75" customHeight="1" x14ac:dyDescent="0.35"/>
    <row r="701" customFormat="1" ht="12.75" customHeight="1" x14ac:dyDescent="0.35"/>
    <row r="702" customFormat="1" ht="12.75" customHeight="1" x14ac:dyDescent="0.35"/>
    <row r="703" customFormat="1" ht="12.75" customHeight="1" x14ac:dyDescent="0.35"/>
    <row r="704" customFormat="1" ht="12.75" customHeight="1" x14ac:dyDescent="0.35"/>
    <row r="705" customFormat="1" ht="12.75" customHeight="1" x14ac:dyDescent="0.35"/>
    <row r="706" customFormat="1" ht="12.75" customHeight="1" x14ac:dyDescent="0.35"/>
    <row r="707" customFormat="1" ht="12.75" customHeight="1" x14ac:dyDescent="0.35"/>
    <row r="708" customFormat="1" ht="12.75" customHeight="1" x14ac:dyDescent="0.35"/>
    <row r="709" customFormat="1" ht="12.75" customHeight="1" x14ac:dyDescent="0.35"/>
    <row r="710" customFormat="1" ht="12.75" customHeight="1" x14ac:dyDescent="0.35"/>
    <row r="711" customFormat="1" ht="12.75" customHeight="1" x14ac:dyDescent="0.35"/>
    <row r="712" customFormat="1" ht="12.75" customHeight="1" x14ac:dyDescent="0.35"/>
    <row r="713" customFormat="1" ht="12.75" customHeight="1" x14ac:dyDescent="0.35"/>
    <row r="714" customFormat="1" ht="12.75" customHeight="1" x14ac:dyDescent="0.35"/>
    <row r="715" customFormat="1" ht="12.75" customHeight="1" x14ac:dyDescent="0.35"/>
    <row r="716" customFormat="1" ht="12.75" customHeight="1" x14ac:dyDescent="0.35"/>
    <row r="717" customFormat="1" ht="12.75" customHeight="1" x14ac:dyDescent="0.35"/>
    <row r="718" customFormat="1" ht="12.75" customHeight="1" x14ac:dyDescent="0.35"/>
    <row r="719" customFormat="1" ht="12.75" customHeight="1" x14ac:dyDescent="0.35"/>
    <row r="720" customFormat="1" ht="12.75" customHeight="1" x14ac:dyDescent="0.35"/>
    <row r="721" customFormat="1" ht="12.75" customHeight="1" x14ac:dyDescent="0.35"/>
    <row r="722" customFormat="1" ht="12.75" customHeight="1" x14ac:dyDescent="0.35"/>
    <row r="723" customFormat="1" ht="12.75" customHeight="1" x14ac:dyDescent="0.35"/>
    <row r="724" customFormat="1" ht="12.75" customHeight="1" x14ac:dyDescent="0.35"/>
    <row r="725" customFormat="1" ht="12.75" customHeight="1" x14ac:dyDescent="0.35"/>
    <row r="726" customFormat="1" ht="12.75" customHeight="1" x14ac:dyDescent="0.35"/>
    <row r="727" customFormat="1" ht="12.75" customHeight="1" x14ac:dyDescent="0.35"/>
    <row r="728" customFormat="1" ht="12.75" customHeight="1" x14ac:dyDescent="0.35"/>
    <row r="729" customFormat="1" ht="12.75" customHeight="1" x14ac:dyDescent="0.35"/>
    <row r="730" customFormat="1" ht="12.75" customHeight="1" x14ac:dyDescent="0.35"/>
    <row r="731" customFormat="1" ht="12.75" customHeight="1" x14ac:dyDescent="0.35"/>
    <row r="732" customFormat="1" ht="12.75" customHeight="1" x14ac:dyDescent="0.35"/>
    <row r="733" customFormat="1" ht="12.75" customHeight="1" x14ac:dyDescent="0.35"/>
    <row r="734" customFormat="1" ht="12.75" customHeight="1" x14ac:dyDescent="0.35"/>
    <row r="735" customFormat="1" ht="12.75" customHeight="1" x14ac:dyDescent="0.35"/>
    <row r="736" customFormat="1" ht="12.75" customHeight="1" x14ac:dyDescent="0.35"/>
    <row r="737" customFormat="1" ht="12.75" customHeight="1" x14ac:dyDescent="0.35"/>
    <row r="738" customFormat="1" ht="12.75" customHeight="1" x14ac:dyDescent="0.35"/>
    <row r="739" customFormat="1" ht="12.75" customHeight="1" x14ac:dyDescent="0.35"/>
    <row r="740" customFormat="1" ht="12.75" customHeight="1" x14ac:dyDescent="0.35"/>
    <row r="741" customFormat="1" ht="12.75" customHeight="1" x14ac:dyDescent="0.35"/>
    <row r="742" customFormat="1" ht="12.75" customHeight="1" x14ac:dyDescent="0.35"/>
    <row r="743" customFormat="1" ht="12.75" customHeight="1" x14ac:dyDescent="0.35"/>
    <row r="744" customFormat="1" ht="12.75" customHeight="1" x14ac:dyDescent="0.35"/>
    <row r="745" customFormat="1" ht="12.75" customHeight="1" x14ac:dyDescent="0.35"/>
    <row r="746" customFormat="1" ht="12.75" customHeight="1" x14ac:dyDescent="0.35"/>
    <row r="747" customFormat="1" ht="12.75" customHeight="1" x14ac:dyDescent="0.35"/>
    <row r="748" customFormat="1" ht="12.75" customHeight="1" x14ac:dyDescent="0.35"/>
    <row r="749" customFormat="1" ht="12.75" customHeight="1" x14ac:dyDescent="0.35"/>
    <row r="750" customFormat="1" ht="12.75" customHeight="1" x14ac:dyDescent="0.35"/>
    <row r="751" customFormat="1" ht="12.75" customHeight="1" x14ac:dyDescent="0.35"/>
    <row r="752" customFormat="1" ht="12.75" customHeight="1" x14ac:dyDescent="0.35"/>
    <row r="753" customFormat="1" ht="12.75" customHeight="1" x14ac:dyDescent="0.35"/>
    <row r="754" customFormat="1" ht="12.75" customHeight="1" x14ac:dyDescent="0.35"/>
    <row r="755" customFormat="1" ht="12.75" customHeight="1" x14ac:dyDescent="0.35"/>
    <row r="756" customFormat="1" ht="12.75" customHeight="1" x14ac:dyDescent="0.35"/>
    <row r="757" customFormat="1" ht="12.75" customHeight="1" x14ac:dyDescent="0.35"/>
    <row r="758" customFormat="1" ht="12.75" customHeight="1" x14ac:dyDescent="0.35"/>
    <row r="759" customFormat="1" ht="12.75" customHeight="1" x14ac:dyDescent="0.35"/>
    <row r="760" customFormat="1" ht="12.75" customHeight="1" x14ac:dyDescent="0.35"/>
    <row r="761" customFormat="1" ht="12.75" customHeight="1" x14ac:dyDescent="0.35"/>
    <row r="762" customFormat="1" ht="12.75" customHeight="1" x14ac:dyDescent="0.35"/>
    <row r="763" customFormat="1" ht="12.75" customHeight="1" x14ac:dyDescent="0.35"/>
    <row r="764" customFormat="1" ht="12.75" customHeight="1" x14ac:dyDescent="0.35"/>
    <row r="765" customFormat="1" ht="12.75" customHeight="1" x14ac:dyDescent="0.35"/>
    <row r="766" customFormat="1" ht="12.75" customHeight="1" x14ac:dyDescent="0.35"/>
    <row r="767" customFormat="1" ht="12.75" customHeight="1" x14ac:dyDescent="0.35"/>
    <row r="768" customFormat="1" ht="12.75" customHeight="1" x14ac:dyDescent="0.35"/>
    <row r="769" customFormat="1" ht="12.75" customHeight="1" x14ac:dyDescent="0.35"/>
    <row r="770" customFormat="1" ht="12.75" customHeight="1" x14ac:dyDescent="0.35"/>
    <row r="771" customFormat="1" ht="12.75" customHeight="1" x14ac:dyDescent="0.35"/>
    <row r="772" customFormat="1" ht="12.75" customHeight="1" x14ac:dyDescent="0.35"/>
    <row r="773" customFormat="1" ht="12.75" customHeight="1" x14ac:dyDescent="0.35"/>
    <row r="774" customFormat="1" ht="12.75" customHeight="1" x14ac:dyDescent="0.35"/>
    <row r="775" customFormat="1" ht="12.75" customHeight="1" x14ac:dyDescent="0.35"/>
    <row r="776" customFormat="1" ht="12.75" customHeight="1" x14ac:dyDescent="0.35"/>
    <row r="777" customFormat="1" ht="12.75" customHeight="1" x14ac:dyDescent="0.35"/>
    <row r="778" customFormat="1" ht="12.75" customHeight="1" x14ac:dyDescent="0.35"/>
    <row r="779" customFormat="1" ht="12.75" customHeight="1" x14ac:dyDescent="0.35"/>
    <row r="780" customFormat="1" ht="12.75" customHeight="1" x14ac:dyDescent="0.35"/>
    <row r="781" customFormat="1" ht="12.75" customHeight="1" x14ac:dyDescent="0.35"/>
    <row r="782" customFormat="1" ht="12.75" customHeight="1" x14ac:dyDescent="0.35"/>
    <row r="783" customFormat="1" ht="12.75" customHeight="1" x14ac:dyDescent="0.35"/>
    <row r="784" customFormat="1" ht="12.75" customHeight="1" x14ac:dyDescent="0.35"/>
    <row r="785" customFormat="1" ht="12.75" customHeight="1" x14ac:dyDescent="0.35"/>
    <row r="786" customFormat="1" ht="12.75" customHeight="1" x14ac:dyDescent="0.35"/>
    <row r="787" customFormat="1" ht="12.75" customHeight="1" x14ac:dyDescent="0.35"/>
    <row r="788" customFormat="1" ht="12.75" customHeight="1" x14ac:dyDescent="0.35"/>
    <row r="789" customFormat="1" ht="12.75" customHeight="1" x14ac:dyDescent="0.35"/>
    <row r="790" customFormat="1" ht="12.75" customHeight="1" x14ac:dyDescent="0.35"/>
    <row r="791" customFormat="1" ht="12.75" customHeight="1" x14ac:dyDescent="0.35"/>
    <row r="792" customFormat="1" ht="12.75" customHeight="1" x14ac:dyDescent="0.35"/>
    <row r="793" customFormat="1" ht="12.75" customHeight="1" x14ac:dyDescent="0.35"/>
    <row r="794" customFormat="1" ht="12.75" customHeight="1" x14ac:dyDescent="0.35"/>
    <row r="795" customFormat="1" ht="12.75" customHeight="1" x14ac:dyDescent="0.35"/>
    <row r="796" customFormat="1" ht="12.75" customHeight="1" x14ac:dyDescent="0.35"/>
    <row r="797" customFormat="1" ht="12.75" customHeight="1" x14ac:dyDescent="0.35"/>
    <row r="798" customFormat="1" ht="12.75" customHeight="1" x14ac:dyDescent="0.35"/>
    <row r="799" customFormat="1" ht="12.75" customHeight="1" x14ac:dyDescent="0.35"/>
    <row r="800" customFormat="1" ht="12.75" customHeight="1" x14ac:dyDescent="0.35"/>
    <row r="801" customFormat="1" ht="12.75" customHeight="1" x14ac:dyDescent="0.35"/>
    <row r="802" customFormat="1" ht="12.75" customHeight="1" x14ac:dyDescent="0.35"/>
    <row r="803" customFormat="1" ht="12.75" customHeight="1" x14ac:dyDescent="0.35"/>
    <row r="804" customFormat="1" ht="12.75" customHeight="1" x14ac:dyDescent="0.35"/>
    <row r="805" customFormat="1" ht="12.75" customHeight="1" x14ac:dyDescent="0.35"/>
    <row r="806" customFormat="1" ht="12.75" customHeight="1" x14ac:dyDescent="0.35"/>
    <row r="807" customFormat="1" ht="12.75" customHeight="1" x14ac:dyDescent="0.35"/>
    <row r="808" customFormat="1" ht="12.75" customHeight="1" x14ac:dyDescent="0.35"/>
    <row r="809" customFormat="1" ht="12.75" customHeight="1" x14ac:dyDescent="0.35"/>
    <row r="810" customFormat="1" ht="12.75" customHeight="1" x14ac:dyDescent="0.35"/>
    <row r="811" customFormat="1" ht="12.75" customHeight="1" x14ac:dyDescent="0.35"/>
    <row r="812" customFormat="1" ht="12.75" customHeight="1" x14ac:dyDescent="0.35"/>
    <row r="813" customFormat="1" ht="12.75" customHeight="1" x14ac:dyDescent="0.35"/>
    <row r="814" customFormat="1" ht="12.75" customHeight="1" x14ac:dyDescent="0.35"/>
    <row r="815" customFormat="1" ht="12.75" customHeight="1" x14ac:dyDescent="0.35"/>
    <row r="816" customFormat="1" ht="12.75" customHeight="1" x14ac:dyDescent="0.35"/>
    <row r="817" customFormat="1" ht="12.75" customHeight="1" x14ac:dyDescent="0.35"/>
    <row r="818" customFormat="1" ht="12.75" customHeight="1" x14ac:dyDescent="0.35"/>
    <row r="819" customFormat="1" ht="12.75" customHeight="1" x14ac:dyDescent="0.35"/>
    <row r="820" customFormat="1" ht="12.75" customHeight="1" x14ac:dyDescent="0.35"/>
    <row r="821" customFormat="1" ht="12.75" customHeight="1" x14ac:dyDescent="0.35"/>
    <row r="822" customFormat="1" ht="12.75" customHeight="1" x14ac:dyDescent="0.35"/>
    <row r="823" customFormat="1" ht="12.75" customHeight="1" x14ac:dyDescent="0.35"/>
    <row r="824" customFormat="1" ht="12.75" customHeight="1" x14ac:dyDescent="0.35"/>
    <row r="825" customFormat="1" ht="12.75" customHeight="1" x14ac:dyDescent="0.35"/>
    <row r="826" customFormat="1" ht="12.75" customHeight="1" x14ac:dyDescent="0.35"/>
    <row r="827" customFormat="1" ht="12.75" customHeight="1" x14ac:dyDescent="0.35"/>
    <row r="828" customFormat="1" ht="12.75" customHeight="1" x14ac:dyDescent="0.35"/>
    <row r="829" customFormat="1" ht="12.75" customHeight="1" x14ac:dyDescent="0.35"/>
    <row r="830" customFormat="1" ht="12.75" customHeight="1" x14ac:dyDescent="0.35"/>
    <row r="831" customFormat="1" ht="12.75" customHeight="1" x14ac:dyDescent="0.35"/>
    <row r="832" customFormat="1" ht="12.75" customHeight="1" x14ac:dyDescent="0.35"/>
    <row r="833" customFormat="1" ht="12.75" customHeight="1" x14ac:dyDescent="0.35"/>
    <row r="834" customFormat="1" ht="12.75" customHeight="1" x14ac:dyDescent="0.35"/>
    <row r="835" customFormat="1" ht="12.75" customHeight="1" x14ac:dyDescent="0.35"/>
    <row r="836" customFormat="1" ht="12.75" customHeight="1" x14ac:dyDescent="0.35"/>
    <row r="837" customFormat="1" ht="12.75" customHeight="1" x14ac:dyDescent="0.35"/>
    <row r="838" customFormat="1" ht="12.75" customHeight="1" x14ac:dyDescent="0.35"/>
    <row r="839" customFormat="1" ht="12.75" customHeight="1" x14ac:dyDescent="0.35"/>
    <row r="840" customFormat="1" ht="12.75" customHeight="1" x14ac:dyDescent="0.35"/>
    <row r="841" customFormat="1" ht="12.75" customHeight="1" x14ac:dyDescent="0.35"/>
    <row r="842" customFormat="1" ht="12.75" customHeight="1" x14ac:dyDescent="0.35"/>
    <row r="843" customFormat="1" ht="12.75" customHeight="1" x14ac:dyDescent="0.35"/>
    <row r="844" customFormat="1" ht="12.75" customHeight="1" x14ac:dyDescent="0.35"/>
    <row r="845" customFormat="1" ht="12.75" customHeight="1" x14ac:dyDescent="0.35"/>
    <row r="846" customFormat="1" ht="12.75" customHeight="1" x14ac:dyDescent="0.35"/>
    <row r="847" customFormat="1" ht="12.75" customHeight="1" x14ac:dyDescent="0.35"/>
    <row r="848" customFormat="1" ht="12.75" customHeight="1" x14ac:dyDescent="0.35"/>
    <row r="849" customFormat="1" ht="12.75" customHeight="1" x14ac:dyDescent="0.35"/>
    <row r="850" customFormat="1" ht="12.75" customHeight="1" x14ac:dyDescent="0.35"/>
    <row r="851" customFormat="1" ht="12.75" customHeight="1" x14ac:dyDescent="0.35"/>
    <row r="852" customFormat="1" ht="12.75" customHeight="1" x14ac:dyDescent="0.35"/>
    <row r="853" customFormat="1" ht="12.75" customHeight="1" x14ac:dyDescent="0.35"/>
    <row r="854" customFormat="1" ht="12.75" customHeight="1" x14ac:dyDescent="0.35"/>
    <row r="855" customFormat="1" ht="12.75" customHeight="1" x14ac:dyDescent="0.35"/>
    <row r="856" customFormat="1" ht="12.75" customHeight="1" x14ac:dyDescent="0.35"/>
    <row r="857" customFormat="1" ht="12.75" customHeight="1" x14ac:dyDescent="0.35"/>
    <row r="858" customFormat="1" ht="12.75" customHeight="1" x14ac:dyDescent="0.35"/>
    <row r="859" customFormat="1" ht="12.75" customHeight="1" x14ac:dyDescent="0.35"/>
    <row r="860" customFormat="1" ht="12.75" customHeight="1" x14ac:dyDescent="0.35"/>
    <row r="861" customFormat="1" ht="12.75" customHeight="1" x14ac:dyDescent="0.35"/>
    <row r="862" customFormat="1" ht="12.75" customHeight="1" x14ac:dyDescent="0.35"/>
    <row r="863" customFormat="1" ht="12.75" customHeight="1" x14ac:dyDescent="0.35"/>
    <row r="864" customFormat="1" ht="12.75" customHeight="1" x14ac:dyDescent="0.35"/>
    <row r="865" customFormat="1" ht="12.75" customHeight="1" x14ac:dyDescent="0.35"/>
    <row r="866" customFormat="1" ht="12.75" customHeight="1" x14ac:dyDescent="0.35"/>
    <row r="867" customFormat="1" ht="12.75" customHeight="1" x14ac:dyDescent="0.35"/>
    <row r="868" customFormat="1" ht="12.75" customHeight="1" x14ac:dyDescent="0.35"/>
    <row r="869" customFormat="1" ht="12.75" customHeight="1" x14ac:dyDescent="0.35"/>
    <row r="870" customFormat="1" ht="12.75" customHeight="1" x14ac:dyDescent="0.35"/>
    <row r="871" customFormat="1" ht="12.75" customHeight="1" x14ac:dyDescent="0.35"/>
    <row r="872" customFormat="1" ht="12.75" customHeight="1" x14ac:dyDescent="0.35"/>
    <row r="873" customFormat="1" ht="12.75" customHeight="1" x14ac:dyDescent="0.35"/>
    <row r="874" customFormat="1" ht="12.75" customHeight="1" x14ac:dyDescent="0.35"/>
    <row r="875" customFormat="1" ht="12.75" customHeight="1" x14ac:dyDescent="0.35"/>
    <row r="876" customFormat="1" ht="12.75" customHeight="1" x14ac:dyDescent="0.35"/>
    <row r="877" customFormat="1" ht="12.75" customHeight="1" x14ac:dyDescent="0.35"/>
    <row r="878" customFormat="1" ht="12.75" customHeight="1" x14ac:dyDescent="0.35"/>
    <row r="879" customFormat="1" ht="12.75" customHeight="1" x14ac:dyDescent="0.35"/>
    <row r="880" customFormat="1" ht="12.75" customHeight="1" x14ac:dyDescent="0.35"/>
    <row r="881" customFormat="1" ht="12.75" customHeight="1" x14ac:dyDescent="0.35"/>
    <row r="882" customFormat="1" ht="12.75" customHeight="1" x14ac:dyDescent="0.35"/>
    <row r="883" customFormat="1" ht="12.75" customHeight="1" x14ac:dyDescent="0.35"/>
    <row r="884" customFormat="1" ht="12.75" customHeight="1" x14ac:dyDescent="0.35"/>
    <row r="885" customFormat="1" ht="12.75" customHeight="1" x14ac:dyDescent="0.35"/>
    <row r="886" customFormat="1" ht="12.75" customHeight="1" x14ac:dyDescent="0.35"/>
    <row r="887" customFormat="1" ht="12.75" customHeight="1" x14ac:dyDescent="0.35"/>
    <row r="888" customFormat="1" ht="12.75" customHeight="1" x14ac:dyDescent="0.35"/>
    <row r="889" customFormat="1" ht="12.75" customHeight="1" x14ac:dyDescent="0.35"/>
    <row r="890" customFormat="1" ht="12.75" customHeight="1" x14ac:dyDescent="0.35"/>
    <row r="891" customFormat="1" ht="12.75" customHeight="1" x14ac:dyDescent="0.35"/>
    <row r="892" customFormat="1" ht="12.75" customHeight="1" x14ac:dyDescent="0.35"/>
    <row r="893" customFormat="1" ht="12.75" customHeight="1" x14ac:dyDescent="0.35"/>
    <row r="894" customFormat="1" ht="12.75" customHeight="1" x14ac:dyDescent="0.35"/>
    <row r="895" customFormat="1" ht="12.75" customHeight="1" x14ac:dyDescent="0.35"/>
    <row r="896" customFormat="1" ht="12.75" customHeight="1" x14ac:dyDescent="0.35"/>
    <row r="897" customFormat="1" ht="12.75" customHeight="1" x14ac:dyDescent="0.35"/>
    <row r="898" customFormat="1" ht="12.75" customHeight="1" x14ac:dyDescent="0.35"/>
    <row r="899" customFormat="1" ht="12.75" customHeight="1" x14ac:dyDescent="0.35"/>
    <row r="900" customFormat="1" ht="12.75" customHeight="1" x14ac:dyDescent="0.35"/>
    <row r="901" customFormat="1" ht="12.75" customHeight="1" x14ac:dyDescent="0.35"/>
    <row r="902" customFormat="1" ht="12.75" customHeight="1" x14ac:dyDescent="0.35"/>
    <row r="903" customFormat="1" ht="12.75" customHeight="1" x14ac:dyDescent="0.35"/>
    <row r="904" customFormat="1" ht="12.75" customHeight="1" x14ac:dyDescent="0.35"/>
    <row r="905" customFormat="1" ht="12.75" customHeight="1" x14ac:dyDescent="0.35"/>
    <row r="906" customFormat="1" ht="12.75" customHeight="1" x14ac:dyDescent="0.35"/>
    <row r="907" customFormat="1" ht="12.75" customHeight="1" x14ac:dyDescent="0.35"/>
    <row r="908" customFormat="1" ht="12.75" customHeight="1" x14ac:dyDescent="0.35"/>
    <row r="909" customFormat="1" ht="12.75" customHeight="1" x14ac:dyDescent="0.35"/>
    <row r="910" customFormat="1" ht="12.75" customHeight="1" x14ac:dyDescent="0.35"/>
    <row r="911" customFormat="1" ht="12.75" customHeight="1" x14ac:dyDescent="0.35"/>
    <row r="912" customFormat="1" ht="12.75" customHeight="1" x14ac:dyDescent="0.35"/>
    <row r="913" customFormat="1" ht="12.75" customHeight="1" x14ac:dyDescent="0.35"/>
    <row r="914" customFormat="1" ht="12.75" customHeight="1" x14ac:dyDescent="0.35"/>
    <row r="915" customFormat="1" ht="12.75" customHeight="1" x14ac:dyDescent="0.35"/>
    <row r="916" customFormat="1" ht="12.75" customHeight="1" x14ac:dyDescent="0.35"/>
    <row r="917" customFormat="1" ht="12.75" customHeight="1" x14ac:dyDescent="0.35"/>
    <row r="918" customFormat="1" ht="12.75" customHeight="1" x14ac:dyDescent="0.35"/>
    <row r="919" customFormat="1" ht="12.75" customHeight="1" x14ac:dyDescent="0.35"/>
    <row r="920" customFormat="1" ht="12.75" customHeight="1" x14ac:dyDescent="0.35"/>
    <row r="921" customFormat="1" ht="12.75" customHeight="1" x14ac:dyDescent="0.35"/>
    <row r="922" customFormat="1" ht="12.75" customHeight="1" x14ac:dyDescent="0.35"/>
    <row r="923" customFormat="1" ht="12.75" customHeight="1" x14ac:dyDescent="0.35"/>
    <row r="924" customFormat="1" ht="12.75" customHeight="1" x14ac:dyDescent="0.35"/>
    <row r="925" customFormat="1" ht="12.75" customHeight="1" x14ac:dyDescent="0.35"/>
    <row r="926" customFormat="1" ht="12.75" customHeight="1" x14ac:dyDescent="0.35"/>
    <row r="927" customFormat="1" ht="12.75" customHeight="1" x14ac:dyDescent="0.35"/>
    <row r="928" customFormat="1" ht="12.75" customHeight="1" x14ac:dyDescent="0.35"/>
    <row r="929" customFormat="1" ht="12.75" customHeight="1" x14ac:dyDescent="0.35"/>
    <row r="930" customFormat="1" ht="12.75" customHeight="1" x14ac:dyDescent="0.35"/>
    <row r="931" customFormat="1" ht="12.75" customHeight="1" x14ac:dyDescent="0.35"/>
    <row r="932" customFormat="1" ht="12.75" customHeight="1" x14ac:dyDescent="0.35"/>
    <row r="933" customFormat="1" ht="12.75" customHeight="1" x14ac:dyDescent="0.35"/>
    <row r="934" customFormat="1" ht="12.75" customHeight="1" x14ac:dyDescent="0.35"/>
    <row r="935" customFormat="1" ht="12.75" customHeight="1" x14ac:dyDescent="0.35"/>
    <row r="936" customFormat="1" ht="12.75" customHeight="1" x14ac:dyDescent="0.35"/>
    <row r="937" customFormat="1" ht="12.75" customHeight="1" x14ac:dyDescent="0.35"/>
    <row r="938" customFormat="1" ht="12.75" customHeight="1" x14ac:dyDescent="0.35"/>
    <row r="939" customFormat="1" ht="12.75" customHeight="1" x14ac:dyDescent="0.35"/>
    <row r="940" customFormat="1" ht="12.75" customHeight="1" x14ac:dyDescent="0.35"/>
    <row r="941" customFormat="1" ht="12.75" customHeight="1" x14ac:dyDescent="0.35"/>
    <row r="942" customFormat="1" ht="12.75" customHeight="1" x14ac:dyDescent="0.35"/>
    <row r="943" customFormat="1" ht="12.75" customHeight="1" x14ac:dyDescent="0.35"/>
    <row r="944" customFormat="1" ht="12.75" customHeight="1" x14ac:dyDescent="0.35"/>
    <row r="945" customFormat="1" ht="12.75" customHeight="1" x14ac:dyDescent="0.35"/>
    <row r="946" customFormat="1" ht="12.75" customHeight="1" x14ac:dyDescent="0.35"/>
    <row r="947" customFormat="1" ht="12.75" customHeight="1" x14ac:dyDescent="0.35"/>
    <row r="948" customFormat="1" ht="12.75" customHeight="1" x14ac:dyDescent="0.35"/>
    <row r="949" customFormat="1" ht="12.75" customHeight="1" x14ac:dyDescent="0.35"/>
    <row r="950" customFormat="1" ht="12.75" customHeight="1" x14ac:dyDescent="0.35"/>
    <row r="951" customFormat="1" ht="12.75" customHeight="1" x14ac:dyDescent="0.35"/>
    <row r="952" customFormat="1" ht="12.75" customHeight="1" x14ac:dyDescent="0.35"/>
    <row r="953" customFormat="1" ht="12.75" customHeight="1" x14ac:dyDescent="0.35"/>
    <row r="954" customFormat="1" ht="12.75" customHeight="1" x14ac:dyDescent="0.35"/>
    <row r="955" customFormat="1" ht="12.75" customHeight="1" x14ac:dyDescent="0.35"/>
    <row r="956" customFormat="1" ht="12.75" customHeight="1" x14ac:dyDescent="0.35"/>
    <row r="957" customFormat="1" ht="12.75" customHeight="1" x14ac:dyDescent="0.35"/>
    <row r="958" customFormat="1" ht="12.75" customHeight="1" x14ac:dyDescent="0.35"/>
    <row r="959" customFormat="1" ht="12.75" customHeight="1" x14ac:dyDescent="0.35"/>
    <row r="960" customFormat="1" ht="12.75" customHeight="1" x14ac:dyDescent="0.35"/>
    <row r="961" customFormat="1" ht="12.75" customHeight="1" x14ac:dyDescent="0.35"/>
    <row r="962" customFormat="1" ht="12.75" customHeight="1" x14ac:dyDescent="0.35"/>
    <row r="963" customFormat="1" ht="12.75" customHeight="1" x14ac:dyDescent="0.35"/>
    <row r="964" customFormat="1" ht="12.75" customHeight="1" x14ac:dyDescent="0.35"/>
    <row r="965" customFormat="1" ht="12.75" customHeight="1" x14ac:dyDescent="0.35"/>
    <row r="966" customFormat="1" ht="12.75" customHeight="1" x14ac:dyDescent="0.35"/>
    <row r="967" customFormat="1" ht="12.75" customHeight="1" x14ac:dyDescent="0.35"/>
    <row r="968" customFormat="1" ht="12.75" customHeight="1" x14ac:dyDescent="0.35"/>
    <row r="969" customFormat="1" ht="12.75" customHeight="1" x14ac:dyDescent="0.35"/>
    <row r="970" customFormat="1" ht="12.75" customHeight="1" x14ac:dyDescent="0.35"/>
    <row r="971" customFormat="1" ht="12.75" customHeight="1" x14ac:dyDescent="0.35"/>
    <row r="972" customFormat="1" ht="12.75" customHeight="1" x14ac:dyDescent="0.35"/>
    <row r="973" customFormat="1" ht="12.75" customHeight="1" x14ac:dyDescent="0.35"/>
    <row r="974" customFormat="1" ht="12.75" customHeight="1" x14ac:dyDescent="0.35"/>
    <row r="975" customFormat="1" ht="12.75" customHeight="1" x14ac:dyDescent="0.35"/>
    <row r="976" customFormat="1" ht="12.75" customHeight="1" x14ac:dyDescent="0.35"/>
    <row r="977" customFormat="1" ht="12.75" customHeight="1" x14ac:dyDescent="0.35"/>
    <row r="978" customFormat="1" ht="12.75" customHeight="1" x14ac:dyDescent="0.35"/>
    <row r="979" customFormat="1" ht="12.75" customHeight="1" x14ac:dyDescent="0.35"/>
    <row r="980" customFormat="1" ht="12.75" customHeight="1" x14ac:dyDescent="0.35"/>
    <row r="981" customFormat="1" ht="12.75" customHeight="1" x14ac:dyDescent="0.35"/>
    <row r="982" customFormat="1" ht="12.75" customHeight="1" x14ac:dyDescent="0.35"/>
    <row r="983" customFormat="1" ht="12.75" customHeight="1" x14ac:dyDescent="0.35"/>
    <row r="984" customFormat="1" ht="12.75" customHeight="1" x14ac:dyDescent="0.35"/>
    <row r="985" customFormat="1" ht="12.75" customHeight="1" x14ac:dyDescent="0.35"/>
    <row r="986" customFormat="1" ht="12.75" customHeight="1" x14ac:dyDescent="0.35"/>
    <row r="987" customFormat="1" ht="12.75" customHeight="1" x14ac:dyDescent="0.35"/>
    <row r="988" customFormat="1" ht="12.75" customHeight="1" x14ac:dyDescent="0.35"/>
    <row r="989" customFormat="1" ht="12.75" customHeight="1" x14ac:dyDescent="0.35"/>
    <row r="990" customFormat="1" ht="12.75" customHeight="1" x14ac:dyDescent="0.35"/>
    <row r="991" customFormat="1" ht="12.75" customHeight="1" x14ac:dyDescent="0.35"/>
    <row r="992" customFormat="1" ht="12.75" customHeight="1" x14ac:dyDescent="0.35"/>
    <row r="993" customFormat="1" ht="12.75" customHeight="1" x14ac:dyDescent="0.35"/>
    <row r="994" customFormat="1" ht="12.75" customHeight="1" x14ac:dyDescent="0.35"/>
    <row r="995" customFormat="1" ht="12.75" customHeight="1" x14ac:dyDescent="0.35"/>
    <row r="996" customFormat="1" ht="12.75" customHeight="1" x14ac:dyDescent="0.35"/>
    <row r="997" customFormat="1" ht="12.75" customHeigh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EC8D-E78D-431A-9CEB-4A0BCBDCCBFF}">
  <dimension ref="A1:AJ26"/>
  <sheetViews>
    <sheetView topLeftCell="A13" workbookViewId="0">
      <selection activeCell="E26" sqref="E26"/>
    </sheetView>
  </sheetViews>
  <sheetFormatPr baseColWidth="10" defaultColWidth="14.453125" defaultRowHeight="14.5" x14ac:dyDescent="0.35"/>
  <sheetData>
    <row r="1" spans="1:1" x14ac:dyDescent="0.35">
      <c r="A1" s="3" t="s">
        <v>22</v>
      </c>
    </row>
    <row r="2" spans="1:1" x14ac:dyDescent="0.35">
      <c r="A2" s="3" t="str">
        <f ca="1">IFERROR(__xludf.DUMMYFUNCTION("unique(Data!A2:A1000)"),"Benin")</f>
        <v>Benin</v>
      </c>
    </row>
    <row r="3" spans="1:1" x14ac:dyDescent="0.35">
      <c r="A3" s="3" t="str">
        <f ca="1">IFERROR(__xludf.DUMMYFUNCTION("""COMPUTED_VALUE"""),"Belize")</f>
        <v>Belize</v>
      </c>
    </row>
    <row r="4" spans="1:1" x14ac:dyDescent="0.35">
      <c r="A4" s="3" t="str">
        <f ca="1">IFERROR(__xludf.DUMMYFUNCTION("""COMPUTED_VALUE"""),"Brazil")</f>
        <v>Brazil</v>
      </c>
    </row>
    <row r="5" spans="1:1" x14ac:dyDescent="0.35">
      <c r="A5" s="3" t="str">
        <f ca="1">IFERROR(__xludf.DUMMYFUNCTION("""COMPUTED_VALUE"""),"Africa Eastern and Southern")</f>
        <v>Africa Eastern and Southern</v>
      </c>
    </row>
    <row r="6" spans="1:1" x14ac:dyDescent="0.35">
      <c r="A6" s="3" t="str">
        <f ca="1">IFERROR(__xludf.DUMMYFUNCTION("""COMPUTED_VALUE"""),"Angola")</f>
        <v>Angola</v>
      </c>
    </row>
    <row r="7" spans="1:1" x14ac:dyDescent="0.35">
      <c r="A7" s="3" t="str">
        <f ca="1">IFERROR(__xludf.DUMMYFUNCTION("""COMPUTED_VALUE"""),"Bolivia")</f>
        <v>Bolivia</v>
      </c>
    </row>
    <row r="8" spans="1:1" x14ac:dyDescent="0.35">
      <c r="A8" s="3" t="str">
        <f ca="1">IFERROR(__xludf.DUMMYFUNCTION("""COMPUTED_VALUE"""),"Botswana")</f>
        <v>Botswana</v>
      </c>
    </row>
    <row r="9" spans="1:1" x14ac:dyDescent="0.35">
      <c r="A9" s="3" t="str">
        <f ca="1">IFERROR(__xludf.DUMMYFUNCTION("""COMPUTED_VALUE"""),"Brunei Darussalam")</f>
        <v>Brunei Darussalam</v>
      </c>
    </row>
    <row r="10" spans="1:1" x14ac:dyDescent="0.35">
      <c r="A10" s="3" t="str">
        <f ca="1">IFERROR(__xludf.DUMMYFUNCTION("""COMPUTED_VALUE"""),"Burkina Faso")</f>
        <v>Burkina Faso</v>
      </c>
    </row>
    <row r="11" spans="1:1" x14ac:dyDescent="0.35">
      <c r="A11" s="3" t="str">
        <f ca="1">IFERROR(__xludf.DUMMYFUNCTION("""COMPUTED_VALUE"""),"American Samoa")</f>
        <v>American Samoa</v>
      </c>
    </row>
    <row r="12" spans="1:1" x14ac:dyDescent="0.35">
      <c r="A12" s="3" t="str">
        <f ca="1">IFERROR(__xludf.DUMMYFUNCTION("""COMPUTED_VALUE"""),"Antigua and Barbuda")</f>
        <v>Antigua and Barbuda</v>
      </c>
    </row>
    <row r="13" spans="1:1" x14ac:dyDescent="0.35">
      <c r="A13" s="3" t="str">
        <f ca="1">IFERROR(__xludf.DUMMYFUNCTION("""COMPUTED_VALUE"""),"Africa Western and Central")</f>
        <v>Africa Western and Central</v>
      </c>
    </row>
    <row r="14" spans="1:1" x14ac:dyDescent="0.35">
      <c r="A14" s="3" t="str">
        <f ca="1">IFERROR(__xludf.DUMMYFUNCTION("""COMPUTED_VALUE"""),"Argentina")</f>
        <v>Argentina</v>
      </c>
    </row>
    <row r="15" spans="1:1" x14ac:dyDescent="0.35">
      <c r="A15" s="3" t="str">
        <f ca="1">IFERROR(__xludf.DUMMYFUNCTION("""COMPUTED_VALUE"""),"Central African Republic")</f>
        <v>Central African Republic</v>
      </c>
    </row>
    <row r="16" spans="1:1" x14ac:dyDescent="0.35">
      <c r="A16" s="3" t="str">
        <f ca="1">IFERROR(__xludf.DUMMYFUNCTION("""COMPUTED_VALUE"""),"Belgium")</f>
        <v>Belgium</v>
      </c>
    </row>
    <row r="17" spans="1:36" x14ac:dyDescent="0.35">
      <c r="A17" s="3" t="str">
        <f ca="1">IFERROR(__xludf.DUMMYFUNCTION("""COMPUTED_VALUE"""),"Bosnia and Herzegovina")</f>
        <v>Bosnia and Herzegovina</v>
      </c>
    </row>
    <row r="18" spans="1:36" x14ac:dyDescent="0.35">
      <c r="A18" s="3" t="str">
        <f ca="1">IFERROR(__xludf.DUMMYFUNCTION("""COMPUTED_VALUE"""),"Bangladesh")</f>
        <v>Bangladesh</v>
      </c>
    </row>
    <row r="19" spans="1:36" x14ac:dyDescent="0.35">
      <c r="A19" s="3" t="str">
        <f ca="1">IFERROR(__xludf.DUMMYFUNCTION("""COMPUTED_VALUE"""),"Armenia")</f>
        <v>Armenia</v>
      </c>
    </row>
    <row r="20" spans="1:36" x14ac:dyDescent="0.35">
      <c r="A20" s="3" t="str">
        <f ca="1">IFERROR(__xludf.DUMMYFUNCTION("""COMPUTED_VALUE"""),"Canada")</f>
        <v>Canada</v>
      </c>
    </row>
    <row r="21" spans="1:36" x14ac:dyDescent="0.35">
      <c r="A21" s="3" t="str">
        <f ca="1">IFERROR(__xludf.DUMMYFUNCTION("""COMPUTED_VALUE"""),"Australia")</f>
        <v>Australia</v>
      </c>
    </row>
    <row r="22" spans="1:36" x14ac:dyDescent="0.35">
      <c r="A22" s="3"/>
    </row>
    <row r="25" spans="1:36" ht="12.75" customHeight="1" x14ac:dyDescent="0.35">
      <c r="A25" s="1" t="s">
        <v>0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 t="s">
        <v>1</v>
      </c>
    </row>
    <row r="26" spans="1:36" x14ac:dyDescent="0.35">
      <c r="A26" s="3" t="str">
        <f ca="1">IFERROR(__xludf.DUMMYFUNCTION("filter(Data!A:AG,Data!A:A=Dashboard_!B5)"),"Botswana")</f>
        <v>Botswana</v>
      </c>
      <c r="B26" s="3">
        <f ca="1">IFERROR(__xludf.DUMMYFUNCTION("""COMPUTED_VALUE"""),33.1792917)</f>
        <v>33.1792917</v>
      </c>
      <c r="C26" s="3">
        <f ca="1">IFERROR(__xludf.DUMMYFUNCTION("""COMPUTED_VALUE"""),32.9705504)</f>
        <v>32.9705504</v>
      </c>
      <c r="D26" s="3">
        <f ca="1">IFERROR(__xludf.DUMMYFUNCTION("""COMPUTED_VALUE"""),32.761809)</f>
        <v>32.761809</v>
      </c>
      <c r="E26" s="3">
        <f ca="1">IFERROR(__xludf.DUMMYFUNCTION("""COMPUTED_VALUE"""),32.5530676)</f>
        <v>32.553067599999999</v>
      </c>
      <c r="F26" s="3">
        <f ca="1">IFERROR(__xludf.DUMMYFUNCTION("""COMPUTED_VALUE"""),32.3443262)</f>
        <v>32.344326199999998</v>
      </c>
      <c r="G26" s="3">
        <f ca="1">IFERROR(__xludf.DUMMYFUNCTION("""COMPUTED_VALUE"""),32.1355848)</f>
        <v>32.135584799999997</v>
      </c>
      <c r="H26" s="3">
        <f ca="1">IFERROR(__xludf.DUMMYFUNCTION("""COMPUTED_VALUE"""),31.9268435)</f>
        <v>31.9268435</v>
      </c>
      <c r="I26" s="3">
        <f ca="1">IFERROR(__xludf.DUMMYFUNCTION("""COMPUTED_VALUE"""),31.7181021)</f>
        <v>31.718102099999999</v>
      </c>
      <c r="J26" s="3">
        <f ca="1">IFERROR(__xludf.DUMMYFUNCTION("""COMPUTED_VALUE"""),31.5093607)</f>
        <v>31.509360699999998</v>
      </c>
      <c r="K26" s="3">
        <f ca="1">IFERROR(__xludf.DUMMYFUNCTION("""COMPUTED_VALUE"""),31.3006193)</f>
        <v>31.300619300000001</v>
      </c>
      <c r="L26" s="3">
        <f ca="1">IFERROR(__xludf.DUMMYFUNCTION("""COMPUTED_VALUE"""),31.091878)</f>
        <v>31.091878000000001</v>
      </c>
      <c r="M26" s="3">
        <f ca="1">IFERROR(__xludf.DUMMYFUNCTION("""COMPUTED_VALUE"""),30.8831366)</f>
        <v>30.8831366</v>
      </c>
      <c r="N26" s="3">
        <f ca="1">IFERROR(__xludf.DUMMYFUNCTION("""COMPUTED_VALUE"""),30.6743952)</f>
        <v>30.674395199999999</v>
      </c>
      <c r="O26" s="3">
        <f ca="1">IFERROR(__xludf.DUMMYFUNCTION("""COMPUTED_VALUE"""),30.4656538)</f>
        <v>30.465653799999998</v>
      </c>
      <c r="P26" s="3">
        <f ca="1">IFERROR(__xludf.DUMMYFUNCTION("""COMPUTED_VALUE"""),30.2569125)</f>
        <v>30.256912499999999</v>
      </c>
      <c r="Q26" s="3">
        <f ca="1">IFERROR(__xludf.DUMMYFUNCTION("""COMPUTED_VALUE"""),30.0481711)</f>
        <v>30.048171100000001</v>
      </c>
      <c r="R26" s="3">
        <f ca="1">IFERROR(__xludf.DUMMYFUNCTION("""COMPUTED_VALUE"""),29.8394297)</f>
        <v>29.8394297</v>
      </c>
      <c r="S26" s="3">
        <f ca="1">IFERROR(__xludf.DUMMYFUNCTION("""COMPUTED_VALUE"""),29.6306883)</f>
        <v>29.630688299999999</v>
      </c>
      <c r="T26" s="3">
        <f ca="1">IFERROR(__xludf.DUMMYFUNCTION("""COMPUTED_VALUE"""),29.421947)</f>
        <v>29.421946999999999</v>
      </c>
      <c r="U26" s="3">
        <f ca="1">IFERROR(__xludf.DUMMYFUNCTION("""COMPUTED_VALUE"""),29.2132056)</f>
        <v>29.213205599999998</v>
      </c>
      <c r="V26" s="3">
        <f ca="1">IFERROR(__xludf.DUMMYFUNCTION("""COMPUTED_VALUE"""),29.0044642)</f>
        <v>29.004464200000001</v>
      </c>
      <c r="W26" s="3">
        <f ca="1">IFERROR(__xludf.DUMMYFUNCTION("""COMPUTED_VALUE"""),28.7957228)</f>
        <v>28.7957228</v>
      </c>
      <c r="X26" s="3">
        <f ca="1">IFERROR(__xludf.DUMMYFUNCTION("""COMPUTED_VALUE"""),28.5869815)</f>
        <v>28.5869815</v>
      </c>
      <c r="Y26" s="3">
        <f ca="1">IFERROR(__xludf.DUMMYFUNCTION("""COMPUTED_VALUE"""),28.3782401)</f>
        <v>28.378240099999999</v>
      </c>
      <c r="Z26" s="3">
        <f ca="1">IFERROR(__xludf.DUMMYFUNCTION("""COMPUTED_VALUE"""),28.1694987)</f>
        <v>28.169498699999998</v>
      </c>
      <c r="AA26" s="3">
        <f ca="1">IFERROR(__xludf.DUMMYFUNCTION("""COMPUTED_VALUE"""),27.9607573)</f>
        <v>27.960757300000001</v>
      </c>
      <c r="AB26" s="3">
        <f ca="1">IFERROR(__xludf.DUMMYFUNCTION("""COMPUTED_VALUE"""),27.752016)</f>
        <v>27.752016000000001</v>
      </c>
      <c r="AC26" s="3">
        <f ca="1">IFERROR(__xludf.DUMMYFUNCTION("""COMPUTED_VALUE"""),27.5432746)</f>
        <v>27.5432746</v>
      </c>
      <c r="AD26" s="3">
        <f ca="1">IFERROR(__xludf.DUMMYFUNCTION("""COMPUTED_VALUE"""),27.3345332)</f>
        <v>27.334533199999999</v>
      </c>
      <c r="AE26" s="3">
        <f ca="1">IFERROR(__xludf.DUMMYFUNCTION("""COMPUTED_VALUE"""),27.1257918)</f>
        <v>27.125791799999998</v>
      </c>
      <c r="AF26" s="3">
        <f ca="1">IFERROR(__xludf.DUMMYFUNCTION("""COMPUTED_VALUE"""),26.9170504)</f>
        <v>26.917050400000001</v>
      </c>
      <c r="AG26" s="3">
        <f ca="1">IFERROR(__xludf.DUMMYFUNCTION("""COMPUTED_VALUE"""),6.26224129999999)</f>
        <v>6.2622412999999897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9100-FDED-4086-9F89-AA6A295A48FC}">
  <dimension ref="A1:J7"/>
  <sheetViews>
    <sheetView tabSelected="1" workbookViewId="0">
      <selection sqref="A1:XFD1048576"/>
    </sheetView>
  </sheetViews>
  <sheetFormatPr baseColWidth="10" defaultColWidth="14.453125" defaultRowHeight="15" customHeight="1" x14ac:dyDescent="0.35"/>
  <sheetData>
    <row r="1" spans="1:10" ht="14.5" x14ac:dyDescent="0.35">
      <c r="C1" s="4" t="s">
        <v>26</v>
      </c>
      <c r="D1" s="5"/>
      <c r="E1" s="5"/>
      <c r="F1" s="5"/>
      <c r="G1" s="5"/>
      <c r="H1" s="5"/>
      <c r="I1" s="5"/>
      <c r="J1" s="5"/>
    </row>
    <row r="2" spans="1:10" ht="14.5" x14ac:dyDescent="0.35">
      <c r="C2" s="5"/>
      <c r="D2" s="5"/>
      <c r="E2" s="5"/>
      <c r="F2" s="5"/>
      <c r="G2" s="5"/>
      <c r="H2" s="5"/>
      <c r="I2" s="5"/>
      <c r="J2" s="5"/>
    </row>
    <row r="4" spans="1:10" ht="14.5" x14ac:dyDescent="0.35">
      <c r="A4" s="3" t="s">
        <v>27</v>
      </c>
    </row>
    <row r="5" spans="1:10" ht="14.5" x14ac:dyDescent="0.35">
      <c r="A5" s="3" t="s">
        <v>22</v>
      </c>
      <c r="B5" s="6" t="s">
        <v>8</v>
      </c>
      <c r="C5" s="3" t="s">
        <v>28</v>
      </c>
    </row>
    <row r="7" spans="1:10" ht="14.5" x14ac:dyDescent="0.35">
      <c r="A7" s="3" t="s">
        <v>29</v>
      </c>
      <c r="B7" s="6">
        <f>SUMIFS([1]Data!AF:AF,[1]Data!A:A,B5)</f>
        <v>26.917050400000001</v>
      </c>
      <c r="C7" s="3" t="s">
        <v>30</v>
      </c>
    </row>
  </sheetData>
  <mergeCells count="1">
    <mergeCell ref="C1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Propriétaire</dc:creator>
  <cp:lastModifiedBy>Propriétaire</cp:lastModifiedBy>
  <dcterms:created xsi:type="dcterms:W3CDTF">2022-01-31T17:16:49Z</dcterms:created>
  <dcterms:modified xsi:type="dcterms:W3CDTF">2022-01-31T17:20:29Z</dcterms:modified>
</cp:coreProperties>
</file>